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630" yWindow="135" windowWidth="26970" windowHeight="11955" tabRatio="890"/>
  </bookViews>
  <sheets>
    <sheet name="ImportantDisclosures" sheetId="38" r:id="rId1"/>
    <sheet name="INPUT" sheetId="1" r:id="rId2"/>
    <sheet name="FORECAST-CORE" sheetId="13" r:id="rId3"/>
    <sheet name="FORECAST-REPORTED" sheetId="14" r:id="rId4"/>
    <sheet name="Guidance" sheetId="12" r:id="rId5"/>
    <sheet name="SOTPs" sheetId="23" r:id="rId6"/>
    <sheet name="IndexInformation" sheetId="39" r:id="rId7"/>
    <sheet name="ModPubIndex" sheetId="40" r:id="rId8"/>
    <sheet name="MW-Cache" sheetId="10" state="veryHidden" r:id="rId9"/>
  </sheets>
  <externalReferences>
    <externalReference r:id="rId10"/>
    <externalReference r:id="rId11"/>
    <externalReference r:id="rId12"/>
  </externalReferences>
  <definedNames>
    <definedName name="__FDS_HYPERLINK_TOGGLE_STATE__" hidden="1">"ON"</definedName>
    <definedName name="__FDS_UNIQUE_RANGE_ID_GENERATOR_COUNTER" hidden="1">1</definedName>
    <definedName name="_1Q11">INPUT!$B:$B</definedName>
    <definedName name="_1Q12">INPUT!$J:$J</definedName>
    <definedName name="_1Q13">INPUT!$R:$R</definedName>
    <definedName name="_1Q14">INPUT!$Z:$Z</definedName>
    <definedName name="_1Q15">INPUT!$AH:$AH</definedName>
    <definedName name="_1Q16">INPUT!$AP:$AP</definedName>
    <definedName name="_1Q17">INPUT!$AX:$AX</definedName>
    <definedName name="_1Q18">INPUT!$BF:$BF</definedName>
    <definedName name="_2Q11">INPUT!$D:$D</definedName>
    <definedName name="_2Q12">INPUT!$L:$L</definedName>
    <definedName name="_2Q13">INPUT!$T:$T</definedName>
    <definedName name="_2Q14">INPUT!$AB:$AB</definedName>
    <definedName name="_2Q15">INPUT!$AJ:$AJ</definedName>
    <definedName name="_2Q16">INPUT!$AR:$AR</definedName>
    <definedName name="_2Q17">INPUT!$AZ:$AZ</definedName>
    <definedName name="_2Q18">INPUT!$BH:$BH</definedName>
    <definedName name="_3Q11">INPUT!$F:$F</definedName>
    <definedName name="_3Q12">INPUT!$N:$N</definedName>
    <definedName name="_3Q13">INPUT!$V:$V</definedName>
    <definedName name="_3Q14">INPUT!$AD:$AD</definedName>
    <definedName name="_3Q15">INPUT!$AL:$AL</definedName>
    <definedName name="_3Q16">INPUT!$AT:$AT</definedName>
    <definedName name="_3Q17">INPUT!$BB:$BB</definedName>
    <definedName name="_3Q18">INPUT!$BJ:$BJ</definedName>
    <definedName name="_4Q11">INPUT!$H:$H</definedName>
    <definedName name="_4Q12">INPUT!$P:$P</definedName>
    <definedName name="_4Q13">INPUT!$X:$X</definedName>
    <definedName name="_4Q14">INPUT!$AF:$AF</definedName>
    <definedName name="_4Q15">INPUT!$AN:$AN</definedName>
    <definedName name="_4Q16">INPUT!$AV:$AV</definedName>
    <definedName name="_4Q17">INPUT!$BD:$BD</definedName>
    <definedName name="_4Q18">INPUT!$BL:$BL</definedName>
    <definedName name="_5_Yr">INPUT!$CS:$CS</definedName>
    <definedName name="_bdm.0786B8DA633C42B1BDEDCC46830600E4.edm" hidden="1">'[1]FG Comps Table'!$A:$IV</definedName>
    <definedName name="_bdm.1E4DA2E5E0C9452CBB5BF677B389184F.edm" hidden="1">INPUT!$1:$1048576</definedName>
    <definedName name="_bdm.2D2184B0FE324F77991E6419C065642F.edm" hidden="1">'[1]PE to Growth'!$A:$IV</definedName>
    <definedName name="_bdm.3632CC9073E64C9AB65A91B7F2BDD5C1.edm" hidden="1">'[2]2012 value map'!$A:$IV</definedName>
    <definedName name="_bdm.3927DECDA5A44A66AE3D9C7EC7FA9699.edm" hidden="1">'[2]2011 value map'!$A:$IV</definedName>
    <definedName name="_bdm.3DCF8F8AAFB34934883DBD06B2DEEBA1.edm" hidden="1">'[2]2011 roe vs pb'!$A:$IV</definedName>
    <definedName name="_bdm.51873EC413254A86A0E7C7F888DF4E1A.edm" hidden="1">'[1]PB charts'!$A:$IV</definedName>
    <definedName name="_bdm.6B468D45774C42D983611DC66974DBB2.edm" hidden="1">'[1]Sun Life Version April 2006'!$A:$IV</definedName>
    <definedName name="_bdm.76AA3814E6BB4915B51F5F8B73655807.edm" hidden="1">'[1]Capital table'!$A:$IV</definedName>
    <definedName name="_bdm.7F9DF5A4EBB540CEB0B25692821DA36F.edm" hidden="1">'[3]PE ABSOLUTE'!$A:$IV</definedName>
    <definedName name="_bdm.8F39BCA3C3224EADB7972CEC350DA0CC.edm" hidden="1">'[2]CNO 2012'!$A:$IV</definedName>
    <definedName name="_bdm.A9A6F08B6441485C9B78446EBC2CD578.edm" hidden="1">'[2]lt value map'!$A:$IV</definedName>
    <definedName name="_bdm.B344954BECB046D1944C9716A7EF3BBB.edm" hidden="1">'[3]PE RELATIVE'!$A:$IV</definedName>
    <definedName name="_bdm.BDC67F3C7D024E779AC731B97E30AD1D.edm" hidden="1">'[1]Stress-case table'!$A:$IV</definedName>
    <definedName name="_bdm.CA9BC6F978DA4890A8A7662B38770D18.edm" hidden="1">'[1]Genworth Version April 2004'!$A:$IV</definedName>
    <definedName name="_bdm.DAE95F62491F4BF78423E672277B4BE9.edm" hidden="1">'[3]PB &amp; INT SENSITIVITY'!$A:$IV</definedName>
    <definedName name="_bdm.DB4B185BAB2549BDB8BB68D61E56AF7A.edm" hidden="1">[1]weeklyversion!$A:$IV</definedName>
    <definedName name="_bdm.DFBC6006745C45CBBA23EBF7F9FC2A47.edm" hidden="1">'[2]2012e roe vs pb'!$A:$IV</definedName>
    <definedName name="_bdm.E1106E488F064E4DB9DF99505E199ACC.edm" hidden="1">'[1]StanCorp Version April 2006'!$A:$IV</definedName>
    <definedName name="_bdm.EA2F83246BF94069BA134D3D7E17714C.edm" hidden="1">'[2]2012 GAAP PF'!$A:$IV</definedName>
    <definedName name="_bdm.F40659C1894B49E1A5E1D038F248CA4A.edm" hidden="1">'[1]PE charts'!$A:$IV</definedName>
    <definedName name="_FG_Comps">'[1]FG Comps Table'!$A$4:$K$20</definedName>
    <definedName name="AdditionalInstructions">IndexInformation!$B$42</definedName>
    <definedName name="Address" localSheetId="0">ImportantDisclosures!$A$2:$A$2</definedName>
    <definedName name="AdjROC_Annuities">INPUT!$178:$178</definedName>
    <definedName name="AdjROC_CBVA">INPUT!$502:$502</definedName>
    <definedName name="AdjROC_EB">INPUT!$425:$425</definedName>
    <definedName name="AdjROC_IM">INPUT!$282:$282</definedName>
    <definedName name="AdjROC_IndLife">INPUT!$352:$352</definedName>
    <definedName name="AdjROC_Retirement">INPUT!$94:$94</definedName>
    <definedName name="AmtIssued">INPUT!$740:$740</definedName>
    <definedName name="AmtRepurch">INPUT!$745:$745</definedName>
    <definedName name="ANA" localSheetId="7">ModPubIndex!$A$7</definedName>
    <definedName name="Annuity_Admin_Expenses">INPUT!$158:$158</definedName>
    <definedName name="Annuity_AvgAuM">INPUT!$134:$134</definedName>
    <definedName name="Annuity_Expenses">INPUT!$161:$161</definedName>
    <definedName name="Annuity_Fee_Income">INPUT!$141:$141</definedName>
    <definedName name="Annuity_NetRevenues">INPUT!$143:$143</definedName>
    <definedName name="Annuity_NetUnderGainLoss">INPUT!$142:$142</definedName>
    <definedName name="Annuity_NII">INPUT!$140:$140</definedName>
    <definedName name="Annuity_Revenues">INPUT!$145:$145</definedName>
    <definedName name="AssetMgmt_AvgAuM">INPUT!$228:$228</definedName>
    <definedName name="AssetMgmt_Expenses">INPUT!$268:$268</definedName>
    <definedName name="AssetMgmt_Fee_Income">INPUT!$251:$251</definedName>
    <definedName name="AssetMgmt_NII">INPUT!$244:$244</definedName>
    <definedName name="AssetMgmt_Revenues">INPUT!$252:$252</definedName>
    <definedName name="Assumed_Debt_Expense">INPUT!$807:$807</definedName>
    <definedName name="ATEarns_CBVA">INPUT!$497:$497</definedName>
    <definedName name="AUA_IM">INPUT!$226:$226</definedName>
    <definedName name="AUM_Annuities">INPUT!$133:$133</definedName>
    <definedName name="AUM_CBVA">INPUT!$463:$463</definedName>
    <definedName name="AUM_EmployeeBenefits">INPUT!$362:$362</definedName>
    <definedName name="AUM_IM_External">INPUT!$223:$223</definedName>
    <definedName name="AUM_IM_GA">INPUT!$224:$224</definedName>
    <definedName name="AUM_IMAffiliated">INPUT!$222:$222</definedName>
    <definedName name="AUM_IMSourced">INPUT!$221:$221</definedName>
    <definedName name="AUM_IndLife">INPUT!$299:$299</definedName>
    <definedName name="AUM_Retirement">INPUT!$35:$35</definedName>
    <definedName name="AUM_Total_IM">INPUT!$227:$227</definedName>
    <definedName name="Authors" localSheetId="0">ImportantDisclosures!$A$7</definedName>
    <definedName name="Authors" localSheetId="6">IndexInformation!$B$18</definedName>
    <definedName name="Avg_CBVA_Equity">INPUT!$827:$827</definedName>
    <definedName name="Avg_Debt">INPUT!$806:$806</definedName>
    <definedName name="Avg_Eq_Ex115">INPUT!$882:$882</definedName>
    <definedName name="Avg_Eq_Incl115">INPUT!$881:$881</definedName>
    <definedName name="AvgBasicShrs">INPUT!$754:$754</definedName>
    <definedName name="AvgCap_Annuities">INPUT!$181:$181</definedName>
    <definedName name="AvgCap_CBVA">INPUT!$505:$505</definedName>
    <definedName name="AvgCap_EB">INPUT!$428:$428</definedName>
    <definedName name="AvgCap_IM">INPUT!$285:$285</definedName>
    <definedName name="AvgCap_IndLife">INPUT!$355:$355</definedName>
    <definedName name="AvgCap_Retirement">INPUT!$97:$97</definedName>
    <definedName name="AvgEquity_Ex_CBVA">INPUT!$828:$828</definedName>
    <definedName name="AvgShrsOut">INPUT!$756:$756</definedName>
    <definedName name="BegCap_Annuities">INPUT!$179:$179</definedName>
    <definedName name="BegCap_CBVA">INPUT!$503:$503</definedName>
    <definedName name="BegCap_EB">INPUT!$426:$426</definedName>
    <definedName name="BegCap_IM">INPUT!$283:$283</definedName>
    <definedName name="BegCap_IndLife">INPUT!$353:$353</definedName>
    <definedName name="BegCap_Retirement">INPUT!$95:$95</definedName>
    <definedName name="BRO" localSheetId="7">ModPubIndex!$A$1</definedName>
    <definedName name="Buybacks_AvgPrice">INPUT!$743:$743</definedName>
    <definedName name="BVPS_ex115">INPUT!$899:$899</definedName>
    <definedName name="BVPS_ex115_exCBVA">INPUT!$823:$823</definedName>
    <definedName name="BVPS_exAOCI_exCBVA">INPUT!$813:$813</definedName>
    <definedName name="BVPS_incl115">INPUT!$908:$908</definedName>
    <definedName name="Capital_CBVA">INPUT!$793:$793</definedName>
    <definedName name="Capital_Non_Alloctaed">INPUT!$794:$794</definedName>
    <definedName name="Capital_Ongoing_Operations">INPUT!$792:$792</definedName>
    <definedName name="CBVA_Admin_Expenses">INPUT!$487:$487</definedName>
    <definedName name="CBVA_AvgAuM">INPUT!$464:$464</definedName>
    <definedName name="CBVA_Expenses">INPUT!$489:$489</definedName>
    <definedName name="CBVA_Fees">INPUT!$473:$473</definedName>
    <definedName name="CBVA_Lapses">INPUT!$469:$469</definedName>
    <definedName name="CBVA_NetUnderGainLoss">INPUT!$474:$474</definedName>
    <definedName name="CBVA_NII">INPUT!$472:$472</definedName>
    <definedName name="CBVA_Revenues">INPUT!$476:$476</definedName>
    <definedName name="CBVAInst_Admin_Expenses">INPUT!$605:$605</definedName>
    <definedName name="CBVAInst_NetRevenues">INPUT!$599:$599</definedName>
    <definedName name="CBVAInst_NetUnderGainLoss">INPUT!$598:$598</definedName>
    <definedName name="ClosedBlock_ISP">INPUT!$601:$601</definedName>
    <definedName name="Consolidated_NII">INPUT!$618:$618</definedName>
    <definedName name="Consolidated_Premiums">INPUT!$620:$620</definedName>
    <definedName name="Consolidated_Revenues">INPUT!$624:$624</definedName>
    <definedName name="CopyrightStamp">ImportantDisclosures!$A$27</definedName>
    <definedName name="Core_ATEarns">INPUT!$945:$945</definedName>
    <definedName name="Core_Ongoing_PTEarnings">INPUT!$669:$669</definedName>
    <definedName name="Core_OpEPS">INPUT!$761:$761</definedName>
    <definedName name="Core_ROE">INPUT!$887:$887</definedName>
    <definedName name="Core_ROE_exCBVA">INPUT!$831:$831</definedName>
    <definedName name="CoreAnnuities_AT">INPUT!$938:$938</definedName>
    <definedName name="CoreClosedBlock_AT">INPUT!$944:$944</definedName>
    <definedName name="CoreCorporate_AT">INPUT!$943:$943</definedName>
    <definedName name="CoreEmployeeBenefits_AT">INPUT!$941:$941</definedName>
    <definedName name="CoreInc_Ann">INPUT!$175:$175</definedName>
    <definedName name="CoreInc_CB">INPUT!$613:$613</definedName>
    <definedName name="CoreInc_Corp">INPUT!$443:$443</definedName>
    <definedName name="CoreInc_EmpBen">INPUT!$422:$422</definedName>
    <definedName name="CoreInc_IndLife">INPUT!$349:$349</definedName>
    <definedName name="CoreInc_Inv">INPUT!$279:$279</definedName>
    <definedName name="CoreInc_Ret">INPUT!$90:$90</definedName>
    <definedName name="CoreIndLife_AT">INPUT!$940:$940</definedName>
    <definedName name="CoreInvMgmt_AT">INPUT!$939:$939</definedName>
    <definedName name="CoreOp_EPS">INPUT!$761:$761</definedName>
    <definedName name="CoreOp_ROE">INPUT!$887:$887</definedName>
    <definedName name="CoreOpEarns_AT">INPUT!$675:$675</definedName>
    <definedName name="CoreOpEarns_PT">INPUT!$672:$672</definedName>
    <definedName name="CorePTEarns_Annuities">INPUT!$665:$665</definedName>
    <definedName name="CorePTEarns_CBVA">INPUT!$500:$500</definedName>
    <definedName name="CorePTEarns_ClosedBlock">INPUT!$671:$671</definedName>
    <definedName name="CorePTEarns_Corporate">INPUT!$670:$670</definedName>
    <definedName name="CorePTEarns_EmployeeBenefits">INPUT!$668:$668</definedName>
    <definedName name="CorePTEarns_IndLife">INPUT!$667:$667</definedName>
    <definedName name="CorePTEarns_InvMgmt">INPUT!$666:$666</definedName>
    <definedName name="CorePTEarns_Retirement">INPUT!$664:$664</definedName>
    <definedName name="CorePTMargin_Annuities">INPUT!$176:$176</definedName>
    <definedName name="CorePTMargin_InvMgmt">INPUT!$280:$280</definedName>
    <definedName name="CorePTMargin_Retirement">INPUT!$91:$91</definedName>
    <definedName name="CoreRetirement_AT">INPUT!$937:$937</definedName>
    <definedName name="COU" localSheetId="7">ModPubIndex!$A$5</definedName>
    <definedName name="CQEnd" localSheetId="6">IndexInformation!$B$31</definedName>
    <definedName name="CredCost">INPUT!$557:$557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C_Asset">INPUT!$841:$841</definedName>
    <definedName name="Date" localSheetId="0">ImportantDisclosures!$A$8</definedName>
    <definedName name="Debt_to_Capital">INPUT!$893:$893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ivAmt">INPUT!$734:$734</definedName>
    <definedName name="DivPayout">INPUT!$733:$733</definedName>
    <definedName name="DivPS">INPUT!$732:$732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Employee_Admin_Expenses">INPUT!$407:$407</definedName>
    <definedName name="Employee_NetRevenues">INPUT!$396:$396</definedName>
    <definedName name="Employee_NetUnderGainLoss">INPUT!$395:$395</definedName>
    <definedName name="EndCap_Annuities">INPUT!$180:$180</definedName>
    <definedName name="EndCap_CBVA">INPUT!$504:$504</definedName>
    <definedName name="EndCap_EB">INPUT!$427:$427</definedName>
    <definedName name="EndCap_IM">INPUT!$284:$284</definedName>
    <definedName name="EndCap_IndLife">INPUT!$354:$354</definedName>
    <definedName name="EndCap_Retirement">INPUT!$96:$96</definedName>
    <definedName name="EOP_Eq_Ex115">INPUT!$880:$880</definedName>
    <definedName name="EOP_Eq_Ex115_ExCBVA">INPUT!$822:$822</definedName>
    <definedName name="EOP_Eq_incl115">INPUT!$877:$877</definedName>
    <definedName name="EOPShrsOut">INPUT!$753:$753</definedName>
    <definedName name="EPS_ForConsensus">INPUT!$763:$763</definedName>
    <definedName name="Expenses_Annuity">INPUT!$161:$161</definedName>
    <definedName name="Expenses_Life">INPUT!$335:$335</definedName>
    <definedName name="ｆ" hidden="1">"iQShowAnnual"</definedName>
    <definedName name="F2009_">INPUT!$BQ:$BQ</definedName>
    <definedName name="F2010_">INPUT!$BS:$BS</definedName>
    <definedName name="F2011_">INPUT!$BU:$BU</definedName>
    <definedName name="F2012_">INPUT!$BW:$BW</definedName>
    <definedName name="F2013_">INPUT!$BY:$BY</definedName>
    <definedName name="F2014_">INPUT!$CA:$CA</definedName>
    <definedName name="F2015_">INPUT!$CC:$CC</definedName>
    <definedName name="F2016_">INPUT!$CE:$CE</definedName>
    <definedName name="F2017_">INPUT!$CG:$CG</definedName>
    <definedName name="F2018_">INPUT!$CI:$CI</definedName>
    <definedName name="F2019_">INPUT!$CK:$CK</definedName>
    <definedName name="F2020_">INPUT!$CM:$CM</definedName>
    <definedName name="F2021_">INPUT!$CO:$CO</definedName>
    <definedName name="F2022_">INPUT!$CQ:$CQ</definedName>
    <definedName name="FAS115_Adjmt">INPUT!$879:$879</definedName>
    <definedName name="FD_Adjustment">INPUT!$755:$755</definedName>
    <definedName name="Fee_Income___Recordkeeping">INPUT!$55:$55</definedName>
    <definedName name="Fee_Income_Base">INPUT!$54:$54</definedName>
    <definedName name="FiveYearGrowthRate" localSheetId="6">IndexInformation!$B$16</definedName>
    <definedName name="Flows_Aff">INPUT!$213:$213</definedName>
    <definedName name="Flows_IMSourc">INPUT!$196:$196</definedName>
    <definedName name="Flows_Retirement">INPUT!$38:$38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Goodwill">INPUT!$842:$842</definedName>
    <definedName name="Gross_Investment_Income">INPUT!$948:$948</definedName>
    <definedName name="Group_Avg_AUM">INPUT!$363:$363</definedName>
    <definedName name="Group_Exp">INPUT!$410:$410</definedName>
    <definedName name="Group_NII">INPUT!$394:$394</definedName>
    <definedName name="GroupLife_Benefits">INPUT!$371:$371</definedName>
    <definedName name="GroupLife_Premiums">INPUT!$370:$370</definedName>
    <definedName name="HL" localSheetId="7">ModPubIndex!$A$8</definedName>
    <definedName name="IND" localSheetId="7">ModPubIndex!$A$9</definedName>
    <definedName name="IndivLife_NetRevenues">INPUT!$318:$318</definedName>
    <definedName name="IndivLife_NetUnderGainLoss">INPUT!$317:$317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flows_Annuities">INPUT!$119:$119</definedName>
    <definedName name="Inflows_CBVA">INPUT!$449:$449</definedName>
    <definedName name="Inflows_IMAffiliated">INPUT!$205:$205</definedName>
    <definedName name="Inflows_IMSourced">INPUT!$188:$188</definedName>
    <definedName name="Inflows_InvMgmt_Comm.">INPUT!$238:$238</definedName>
    <definedName name="Inflows_Retirement">INPUT!$31:$31</definedName>
    <definedName name="Investments">INPUT!$836:$836</definedName>
    <definedName name="InvMgmt_PTMargin">INPUT!$274:$274</definedName>
    <definedName name="Issuance_Timing">INPUT!$739:$739</definedName>
    <definedName name="KeepVersions" localSheetId="6">IndexInformation!$B$8</definedName>
    <definedName name="LanguageCode">IndexInformation!$B$38</definedName>
    <definedName name="LastCell" localSheetId="0">ImportantDisclosures!$A$22</definedName>
    <definedName name="Life_Admin_Expenses">INPUT!$332:$332</definedName>
    <definedName name="Life_AvgAuM">INPUT!$300:$300</definedName>
    <definedName name="Life_Fees">INPUT!$310:$310</definedName>
    <definedName name="Life_NII">INPUT!$309:$309</definedName>
    <definedName name="Life_Revenues">INPUT!$320:$320</definedName>
    <definedName name="Linking_3">'FORECAST-CORE'!$A$3:$CM$57</definedName>
    <definedName name="Linking_4">SOTPs!$A$3:$E$24</definedName>
    <definedName name="Linking_6">SOTPs!$A$3:$C$18</definedName>
    <definedName name="Linking_Range_1">'FORECAST-CORE'!$A$3:$CM$54</definedName>
    <definedName name="Linking_Range_17">SOTPs!$A$3:$D$22</definedName>
    <definedName name="Linking_Range_2">'FORECAST-CORE'!$A$61:$CM$98</definedName>
    <definedName name="Linking_Range_20">SOTPs!$A$3:$D$22</definedName>
    <definedName name="Linking_Range_3">'FORECAST-CORE'!$A$61:$CM$99</definedName>
    <definedName name="Linking_Text_2">42.31</definedName>
    <definedName name="Linking_Text_3">-3</definedName>
    <definedName name="Long_term_debt">INPUT!$863:$863</definedName>
    <definedName name="LossRatio_GroupLife">INPUT!$374:$374</definedName>
    <definedName name="LossRatio_StopLoss">INPUT!$381:$381</definedName>
    <definedName name="LossRatio_Voluntary">INPUT!$388:$388</definedName>
    <definedName name="LTD_to_Eq_ex115">INPUT!$904:$904</definedName>
    <definedName name="LTDebt">INPUT!$870:$870</definedName>
    <definedName name="MacroVersion" localSheetId="6">IndexInformation!$B$1</definedName>
    <definedName name="Mgmt_Adjusted_Pretax">INPUT!$801:$801</definedName>
    <definedName name="Mgt_ROE">INPUT!$815:$815</definedName>
    <definedName name="ModelPrice" localSheetId="0">ImportantDisclosures!$A$14</definedName>
    <definedName name="MS_AdjustedAT">INPUT!$819:$819</definedName>
    <definedName name="Multiplier" localSheetId="6">IndexInformation!$B$35</definedName>
    <definedName name="Net_Revenues">INPUT!$622:$622</definedName>
    <definedName name="NetEarnedRate">INPUT!$556:$556</definedName>
    <definedName name="NetEarns">INPUT!$694:$694</definedName>
    <definedName name="NetEPS">INPUT!$759:$759</definedName>
    <definedName name="NetFlows_Annuities">INPUT!$125:$125</definedName>
    <definedName name="NetFlows_CBVA">INPUT!$458:$458</definedName>
    <definedName name="NetFlows_InvMgmt_Comm.">INPUT!$240:$240</definedName>
    <definedName name="NetFlows_Retirement">INPUT!$38:$38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Ongoing_PTEarnings">INPUT!$653:$653</definedName>
    <definedName name="OngoingAvg_Equity">INPUT!$811:$811</definedName>
    <definedName name="Op.Earnings___For_consensus">INPUT!$682:$682</definedName>
    <definedName name="Op_EPS">INPUT!$758:$758</definedName>
    <definedName name="Op_ROE">INPUT!$886:$886</definedName>
    <definedName name="Op_ROE_exCBVA">INPUT!$830:$830</definedName>
    <definedName name="OpEarns_AT">INPUT!$659:$659</definedName>
    <definedName name="OpEarns_ForConsensus">INPUT!$682:$682</definedName>
    <definedName name="OpEarns_PT">INPUT!$656:$656</definedName>
    <definedName name="Outflows_Annuities">INPUT!$120:$120</definedName>
    <definedName name="Outflows_CBVA">INPUT!$450:$450</definedName>
    <definedName name="Outflows_InvMgmt_Comm.">INPUT!$239:$239</definedName>
    <definedName name="Outflows_Retirement">INPUT!$32:$32</definedName>
    <definedName name="PANA" localSheetId="7">ModPubIndex!$A$11</definedName>
    <definedName name="PathName" localSheetId="6">IndexInformation!$B$25</definedName>
    <definedName name="PF_Avg_Common_Equity">INPUT!$826:$826</definedName>
    <definedName name="PF_BVPS">INPUT!$781:$781</definedName>
    <definedName name="PF_BVPS___Ex_CBVA">INPUT!$823:$823</definedName>
    <definedName name="PF_BVPS_Ex_AOCI">INPUT!$782:$782</definedName>
    <definedName name="_xlnm.Print_Area" localSheetId="2">'FORECAST-CORE'!$A$59:$CM$99</definedName>
    <definedName name="_xlnm.Print_Area" localSheetId="5">SOTPs!$A$3:$D$46</definedName>
    <definedName name="PRODUCT" localSheetId="7">ModPubIndex!$A$6</definedName>
    <definedName name="PSYM" localSheetId="7">ModPubIndex!$A$4</definedName>
    <definedName name="PT_OpEarns">INPUT!$635:$635</definedName>
    <definedName name="PTEarns_Annuities">INPUT!$649:$649</definedName>
    <definedName name="PTEarns_ClosedBlock">INPUT!$655:$655</definedName>
    <definedName name="PTEarns_Corporate">INPUT!$654:$654</definedName>
    <definedName name="PTEarns_EmployeeBenefits">INPUT!$652:$652</definedName>
    <definedName name="PTEarns_IndLife">INPUT!$651:$651</definedName>
    <definedName name="PTEarns_InvMgmt">INPUT!$650:$650</definedName>
    <definedName name="PTEarns_Retirement">INPUT!$648:$648</definedName>
    <definedName name="PublishDate" localSheetId="6">IndexInformation!$B$2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ecordkeeping_AUA">INPUT!$40:$40</definedName>
    <definedName name="RegACDisclosure" localSheetId="0">ImportantDisclosures!#REF!</definedName>
    <definedName name="Rep_Timing">INPUT!$744:$744</definedName>
    <definedName name="ResearchTopic" localSheetId="6">IndexInformation!$B$4</definedName>
    <definedName name="Ret._Admin_Expenses">INPUT!$73:$73</definedName>
    <definedName name="Ret._Commissions_Paid">INPUT!$74:$74</definedName>
    <definedName name="Ret._GII">INPUT!$50:$50</definedName>
    <definedName name="Ret._Interest_Credited">INPUT!$59:$59</definedName>
    <definedName name="Ret._NIISpread">INPUT!$65:$65</definedName>
    <definedName name="Retirement_AvgAuM">INPUT!$36:$36</definedName>
    <definedName name="Retirement_Benefits">INPUT!$72:$72</definedName>
    <definedName name="Retirement_Expenses">INPUT!$76:$76</definedName>
    <definedName name="Retirement_Fee_Income">INPUT!$56:$56</definedName>
    <definedName name="Retirement_Fees_vs._AUM">INPUT!$68:$68</definedName>
    <definedName name="Retirement_NetRevenues">INPUT!$58:$58</definedName>
    <definedName name="Retirement_NetUnderGainLoss">INPUT!$57:$57</definedName>
    <definedName name="Retirement_NII">INPUT!$53:$53</definedName>
    <definedName name="Retirement_PT_ROA">INPUT!$92:$92</definedName>
    <definedName name="Retirement_Revenues">INPUT!$60:$60</definedName>
    <definedName name="Revenues_Employee">INPUT!$398:$398</definedName>
    <definedName name="RIC" localSheetId="6">IndexInformation!$B$21</definedName>
    <definedName name="ROA_IM">INPUT!$264:$264</definedName>
    <definedName name="ROA_IM_AdminOnly">INPUT!$263:$263</definedName>
    <definedName name="ROA_IM_GA">INPUT!$261:$261</definedName>
    <definedName name="ROA_IMExternal">INPUT!$260:$260</definedName>
    <definedName name="Sales_IndexUL">INPUT!$291:$291</definedName>
    <definedName name="Sales_IndLife">INPUT!$294:$294</definedName>
    <definedName name="Sales_Term">INPUT!$293:$293</definedName>
    <definedName name="Sales_Total_IndLife">INPUT!$294:$294</definedName>
    <definedName name="Sales_UL">INPUT!$290:$290</definedName>
    <definedName name="Sales_VUL">INPUT!$292:$292</definedName>
    <definedName name="SECSettlement" localSheetId="0">ImportantDisclosures!#REF!</definedName>
    <definedName name="SEDOL" localSheetId="6">IndexInformation!$B$22</definedName>
    <definedName name="SeptAcct">INPUT!$838:$838</definedName>
    <definedName name="ShrsIssued">INPUT!$737:$737</definedName>
    <definedName name="ShrsRepurch">INPUT!$742:$742</definedName>
    <definedName name="SourceDefined" localSheetId="0">ImportantDisclosures!$A$19</definedName>
    <definedName name="StockRating" localSheetId="0">ImportantDisclosures!$A$11</definedName>
    <definedName name="StopLoss_Benefits">INPUT!$378:$378</definedName>
    <definedName name="StopLoss_Premiums">INPUT!$377:$377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ble_4">'[3]historical VALUATION SUMMARY'!$A$1:$AA$332</definedName>
    <definedName name="TargetPrice" localSheetId="0">ImportantDisclosures!$A$15</definedName>
    <definedName name="Tax_Rate">INPUT!$674:$674</definedName>
    <definedName name="Taxes">INPUT!$657:$657</definedName>
    <definedName name="taxrate">INPUT!$658:$658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Tot_Excess_Cap">INPUT!$643:$643</definedName>
    <definedName name="TotalAssets">INPUT!$846:$846</definedName>
    <definedName name="TotalNonOpItems">INPUT!$691:$691</definedName>
    <definedName name="UpdateReason" localSheetId="6">IndexInformation!$B$17</definedName>
    <definedName name="USRegDisclosures" localSheetId="0">ImportantDisclosures!#REF!</definedName>
    <definedName name="VA_BOP_AUM">INPUT!$448:$448</definedName>
    <definedName name="VA_Withdrawal">INPUT!$450:$450</definedName>
  </definedNames>
  <calcPr calcId="145621" iterate="1"/>
</workbook>
</file>

<file path=xl/calcChain.xml><?xml version="1.0" encoding="utf-8"?>
<calcChain xmlns="http://schemas.openxmlformats.org/spreadsheetml/2006/main">
  <c r="D31" i="23" l="1"/>
  <c r="H22" i="23" l="1"/>
  <c r="BG3" i="1"/>
  <c r="BI3" i="1"/>
  <c r="BK3" i="1"/>
  <c r="BG4" i="1"/>
  <c r="BI4" i="1"/>
  <c r="BK4" i="1"/>
  <c r="BM99" i="13" l="1"/>
  <c r="BL99" i="13"/>
  <c r="BK99" i="13"/>
  <c r="BJ99" i="13"/>
  <c r="BI99" i="13"/>
  <c r="BH99" i="13"/>
  <c r="BG99" i="13"/>
  <c r="BF99" i="13"/>
  <c r="BM98" i="13"/>
  <c r="BL98" i="13"/>
  <c r="BK98" i="13"/>
  <c r="BJ98" i="13"/>
  <c r="BI98" i="13"/>
  <c r="BH98" i="13"/>
  <c r="BG98" i="13"/>
  <c r="BF98" i="13"/>
  <c r="BM97" i="13"/>
  <c r="BL97" i="13"/>
  <c r="BK97" i="13"/>
  <c r="BJ97" i="13"/>
  <c r="BI97" i="13"/>
  <c r="BH97" i="13"/>
  <c r="BG97" i="13"/>
  <c r="BF97" i="13"/>
  <c r="BM96" i="13"/>
  <c r="BL96" i="13"/>
  <c r="BK96" i="13"/>
  <c r="BJ96" i="13"/>
  <c r="BI96" i="13"/>
  <c r="BH96" i="13"/>
  <c r="BG96" i="13"/>
  <c r="BF96" i="13"/>
  <c r="BM95" i="13"/>
  <c r="BL95" i="13"/>
  <c r="BK95" i="13"/>
  <c r="BJ95" i="13"/>
  <c r="BI95" i="13"/>
  <c r="BH95" i="13"/>
  <c r="BG95" i="13"/>
  <c r="BF95" i="13"/>
  <c r="BM94" i="13"/>
  <c r="BL94" i="13"/>
  <c r="BK94" i="13"/>
  <c r="BJ94" i="13"/>
  <c r="BI94" i="13"/>
  <c r="BH94" i="13"/>
  <c r="BG94" i="13"/>
  <c r="BF94" i="13"/>
  <c r="BM93" i="13"/>
  <c r="BL93" i="13"/>
  <c r="BK93" i="13"/>
  <c r="BJ93" i="13"/>
  <c r="BI93" i="13"/>
  <c r="BH93" i="13"/>
  <c r="BG93" i="13"/>
  <c r="BF93" i="13"/>
  <c r="BM92" i="13"/>
  <c r="BL92" i="13"/>
  <c r="BK92" i="13"/>
  <c r="BJ92" i="13"/>
  <c r="BI92" i="13"/>
  <c r="BH92" i="13"/>
  <c r="BG92" i="13"/>
  <c r="BF92" i="13"/>
  <c r="BM89" i="13"/>
  <c r="BL89" i="13"/>
  <c r="BK89" i="13"/>
  <c r="BJ89" i="13"/>
  <c r="BI89" i="13"/>
  <c r="BH89" i="13"/>
  <c r="BG89" i="13"/>
  <c r="BF89" i="13"/>
  <c r="BM88" i="13"/>
  <c r="BL88" i="13"/>
  <c r="BK88" i="13"/>
  <c r="BJ88" i="13"/>
  <c r="BI88" i="13"/>
  <c r="BH88" i="13"/>
  <c r="BG88" i="13"/>
  <c r="BF88" i="13"/>
  <c r="BM87" i="13"/>
  <c r="BL87" i="13"/>
  <c r="BK87" i="13"/>
  <c r="BJ87" i="13"/>
  <c r="BI87" i="13"/>
  <c r="BH87" i="13"/>
  <c r="BG87" i="13"/>
  <c r="BF87" i="13"/>
  <c r="BM86" i="13"/>
  <c r="BL86" i="13"/>
  <c r="BK86" i="13"/>
  <c r="BJ86" i="13"/>
  <c r="BI86" i="13"/>
  <c r="BH86" i="13"/>
  <c r="BG86" i="13"/>
  <c r="BF86" i="13"/>
  <c r="BM85" i="13"/>
  <c r="BL85" i="13"/>
  <c r="BK85" i="13"/>
  <c r="BJ85" i="13"/>
  <c r="BI85" i="13"/>
  <c r="BH85" i="13"/>
  <c r="BG85" i="13"/>
  <c r="BF85" i="13"/>
  <c r="BM84" i="13"/>
  <c r="BL84" i="13"/>
  <c r="BK84" i="13"/>
  <c r="BJ84" i="13"/>
  <c r="BI84" i="13"/>
  <c r="BH84" i="13"/>
  <c r="BG84" i="13"/>
  <c r="BF84" i="13"/>
  <c r="BM83" i="13"/>
  <c r="BL83" i="13"/>
  <c r="BK83" i="13"/>
  <c r="BJ83" i="13"/>
  <c r="BI83" i="13"/>
  <c r="BH83" i="13"/>
  <c r="BG83" i="13"/>
  <c r="BF83" i="13"/>
  <c r="BM82" i="13"/>
  <c r="BL82" i="13"/>
  <c r="BK82" i="13"/>
  <c r="BJ82" i="13"/>
  <c r="BI82" i="13"/>
  <c r="BH82" i="13"/>
  <c r="BG82" i="13"/>
  <c r="BF82" i="13"/>
  <c r="BM81" i="13"/>
  <c r="BL81" i="13"/>
  <c r="BK81" i="13"/>
  <c r="BJ81" i="13"/>
  <c r="BI81" i="13"/>
  <c r="BH81" i="13"/>
  <c r="BG81" i="13"/>
  <c r="BF81" i="13"/>
  <c r="BM78" i="13"/>
  <c r="BL78" i="13"/>
  <c r="BK78" i="13"/>
  <c r="BJ78" i="13"/>
  <c r="BI78" i="13"/>
  <c r="BH78" i="13"/>
  <c r="BG78" i="13"/>
  <c r="BF78" i="13"/>
  <c r="BM77" i="13"/>
  <c r="BL77" i="13"/>
  <c r="BK77" i="13"/>
  <c r="BJ77" i="13"/>
  <c r="BI77" i="13"/>
  <c r="BH77" i="13"/>
  <c r="BG77" i="13"/>
  <c r="BF77" i="13"/>
  <c r="BM76" i="13"/>
  <c r="BL76" i="13"/>
  <c r="BK76" i="13"/>
  <c r="BJ76" i="13"/>
  <c r="BI76" i="13"/>
  <c r="BH76" i="13"/>
  <c r="BG76" i="13"/>
  <c r="BF76" i="13"/>
  <c r="BM75" i="13"/>
  <c r="BL75" i="13"/>
  <c r="BK75" i="13"/>
  <c r="BJ75" i="13"/>
  <c r="BI75" i="13"/>
  <c r="BH75" i="13"/>
  <c r="BG75" i="13"/>
  <c r="BF75" i="13"/>
  <c r="BM74" i="13"/>
  <c r="BL74" i="13"/>
  <c r="BK74" i="13"/>
  <c r="BJ74" i="13"/>
  <c r="BI74" i="13"/>
  <c r="BH74" i="13"/>
  <c r="BG74" i="13"/>
  <c r="BF74" i="13"/>
  <c r="BM73" i="13"/>
  <c r="BL73" i="13"/>
  <c r="BK73" i="13"/>
  <c r="BJ73" i="13"/>
  <c r="BI73" i="13"/>
  <c r="BH73" i="13"/>
  <c r="BG73" i="13"/>
  <c r="BF73" i="13"/>
  <c r="BM72" i="13"/>
  <c r="BL72" i="13"/>
  <c r="BK72" i="13"/>
  <c r="BJ72" i="13"/>
  <c r="BI72" i="13"/>
  <c r="BH72" i="13"/>
  <c r="BG72" i="13"/>
  <c r="BF72" i="13"/>
  <c r="BM71" i="13"/>
  <c r="BL71" i="13"/>
  <c r="BK71" i="13"/>
  <c r="BJ71" i="13"/>
  <c r="BI71" i="13"/>
  <c r="BH71" i="13"/>
  <c r="BG71" i="13"/>
  <c r="BF71" i="13"/>
  <c r="BM70" i="13"/>
  <c r="BL70" i="13"/>
  <c r="BK70" i="13"/>
  <c r="BJ70" i="13"/>
  <c r="BI70" i="13"/>
  <c r="BH70" i="13"/>
  <c r="BG70" i="13"/>
  <c r="BF70" i="13"/>
  <c r="BM67" i="13"/>
  <c r="BL67" i="13"/>
  <c r="BK67" i="13"/>
  <c r="BJ67" i="13"/>
  <c r="BI67" i="13"/>
  <c r="BH67" i="13"/>
  <c r="BG67" i="13"/>
  <c r="BF67" i="13"/>
  <c r="BM66" i="13"/>
  <c r="BL66" i="13"/>
  <c r="BK66" i="13"/>
  <c r="BJ66" i="13"/>
  <c r="BI66" i="13"/>
  <c r="BH66" i="13"/>
  <c r="BG66" i="13"/>
  <c r="BF66" i="13"/>
  <c r="BM65" i="13"/>
  <c r="BL65" i="13"/>
  <c r="BK65" i="13"/>
  <c r="BJ65" i="13"/>
  <c r="BI65" i="13"/>
  <c r="BH65" i="13"/>
  <c r="BG65" i="13"/>
  <c r="BF65" i="13"/>
  <c r="BM54" i="13"/>
  <c r="BL54" i="13"/>
  <c r="BK54" i="13"/>
  <c r="BJ54" i="13"/>
  <c r="BI54" i="13"/>
  <c r="BH54" i="13"/>
  <c r="BG54" i="13"/>
  <c r="BF54" i="13"/>
  <c r="BM53" i="13"/>
  <c r="BL53" i="13"/>
  <c r="BK53" i="13"/>
  <c r="BJ53" i="13"/>
  <c r="BI53" i="13"/>
  <c r="BH53" i="13"/>
  <c r="BG53" i="13"/>
  <c r="BF53" i="13"/>
  <c r="BM50" i="13"/>
  <c r="BL50" i="13"/>
  <c r="BK50" i="13"/>
  <c r="BJ50" i="13"/>
  <c r="BI50" i="13"/>
  <c r="BH50" i="13"/>
  <c r="BG50" i="13"/>
  <c r="BF50" i="13"/>
  <c r="BM49" i="13"/>
  <c r="BL49" i="13"/>
  <c r="BK49" i="13"/>
  <c r="BJ49" i="13"/>
  <c r="BI49" i="13"/>
  <c r="BH49" i="13"/>
  <c r="BG49" i="13"/>
  <c r="BF49" i="13"/>
  <c r="BM48" i="13"/>
  <c r="BL48" i="13"/>
  <c r="BK48" i="13"/>
  <c r="BJ48" i="13"/>
  <c r="BI48" i="13"/>
  <c r="BH48" i="13"/>
  <c r="BG48" i="13"/>
  <c r="BF48" i="13"/>
  <c r="BM47" i="13"/>
  <c r="BL47" i="13"/>
  <c r="BK47" i="13"/>
  <c r="BJ47" i="13"/>
  <c r="BI47" i="13"/>
  <c r="BH47" i="13"/>
  <c r="BG47" i="13"/>
  <c r="BF47" i="13"/>
  <c r="BM46" i="13"/>
  <c r="BL46" i="13"/>
  <c r="BK46" i="13"/>
  <c r="BJ46" i="13"/>
  <c r="BI46" i="13"/>
  <c r="BH46" i="13"/>
  <c r="BG46" i="13"/>
  <c r="BF46" i="13"/>
  <c r="BM45" i="13"/>
  <c r="BL45" i="13"/>
  <c r="BK45" i="13"/>
  <c r="BJ45" i="13"/>
  <c r="BI45" i="13"/>
  <c r="BH45" i="13"/>
  <c r="BG45" i="13"/>
  <c r="BF45" i="13"/>
  <c r="BM44" i="13"/>
  <c r="BL44" i="13"/>
  <c r="BK44" i="13"/>
  <c r="BJ44" i="13"/>
  <c r="BI44" i="13"/>
  <c r="BH44" i="13"/>
  <c r="BG44" i="13"/>
  <c r="BF44" i="13"/>
  <c r="BL42" i="13"/>
  <c r="BH42" i="13"/>
  <c r="BM41" i="13"/>
  <c r="BL41" i="13"/>
  <c r="BK41" i="13"/>
  <c r="BJ41" i="13"/>
  <c r="BI41" i="13"/>
  <c r="BH41" i="13"/>
  <c r="BG41" i="13"/>
  <c r="BF41" i="13"/>
  <c r="BM39" i="13"/>
  <c r="BL39" i="13"/>
  <c r="BK39" i="13"/>
  <c r="BJ39" i="13"/>
  <c r="BJ42" i="13" s="1"/>
  <c r="BI39" i="13"/>
  <c r="BH39" i="13"/>
  <c r="BG39" i="13"/>
  <c r="BF39" i="13"/>
  <c r="BF42" i="13" s="1"/>
  <c r="BM38" i="13"/>
  <c r="BL38" i="13"/>
  <c r="BK38" i="13"/>
  <c r="BJ38" i="13"/>
  <c r="BI38" i="13"/>
  <c r="BH38" i="13"/>
  <c r="BG38" i="13"/>
  <c r="BF38" i="13"/>
  <c r="BM37" i="13"/>
  <c r="BL37" i="13"/>
  <c r="BK37" i="13"/>
  <c r="BJ37" i="13"/>
  <c r="BI37" i="13"/>
  <c r="BH37" i="13"/>
  <c r="BG37" i="13"/>
  <c r="BF37" i="13"/>
  <c r="BM36" i="13"/>
  <c r="BL36" i="13"/>
  <c r="BK36" i="13"/>
  <c r="BJ36" i="13"/>
  <c r="BI36" i="13"/>
  <c r="BH36" i="13"/>
  <c r="BG36" i="13"/>
  <c r="BF36" i="13"/>
  <c r="BM35" i="13"/>
  <c r="BL35" i="13"/>
  <c r="BK35" i="13"/>
  <c r="BJ35" i="13"/>
  <c r="BI35" i="13"/>
  <c r="BH35" i="13"/>
  <c r="BG35" i="13"/>
  <c r="BF35" i="13"/>
  <c r="BM34" i="13"/>
  <c r="BL34" i="13"/>
  <c r="BK34" i="13"/>
  <c r="BJ34" i="13"/>
  <c r="BI34" i="13"/>
  <c r="BH34" i="13"/>
  <c r="BG34" i="13"/>
  <c r="BF34" i="13"/>
  <c r="BM33" i="13"/>
  <c r="BL33" i="13"/>
  <c r="BK33" i="13"/>
  <c r="BJ33" i="13"/>
  <c r="BI33" i="13"/>
  <c r="BH33" i="13"/>
  <c r="BG33" i="13"/>
  <c r="BF33" i="13"/>
  <c r="BM31" i="13"/>
  <c r="BL31" i="13"/>
  <c r="BK31" i="13"/>
  <c r="BJ31" i="13"/>
  <c r="BI31" i="13"/>
  <c r="BH31" i="13"/>
  <c r="BG31" i="13"/>
  <c r="BF31" i="13"/>
  <c r="BL29" i="13"/>
  <c r="BH29" i="13"/>
  <c r="BM28" i="13"/>
  <c r="BL28" i="13"/>
  <c r="BK28" i="13"/>
  <c r="BJ28" i="13"/>
  <c r="BI28" i="13"/>
  <c r="BH28" i="13"/>
  <c r="BG28" i="13"/>
  <c r="BF28" i="13"/>
  <c r="BL27" i="13"/>
  <c r="BH27" i="13"/>
  <c r="BL26" i="13"/>
  <c r="BH26" i="13"/>
  <c r="BM25" i="13"/>
  <c r="BL25" i="13"/>
  <c r="BK25" i="13"/>
  <c r="BJ25" i="13"/>
  <c r="BJ27" i="13" s="1"/>
  <c r="BI25" i="13"/>
  <c r="BH25" i="13"/>
  <c r="BG25" i="13"/>
  <c r="BF25" i="13"/>
  <c r="BF27" i="13" s="1"/>
  <c r="BM24" i="13"/>
  <c r="BL24" i="13"/>
  <c r="BK24" i="13"/>
  <c r="BJ24" i="13"/>
  <c r="BI24" i="13"/>
  <c r="BH24" i="13"/>
  <c r="BG24" i="13"/>
  <c r="BF24" i="13"/>
  <c r="BM21" i="13"/>
  <c r="BL21" i="13"/>
  <c r="BL40" i="13" s="1"/>
  <c r="BK21" i="13"/>
  <c r="BJ21" i="13"/>
  <c r="BJ40" i="13" s="1"/>
  <c r="BI21" i="13"/>
  <c r="BH21" i="13"/>
  <c r="BH40" i="13" s="1"/>
  <c r="BG21" i="13"/>
  <c r="BF21" i="13"/>
  <c r="BF40" i="13" s="1"/>
  <c r="BM20" i="13"/>
  <c r="BL20" i="13"/>
  <c r="BK20" i="13"/>
  <c r="BJ20" i="13"/>
  <c r="BI20" i="13"/>
  <c r="BH20" i="13"/>
  <c r="BG20" i="13"/>
  <c r="BF20" i="13"/>
  <c r="BM19" i="13"/>
  <c r="BL19" i="13"/>
  <c r="BK19" i="13"/>
  <c r="BJ19" i="13"/>
  <c r="BJ26" i="13" s="1"/>
  <c r="BI19" i="13"/>
  <c r="BH19" i="13"/>
  <c r="BG19" i="13"/>
  <c r="BF19" i="13"/>
  <c r="BF26" i="13" s="1"/>
  <c r="BM18" i="13"/>
  <c r="BL18" i="13"/>
  <c r="BK18" i="13"/>
  <c r="BJ18" i="13"/>
  <c r="BI18" i="13"/>
  <c r="BH18" i="13"/>
  <c r="BG18" i="13"/>
  <c r="BF18" i="13"/>
  <c r="BM17" i="13"/>
  <c r="BL17" i="13"/>
  <c r="BK17" i="13"/>
  <c r="BJ17" i="13"/>
  <c r="BI17" i="13"/>
  <c r="BH17" i="13"/>
  <c r="BG17" i="13"/>
  <c r="BF17" i="13"/>
  <c r="BM15" i="13"/>
  <c r="BL15" i="13"/>
  <c r="BK15" i="13"/>
  <c r="BJ15" i="13"/>
  <c r="BI15" i="13"/>
  <c r="BH15" i="13"/>
  <c r="BG15" i="13"/>
  <c r="BF15" i="13"/>
  <c r="BM14" i="13"/>
  <c r="BL14" i="13"/>
  <c r="BK14" i="13"/>
  <c r="BJ14" i="13"/>
  <c r="BI14" i="13"/>
  <c r="BH14" i="13"/>
  <c r="BG14" i="13"/>
  <c r="BF14" i="13"/>
  <c r="BM13" i="13"/>
  <c r="BL13" i="13"/>
  <c r="BK13" i="13"/>
  <c r="BJ13" i="13"/>
  <c r="BI13" i="13"/>
  <c r="BH13" i="13"/>
  <c r="BG13" i="13"/>
  <c r="BF13" i="13"/>
  <c r="BM12" i="13"/>
  <c r="BL12" i="13"/>
  <c r="BK12" i="13"/>
  <c r="BJ12" i="13"/>
  <c r="BI12" i="13"/>
  <c r="BH12" i="13"/>
  <c r="BG12" i="13"/>
  <c r="BF12" i="13"/>
  <c r="BM11" i="13"/>
  <c r="BL11" i="13"/>
  <c r="BK11" i="13"/>
  <c r="BJ11" i="13"/>
  <c r="BI11" i="13"/>
  <c r="BH11" i="13"/>
  <c r="BG11" i="13"/>
  <c r="BF11" i="13"/>
  <c r="BM10" i="13"/>
  <c r="BL10" i="13"/>
  <c r="BK10" i="13"/>
  <c r="BJ10" i="13"/>
  <c r="BI10" i="13"/>
  <c r="BH10" i="13"/>
  <c r="BG10" i="13"/>
  <c r="BF10" i="13"/>
  <c r="BM9" i="13"/>
  <c r="BL9" i="13"/>
  <c r="BK9" i="13"/>
  <c r="BJ9" i="13"/>
  <c r="BI9" i="13"/>
  <c r="BH9" i="13"/>
  <c r="BG9" i="13"/>
  <c r="BF9" i="13"/>
  <c r="BM8" i="13"/>
  <c r="BL8" i="13"/>
  <c r="BK8" i="13"/>
  <c r="BJ8" i="13"/>
  <c r="BI8" i="13"/>
  <c r="BH8" i="13"/>
  <c r="BG8" i="13"/>
  <c r="BF8" i="13"/>
  <c r="BM7" i="13"/>
  <c r="BL7" i="13"/>
  <c r="BL22" i="13" s="1"/>
  <c r="BK7" i="13"/>
  <c r="BJ7" i="13"/>
  <c r="BJ22" i="13" s="1"/>
  <c r="BI7" i="13"/>
  <c r="BH7" i="13"/>
  <c r="BH22" i="13" s="1"/>
  <c r="BG7" i="13"/>
  <c r="BF7" i="13"/>
  <c r="BF22" i="13" s="1"/>
  <c r="BM5" i="13"/>
  <c r="BM63" i="13" s="1"/>
  <c r="BL5" i="13"/>
  <c r="BL63" i="13" s="1"/>
  <c r="BK5" i="13"/>
  <c r="BK63" i="13" s="1"/>
  <c r="BJ5" i="13"/>
  <c r="BJ63" i="13" s="1"/>
  <c r="BI5" i="13"/>
  <c r="BI63" i="13" s="1"/>
  <c r="BH5" i="13"/>
  <c r="BH63" i="13" s="1"/>
  <c r="BG5" i="13"/>
  <c r="BG63" i="13" s="1"/>
  <c r="BF5" i="13"/>
  <c r="BF63" i="13" s="1"/>
  <c r="BM4" i="13"/>
  <c r="BM62" i="13" s="1"/>
  <c r="BK4" i="13"/>
  <c r="BK62" i="13" s="1"/>
  <c r="BI4" i="13"/>
  <c r="BI62" i="13" s="1"/>
  <c r="BG4" i="13"/>
  <c r="BG62" i="13" s="1"/>
  <c r="BM3" i="13"/>
  <c r="BM61" i="13" s="1"/>
  <c r="BK3" i="13"/>
  <c r="BK61" i="13" s="1"/>
  <c r="BI3" i="13"/>
  <c r="BI61" i="13" s="1"/>
  <c r="BG3" i="13"/>
  <c r="BG61" i="13" s="1"/>
  <c r="BF29" i="13" l="1"/>
  <c r="BJ29" i="13"/>
  <c r="J22" i="23"/>
  <c r="J16" i="23"/>
  <c r="J15" i="23"/>
  <c r="B16" i="23"/>
  <c r="D16" i="23" s="1"/>
  <c r="I15" i="23"/>
  <c r="I12" i="23"/>
  <c r="J12" i="23" s="1"/>
  <c r="D5" i="23"/>
  <c r="H9" i="23"/>
  <c r="H13" i="23" s="1"/>
  <c r="B1" i="23"/>
  <c r="B8" i="23" s="1"/>
  <c r="B34" i="23"/>
  <c r="D23" i="23"/>
  <c r="B29" i="23"/>
  <c r="B44" i="23"/>
  <c r="B38" i="23"/>
  <c r="B43" i="23"/>
  <c r="B39" i="23"/>
  <c r="L26" i="23" l="1"/>
  <c r="L27" i="23" s="1"/>
  <c r="L28" i="23" s="1"/>
  <c r="D29" i="23"/>
  <c r="D34" i="23"/>
  <c r="D38" i="23"/>
  <c r="C7" i="23" s="1"/>
  <c r="D39" i="23"/>
  <c r="D43" i="23"/>
  <c r="D45" i="23" s="1"/>
  <c r="C6" i="23" s="1"/>
  <c r="D44" i="23"/>
  <c r="I22" i="23"/>
  <c r="K22" i="23" s="1"/>
  <c r="L22" i="23" s="1"/>
  <c r="D19" i="23" s="1"/>
  <c r="E5" i="23"/>
  <c r="D26" i="23"/>
  <c r="L29" i="23" s="1"/>
  <c r="D18" i="23"/>
  <c r="L30" i="23" s="1"/>
  <c r="E14" i="23"/>
  <c r="G14" i="23"/>
  <c r="B10" i="23"/>
  <c r="B7" i="23"/>
  <c r="B11" i="23"/>
  <c r="D11" i="23" s="1"/>
  <c r="H15" i="23"/>
  <c r="B4" i="23"/>
  <c r="I9" i="23"/>
  <c r="I13" i="23" s="1"/>
  <c r="B6" i="23"/>
  <c r="J9" i="23"/>
  <c r="J13" i="23" s="1"/>
  <c r="BL79" i="1"/>
  <c r="BL338" i="1"/>
  <c r="BJ338" i="1"/>
  <c r="CQ919" i="1"/>
  <c r="CO919" i="1"/>
  <c r="CM919" i="1"/>
  <c r="CK919" i="1"/>
  <c r="CI919" i="1"/>
  <c r="CG919" i="1"/>
  <c r="BL919" i="1"/>
  <c r="BJ919" i="1"/>
  <c r="BH919" i="1"/>
  <c r="BF919" i="1"/>
  <c r="BD919" i="1"/>
  <c r="BB919" i="1"/>
  <c r="AZ919" i="1"/>
  <c r="AX919" i="1"/>
  <c r="AV919" i="1"/>
  <c r="AT919" i="1"/>
  <c r="AR919" i="1"/>
  <c r="AP919" i="1"/>
  <c r="BC879" i="1"/>
  <c r="BC878" i="1"/>
  <c r="BC876" i="1"/>
  <c r="BC875" i="1"/>
  <c r="BC874" i="1"/>
  <c r="BC873" i="1"/>
  <c r="BA879" i="1"/>
  <c r="BA878" i="1"/>
  <c r="BA876" i="1"/>
  <c r="BA875" i="1"/>
  <c r="BA874" i="1"/>
  <c r="BA873" i="1"/>
  <c r="AY879" i="1"/>
  <c r="AY878" i="1"/>
  <c r="AY876" i="1"/>
  <c r="AY875" i="1"/>
  <c r="AY874" i="1"/>
  <c r="AY873" i="1"/>
  <c r="AW879" i="1"/>
  <c r="AW878" i="1"/>
  <c r="AW876" i="1"/>
  <c r="AW875" i="1"/>
  <c r="AW874" i="1"/>
  <c r="AW873" i="1"/>
  <c r="AU879" i="1"/>
  <c r="AU878" i="1"/>
  <c r="AU876" i="1"/>
  <c r="AU875" i="1"/>
  <c r="AU874" i="1"/>
  <c r="AU873" i="1"/>
  <c r="AS879" i="1"/>
  <c r="AS878" i="1"/>
  <c r="AS876" i="1"/>
  <c r="AS875" i="1"/>
  <c r="AS874" i="1"/>
  <c r="AS873" i="1"/>
  <c r="AQ879" i="1"/>
  <c r="AQ878" i="1"/>
  <c r="AQ876" i="1"/>
  <c r="AQ875" i="1"/>
  <c r="AQ874" i="1"/>
  <c r="AQ873" i="1"/>
  <c r="AO879" i="1"/>
  <c r="AO878" i="1"/>
  <c r="AO876" i="1"/>
  <c r="AO875" i="1"/>
  <c r="AO874" i="1"/>
  <c r="AO873" i="1"/>
  <c r="AM879" i="1"/>
  <c r="AM878" i="1"/>
  <c r="AM876" i="1"/>
  <c r="AM875" i="1"/>
  <c r="AM874" i="1"/>
  <c r="AM873" i="1"/>
  <c r="AK879" i="1"/>
  <c r="AK878" i="1"/>
  <c r="AK876" i="1"/>
  <c r="AK875" i="1"/>
  <c r="AK874" i="1"/>
  <c r="AK873" i="1"/>
  <c r="AI879" i="1"/>
  <c r="AI878" i="1"/>
  <c r="AI876" i="1"/>
  <c r="AI875" i="1"/>
  <c r="AI874" i="1"/>
  <c r="AI873" i="1"/>
  <c r="AG879" i="1"/>
  <c r="AG878" i="1"/>
  <c r="AG876" i="1"/>
  <c r="AG875" i="1"/>
  <c r="AG874" i="1"/>
  <c r="AG873" i="1"/>
  <c r="AE879" i="1"/>
  <c r="AE878" i="1"/>
  <c r="AE876" i="1"/>
  <c r="AE875" i="1"/>
  <c r="AE874" i="1"/>
  <c r="AE873" i="1"/>
  <c r="AC879" i="1"/>
  <c r="AC878" i="1"/>
  <c r="AC876" i="1"/>
  <c r="AC875" i="1"/>
  <c r="AC874" i="1"/>
  <c r="AC873" i="1"/>
  <c r="AA879" i="1"/>
  <c r="AA878" i="1"/>
  <c r="AA876" i="1"/>
  <c r="AA875" i="1"/>
  <c r="AA874" i="1"/>
  <c r="AA873" i="1"/>
  <c r="Y879" i="1"/>
  <c r="Y878" i="1"/>
  <c r="Y876" i="1"/>
  <c r="Y875" i="1"/>
  <c r="W879" i="1"/>
  <c r="W878" i="1"/>
  <c r="W876" i="1"/>
  <c r="W875" i="1"/>
  <c r="U879" i="1"/>
  <c r="U878" i="1"/>
  <c r="U876" i="1"/>
  <c r="U875" i="1"/>
  <c r="S879" i="1"/>
  <c r="S878" i="1"/>
  <c r="S876" i="1"/>
  <c r="S875" i="1"/>
  <c r="Q879" i="1"/>
  <c r="Q878" i="1"/>
  <c r="Q876" i="1"/>
  <c r="Q875" i="1"/>
  <c r="O879" i="1"/>
  <c r="O878" i="1"/>
  <c r="O876" i="1"/>
  <c r="O875" i="1"/>
  <c r="M879" i="1"/>
  <c r="M878" i="1"/>
  <c r="M876" i="1"/>
  <c r="M875" i="1"/>
  <c r="K879" i="1"/>
  <c r="K878" i="1"/>
  <c r="K876" i="1"/>
  <c r="K875" i="1"/>
  <c r="BD877" i="1"/>
  <c r="BB877" i="1"/>
  <c r="AZ877" i="1"/>
  <c r="AX877" i="1"/>
  <c r="AV877" i="1"/>
  <c r="AT877" i="1"/>
  <c r="AR877" i="1"/>
  <c r="AP877" i="1"/>
  <c r="AQ877" i="1" s="1"/>
  <c r="AN877" i="1"/>
  <c r="AL877" i="1"/>
  <c r="AJ877" i="1"/>
  <c r="AH877" i="1"/>
  <c r="AF877" i="1"/>
  <c r="AD877" i="1"/>
  <c r="AB877" i="1"/>
  <c r="Z877" i="1"/>
  <c r="X877" i="1"/>
  <c r="V877" i="1"/>
  <c r="T877" i="1"/>
  <c r="R877" i="1"/>
  <c r="P877" i="1"/>
  <c r="N877" i="1"/>
  <c r="L877" i="1"/>
  <c r="J877" i="1"/>
  <c r="K877" i="1" s="1"/>
  <c r="H877" i="1"/>
  <c r="H880" i="1" s="1"/>
  <c r="F877" i="1"/>
  <c r="D877" i="1"/>
  <c r="B877" i="1"/>
  <c r="CG879" i="1"/>
  <c r="CE879" i="1"/>
  <c r="CC879" i="1"/>
  <c r="CA879" i="1"/>
  <c r="BY879" i="1"/>
  <c r="BW879" i="1"/>
  <c r="BU879" i="1"/>
  <c r="BV879" i="1" s="1"/>
  <c r="CG878" i="1"/>
  <c r="CE878" i="1"/>
  <c r="CF878" i="1" s="1"/>
  <c r="CC878" i="1"/>
  <c r="CA878" i="1"/>
  <c r="CB878" i="1" s="1"/>
  <c r="BY878" i="1"/>
  <c r="BW878" i="1"/>
  <c r="BX878" i="1" s="1"/>
  <c r="BV878" i="1"/>
  <c r="BU878" i="1"/>
  <c r="CG876" i="1"/>
  <c r="CH876" i="1" s="1"/>
  <c r="CF876" i="1"/>
  <c r="CE876" i="1"/>
  <c r="CC876" i="1"/>
  <c r="CD876" i="1" s="1"/>
  <c r="CB876" i="1"/>
  <c r="CA876" i="1"/>
  <c r="BY876" i="1"/>
  <c r="BZ876" i="1" s="1"/>
  <c r="BX876" i="1"/>
  <c r="BW876" i="1"/>
  <c r="BU876" i="1"/>
  <c r="BV876" i="1" s="1"/>
  <c r="CG875" i="1"/>
  <c r="CH875" i="1" s="1"/>
  <c r="CE875" i="1"/>
  <c r="CF875" i="1" s="1"/>
  <c r="CC875" i="1"/>
  <c r="CA875" i="1"/>
  <c r="BY875" i="1"/>
  <c r="BZ875" i="1" s="1"/>
  <c r="BW875" i="1"/>
  <c r="BX875" i="1" s="1"/>
  <c r="BU875" i="1"/>
  <c r="BV875" i="1" s="1"/>
  <c r="CG874" i="1"/>
  <c r="CH874" i="1" s="1"/>
  <c r="CE874" i="1"/>
  <c r="CC874" i="1"/>
  <c r="CD874" i="1" s="1"/>
  <c r="CB874" i="1"/>
  <c r="CA874" i="1"/>
  <c r="CG873" i="1"/>
  <c r="CG877" i="1" s="1"/>
  <c r="CE873" i="1"/>
  <c r="CF873" i="1" s="1"/>
  <c r="CC873" i="1"/>
  <c r="CC877" i="1" s="1"/>
  <c r="CA873" i="1"/>
  <c r="BY873" i="1"/>
  <c r="BY877" i="1" s="1"/>
  <c r="BW873" i="1"/>
  <c r="BX873" i="1" s="1"/>
  <c r="BU873" i="1"/>
  <c r="BV873" i="1" s="1"/>
  <c r="BF879" i="1"/>
  <c r="BG879" i="1" s="1"/>
  <c r="BE879" i="1"/>
  <c r="BF878" i="1"/>
  <c r="BH878" i="1" s="1"/>
  <c r="BE878" i="1"/>
  <c r="BE877" i="1"/>
  <c r="BE876" i="1"/>
  <c r="BE875" i="1"/>
  <c r="BE874" i="1"/>
  <c r="BF873" i="1"/>
  <c r="BE873" i="1"/>
  <c r="Y873" i="1"/>
  <c r="W873" i="1"/>
  <c r="U873" i="1"/>
  <c r="S873" i="1"/>
  <c r="Q873" i="1"/>
  <c r="O873" i="1"/>
  <c r="M873" i="1"/>
  <c r="K873" i="1"/>
  <c r="CE870" i="1"/>
  <c r="BW870" i="1"/>
  <c r="BU870" i="1"/>
  <c r="BD870" i="1"/>
  <c r="BB870" i="1"/>
  <c r="AZ870" i="1"/>
  <c r="AX870" i="1"/>
  <c r="AV870" i="1"/>
  <c r="AT870" i="1"/>
  <c r="AR870" i="1"/>
  <c r="AP870" i="1"/>
  <c r="AN870" i="1"/>
  <c r="AL870" i="1"/>
  <c r="AJ870" i="1"/>
  <c r="AH870" i="1"/>
  <c r="AF870" i="1"/>
  <c r="AD870" i="1"/>
  <c r="AB870" i="1"/>
  <c r="Z870" i="1"/>
  <c r="X870" i="1"/>
  <c r="V870" i="1"/>
  <c r="U870" i="1"/>
  <c r="S870" i="1"/>
  <c r="Q870" i="1"/>
  <c r="Q869" i="1"/>
  <c r="Q867" i="1"/>
  <c r="O870" i="1"/>
  <c r="O869" i="1"/>
  <c r="O867" i="1"/>
  <c r="M870" i="1"/>
  <c r="M869" i="1"/>
  <c r="M867" i="1"/>
  <c r="K870" i="1"/>
  <c r="K869" i="1"/>
  <c r="K867" i="1"/>
  <c r="CG867" i="1"/>
  <c r="CE867" i="1"/>
  <c r="CF867" i="1" s="1"/>
  <c r="CC867" i="1"/>
  <c r="CA867" i="1"/>
  <c r="CB867" i="1" s="1"/>
  <c r="BY867" i="1"/>
  <c r="BW867" i="1"/>
  <c r="BX867" i="1" s="1"/>
  <c r="BU867" i="1"/>
  <c r="BV867" i="1" s="1"/>
  <c r="BH867" i="1"/>
  <c r="BF867" i="1"/>
  <c r="BG867" i="1" s="1"/>
  <c r="BE867" i="1"/>
  <c r="BC867" i="1"/>
  <c r="BA867" i="1"/>
  <c r="AY867" i="1"/>
  <c r="AW867" i="1"/>
  <c r="AU867" i="1"/>
  <c r="AS867" i="1"/>
  <c r="AQ867" i="1"/>
  <c r="AO867" i="1"/>
  <c r="AM867" i="1"/>
  <c r="AK867" i="1"/>
  <c r="AI867" i="1"/>
  <c r="AG867" i="1"/>
  <c r="AE867" i="1"/>
  <c r="AC867" i="1"/>
  <c r="AA867" i="1"/>
  <c r="Y867" i="1"/>
  <c r="W867" i="1"/>
  <c r="U867" i="1"/>
  <c r="S867" i="1"/>
  <c r="CG866" i="1"/>
  <c r="CH866" i="1" s="1"/>
  <c r="CE866" i="1"/>
  <c r="CE865" i="1"/>
  <c r="BE866" i="1"/>
  <c r="CG865" i="1"/>
  <c r="CC865" i="1"/>
  <c r="CD865" i="1" s="1"/>
  <c r="CA865" i="1"/>
  <c r="CB865" i="1" s="1"/>
  <c r="BY865" i="1"/>
  <c r="BZ865" i="1" s="1"/>
  <c r="BW865" i="1"/>
  <c r="BX865" i="1" s="1"/>
  <c r="BU865" i="1"/>
  <c r="BV865" i="1" s="1"/>
  <c r="BE865" i="1"/>
  <c r="BC865" i="1"/>
  <c r="BC863" i="1"/>
  <c r="BC862" i="1"/>
  <c r="BC861" i="1"/>
  <c r="BC860" i="1"/>
  <c r="BC858" i="1"/>
  <c r="BC857" i="1"/>
  <c r="BC856" i="1"/>
  <c r="BA865" i="1"/>
  <c r="BA863" i="1"/>
  <c r="BA862" i="1"/>
  <c r="BA861" i="1"/>
  <c r="BA860" i="1"/>
  <c r="BA858" i="1"/>
  <c r="BA857" i="1"/>
  <c r="BA856" i="1"/>
  <c r="AY865" i="1"/>
  <c r="AY863" i="1"/>
  <c r="AY862" i="1"/>
  <c r="AY861" i="1"/>
  <c r="AY860" i="1"/>
  <c r="AY858" i="1"/>
  <c r="AY857" i="1"/>
  <c r="AY856" i="1"/>
  <c r="AW865" i="1"/>
  <c r="AW863" i="1"/>
  <c r="AW861" i="1"/>
  <c r="AW860" i="1"/>
  <c r="AW858" i="1"/>
  <c r="AW857" i="1"/>
  <c r="AW856" i="1"/>
  <c r="AU865" i="1"/>
  <c r="AU864" i="1"/>
  <c r="AU863" i="1"/>
  <c r="AU862" i="1"/>
  <c r="AU861" i="1"/>
  <c r="AU860" i="1"/>
  <c r="AU858" i="1"/>
  <c r="AU857" i="1"/>
  <c r="AU856" i="1"/>
  <c r="AS865" i="1"/>
  <c r="AS864" i="1"/>
  <c r="AS863" i="1"/>
  <c r="AS862" i="1"/>
  <c r="AS861" i="1"/>
  <c r="AS860" i="1"/>
  <c r="AS858" i="1"/>
  <c r="AS857" i="1"/>
  <c r="AS856" i="1"/>
  <c r="AQ865" i="1"/>
  <c r="AQ864" i="1"/>
  <c r="AQ863" i="1"/>
  <c r="AQ862" i="1"/>
  <c r="AQ861" i="1"/>
  <c r="AQ860" i="1"/>
  <c r="AQ858" i="1"/>
  <c r="AQ857" i="1"/>
  <c r="AQ856" i="1"/>
  <c r="AO865" i="1"/>
  <c r="AO864" i="1"/>
  <c r="AO863" i="1"/>
  <c r="AO862" i="1"/>
  <c r="AO861" i="1"/>
  <c r="AO860" i="1"/>
  <c r="AO858" i="1"/>
  <c r="AO857" i="1"/>
  <c r="AO856" i="1"/>
  <c r="AM865" i="1"/>
  <c r="AM864" i="1"/>
  <c r="AM863" i="1"/>
  <c r="AM862" i="1"/>
  <c r="AM861" i="1"/>
  <c r="AM860" i="1"/>
  <c r="AM858" i="1"/>
  <c r="AM857" i="1"/>
  <c r="AM856" i="1"/>
  <c r="AK865" i="1"/>
  <c r="AK864" i="1"/>
  <c r="AK863" i="1"/>
  <c r="AK862" i="1"/>
  <c r="AK861" i="1"/>
  <c r="AK860" i="1"/>
  <c r="AK858" i="1"/>
  <c r="AK857" i="1"/>
  <c r="AK856" i="1"/>
  <c r="AI865" i="1"/>
  <c r="AI864" i="1"/>
  <c r="AI863" i="1"/>
  <c r="AI862" i="1"/>
  <c r="AI861" i="1"/>
  <c r="AI860" i="1"/>
  <c r="AI858" i="1"/>
  <c r="AI857" i="1"/>
  <c r="AI856" i="1"/>
  <c r="AG865" i="1"/>
  <c r="AG864" i="1"/>
  <c r="AG863" i="1"/>
  <c r="AG862" i="1"/>
  <c r="AG861" i="1"/>
  <c r="AG860" i="1"/>
  <c r="AG858" i="1"/>
  <c r="AG857" i="1"/>
  <c r="AG856" i="1"/>
  <c r="AE865" i="1"/>
  <c r="AE864" i="1"/>
  <c r="AE863" i="1"/>
  <c r="AE862" i="1"/>
  <c r="AE861" i="1"/>
  <c r="AE860" i="1"/>
  <c r="AE858" i="1"/>
  <c r="AE857" i="1"/>
  <c r="AE856" i="1"/>
  <c r="AC865" i="1"/>
  <c r="AC864" i="1"/>
  <c r="AC863" i="1"/>
  <c r="AC862" i="1"/>
  <c r="AC861" i="1"/>
  <c r="AC860" i="1"/>
  <c r="AC858" i="1"/>
  <c r="AC857" i="1"/>
  <c r="AC856" i="1"/>
  <c r="AA865" i="1"/>
  <c r="AA864" i="1"/>
  <c r="AA863" i="1"/>
  <c r="AA862" i="1"/>
  <c r="AA861" i="1"/>
  <c r="AA860" i="1"/>
  <c r="AA858" i="1"/>
  <c r="AA857" i="1"/>
  <c r="AA856" i="1"/>
  <c r="Y865" i="1"/>
  <c r="Y864" i="1"/>
  <c r="Y863" i="1"/>
  <c r="Y862" i="1"/>
  <c r="Y861" i="1"/>
  <c r="Y860" i="1"/>
  <c r="Y857" i="1"/>
  <c r="Y856" i="1"/>
  <c r="W864" i="1"/>
  <c r="W863" i="1"/>
  <c r="W862" i="1"/>
  <c r="W861" i="1"/>
  <c r="W860" i="1"/>
  <c r="U865" i="1"/>
  <c r="U864" i="1"/>
  <c r="U863" i="1"/>
  <c r="U862" i="1"/>
  <c r="U861" i="1"/>
  <c r="U860" i="1"/>
  <c r="S865" i="1"/>
  <c r="S864" i="1"/>
  <c r="S863" i="1"/>
  <c r="S862" i="1"/>
  <c r="S861" i="1"/>
  <c r="S860" i="1"/>
  <c r="Q865" i="1"/>
  <c r="Q864" i="1"/>
  <c r="Q863" i="1"/>
  <c r="Q862" i="1"/>
  <c r="Q861" i="1"/>
  <c r="Q860" i="1"/>
  <c r="Q857" i="1"/>
  <c r="Q856" i="1"/>
  <c r="O865" i="1"/>
  <c r="O864" i="1"/>
  <c r="O863" i="1"/>
  <c r="O862" i="1"/>
  <c r="O861" i="1"/>
  <c r="O860" i="1"/>
  <c r="O857" i="1"/>
  <c r="O856" i="1"/>
  <c r="M865" i="1"/>
  <c r="M864" i="1"/>
  <c r="M863" i="1"/>
  <c r="M862" i="1"/>
  <c r="M861" i="1"/>
  <c r="M860" i="1"/>
  <c r="M857" i="1"/>
  <c r="M856" i="1"/>
  <c r="K865" i="1"/>
  <c r="K864" i="1"/>
  <c r="K863" i="1"/>
  <c r="K862" i="1"/>
  <c r="K861" i="1"/>
  <c r="K860" i="1"/>
  <c r="K857" i="1"/>
  <c r="K856" i="1"/>
  <c r="AV864" i="1"/>
  <c r="AX864" i="1" s="1"/>
  <c r="AY864" i="1" s="1"/>
  <c r="AV862" i="1"/>
  <c r="AW862" i="1" s="1"/>
  <c r="BD859" i="1"/>
  <c r="BB859" i="1"/>
  <c r="AZ859" i="1"/>
  <c r="AX859" i="1"/>
  <c r="AV859" i="1"/>
  <c r="AT859" i="1"/>
  <c r="AR859" i="1"/>
  <c r="AP859" i="1"/>
  <c r="AN859" i="1"/>
  <c r="AL859" i="1"/>
  <c r="AL868" i="1" s="1"/>
  <c r="AJ859" i="1"/>
  <c r="AH859" i="1"/>
  <c r="AF859" i="1"/>
  <c r="AD859" i="1"/>
  <c r="AB859" i="1"/>
  <c r="Z859" i="1"/>
  <c r="X859" i="1"/>
  <c r="V859" i="1"/>
  <c r="V868" i="1" s="1"/>
  <c r="T859" i="1"/>
  <c r="T868" i="1" s="1"/>
  <c r="R859" i="1"/>
  <c r="P859" i="1"/>
  <c r="P858" i="1"/>
  <c r="Y858" i="1" s="1"/>
  <c r="N859" i="1"/>
  <c r="N858" i="1"/>
  <c r="O858" i="1" s="1"/>
  <c r="L859" i="1"/>
  <c r="L858" i="1"/>
  <c r="U858" i="1" s="1"/>
  <c r="J859" i="1"/>
  <c r="J858" i="1"/>
  <c r="S858" i="1" s="1"/>
  <c r="H859" i="1"/>
  <c r="H858" i="1"/>
  <c r="F859" i="1"/>
  <c r="F868" i="1" s="1"/>
  <c r="F883" i="1" s="1"/>
  <c r="F858" i="1"/>
  <c r="D859" i="1"/>
  <c r="D858" i="1"/>
  <c r="B859" i="1"/>
  <c r="B868" i="1" s="1"/>
  <c r="B883" i="1" s="1"/>
  <c r="B858" i="1"/>
  <c r="CE864" i="1"/>
  <c r="CC864" i="1"/>
  <c r="CA864" i="1"/>
  <c r="BY864" i="1"/>
  <c r="BZ864" i="1" s="1"/>
  <c r="BW864" i="1"/>
  <c r="BU864" i="1"/>
  <c r="BV864" i="1" s="1"/>
  <c r="CH863" i="1"/>
  <c r="CG863" i="1"/>
  <c r="CE863" i="1"/>
  <c r="CF863" i="1" s="1"/>
  <c r="CD863" i="1"/>
  <c r="CC863" i="1"/>
  <c r="CA863" i="1"/>
  <c r="CB863" i="1" s="1"/>
  <c r="BZ863" i="1"/>
  <c r="BY863" i="1"/>
  <c r="BW863" i="1"/>
  <c r="BX863" i="1" s="1"/>
  <c r="BV863" i="1"/>
  <c r="BU863" i="1"/>
  <c r="CG862" i="1"/>
  <c r="CE862" i="1"/>
  <c r="CC862" i="1"/>
  <c r="CD862" i="1" s="1"/>
  <c r="CA862" i="1"/>
  <c r="CB862" i="1" s="1"/>
  <c r="BY862" i="1"/>
  <c r="BW862" i="1"/>
  <c r="BU862" i="1"/>
  <c r="BV862" i="1" s="1"/>
  <c r="CG861" i="1"/>
  <c r="CE861" i="1"/>
  <c r="CF861" i="1" s="1"/>
  <c r="CC861" i="1"/>
  <c r="CA861" i="1"/>
  <c r="CB861" i="1" s="1"/>
  <c r="BY861" i="1"/>
  <c r="BW861" i="1"/>
  <c r="BX861" i="1" s="1"/>
  <c r="BV861" i="1"/>
  <c r="BU861" i="1"/>
  <c r="CG860" i="1"/>
  <c r="CE860" i="1"/>
  <c r="CF860" i="1" s="1"/>
  <c r="CC860" i="1"/>
  <c r="CD860" i="1" s="1"/>
  <c r="CA860" i="1"/>
  <c r="BY860" i="1"/>
  <c r="BW860" i="1"/>
  <c r="BX860" i="1" s="1"/>
  <c r="BU860" i="1"/>
  <c r="BV860" i="1" s="1"/>
  <c r="CG858" i="1"/>
  <c r="CE858" i="1"/>
  <c r="CC858" i="1"/>
  <c r="CA858" i="1"/>
  <c r="CB858" i="1" s="1"/>
  <c r="BY858" i="1"/>
  <c r="BH863" i="1"/>
  <c r="BF863" i="1"/>
  <c r="BG863" i="1" s="1"/>
  <c r="BE863" i="1"/>
  <c r="BH862" i="1"/>
  <c r="BJ862" i="1" s="1"/>
  <c r="BG862" i="1"/>
  <c r="BF862" i="1"/>
  <c r="BE862" i="1"/>
  <c r="BF861" i="1"/>
  <c r="BE861" i="1"/>
  <c r="BF860" i="1"/>
  <c r="BH860" i="1" s="1"/>
  <c r="BE860" i="1"/>
  <c r="BF858" i="1"/>
  <c r="BH858" i="1" s="1"/>
  <c r="BE858" i="1"/>
  <c r="CS857" i="1"/>
  <c r="CS856" i="1"/>
  <c r="BM857" i="1"/>
  <c r="BM856" i="1"/>
  <c r="BK857" i="1"/>
  <c r="BK856" i="1"/>
  <c r="BI857" i="1"/>
  <c r="BI856" i="1"/>
  <c r="BG857" i="1"/>
  <c r="BG856" i="1"/>
  <c r="BE857" i="1"/>
  <c r="BE856" i="1"/>
  <c r="BW857" i="1"/>
  <c r="BW858" i="1" s="1"/>
  <c r="BU857" i="1"/>
  <c r="BW856" i="1"/>
  <c r="BX856" i="1" s="1"/>
  <c r="BU856" i="1"/>
  <c r="BV856" i="1" s="1"/>
  <c r="CR853" i="1"/>
  <c r="CR852" i="1"/>
  <c r="CR851" i="1"/>
  <c r="CP853" i="1"/>
  <c r="CP852" i="1"/>
  <c r="CP851" i="1"/>
  <c r="CN853" i="1"/>
  <c r="CN852" i="1"/>
  <c r="CN851" i="1"/>
  <c r="CL853" i="1"/>
  <c r="CL852" i="1"/>
  <c r="CL851" i="1"/>
  <c r="CJ853" i="1"/>
  <c r="CJ852" i="1"/>
  <c r="CJ851" i="1"/>
  <c r="CH853" i="1"/>
  <c r="CH852" i="1"/>
  <c r="CH851" i="1"/>
  <c r="CF853" i="1"/>
  <c r="CF852" i="1"/>
  <c r="CF851" i="1"/>
  <c r="CD853" i="1"/>
  <c r="CD852" i="1"/>
  <c r="CD851" i="1"/>
  <c r="CB853" i="1"/>
  <c r="CB852" i="1"/>
  <c r="CB851" i="1"/>
  <c r="BZ853" i="1"/>
  <c r="BZ852" i="1"/>
  <c r="BZ851" i="1"/>
  <c r="BX853" i="1"/>
  <c r="BX852" i="1"/>
  <c r="BX851" i="1"/>
  <c r="BV853" i="1"/>
  <c r="BV852" i="1"/>
  <c r="BV851" i="1"/>
  <c r="BM853" i="1"/>
  <c r="BM852" i="1"/>
  <c r="BM851" i="1"/>
  <c r="BK853" i="1"/>
  <c r="BK852" i="1"/>
  <c r="BK851" i="1"/>
  <c r="BI853" i="1"/>
  <c r="BI852" i="1"/>
  <c r="BI851" i="1"/>
  <c r="BG853" i="1"/>
  <c r="BG852" i="1"/>
  <c r="BG851" i="1"/>
  <c r="BE853" i="1"/>
  <c r="BE852" i="1"/>
  <c r="BE851" i="1"/>
  <c r="BC853" i="1"/>
  <c r="BC852" i="1"/>
  <c r="BC851" i="1"/>
  <c r="BA853" i="1"/>
  <c r="BA852" i="1"/>
  <c r="BA851" i="1"/>
  <c r="AY853" i="1"/>
  <c r="AY852" i="1"/>
  <c r="AY851" i="1"/>
  <c r="AW853" i="1"/>
  <c r="AW852" i="1"/>
  <c r="AW851" i="1"/>
  <c r="AU853" i="1"/>
  <c r="AU852" i="1"/>
  <c r="AU851" i="1"/>
  <c r="AS853" i="1"/>
  <c r="AS852" i="1"/>
  <c r="AS851" i="1"/>
  <c r="AQ853" i="1"/>
  <c r="AQ852" i="1"/>
  <c r="AQ851" i="1"/>
  <c r="AO853" i="1"/>
  <c r="AO852" i="1"/>
  <c r="AO851" i="1"/>
  <c r="AM853" i="1"/>
  <c r="AM852" i="1"/>
  <c r="AM851" i="1"/>
  <c r="AK853" i="1"/>
  <c r="AK852" i="1"/>
  <c r="AK851" i="1"/>
  <c r="AI853" i="1"/>
  <c r="AI852" i="1"/>
  <c r="AI851" i="1"/>
  <c r="AG853" i="1"/>
  <c r="AG852" i="1"/>
  <c r="AG851" i="1"/>
  <c r="AE853" i="1"/>
  <c r="AE852" i="1"/>
  <c r="AE851" i="1"/>
  <c r="AC853" i="1"/>
  <c r="AC852" i="1"/>
  <c r="AC851" i="1"/>
  <c r="AA853" i="1"/>
  <c r="AA852" i="1"/>
  <c r="AA851" i="1"/>
  <c r="Y853" i="1"/>
  <c r="Y852" i="1"/>
  <c r="Y851" i="1"/>
  <c r="W853" i="1"/>
  <c r="U853" i="1"/>
  <c r="S853" i="1"/>
  <c r="S852" i="1"/>
  <c r="S851" i="1"/>
  <c r="Q853" i="1"/>
  <c r="Q852" i="1"/>
  <c r="Q851" i="1"/>
  <c r="O853" i="1"/>
  <c r="O852" i="1"/>
  <c r="O851" i="1"/>
  <c r="M853" i="1"/>
  <c r="M852" i="1"/>
  <c r="M851" i="1"/>
  <c r="K853" i="1"/>
  <c r="K852" i="1"/>
  <c r="K851" i="1"/>
  <c r="H847" i="1"/>
  <c r="H846" i="1"/>
  <c r="H848" i="1" s="1"/>
  <c r="H849" i="1" s="1"/>
  <c r="F847" i="1"/>
  <c r="F846" i="1"/>
  <c r="F848" i="1" s="1"/>
  <c r="F849" i="1" s="1"/>
  <c r="D847" i="1"/>
  <c r="D846" i="1"/>
  <c r="D848" i="1" s="1"/>
  <c r="D849" i="1" s="1"/>
  <c r="B847" i="1"/>
  <c r="B846" i="1"/>
  <c r="B848" i="1" s="1"/>
  <c r="B849" i="1" s="1"/>
  <c r="CG847" i="1"/>
  <c r="CC847" i="1"/>
  <c r="BY847" i="1"/>
  <c r="BV847" i="1"/>
  <c r="BU847" i="1"/>
  <c r="BF847" i="1"/>
  <c r="BD847" i="1"/>
  <c r="BB847" i="1"/>
  <c r="AZ847" i="1"/>
  <c r="AX847" i="1"/>
  <c r="AV847" i="1"/>
  <c r="AT847" i="1"/>
  <c r="AR847" i="1"/>
  <c r="AP847" i="1"/>
  <c r="AN847" i="1"/>
  <c r="AL847" i="1"/>
  <c r="AJ847" i="1"/>
  <c r="AH847" i="1"/>
  <c r="AF847" i="1"/>
  <c r="AD847" i="1"/>
  <c r="AB847" i="1"/>
  <c r="Z847" i="1"/>
  <c r="X847" i="1"/>
  <c r="V847" i="1"/>
  <c r="T847" i="1"/>
  <c r="R847" i="1"/>
  <c r="P847" i="1"/>
  <c r="Q847" i="1" s="1"/>
  <c r="N847" i="1"/>
  <c r="L847" i="1"/>
  <c r="M847" i="1" s="1"/>
  <c r="J847" i="1"/>
  <c r="K847" i="1" s="1"/>
  <c r="BB846" i="1"/>
  <c r="BC846" i="1" s="1"/>
  <c r="AT846" i="1"/>
  <c r="AR846" i="1"/>
  <c r="AP846" i="1"/>
  <c r="AN846" i="1"/>
  <c r="AL846" i="1"/>
  <c r="AL848" i="1" s="1"/>
  <c r="AJ846" i="1"/>
  <c r="AH846" i="1"/>
  <c r="AF846" i="1"/>
  <c r="AD846" i="1"/>
  <c r="AB846" i="1"/>
  <c r="Z846" i="1"/>
  <c r="X846" i="1"/>
  <c r="V846" i="1"/>
  <c r="V848" i="1" s="1"/>
  <c r="T846" i="1"/>
  <c r="R846" i="1"/>
  <c r="P846" i="1"/>
  <c r="Q846" i="1" s="1"/>
  <c r="N846" i="1"/>
  <c r="O846" i="1" s="1"/>
  <c r="L846" i="1"/>
  <c r="M846" i="1" s="1"/>
  <c r="J846" i="1"/>
  <c r="CE845" i="1"/>
  <c r="CE844" i="1"/>
  <c r="CE842" i="1"/>
  <c r="CE841" i="1"/>
  <c r="CE840" i="1"/>
  <c r="CE839" i="1"/>
  <c r="CE838" i="1"/>
  <c r="CE837" i="1"/>
  <c r="CE836" i="1"/>
  <c r="BC844" i="1"/>
  <c r="BC842" i="1"/>
  <c r="BC841" i="1"/>
  <c r="BC840" i="1"/>
  <c r="BC839" i="1"/>
  <c r="BC838" i="1"/>
  <c r="BC837" i="1"/>
  <c r="BC836" i="1"/>
  <c r="BA844" i="1"/>
  <c r="BA843" i="1"/>
  <c r="BA842" i="1"/>
  <c r="BA841" i="1"/>
  <c r="BA840" i="1"/>
  <c r="BA839" i="1"/>
  <c r="BA838" i="1"/>
  <c r="BA837" i="1"/>
  <c r="BA836" i="1"/>
  <c r="AY844" i="1"/>
  <c r="AY842" i="1"/>
  <c r="AY841" i="1"/>
  <c r="AY840" i="1"/>
  <c r="AY839" i="1"/>
  <c r="AY838" i="1"/>
  <c r="AY837" i="1"/>
  <c r="AY836" i="1"/>
  <c r="AW844" i="1"/>
  <c r="AW843" i="1"/>
  <c r="AW842" i="1"/>
  <c r="AW841" i="1"/>
  <c r="AW840" i="1"/>
  <c r="AW839" i="1"/>
  <c r="AW838" i="1"/>
  <c r="AW837" i="1"/>
  <c r="AW836" i="1"/>
  <c r="AU844" i="1"/>
  <c r="AU843" i="1"/>
  <c r="AU842" i="1"/>
  <c r="AU841" i="1"/>
  <c r="AU840" i="1"/>
  <c r="AU839" i="1"/>
  <c r="AU838" i="1"/>
  <c r="AU837" i="1"/>
  <c r="AU836" i="1"/>
  <c r="AS844" i="1"/>
  <c r="AS843" i="1"/>
  <c r="AS842" i="1"/>
  <c r="AS841" i="1"/>
  <c r="AS840" i="1"/>
  <c r="AS839" i="1"/>
  <c r="AS838" i="1"/>
  <c r="AS837" i="1"/>
  <c r="AS836" i="1"/>
  <c r="AQ844" i="1"/>
  <c r="AQ843" i="1"/>
  <c r="AQ842" i="1"/>
  <c r="AQ841" i="1"/>
  <c r="AQ840" i="1"/>
  <c r="AQ839" i="1"/>
  <c r="AQ838" i="1"/>
  <c r="AQ837" i="1"/>
  <c r="AQ836" i="1"/>
  <c r="AO844" i="1"/>
  <c r="AO843" i="1"/>
  <c r="AO842" i="1"/>
  <c r="AO841" i="1"/>
  <c r="AO840" i="1"/>
  <c r="AO839" i="1"/>
  <c r="AO838" i="1"/>
  <c r="AO837" i="1"/>
  <c r="AO836" i="1"/>
  <c r="AM844" i="1"/>
  <c r="AM843" i="1"/>
  <c r="AM842" i="1"/>
  <c r="AM841" i="1"/>
  <c r="AM840" i="1"/>
  <c r="AM839" i="1"/>
  <c r="AM838" i="1"/>
  <c r="AM837" i="1"/>
  <c r="AM836" i="1"/>
  <c r="AK844" i="1"/>
  <c r="AK843" i="1"/>
  <c r="AK842" i="1"/>
  <c r="AK841" i="1"/>
  <c r="AK840" i="1"/>
  <c r="AK839" i="1"/>
  <c r="AK838" i="1"/>
  <c r="AK837" i="1"/>
  <c r="AK836" i="1"/>
  <c r="AI844" i="1"/>
  <c r="AI843" i="1"/>
  <c r="AI842" i="1"/>
  <c r="AI841" i="1"/>
  <c r="AI840" i="1"/>
  <c r="AI839" i="1"/>
  <c r="AI838" i="1"/>
  <c r="AI837" i="1"/>
  <c r="AI836" i="1"/>
  <c r="AG844" i="1"/>
  <c r="AG843" i="1"/>
  <c r="AG842" i="1"/>
  <c r="AG841" i="1"/>
  <c r="AG840" i="1"/>
  <c r="AG839" i="1"/>
  <c r="AG838" i="1"/>
  <c r="AG837" i="1"/>
  <c r="AG836" i="1"/>
  <c r="AE844" i="1"/>
  <c r="AE843" i="1"/>
  <c r="AE842" i="1"/>
  <c r="AE841" i="1"/>
  <c r="AE840" i="1"/>
  <c r="AE839" i="1"/>
  <c r="AE838" i="1"/>
  <c r="AE837" i="1"/>
  <c r="AE836" i="1"/>
  <c r="AC844" i="1"/>
  <c r="AC843" i="1"/>
  <c r="AC842" i="1"/>
  <c r="AC841" i="1"/>
  <c r="AC840" i="1"/>
  <c r="AC839" i="1"/>
  <c r="AC838" i="1"/>
  <c r="AC837" i="1"/>
  <c r="AC836" i="1"/>
  <c r="AA844" i="1"/>
  <c r="AA843" i="1"/>
  <c r="AA842" i="1"/>
  <c r="AA841" i="1"/>
  <c r="AA840" i="1"/>
  <c r="AA839" i="1"/>
  <c r="AA838" i="1"/>
  <c r="AA837" i="1"/>
  <c r="AA836" i="1"/>
  <c r="Y844" i="1"/>
  <c r="Y843" i="1"/>
  <c r="Y842" i="1"/>
  <c r="Y841" i="1"/>
  <c r="Y840" i="1"/>
  <c r="Y839" i="1"/>
  <c r="Y838" i="1"/>
  <c r="Y837" i="1"/>
  <c r="Y836" i="1"/>
  <c r="W844" i="1"/>
  <c r="W843" i="1"/>
  <c r="W842" i="1"/>
  <c r="W841" i="1"/>
  <c r="W840" i="1"/>
  <c r="W839" i="1"/>
  <c r="W838" i="1"/>
  <c r="W837" i="1"/>
  <c r="W836" i="1"/>
  <c r="U844" i="1"/>
  <c r="U843" i="1"/>
  <c r="U842" i="1"/>
  <c r="U841" i="1"/>
  <c r="U840" i="1"/>
  <c r="U839" i="1"/>
  <c r="U838" i="1"/>
  <c r="U837" i="1"/>
  <c r="U836" i="1"/>
  <c r="S844" i="1"/>
  <c r="S843" i="1"/>
  <c r="S842" i="1"/>
  <c r="S841" i="1"/>
  <c r="S840" i="1"/>
  <c r="S839" i="1"/>
  <c r="S838" i="1"/>
  <c r="S837" i="1"/>
  <c r="S836" i="1"/>
  <c r="Q844" i="1"/>
  <c r="Q843" i="1"/>
  <c r="Q842" i="1"/>
  <c r="Q841" i="1"/>
  <c r="Q840" i="1"/>
  <c r="Q839" i="1"/>
  <c r="Q838" i="1"/>
  <c r="Q837" i="1"/>
  <c r="Q836" i="1"/>
  <c r="O844" i="1"/>
  <c r="O843" i="1"/>
  <c r="O842" i="1"/>
  <c r="O841" i="1"/>
  <c r="O840" i="1"/>
  <c r="O839" i="1"/>
  <c r="O838" i="1"/>
  <c r="O837" i="1"/>
  <c r="O836" i="1"/>
  <c r="M844" i="1"/>
  <c r="M843" i="1"/>
  <c r="M842" i="1"/>
  <c r="M841" i="1"/>
  <c r="M840" i="1"/>
  <c r="M839" i="1"/>
  <c r="M838" i="1"/>
  <c r="M837" i="1"/>
  <c r="M836" i="1"/>
  <c r="K844" i="1"/>
  <c r="K843" i="1"/>
  <c r="K842" i="1"/>
  <c r="K841" i="1"/>
  <c r="K840" i="1"/>
  <c r="K839" i="1"/>
  <c r="K838" i="1"/>
  <c r="K837" i="1"/>
  <c r="K836" i="1"/>
  <c r="BD843" i="1"/>
  <c r="BD846" i="1" s="1"/>
  <c r="BB843" i="1"/>
  <c r="BC843" i="1" s="1"/>
  <c r="AZ843" i="1"/>
  <c r="AZ846" i="1" s="1"/>
  <c r="AX843" i="1"/>
  <c r="AV843" i="1"/>
  <c r="AV846" i="1" s="1"/>
  <c r="CG845" i="1"/>
  <c r="CH845" i="1" s="1"/>
  <c r="CH844" i="1"/>
  <c r="CG844" i="1"/>
  <c r="CG843" i="1"/>
  <c r="CH842" i="1"/>
  <c r="CG842" i="1"/>
  <c r="CG841" i="1"/>
  <c r="CH841" i="1" s="1"/>
  <c r="CG840" i="1"/>
  <c r="CH840" i="1" s="1"/>
  <c r="CG839" i="1"/>
  <c r="CH839" i="1" s="1"/>
  <c r="CH838" i="1"/>
  <c r="CG838" i="1"/>
  <c r="CG859" i="1" s="1"/>
  <c r="CG837" i="1"/>
  <c r="CH837" i="1" s="1"/>
  <c r="CH836" i="1"/>
  <c r="CG836" i="1"/>
  <c r="CC844" i="1"/>
  <c r="CD844" i="1" s="1"/>
  <c r="CA844" i="1"/>
  <c r="BY844" i="1"/>
  <c r="CB844" i="1" s="1"/>
  <c r="BW844" i="1"/>
  <c r="BU844" i="1"/>
  <c r="BX844" i="1" s="1"/>
  <c r="CC843" i="1"/>
  <c r="CA843" i="1"/>
  <c r="CD843" i="1" s="1"/>
  <c r="BY843" i="1"/>
  <c r="BW843" i="1"/>
  <c r="BZ843" i="1" s="1"/>
  <c r="BV843" i="1"/>
  <c r="BU843" i="1"/>
  <c r="CC842" i="1"/>
  <c r="CD842" i="1" s="1"/>
  <c r="CA842" i="1"/>
  <c r="BY842" i="1"/>
  <c r="CB842" i="1" s="1"/>
  <c r="BW842" i="1"/>
  <c r="BU842" i="1"/>
  <c r="BX842" i="1" s="1"/>
  <c r="CC841" i="1"/>
  <c r="CF841" i="1" s="1"/>
  <c r="CA841" i="1"/>
  <c r="CD841" i="1" s="1"/>
  <c r="BY841" i="1"/>
  <c r="BW841" i="1"/>
  <c r="BZ841" i="1" s="1"/>
  <c r="BV841" i="1"/>
  <c r="BU841" i="1"/>
  <c r="CC840" i="1"/>
  <c r="CD840" i="1" s="1"/>
  <c r="CA840" i="1"/>
  <c r="BY840" i="1"/>
  <c r="CB840" i="1" s="1"/>
  <c r="BW840" i="1"/>
  <c r="BU840" i="1"/>
  <c r="BX840" i="1" s="1"/>
  <c r="CC839" i="1"/>
  <c r="CF839" i="1" s="1"/>
  <c r="CA839" i="1"/>
  <c r="CD839" i="1" s="1"/>
  <c r="BY839" i="1"/>
  <c r="BW839" i="1"/>
  <c r="BZ839" i="1" s="1"/>
  <c r="BV839" i="1"/>
  <c r="BU839" i="1"/>
  <c r="CC838" i="1"/>
  <c r="CC859" i="1" s="1"/>
  <c r="CA838" i="1"/>
  <c r="CA859" i="1" s="1"/>
  <c r="BY838" i="1"/>
  <c r="BY859" i="1" s="1"/>
  <c r="BY868" i="1" s="1"/>
  <c r="BW838" i="1"/>
  <c r="BW859" i="1" s="1"/>
  <c r="BU838" i="1"/>
  <c r="BU859" i="1" s="1"/>
  <c r="BV859" i="1" s="1"/>
  <c r="CC837" i="1"/>
  <c r="CF837" i="1" s="1"/>
  <c r="CA837" i="1"/>
  <c r="CD837" i="1" s="1"/>
  <c r="BY837" i="1"/>
  <c r="BZ837" i="1" s="1"/>
  <c r="BW837" i="1"/>
  <c r="BX837" i="1" s="1"/>
  <c r="BU837" i="1"/>
  <c r="BV837" i="1" s="1"/>
  <c r="CC836" i="1"/>
  <c r="CC846" i="1" s="1"/>
  <c r="CA836" i="1"/>
  <c r="BY836" i="1"/>
  <c r="BY846" i="1" s="1"/>
  <c r="BW836" i="1"/>
  <c r="BU836" i="1"/>
  <c r="BV836" i="1" s="1"/>
  <c r="BI845" i="1"/>
  <c r="BG845" i="1"/>
  <c r="BF845" i="1"/>
  <c r="BH845" i="1" s="1"/>
  <c r="BJ845" i="1" s="1"/>
  <c r="BE845" i="1"/>
  <c r="BF844" i="1"/>
  <c r="BG844" i="1" s="1"/>
  <c r="BE844" i="1"/>
  <c r="BF843" i="1"/>
  <c r="BE843" i="1"/>
  <c r="BG842" i="1"/>
  <c r="BF842" i="1"/>
  <c r="BH842" i="1" s="1"/>
  <c r="BI842" i="1" s="1"/>
  <c r="BE842" i="1"/>
  <c r="BF841" i="1"/>
  <c r="BG841" i="1" s="1"/>
  <c r="BE841" i="1"/>
  <c r="BF840" i="1"/>
  <c r="BH840" i="1" s="1"/>
  <c r="BE840" i="1"/>
  <c r="BF839" i="1"/>
  <c r="BG839" i="1" s="1"/>
  <c r="BE839" i="1"/>
  <c r="BG838" i="1"/>
  <c r="BF838" i="1"/>
  <c r="BF859" i="1" s="1"/>
  <c r="BG859" i="1" s="1"/>
  <c r="BE838" i="1"/>
  <c r="BF837" i="1"/>
  <c r="BG837" i="1" s="1"/>
  <c r="BE837" i="1"/>
  <c r="BI836" i="1"/>
  <c r="BH836" i="1"/>
  <c r="BJ836" i="1" s="1"/>
  <c r="BK836" i="1" s="1"/>
  <c r="BG836" i="1"/>
  <c r="BF836" i="1"/>
  <c r="BE836" i="1"/>
  <c r="V827" i="1"/>
  <c r="R827" i="1"/>
  <c r="H821" i="1"/>
  <c r="B821" i="1"/>
  <c r="B827" i="1" s="1"/>
  <c r="AX821" i="1"/>
  <c r="AY821" i="1" s="1"/>
  <c r="AV821" i="1"/>
  <c r="AV827" i="1" s="1"/>
  <c r="AT821" i="1"/>
  <c r="AU821" i="1" s="1"/>
  <c r="AR821" i="1"/>
  <c r="AR827" i="1" s="1"/>
  <c r="AP821" i="1"/>
  <c r="AQ821" i="1" s="1"/>
  <c r="AN821" i="1"/>
  <c r="AN827" i="1" s="1"/>
  <c r="AL821" i="1"/>
  <c r="AM821" i="1" s="1"/>
  <c r="AJ821" i="1"/>
  <c r="AJ827" i="1" s="1"/>
  <c r="AH821" i="1"/>
  <c r="AI821" i="1" s="1"/>
  <c r="AF821" i="1"/>
  <c r="AF827" i="1" s="1"/>
  <c r="AD821" i="1"/>
  <c r="AE821" i="1" s="1"/>
  <c r="AB821" i="1"/>
  <c r="AB827" i="1" s="1"/>
  <c r="Z821" i="1"/>
  <c r="AA821" i="1" s="1"/>
  <c r="X821" i="1"/>
  <c r="X827" i="1" s="1"/>
  <c r="V821" i="1"/>
  <c r="T821" i="1"/>
  <c r="T827" i="1" s="1"/>
  <c r="R821" i="1"/>
  <c r="P821" i="1"/>
  <c r="AX811" i="1"/>
  <c r="AY810" i="1"/>
  <c r="AX810" i="1"/>
  <c r="AX812" i="1" s="1"/>
  <c r="AV810" i="1"/>
  <c r="AV812" i="1" s="1"/>
  <c r="AU810" i="1"/>
  <c r="AT810" i="1"/>
  <c r="AT812" i="1" s="1"/>
  <c r="AU812" i="1" s="1"/>
  <c r="AR810" i="1"/>
  <c r="AR812" i="1" s="1"/>
  <c r="AS812" i="1" s="1"/>
  <c r="AQ810" i="1"/>
  <c r="AP810" i="1"/>
  <c r="AP812" i="1" s="1"/>
  <c r="AN810" i="1"/>
  <c r="AN812" i="1" s="1"/>
  <c r="AM810" i="1"/>
  <c r="AL810" i="1"/>
  <c r="AL812" i="1" s="1"/>
  <c r="AM812" i="1" s="1"/>
  <c r="AJ810" i="1"/>
  <c r="AJ812" i="1" s="1"/>
  <c r="AK812" i="1" s="1"/>
  <c r="AI810" i="1"/>
  <c r="AH810" i="1"/>
  <c r="AH812" i="1" s="1"/>
  <c r="AF810" i="1"/>
  <c r="AF812" i="1" s="1"/>
  <c r="AG812" i="1" s="1"/>
  <c r="AD810" i="1"/>
  <c r="AD812" i="1" s="1"/>
  <c r="AE812" i="1" s="1"/>
  <c r="AB810" i="1"/>
  <c r="AB812" i="1" s="1"/>
  <c r="AC812" i="1" s="1"/>
  <c r="Z810" i="1"/>
  <c r="Z812" i="1" s="1"/>
  <c r="X810" i="1"/>
  <c r="X812" i="1" s="1"/>
  <c r="V810" i="1"/>
  <c r="V812" i="1" s="1"/>
  <c r="W812" i="1" s="1"/>
  <c r="U810" i="1"/>
  <c r="T810" i="1"/>
  <c r="T812" i="1" s="1"/>
  <c r="U812" i="1" s="1"/>
  <c r="R810" i="1"/>
  <c r="R812" i="1" s="1"/>
  <c r="S812" i="1" s="1"/>
  <c r="P810" i="1"/>
  <c r="P812" i="1" s="1"/>
  <c r="H810" i="1"/>
  <c r="H812" i="1" s="1"/>
  <c r="AL805" i="1"/>
  <c r="AJ805" i="1"/>
  <c r="AH805" i="1"/>
  <c r="AI805" i="1" s="1"/>
  <c r="AF805" i="1"/>
  <c r="AM807" i="1"/>
  <c r="AX805" i="1"/>
  <c r="AV805" i="1"/>
  <c r="AT805" i="1"/>
  <c r="AR805" i="1"/>
  <c r="AP805" i="1"/>
  <c r="AN805" i="1"/>
  <c r="V806" i="1"/>
  <c r="W806" i="1" s="1"/>
  <c r="AD805" i="1"/>
  <c r="AB805" i="1"/>
  <c r="AB806" i="1" s="1"/>
  <c r="Z805" i="1"/>
  <c r="Z806" i="1" s="1"/>
  <c r="Z807" i="1" s="1"/>
  <c r="X805" i="1"/>
  <c r="X806" i="1" s="1"/>
  <c r="W805" i="1"/>
  <c r="V805" i="1"/>
  <c r="AE805" i="1" s="1"/>
  <c r="T805" i="1"/>
  <c r="T806" i="1" s="1"/>
  <c r="S805" i="1"/>
  <c r="R805" i="1"/>
  <c r="AA805" i="1" s="1"/>
  <c r="P805" i="1"/>
  <c r="H805" i="1"/>
  <c r="CI800" i="1"/>
  <c r="CG800" i="1"/>
  <c r="BM800" i="1"/>
  <c r="BK800" i="1"/>
  <c r="BI800" i="1"/>
  <c r="BG800" i="1"/>
  <c r="BE800" i="1"/>
  <c r="AQ800" i="1"/>
  <c r="AP800" i="1"/>
  <c r="AY800" i="1" s="1"/>
  <c r="AK800" i="1"/>
  <c r="AI800" i="1"/>
  <c r="AA800" i="1"/>
  <c r="Y800" i="1"/>
  <c r="X800" i="1"/>
  <c r="R800" i="1"/>
  <c r="S800" i="1" s="1"/>
  <c r="CE793" i="1"/>
  <c r="CE821" i="1" s="1"/>
  <c r="CC793" i="1"/>
  <c r="CA793" i="1"/>
  <c r="CA821" i="1" s="1"/>
  <c r="BY793" i="1"/>
  <c r="BW793" i="1"/>
  <c r="BU793" i="1"/>
  <c r="CE792" i="1"/>
  <c r="CC792" i="1"/>
  <c r="CB792" i="1"/>
  <c r="CA792" i="1"/>
  <c r="CA810" i="1" s="1"/>
  <c r="BY792" i="1"/>
  <c r="BW792" i="1"/>
  <c r="BX792" i="1" s="1"/>
  <c r="BV792" i="1"/>
  <c r="BU792" i="1"/>
  <c r="AZ793" i="1"/>
  <c r="AZ821" i="1" s="1"/>
  <c r="AZ827" i="1" s="1"/>
  <c r="BA827" i="1" s="1"/>
  <c r="AY793" i="1"/>
  <c r="AZ792" i="1"/>
  <c r="AZ805" i="1" s="1"/>
  <c r="AY792" i="1"/>
  <c r="AW793" i="1"/>
  <c r="AW792" i="1"/>
  <c r="AU793" i="1"/>
  <c r="AU792" i="1"/>
  <c r="AS793" i="1"/>
  <c r="AS792" i="1"/>
  <c r="AQ793" i="1"/>
  <c r="AQ792" i="1"/>
  <c r="AO793" i="1"/>
  <c r="AO792" i="1"/>
  <c r="AM793" i="1"/>
  <c r="AM792" i="1"/>
  <c r="AK793" i="1"/>
  <c r="AK792" i="1"/>
  <c r="AI793" i="1"/>
  <c r="AI792" i="1"/>
  <c r="AG793" i="1"/>
  <c r="AG792" i="1"/>
  <c r="AE793" i="1"/>
  <c r="AE792" i="1"/>
  <c r="AC793" i="1"/>
  <c r="AC792" i="1"/>
  <c r="AA793" i="1"/>
  <c r="AA792" i="1"/>
  <c r="Y793" i="1"/>
  <c r="Y792" i="1"/>
  <c r="W792" i="1"/>
  <c r="U792" i="1"/>
  <c r="S792" i="1"/>
  <c r="Q793" i="1"/>
  <c r="J793" i="1"/>
  <c r="D793" i="1"/>
  <c r="CE785" i="1"/>
  <c r="BD785" i="1"/>
  <c r="BE785" i="1" s="1"/>
  <c r="BB785" i="1"/>
  <c r="AZ785" i="1"/>
  <c r="AX785" i="1"/>
  <c r="AY785" i="1" s="1"/>
  <c r="AV785" i="1"/>
  <c r="AW785" i="1" s="1"/>
  <c r="AT785" i="1"/>
  <c r="AR785" i="1"/>
  <c r="AP785" i="1"/>
  <c r="AQ785" i="1" s="1"/>
  <c r="AN785" i="1"/>
  <c r="AO785" i="1" s="1"/>
  <c r="AL785" i="1"/>
  <c r="AJ785" i="1"/>
  <c r="AH785" i="1"/>
  <c r="AI785" i="1" s="1"/>
  <c r="AF785" i="1"/>
  <c r="AG785" i="1" s="1"/>
  <c r="AD785" i="1"/>
  <c r="AB785" i="1"/>
  <c r="Z785" i="1"/>
  <c r="AA785" i="1" s="1"/>
  <c r="X785" i="1"/>
  <c r="Y785" i="1" s="1"/>
  <c r="V785" i="1"/>
  <c r="T785" i="1"/>
  <c r="R785" i="1"/>
  <c r="P785" i="1"/>
  <c r="H785" i="1"/>
  <c r="BC785" i="1"/>
  <c r="BA785" i="1"/>
  <c r="AU785" i="1"/>
  <c r="AS785" i="1"/>
  <c r="AM785" i="1"/>
  <c r="AK785" i="1"/>
  <c r="AE785" i="1"/>
  <c r="AC785" i="1"/>
  <c r="Q785" i="1"/>
  <c r="F785" i="1"/>
  <c r="D785" i="1"/>
  <c r="B785" i="1"/>
  <c r="BW785" i="1"/>
  <c r="BU785" i="1"/>
  <c r="N785" i="1"/>
  <c r="L785" i="1"/>
  <c r="U785" i="1" s="1"/>
  <c r="J785" i="1"/>
  <c r="S785" i="1" s="1"/>
  <c r="H770" i="1"/>
  <c r="H786" i="1" s="1"/>
  <c r="H769" i="1"/>
  <c r="H777" i="1" s="1"/>
  <c r="F769" i="1"/>
  <c r="F777" i="1" s="1"/>
  <c r="D769" i="1"/>
  <c r="D777" i="1" s="1"/>
  <c r="B769" i="1"/>
  <c r="B777" i="1" s="1"/>
  <c r="CG769" i="1"/>
  <c r="CC769" i="1"/>
  <c r="BY769" i="1"/>
  <c r="BD769" i="1"/>
  <c r="BD777" i="1" s="1"/>
  <c r="BC769" i="1"/>
  <c r="BB769" i="1"/>
  <c r="BB777" i="1" s="1"/>
  <c r="AZ769" i="1"/>
  <c r="AZ777" i="1" s="1"/>
  <c r="AY769" i="1"/>
  <c r="AX769" i="1"/>
  <c r="AX777" i="1" s="1"/>
  <c r="AV769" i="1"/>
  <c r="AV777" i="1" s="1"/>
  <c r="AU769" i="1"/>
  <c r="AT769" i="1"/>
  <c r="AT777" i="1" s="1"/>
  <c r="AR769" i="1"/>
  <c r="AR777" i="1" s="1"/>
  <c r="AQ769" i="1"/>
  <c r="AP769" i="1"/>
  <c r="AP777" i="1" s="1"/>
  <c r="AN769" i="1"/>
  <c r="AN777" i="1" s="1"/>
  <c r="AM769" i="1"/>
  <c r="AL769" i="1"/>
  <c r="AL777" i="1" s="1"/>
  <c r="AJ769" i="1"/>
  <c r="AJ777" i="1" s="1"/>
  <c r="AI769" i="1"/>
  <c r="AH769" i="1"/>
  <c r="AH777" i="1" s="1"/>
  <c r="AF769" i="1"/>
  <c r="AF777" i="1" s="1"/>
  <c r="AE769" i="1"/>
  <c r="AD769" i="1"/>
  <c r="AD777" i="1" s="1"/>
  <c r="AB769" i="1"/>
  <c r="AB777" i="1" s="1"/>
  <c r="AA769" i="1"/>
  <c r="Z769" i="1"/>
  <c r="Z777" i="1" s="1"/>
  <c r="X769" i="1"/>
  <c r="X777" i="1" s="1"/>
  <c r="W769" i="1"/>
  <c r="V769" i="1"/>
  <c r="V777" i="1" s="1"/>
  <c r="T769" i="1"/>
  <c r="T777" i="1" s="1"/>
  <c r="S769" i="1"/>
  <c r="R769" i="1"/>
  <c r="R777" i="1" s="1"/>
  <c r="P769" i="1"/>
  <c r="P777" i="1" s="1"/>
  <c r="Q777" i="1" s="1"/>
  <c r="O769" i="1"/>
  <c r="N769" i="1"/>
  <c r="N777" i="1" s="1"/>
  <c r="O777" i="1" s="1"/>
  <c r="L769" i="1"/>
  <c r="L777" i="1" s="1"/>
  <c r="M777" i="1" s="1"/>
  <c r="K769" i="1"/>
  <c r="J769" i="1"/>
  <c r="J777" i="1" s="1"/>
  <c r="K777" i="1" s="1"/>
  <c r="BC756" i="1"/>
  <c r="BC753" i="1"/>
  <c r="BA756" i="1"/>
  <c r="BA754" i="1"/>
  <c r="BA753" i="1"/>
  <c r="AY756" i="1"/>
  <c r="AY754" i="1"/>
  <c r="AY753" i="1"/>
  <c r="AW756" i="1"/>
  <c r="AW754" i="1"/>
  <c r="AW753" i="1"/>
  <c r="AU756" i="1"/>
  <c r="AU754" i="1"/>
  <c r="AU753" i="1"/>
  <c r="AS756" i="1"/>
  <c r="AS754" i="1"/>
  <c r="AS753" i="1"/>
  <c r="AQ756" i="1"/>
  <c r="AQ754" i="1"/>
  <c r="AQ753" i="1"/>
  <c r="AO756" i="1"/>
  <c r="AO754" i="1"/>
  <c r="AO753" i="1"/>
  <c r="AM756" i="1"/>
  <c r="AM754" i="1"/>
  <c r="AM753" i="1"/>
  <c r="AK756" i="1"/>
  <c r="AK754" i="1"/>
  <c r="AK753" i="1"/>
  <c r="AI756" i="1"/>
  <c r="AI754" i="1"/>
  <c r="AI753" i="1"/>
  <c r="AG756" i="1"/>
  <c r="AG754" i="1"/>
  <c r="AG753" i="1"/>
  <c r="AE756" i="1"/>
  <c r="AE754" i="1"/>
  <c r="AE753" i="1"/>
  <c r="AC754" i="1"/>
  <c r="AC753" i="1"/>
  <c r="AA754" i="1"/>
  <c r="AA753" i="1"/>
  <c r="Y754" i="1"/>
  <c r="Y753" i="1"/>
  <c r="W754" i="1"/>
  <c r="W753" i="1"/>
  <c r="U756" i="1"/>
  <c r="T756" i="1"/>
  <c r="AC756" i="1" s="1"/>
  <c r="R756" i="1"/>
  <c r="P756" i="1"/>
  <c r="Y756" i="1" s="1"/>
  <c r="N756" i="1"/>
  <c r="O756" i="1" s="1"/>
  <c r="L756" i="1"/>
  <c r="M756" i="1" s="1"/>
  <c r="J756" i="1"/>
  <c r="H756" i="1"/>
  <c r="H759" i="1" s="1"/>
  <c r="F756" i="1"/>
  <c r="F759" i="1" s="1"/>
  <c r="D756" i="1"/>
  <c r="D759" i="1" s="1"/>
  <c r="B756" i="1"/>
  <c r="BD755" i="1"/>
  <c r="BB754" i="1"/>
  <c r="BB755" i="1" s="1"/>
  <c r="AZ755" i="1"/>
  <c r="AX755" i="1"/>
  <c r="AV755" i="1"/>
  <c r="AT755" i="1"/>
  <c r="AR755" i="1"/>
  <c r="AP755" i="1"/>
  <c r="AN755" i="1"/>
  <c r="AL755" i="1"/>
  <c r="AJ755" i="1"/>
  <c r="AH755" i="1"/>
  <c r="AF755" i="1"/>
  <c r="AD755" i="1"/>
  <c r="AB755" i="1"/>
  <c r="AC755" i="1" s="1"/>
  <c r="Z755" i="1"/>
  <c r="AA755" i="1" s="1"/>
  <c r="X755" i="1"/>
  <c r="Y755" i="1" s="1"/>
  <c r="V755" i="1"/>
  <c r="W755" i="1" s="1"/>
  <c r="U755" i="1"/>
  <c r="S755" i="1"/>
  <c r="S754" i="1"/>
  <c r="S753" i="1"/>
  <c r="Q755" i="1"/>
  <c r="Q754" i="1"/>
  <c r="Q753" i="1"/>
  <c r="O755" i="1"/>
  <c r="O754" i="1"/>
  <c r="O753" i="1"/>
  <c r="M755" i="1"/>
  <c r="M754" i="1"/>
  <c r="M753" i="1"/>
  <c r="K755" i="1"/>
  <c r="K754" i="1"/>
  <c r="K753" i="1"/>
  <c r="U754" i="1"/>
  <c r="U753" i="1"/>
  <c r="CG756" i="1"/>
  <c r="CE756" i="1"/>
  <c r="CC756" i="1"/>
  <c r="CA756" i="1"/>
  <c r="CB756" i="1" s="1"/>
  <c r="CG755" i="1"/>
  <c r="CH755" i="1" s="1"/>
  <c r="CE755" i="1"/>
  <c r="CF755" i="1" s="1"/>
  <c r="CC755" i="1"/>
  <c r="CA755" i="1"/>
  <c r="CG754" i="1"/>
  <c r="CH754" i="1" s="1"/>
  <c r="CE754" i="1"/>
  <c r="CF754" i="1" s="1"/>
  <c r="CC754" i="1"/>
  <c r="CA754" i="1"/>
  <c r="CG753" i="1"/>
  <c r="CH753" i="1" s="1"/>
  <c r="CE753" i="1"/>
  <c r="CF753" i="1" s="1"/>
  <c r="CC753" i="1"/>
  <c r="CA753" i="1"/>
  <c r="BY755" i="1"/>
  <c r="BY754" i="1"/>
  <c r="BU754" i="1"/>
  <c r="BV754" i="1" s="1"/>
  <c r="BY753" i="1"/>
  <c r="BZ753" i="1" s="1"/>
  <c r="BW753" i="1"/>
  <c r="BX753" i="1" s="1"/>
  <c r="BU753" i="1"/>
  <c r="BE756" i="1"/>
  <c r="BE755" i="1"/>
  <c r="BE754" i="1"/>
  <c r="BE753" i="1"/>
  <c r="CS746" i="1"/>
  <c r="CS744" i="1"/>
  <c r="CO745" i="1"/>
  <c r="CP745" i="1" s="1"/>
  <c r="CN745" i="1"/>
  <c r="CL744" i="1"/>
  <c r="CH745" i="1"/>
  <c r="CG745" i="1"/>
  <c r="CE745" i="1"/>
  <c r="CF745" i="1" s="1"/>
  <c r="CD745" i="1"/>
  <c r="CC745" i="1"/>
  <c r="CA745" i="1"/>
  <c r="CB745" i="1" s="1"/>
  <c r="BZ745" i="1"/>
  <c r="BY745" i="1"/>
  <c r="BW745" i="1"/>
  <c r="BX745" i="1" s="1"/>
  <c r="BV745" i="1"/>
  <c r="BU745" i="1"/>
  <c r="BM745" i="1"/>
  <c r="BM744" i="1"/>
  <c r="BK745" i="1"/>
  <c r="BK744" i="1"/>
  <c r="BI745" i="1"/>
  <c r="BI744" i="1"/>
  <c r="BG745" i="1"/>
  <c r="BF745" i="1"/>
  <c r="BF874" i="1" s="1"/>
  <c r="BE745" i="1"/>
  <c r="BC745" i="1"/>
  <c r="BC744" i="1"/>
  <c r="BC742" i="1"/>
  <c r="BA745" i="1"/>
  <c r="BA744" i="1"/>
  <c r="BA742" i="1"/>
  <c r="AY745" i="1"/>
  <c r="AY744" i="1"/>
  <c r="AY742" i="1"/>
  <c r="AW745" i="1"/>
  <c r="AW744" i="1"/>
  <c r="AW742" i="1"/>
  <c r="AU745" i="1"/>
  <c r="AU744" i="1"/>
  <c r="AU742" i="1"/>
  <c r="AS745" i="1"/>
  <c r="AS744" i="1"/>
  <c r="AS742" i="1"/>
  <c r="AQ745" i="1"/>
  <c r="AQ744" i="1"/>
  <c r="AO745" i="1"/>
  <c r="AO744" i="1"/>
  <c r="AO742" i="1"/>
  <c r="AM745" i="1"/>
  <c r="AM744" i="1"/>
  <c r="AM742" i="1"/>
  <c r="AK745" i="1"/>
  <c r="AK744" i="1"/>
  <c r="AK742" i="1"/>
  <c r="AI745" i="1"/>
  <c r="AI744" i="1"/>
  <c r="AG745" i="1"/>
  <c r="AG744" i="1"/>
  <c r="AG742" i="1"/>
  <c r="AE745" i="1"/>
  <c r="AE744" i="1"/>
  <c r="AE742" i="1"/>
  <c r="AC745" i="1"/>
  <c r="AC744" i="1"/>
  <c r="AC742" i="1"/>
  <c r="AA745" i="1"/>
  <c r="AA744" i="1"/>
  <c r="Y745" i="1"/>
  <c r="Y744" i="1"/>
  <c r="Y743" i="1"/>
  <c r="Y742" i="1"/>
  <c r="W745" i="1"/>
  <c r="W744" i="1"/>
  <c r="W743" i="1"/>
  <c r="W742" i="1"/>
  <c r="U745" i="1"/>
  <c r="U744" i="1"/>
  <c r="U743" i="1"/>
  <c r="U742" i="1"/>
  <c r="S745" i="1"/>
  <c r="S744" i="1"/>
  <c r="S743" i="1"/>
  <c r="S742" i="1"/>
  <c r="Q745" i="1"/>
  <c r="Q744" i="1"/>
  <c r="O745" i="1"/>
  <c r="O744" i="1"/>
  <c r="M745" i="1"/>
  <c r="M744" i="1"/>
  <c r="K745" i="1"/>
  <c r="K744" i="1"/>
  <c r="CR744" i="1"/>
  <c r="CP744" i="1"/>
  <c r="CN744" i="1"/>
  <c r="CJ744" i="1"/>
  <c r="CH744" i="1"/>
  <c r="CF744" i="1"/>
  <c r="CD744" i="1"/>
  <c r="CB744" i="1"/>
  <c r="BZ744" i="1"/>
  <c r="BZ743" i="1"/>
  <c r="BX744" i="1"/>
  <c r="BX743" i="1"/>
  <c r="BV744" i="1"/>
  <c r="BV743" i="1"/>
  <c r="BG744" i="1"/>
  <c r="BE744" i="1"/>
  <c r="BE742" i="1"/>
  <c r="CG742" i="1"/>
  <c r="CE742" i="1"/>
  <c r="BD743" i="1"/>
  <c r="BE743" i="1" s="1"/>
  <c r="AZ743" i="1"/>
  <c r="BA743" i="1" s="1"/>
  <c r="AX743" i="1"/>
  <c r="AT743" i="1"/>
  <c r="AU743" i="1" s="1"/>
  <c r="AP743" i="1"/>
  <c r="CE743" i="1" s="1"/>
  <c r="CE738" i="1" s="1"/>
  <c r="AN743" i="1"/>
  <c r="AW743" i="1" s="1"/>
  <c r="AL743" i="1"/>
  <c r="AJ743" i="1"/>
  <c r="AS743" i="1" s="1"/>
  <c r="AH742" i="1"/>
  <c r="CC742" i="1" s="1"/>
  <c r="AF743" i="1"/>
  <c r="AG743" i="1" s="1"/>
  <c r="AD743" i="1"/>
  <c r="AE743" i="1" s="1"/>
  <c r="AD742" i="1"/>
  <c r="AB743" i="1"/>
  <c r="AC743" i="1" s="1"/>
  <c r="Z742" i="1"/>
  <c r="AA742" i="1" s="1"/>
  <c r="BY742" i="1"/>
  <c r="BW742" i="1"/>
  <c r="BX742" i="1" s="1"/>
  <c r="BU742" i="1"/>
  <c r="BV742" i="1" s="1"/>
  <c r="Q742" i="1"/>
  <c r="O742" i="1"/>
  <c r="M742" i="1"/>
  <c r="K742" i="1"/>
  <c r="CP739" i="1"/>
  <c r="CN739" i="1"/>
  <c r="CL739" i="1"/>
  <c r="CJ739" i="1"/>
  <c r="CH739" i="1"/>
  <c r="CF739" i="1"/>
  <c r="CD739" i="1"/>
  <c r="CB739" i="1"/>
  <c r="BZ739" i="1"/>
  <c r="BX739" i="1"/>
  <c r="BX738" i="1"/>
  <c r="BV739" i="1"/>
  <c r="BV738" i="1"/>
  <c r="BM739" i="1"/>
  <c r="BK739" i="1"/>
  <c r="BI739" i="1"/>
  <c r="BG739" i="1"/>
  <c r="BE739" i="1"/>
  <c r="BC739" i="1"/>
  <c r="BA739" i="1"/>
  <c r="AY739" i="1"/>
  <c r="AW739" i="1"/>
  <c r="AU739" i="1"/>
  <c r="AS739" i="1"/>
  <c r="AQ739" i="1"/>
  <c r="AO739" i="1"/>
  <c r="AM739" i="1"/>
  <c r="AK739" i="1"/>
  <c r="AI739" i="1"/>
  <c r="AG739" i="1"/>
  <c r="AE739" i="1"/>
  <c r="AC739" i="1"/>
  <c r="AA739" i="1"/>
  <c r="Y739" i="1"/>
  <c r="W739" i="1"/>
  <c r="U739" i="1"/>
  <c r="S739" i="1"/>
  <c r="Q739" i="1"/>
  <c r="Q737" i="1"/>
  <c r="O739" i="1"/>
  <c r="O737" i="1"/>
  <c r="M739" i="1"/>
  <c r="M737" i="1"/>
  <c r="K739" i="1"/>
  <c r="K737" i="1"/>
  <c r="CI737" i="1"/>
  <c r="CK737" i="1" s="1"/>
  <c r="BY738" i="1"/>
  <c r="BZ738" i="1" s="1"/>
  <c r="BD738" i="1"/>
  <c r="BD737" i="1"/>
  <c r="BD740" i="1" s="1"/>
  <c r="BB737" i="1"/>
  <c r="BK737" i="1" s="1"/>
  <c r="AZ738" i="1"/>
  <c r="AZ737" i="1"/>
  <c r="AZ740" i="1" s="1"/>
  <c r="AX738" i="1"/>
  <c r="AX737" i="1"/>
  <c r="BG737" i="1" s="1"/>
  <c r="AV738" i="1"/>
  <c r="AV737" i="1"/>
  <c r="AV740" i="1" s="1"/>
  <c r="AT738" i="1"/>
  <c r="AT737" i="1"/>
  <c r="AR738" i="1"/>
  <c r="AR737" i="1"/>
  <c r="AR740" i="1" s="1"/>
  <c r="AP738" i="1"/>
  <c r="AP737" i="1"/>
  <c r="AN738" i="1"/>
  <c r="AN737" i="1"/>
  <c r="AN740" i="1" s="1"/>
  <c r="AL738" i="1"/>
  <c r="AM738" i="1" s="1"/>
  <c r="AL737" i="1"/>
  <c r="AJ738" i="1"/>
  <c r="AJ737" i="1"/>
  <c r="AJ740" i="1" s="1"/>
  <c r="AH737" i="1"/>
  <c r="AI737" i="1" s="1"/>
  <c r="AF738" i="1"/>
  <c r="AF737" i="1"/>
  <c r="AD738" i="1"/>
  <c r="AD737" i="1"/>
  <c r="AE737" i="1" s="1"/>
  <c r="AB738" i="1"/>
  <c r="AB737" i="1"/>
  <c r="Z737" i="1"/>
  <c r="X738" i="1"/>
  <c r="X737" i="1"/>
  <c r="V738" i="1"/>
  <c r="V737" i="1"/>
  <c r="W737" i="1" s="1"/>
  <c r="T738" i="1"/>
  <c r="U738" i="1" s="1"/>
  <c r="T737" i="1"/>
  <c r="R738" i="1"/>
  <c r="R737" i="1"/>
  <c r="S737" i="1" s="1"/>
  <c r="P738" i="1"/>
  <c r="P740" i="1" s="1"/>
  <c r="N738" i="1"/>
  <c r="N740" i="1" s="1"/>
  <c r="L738" i="1"/>
  <c r="J738" i="1"/>
  <c r="J740" i="1" s="1"/>
  <c r="H738" i="1"/>
  <c r="H740" i="1" s="1"/>
  <c r="F738" i="1"/>
  <c r="F740" i="1" s="1"/>
  <c r="D738" i="1"/>
  <c r="D740" i="1" s="1"/>
  <c r="B738" i="1"/>
  <c r="B740" i="1" s="1"/>
  <c r="CS739" i="1"/>
  <c r="CR739" i="1"/>
  <c r="BW737" i="1"/>
  <c r="BW740" i="1" s="1"/>
  <c r="BU737" i="1"/>
  <c r="BV737" i="1" s="1"/>
  <c r="H734" i="1"/>
  <c r="H751" i="1" s="1"/>
  <c r="F734" i="1"/>
  <c r="D734" i="1"/>
  <c r="D751" i="1" s="1"/>
  <c r="B734" i="1"/>
  <c r="B751" i="1" s="1"/>
  <c r="BE734" i="1"/>
  <c r="BD734" i="1"/>
  <c r="BB734" i="1"/>
  <c r="BC734" i="1" s="1"/>
  <c r="BA734" i="1"/>
  <c r="AZ734" i="1"/>
  <c r="AX734" i="1"/>
  <c r="AY734" i="1" s="1"/>
  <c r="AW734" i="1"/>
  <c r="AV734" i="1"/>
  <c r="AT734" i="1"/>
  <c r="AU734" i="1" s="1"/>
  <c r="AS734" i="1"/>
  <c r="AR734" i="1"/>
  <c r="AP734" i="1"/>
  <c r="AQ734" i="1" s="1"/>
  <c r="AO734" i="1"/>
  <c r="AN734" i="1"/>
  <c r="AL734" i="1"/>
  <c r="AM734" i="1" s="1"/>
  <c r="AK734" i="1"/>
  <c r="AJ734" i="1"/>
  <c r="AH734" i="1"/>
  <c r="AI734" i="1" s="1"/>
  <c r="AG734" i="1"/>
  <c r="AF734" i="1"/>
  <c r="AD734" i="1"/>
  <c r="AE734" i="1" s="1"/>
  <c r="AC734" i="1"/>
  <c r="AB734" i="1"/>
  <c r="Z734" i="1"/>
  <c r="AA734" i="1" s="1"/>
  <c r="Y734" i="1"/>
  <c r="X734" i="1"/>
  <c r="V734" i="1"/>
  <c r="W734" i="1" s="1"/>
  <c r="U734" i="1"/>
  <c r="T734" i="1"/>
  <c r="R734" i="1"/>
  <c r="S734" i="1" s="1"/>
  <c r="Q734" i="1"/>
  <c r="P734" i="1"/>
  <c r="N734" i="1"/>
  <c r="O734" i="1" s="1"/>
  <c r="M734" i="1"/>
  <c r="L734" i="1"/>
  <c r="J734" i="1"/>
  <c r="K734" i="1" s="1"/>
  <c r="CG732" i="1"/>
  <c r="CG734" i="1" s="1"/>
  <c r="CE732" i="1"/>
  <c r="CC732" i="1"/>
  <c r="CC734" i="1" s="1"/>
  <c r="CA732" i="1"/>
  <c r="BY732" i="1"/>
  <c r="BY734" i="1" s="1"/>
  <c r="BW732" i="1"/>
  <c r="BU732" i="1"/>
  <c r="BF732" i="1"/>
  <c r="BH732" i="1" s="1"/>
  <c r="BI732" i="1" s="1"/>
  <c r="BE732" i="1"/>
  <c r="BC732" i="1"/>
  <c r="BA732" i="1"/>
  <c r="AY732" i="1"/>
  <c r="AW732" i="1"/>
  <c r="AU732" i="1"/>
  <c r="AS732" i="1"/>
  <c r="AQ732" i="1"/>
  <c r="AO732" i="1"/>
  <c r="AM732" i="1"/>
  <c r="AK732" i="1"/>
  <c r="AI732" i="1"/>
  <c r="AG732" i="1"/>
  <c r="AE732" i="1"/>
  <c r="AC732" i="1"/>
  <c r="AA732" i="1"/>
  <c r="Y732" i="1"/>
  <c r="W732" i="1"/>
  <c r="U732" i="1"/>
  <c r="S732" i="1"/>
  <c r="Q732" i="1"/>
  <c r="O732" i="1"/>
  <c r="M732" i="1"/>
  <c r="K732" i="1"/>
  <c r="CS707" i="1"/>
  <c r="CS698" i="1"/>
  <c r="CQ701" i="1"/>
  <c r="CQ700" i="1"/>
  <c r="CQ702" i="1" s="1"/>
  <c r="CO701" i="1"/>
  <c r="CO700" i="1"/>
  <c r="CM701" i="1"/>
  <c r="CM700" i="1"/>
  <c r="CM702" i="1" s="1"/>
  <c r="CK701" i="1"/>
  <c r="CK700" i="1"/>
  <c r="BL701" i="1"/>
  <c r="BL700" i="1"/>
  <c r="BL702" i="1" s="1"/>
  <c r="BJ701" i="1"/>
  <c r="BJ700" i="1"/>
  <c r="BH701" i="1"/>
  <c r="BH700" i="1"/>
  <c r="BH702" i="1" s="1"/>
  <c r="BF701" i="1"/>
  <c r="BF700" i="1"/>
  <c r="BD701" i="1"/>
  <c r="BD700" i="1"/>
  <c r="BD702" i="1" s="1"/>
  <c r="AZ701" i="1"/>
  <c r="AZ700" i="1"/>
  <c r="AX701" i="1"/>
  <c r="AX700" i="1"/>
  <c r="AV701" i="1"/>
  <c r="AV700" i="1"/>
  <c r="AT700" i="1"/>
  <c r="AR701" i="1"/>
  <c r="AR700" i="1"/>
  <c r="AP701" i="1"/>
  <c r="AP700" i="1"/>
  <c r="AN701" i="1"/>
  <c r="AN700" i="1"/>
  <c r="AL701" i="1"/>
  <c r="AL700" i="1"/>
  <c r="AJ700" i="1"/>
  <c r="AH700" i="1"/>
  <c r="AF701" i="1"/>
  <c r="AF700" i="1"/>
  <c r="AF702" i="1" s="1"/>
  <c r="AD700" i="1"/>
  <c r="AB701" i="1"/>
  <c r="AB700" i="1"/>
  <c r="AB702" i="1" s="1"/>
  <c r="Z701" i="1"/>
  <c r="Z700" i="1"/>
  <c r="X700" i="1"/>
  <c r="V701" i="1"/>
  <c r="T701" i="1"/>
  <c r="R700" i="1"/>
  <c r="P701" i="1"/>
  <c r="P700" i="1"/>
  <c r="P702" i="1" s="1"/>
  <c r="N701" i="1"/>
  <c r="N700" i="1"/>
  <c r="L701" i="1"/>
  <c r="L700" i="1"/>
  <c r="L702" i="1" s="1"/>
  <c r="J701" i="1"/>
  <c r="J700" i="1"/>
  <c r="H701" i="1"/>
  <c r="H700" i="1"/>
  <c r="H702" i="1" s="1"/>
  <c r="F701" i="1"/>
  <c r="F700" i="1"/>
  <c r="F702" i="1" s="1"/>
  <c r="D701" i="1"/>
  <c r="D700" i="1"/>
  <c r="D702" i="1" s="1"/>
  <c r="B701" i="1"/>
  <c r="B700" i="1"/>
  <c r="B702" i="1" s="1"/>
  <c r="BH692" i="1"/>
  <c r="BJ692" i="1" s="1"/>
  <c r="CP690" i="1"/>
  <c r="CP689" i="1"/>
  <c r="CP685" i="1"/>
  <c r="CN690" i="1"/>
  <c r="CN689" i="1"/>
  <c r="CN685" i="1"/>
  <c r="BM690" i="1"/>
  <c r="BM687" i="1"/>
  <c r="BK690" i="1"/>
  <c r="BK687" i="1"/>
  <c r="BI690" i="1"/>
  <c r="BI687" i="1"/>
  <c r="BG690" i="1"/>
  <c r="BG687" i="1"/>
  <c r="BE690" i="1"/>
  <c r="BE687" i="1"/>
  <c r="BE686" i="1"/>
  <c r="BC690" i="1"/>
  <c r="BC687" i="1"/>
  <c r="BC686" i="1"/>
  <c r="BA690" i="1"/>
  <c r="BA687" i="1"/>
  <c r="BA686" i="1"/>
  <c r="AY690" i="1"/>
  <c r="AY687" i="1"/>
  <c r="AY686" i="1"/>
  <c r="AW690" i="1"/>
  <c r="AW687" i="1"/>
  <c r="AW686" i="1"/>
  <c r="AU690" i="1"/>
  <c r="AU687" i="1"/>
  <c r="AU686" i="1"/>
  <c r="AS690" i="1"/>
  <c r="AS687" i="1"/>
  <c r="AS686" i="1"/>
  <c r="AQ690" i="1"/>
  <c r="AQ687" i="1"/>
  <c r="AQ686" i="1"/>
  <c r="AO690" i="1"/>
  <c r="AO687" i="1"/>
  <c r="AO686" i="1"/>
  <c r="AM690" i="1"/>
  <c r="AM688" i="1"/>
  <c r="AM687" i="1"/>
  <c r="AM686" i="1"/>
  <c r="AK690" i="1"/>
  <c r="AK687" i="1"/>
  <c r="AK686" i="1"/>
  <c r="AI690" i="1"/>
  <c r="AI688" i="1"/>
  <c r="AI687" i="1"/>
  <c r="AI686" i="1"/>
  <c r="AG690" i="1"/>
  <c r="AG687" i="1"/>
  <c r="AG686" i="1"/>
  <c r="AE690" i="1"/>
  <c r="AE688" i="1"/>
  <c r="AE687" i="1"/>
  <c r="AE686" i="1"/>
  <c r="AC690" i="1"/>
  <c r="AC687" i="1"/>
  <c r="AC686" i="1"/>
  <c r="AA690" i="1"/>
  <c r="AA688" i="1"/>
  <c r="AA687" i="1"/>
  <c r="AA686" i="1"/>
  <c r="Y690" i="1"/>
  <c r="Y688" i="1"/>
  <c r="Y687" i="1"/>
  <c r="Y686" i="1"/>
  <c r="W690" i="1"/>
  <c r="W688" i="1"/>
  <c r="W687" i="1"/>
  <c r="W686" i="1"/>
  <c r="U690" i="1"/>
  <c r="U688" i="1"/>
  <c r="U687" i="1"/>
  <c r="U686" i="1"/>
  <c r="S690" i="1"/>
  <c r="S688" i="1"/>
  <c r="S687" i="1"/>
  <c r="S686" i="1"/>
  <c r="Q690" i="1"/>
  <c r="Q687" i="1"/>
  <c r="Q686" i="1"/>
  <c r="O690" i="1"/>
  <c r="O687" i="1"/>
  <c r="O686" i="1"/>
  <c r="M690" i="1"/>
  <c r="M687" i="1"/>
  <c r="M686" i="1"/>
  <c r="K690" i="1"/>
  <c r="K687" i="1"/>
  <c r="K686" i="1"/>
  <c r="CJ690" i="1"/>
  <c r="CI690" i="1"/>
  <c r="CL690" i="1" s="1"/>
  <c r="CG690" i="1"/>
  <c r="CH690" i="1" s="1"/>
  <c r="CF690" i="1"/>
  <c r="CE690" i="1"/>
  <c r="CC690" i="1"/>
  <c r="CD690" i="1" s="1"/>
  <c r="CB690" i="1"/>
  <c r="CA690" i="1"/>
  <c r="BY690" i="1"/>
  <c r="BZ690" i="1" s="1"/>
  <c r="BX690" i="1"/>
  <c r="BW690" i="1"/>
  <c r="BU690" i="1"/>
  <c r="BV690" i="1" s="1"/>
  <c r="BD688" i="1"/>
  <c r="BM688" i="1" s="1"/>
  <c r="BB688" i="1"/>
  <c r="BK688" i="1" s="1"/>
  <c r="AZ688" i="1"/>
  <c r="BI688" i="1" s="1"/>
  <c r="AX688" i="1"/>
  <c r="BG688" i="1" s="1"/>
  <c r="AV688" i="1"/>
  <c r="AW688" i="1" s="1"/>
  <c r="AT688" i="1"/>
  <c r="AU688" i="1" s="1"/>
  <c r="AR688" i="1"/>
  <c r="AS688" i="1" s="1"/>
  <c r="AP688" i="1"/>
  <c r="AQ688" i="1" s="1"/>
  <c r="AN688" i="1"/>
  <c r="AO688" i="1" s="1"/>
  <c r="AL688" i="1"/>
  <c r="AJ688" i="1"/>
  <c r="AK688" i="1" s="1"/>
  <c r="AH688" i="1"/>
  <c r="AF688" i="1"/>
  <c r="AG688" i="1" s="1"/>
  <c r="AD688" i="1"/>
  <c r="AB688" i="1"/>
  <c r="AC688" i="1" s="1"/>
  <c r="Z688" i="1"/>
  <c r="X688" i="1"/>
  <c r="R689" i="1"/>
  <c r="P689" i="1"/>
  <c r="N689" i="1"/>
  <c r="L689" i="1"/>
  <c r="J689" i="1"/>
  <c r="H688" i="1"/>
  <c r="Q688" i="1" s="1"/>
  <c r="F688" i="1"/>
  <c r="O688" i="1" s="1"/>
  <c r="D688" i="1"/>
  <c r="M688" i="1" s="1"/>
  <c r="B688" i="1"/>
  <c r="K688" i="1" s="1"/>
  <c r="CI688" i="1"/>
  <c r="CG688" i="1"/>
  <c r="CH688" i="1" s="1"/>
  <c r="CE688" i="1"/>
  <c r="CF688" i="1" s="1"/>
  <c r="CC688" i="1"/>
  <c r="CA688" i="1"/>
  <c r="BY688" i="1"/>
  <c r="BZ688" i="1" s="1"/>
  <c r="BW688" i="1"/>
  <c r="BX688" i="1" s="1"/>
  <c r="BU688" i="1"/>
  <c r="BV688" i="1" s="1"/>
  <c r="CI687" i="1"/>
  <c r="CK687" i="1" s="1"/>
  <c r="CG687" i="1"/>
  <c r="CE687" i="1"/>
  <c r="CF687" i="1" s="1"/>
  <c r="CC687" i="1"/>
  <c r="CA687" i="1"/>
  <c r="CB687" i="1" s="1"/>
  <c r="BY687" i="1"/>
  <c r="BW687" i="1"/>
  <c r="BX687" i="1" s="1"/>
  <c r="BV687" i="1"/>
  <c r="BU687" i="1"/>
  <c r="CG686" i="1"/>
  <c r="CE686" i="1"/>
  <c r="CF686" i="1" s="1"/>
  <c r="CC686" i="1"/>
  <c r="CA686" i="1"/>
  <c r="CB686" i="1" s="1"/>
  <c r="BY686" i="1"/>
  <c r="BW686" i="1"/>
  <c r="BX686" i="1" s="1"/>
  <c r="BU686" i="1"/>
  <c r="BL685" i="1"/>
  <c r="BJ685" i="1"/>
  <c r="CS690" i="1"/>
  <c r="CR690" i="1"/>
  <c r="CR689" i="1"/>
  <c r="CR685" i="1"/>
  <c r="CS678" i="1"/>
  <c r="BM678" i="1"/>
  <c r="BK678" i="1"/>
  <c r="BI678" i="1"/>
  <c r="BG678" i="1"/>
  <c r="BE678" i="1"/>
  <c r="BC678" i="1"/>
  <c r="BA678" i="1"/>
  <c r="AY678" i="1"/>
  <c r="AW678" i="1"/>
  <c r="AU678" i="1"/>
  <c r="AS678" i="1"/>
  <c r="AQ678" i="1"/>
  <c r="AO678" i="1"/>
  <c r="AM678" i="1"/>
  <c r="AK678" i="1"/>
  <c r="AI678" i="1"/>
  <c r="AG678" i="1"/>
  <c r="AE678" i="1"/>
  <c r="AC678" i="1"/>
  <c r="AA678" i="1"/>
  <c r="Y678" i="1"/>
  <c r="W678" i="1"/>
  <c r="U678" i="1"/>
  <c r="S678" i="1"/>
  <c r="Q678" i="1"/>
  <c r="O678" i="1"/>
  <c r="M678" i="1"/>
  <c r="K678" i="1"/>
  <c r="BS674" i="1"/>
  <c r="BQ674" i="1"/>
  <c r="BL671" i="1"/>
  <c r="BL665" i="1"/>
  <c r="BJ671" i="1"/>
  <c r="BJ665" i="1"/>
  <c r="BH671" i="1"/>
  <c r="BH665" i="1"/>
  <c r="BF671" i="1"/>
  <c r="BF665" i="1"/>
  <c r="BD671" i="1"/>
  <c r="BD665" i="1"/>
  <c r="BB671" i="1"/>
  <c r="BB665" i="1"/>
  <c r="AZ671" i="1"/>
  <c r="AZ665" i="1"/>
  <c r="AX671" i="1"/>
  <c r="AX665" i="1"/>
  <c r="AV671" i="1"/>
  <c r="AV665" i="1"/>
  <c r="AT665" i="1"/>
  <c r="AR665" i="1"/>
  <c r="AP665" i="1"/>
  <c r="CR671" i="1"/>
  <c r="CQ671" i="1"/>
  <c r="CO671" i="1"/>
  <c r="CN671" i="1"/>
  <c r="CM671" i="1"/>
  <c r="CP671" i="1" s="1"/>
  <c r="CL671" i="1"/>
  <c r="CK671" i="1"/>
  <c r="CJ671" i="1"/>
  <c r="CI671" i="1"/>
  <c r="CG671" i="1"/>
  <c r="CQ665" i="1"/>
  <c r="CR665" i="1" s="1"/>
  <c r="CO665" i="1"/>
  <c r="CP665" i="1" s="1"/>
  <c r="CM665" i="1"/>
  <c r="CN665" i="1" s="1"/>
  <c r="CK665" i="1"/>
  <c r="CL665" i="1" s="1"/>
  <c r="CI665" i="1"/>
  <c r="CJ665" i="1" s="1"/>
  <c r="CG665" i="1"/>
  <c r="CS660" i="1"/>
  <c r="BM660" i="1"/>
  <c r="BK660" i="1"/>
  <c r="BI660" i="1"/>
  <c r="BG660" i="1"/>
  <c r="BE660" i="1"/>
  <c r="BC660" i="1"/>
  <c r="BA660" i="1"/>
  <c r="AY660" i="1"/>
  <c r="AW660" i="1"/>
  <c r="AU660" i="1"/>
  <c r="AS660" i="1"/>
  <c r="AQ660" i="1"/>
  <c r="AO660" i="1"/>
  <c r="AM660" i="1"/>
  <c r="AK660" i="1"/>
  <c r="AI660" i="1"/>
  <c r="AG660" i="1"/>
  <c r="AE660" i="1"/>
  <c r="AC660" i="1"/>
  <c r="AA660" i="1"/>
  <c r="Y660" i="1"/>
  <c r="W660" i="1"/>
  <c r="U660" i="1"/>
  <c r="S660" i="1"/>
  <c r="Q660" i="1"/>
  <c r="O660" i="1"/>
  <c r="M660" i="1"/>
  <c r="K660" i="1"/>
  <c r="BL655" i="1"/>
  <c r="BL649" i="1"/>
  <c r="BJ655" i="1"/>
  <c r="BJ649" i="1"/>
  <c r="BH655" i="1"/>
  <c r="BH649" i="1"/>
  <c r="BF655" i="1"/>
  <c r="BF649" i="1"/>
  <c r="BD655" i="1"/>
  <c r="BD649" i="1"/>
  <c r="BB655" i="1"/>
  <c r="BB649" i="1"/>
  <c r="AZ655" i="1"/>
  <c r="AZ649" i="1"/>
  <c r="AX655" i="1"/>
  <c r="AX649" i="1"/>
  <c r="AV655" i="1"/>
  <c r="AV649" i="1"/>
  <c r="AT649" i="1"/>
  <c r="AR649" i="1"/>
  <c r="AP649" i="1"/>
  <c r="R657" i="1"/>
  <c r="P657" i="1"/>
  <c r="N657" i="1"/>
  <c r="L657" i="1"/>
  <c r="M657" i="1" s="1"/>
  <c r="J657" i="1"/>
  <c r="F657" i="1"/>
  <c r="D657" i="1"/>
  <c r="B657" i="1"/>
  <c r="BS657" i="1"/>
  <c r="BS655" i="1"/>
  <c r="BQ657" i="1"/>
  <c r="BQ655" i="1"/>
  <c r="CQ655" i="1"/>
  <c r="CO655" i="1"/>
  <c r="CP655" i="1" s="1"/>
  <c r="CM655" i="1"/>
  <c r="CK655" i="1"/>
  <c r="CI655" i="1"/>
  <c r="CG655" i="1"/>
  <c r="CQ649" i="1"/>
  <c r="CO649" i="1"/>
  <c r="CM649" i="1"/>
  <c r="CN649" i="1" s="1"/>
  <c r="CK649" i="1"/>
  <c r="CI649" i="1"/>
  <c r="CG649" i="1"/>
  <c r="BL643" i="1"/>
  <c r="CI643" i="1" s="1"/>
  <c r="BJ643" i="1"/>
  <c r="BH643" i="1"/>
  <c r="BF643" i="1"/>
  <c r="BB643" i="1"/>
  <c r="AZ643" i="1"/>
  <c r="AX643" i="1"/>
  <c r="AV643" i="1"/>
  <c r="AU643" i="1"/>
  <c r="AT643" i="1"/>
  <c r="AR643" i="1"/>
  <c r="AS643" i="1" s="1"/>
  <c r="AQ643" i="1"/>
  <c r="AP643" i="1"/>
  <c r="AN643" i="1"/>
  <c r="AO643" i="1" s="1"/>
  <c r="AM643" i="1"/>
  <c r="AL643" i="1"/>
  <c r="AJ643" i="1"/>
  <c r="AK643" i="1" s="1"/>
  <c r="AI643" i="1"/>
  <c r="AH643" i="1"/>
  <c r="AF643" i="1"/>
  <c r="AG643" i="1" s="1"/>
  <c r="AE643" i="1"/>
  <c r="AD643" i="1"/>
  <c r="AB643" i="1"/>
  <c r="AC643" i="1" s="1"/>
  <c r="AA643" i="1"/>
  <c r="Z643" i="1"/>
  <c r="AU642" i="1"/>
  <c r="AU641" i="1"/>
  <c r="AS642" i="1"/>
  <c r="AS641" i="1"/>
  <c r="AQ642" i="1"/>
  <c r="AQ641" i="1"/>
  <c r="AO642" i="1"/>
  <c r="AO641" i="1"/>
  <c r="AM642" i="1"/>
  <c r="AM641" i="1"/>
  <c r="AK642" i="1"/>
  <c r="AK641" i="1"/>
  <c r="AI642" i="1"/>
  <c r="AI641" i="1"/>
  <c r="AG642" i="1"/>
  <c r="AG641" i="1"/>
  <c r="AE642" i="1"/>
  <c r="AE641" i="1"/>
  <c r="AC642" i="1"/>
  <c r="AC641" i="1"/>
  <c r="AA642" i="1"/>
  <c r="AA641" i="1"/>
  <c r="CG643" i="1"/>
  <c r="CH643" i="1" s="1"/>
  <c r="CE643" i="1"/>
  <c r="CF643" i="1" s="1"/>
  <c r="CC643" i="1"/>
  <c r="CA643" i="1"/>
  <c r="CB643" i="1" s="1"/>
  <c r="CJ642" i="1"/>
  <c r="CI642" i="1"/>
  <c r="CK642" i="1" s="1"/>
  <c r="CG642" i="1"/>
  <c r="CH642" i="1" s="1"/>
  <c r="CF642" i="1"/>
  <c r="CE642" i="1"/>
  <c r="CC642" i="1"/>
  <c r="CD642" i="1" s="1"/>
  <c r="CB642" i="1"/>
  <c r="CA642" i="1"/>
  <c r="CI641" i="1"/>
  <c r="CK641" i="1" s="1"/>
  <c r="CG641" i="1"/>
  <c r="CE641" i="1"/>
  <c r="CF641" i="1" s="1"/>
  <c r="CC641" i="1"/>
  <c r="CD641" i="1" s="1"/>
  <c r="CA641" i="1"/>
  <c r="CB641" i="1" s="1"/>
  <c r="H636" i="1"/>
  <c r="H657" i="1" s="1"/>
  <c r="AZ637" i="1"/>
  <c r="BB637" i="1" s="1"/>
  <c r="AY637" i="1"/>
  <c r="AW637" i="1"/>
  <c r="AU637" i="1"/>
  <c r="AS637" i="1"/>
  <c r="AQ637" i="1"/>
  <c r="AO637" i="1"/>
  <c r="AM637" i="1"/>
  <c r="AK637" i="1"/>
  <c r="AI637" i="1"/>
  <c r="AG637" i="1"/>
  <c r="AE637" i="1"/>
  <c r="AC637" i="1"/>
  <c r="Q636" i="1"/>
  <c r="O636" i="1"/>
  <c r="M636" i="1"/>
  <c r="K636" i="1"/>
  <c r="BW636" i="1"/>
  <c r="BW657" i="1" s="1"/>
  <c r="BU636" i="1"/>
  <c r="BU657" i="1" s="1"/>
  <c r="BH637" i="1"/>
  <c r="BJ637" i="1" s="1"/>
  <c r="BL637" i="1" s="1"/>
  <c r="BG637" i="1"/>
  <c r="S636" i="1"/>
  <c r="H629" i="1"/>
  <c r="H628" i="1"/>
  <c r="F629" i="1"/>
  <c r="F628" i="1"/>
  <c r="D629" i="1"/>
  <c r="D628" i="1"/>
  <c r="B629" i="1"/>
  <c r="B628" i="1"/>
  <c r="BB629" i="1"/>
  <c r="BC629" i="1" s="1"/>
  <c r="AZ629" i="1"/>
  <c r="AY629" i="1"/>
  <c r="AX629" i="1"/>
  <c r="AV629" i="1"/>
  <c r="AT629" i="1"/>
  <c r="AU629" i="1" s="1"/>
  <c r="AR629" i="1"/>
  <c r="BA629" i="1" s="1"/>
  <c r="AP629" i="1"/>
  <c r="AN629" i="1"/>
  <c r="AW629" i="1" s="1"/>
  <c r="AM629" i="1"/>
  <c r="AL629" i="1"/>
  <c r="AJ629" i="1"/>
  <c r="AH629" i="1"/>
  <c r="AQ629" i="1" s="1"/>
  <c r="AF629" i="1"/>
  <c r="AG629" i="1" s="1"/>
  <c r="AD629" i="1"/>
  <c r="AE629" i="1" s="1"/>
  <c r="AB629" i="1"/>
  <c r="AC629" i="1" s="1"/>
  <c r="AA629" i="1"/>
  <c r="Z629" i="1"/>
  <c r="X629" i="1"/>
  <c r="V629" i="1"/>
  <c r="W629" i="1" s="1"/>
  <c r="T629" i="1"/>
  <c r="R629" i="1"/>
  <c r="S629" i="1" s="1"/>
  <c r="P629" i="1"/>
  <c r="Q629" i="1" s="1"/>
  <c r="N629" i="1"/>
  <c r="O629" i="1" s="1"/>
  <c r="L629" i="1"/>
  <c r="M629" i="1" s="1"/>
  <c r="K629" i="1"/>
  <c r="J629" i="1"/>
  <c r="BB628" i="1"/>
  <c r="BC628" i="1" s="1"/>
  <c r="AZ628" i="1"/>
  <c r="BA628" i="1" s="1"/>
  <c r="AX628" i="1"/>
  <c r="AY628" i="1" s="1"/>
  <c r="AV628" i="1"/>
  <c r="AT628" i="1"/>
  <c r="AR628" i="1"/>
  <c r="AP628" i="1"/>
  <c r="H623" i="1"/>
  <c r="H627" i="1" s="1"/>
  <c r="F623" i="1"/>
  <c r="D623" i="1"/>
  <c r="B623" i="1"/>
  <c r="BD623" i="1"/>
  <c r="BD627" i="1" s="1"/>
  <c r="BB623" i="1"/>
  <c r="BB627" i="1" s="1"/>
  <c r="AZ623" i="1"/>
  <c r="AZ627" i="1" s="1"/>
  <c r="AX623" i="1"/>
  <c r="AX627" i="1" s="1"/>
  <c r="AV623" i="1"/>
  <c r="AV627" i="1" s="1"/>
  <c r="H618" i="1"/>
  <c r="F618" i="1"/>
  <c r="D618" i="1"/>
  <c r="B618" i="1"/>
  <c r="BD620" i="1"/>
  <c r="BB620" i="1"/>
  <c r="AZ620" i="1"/>
  <c r="AX620" i="1"/>
  <c r="AV620" i="1"/>
  <c r="BS613" i="1"/>
  <c r="BS671" i="1" s="1"/>
  <c r="BS944" i="1" s="1"/>
  <c r="BQ613" i="1"/>
  <c r="BQ671" i="1" s="1"/>
  <c r="BQ944" i="1" s="1"/>
  <c r="AW612" i="1"/>
  <c r="CE612" i="1"/>
  <c r="CC612" i="1"/>
  <c r="CA612" i="1"/>
  <c r="BY612" i="1"/>
  <c r="BZ612" i="1" s="1"/>
  <c r="BW612" i="1"/>
  <c r="BU612" i="1"/>
  <c r="BV612" i="1" s="1"/>
  <c r="AU612" i="1"/>
  <c r="AS612" i="1"/>
  <c r="AQ612" i="1"/>
  <c r="AO612" i="1"/>
  <c r="AM612" i="1"/>
  <c r="AK612" i="1"/>
  <c r="AI612" i="1"/>
  <c r="AG612" i="1"/>
  <c r="AE612" i="1"/>
  <c r="AC612" i="1"/>
  <c r="AA612" i="1"/>
  <c r="Y612" i="1"/>
  <c r="W612" i="1"/>
  <c r="U612" i="1"/>
  <c r="S612" i="1"/>
  <c r="Q612" i="1"/>
  <c r="O612" i="1"/>
  <c r="M612" i="1"/>
  <c r="K612" i="1"/>
  <c r="AW607" i="1"/>
  <c r="AW606" i="1"/>
  <c r="H608" i="1"/>
  <c r="F608" i="1"/>
  <c r="D608" i="1"/>
  <c r="B608" i="1"/>
  <c r="BW607" i="1"/>
  <c r="BW606" i="1"/>
  <c r="AU607" i="1"/>
  <c r="AU606" i="1"/>
  <c r="AS607" i="1"/>
  <c r="AS606" i="1"/>
  <c r="AQ607" i="1"/>
  <c r="AQ606" i="1"/>
  <c r="AO607" i="1"/>
  <c r="AO606" i="1"/>
  <c r="AM607" i="1"/>
  <c r="AM606" i="1"/>
  <c r="AK607" i="1"/>
  <c r="AK606" i="1"/>
  <c r="AI607" i="1"/>
  <c r="AI606" i="1"/>
  <c r="AG607" i="1"/>
  <c r="AG606" i="1"/>
  <c r="AE607" i="1"/>
  <c r="AE606" i="1"/>
  <c r="AC607" i="1"/>
  <c r="AC606" i="1"/>
  <c r="AA607" i="1"/>
  <c r="AA606" i="1"/>
  <c r="Y607" i="1"/>
  <c r="Y606" i="1"/>
  <c r="W607" i="1"/>
  <c r="W606" i="1"/>
  <c r="U607" i="1"/>
  <c r="U606" i="1"/>
  <c r="BX606" i="1"/>
  <c r="S606" i="1"/>
  <c r="Q606" i="1"/>
  <c r="O606" i="1"/>
  <c r="M606" i="1"/>
  <c r="K606" i="1"/>
  <c r="BV606" i="1"/>
  <c r="BU606" i="1"/>
  <c r="BU605" i="1"/>
  <c r="BU608" i="1" s="1"/>
  <c r="BV608" i="1" s="1"/>
  <c r="AN605" i="1"/>
  <c r="AO605" i="1" s="1"/>
  <c r="AL605" i="1"/>
  <c r="AU605" i="1" s="1"/>
  <c r="AJ605" i="1"/>
  <c r="AS605" i="1" s="1"/>
  <c r="AH605" i="1"/>
  <c r="AH628" i="1" s="1"/>
  <c r="AF605" i="1"/>
  <c r="AG605" i="1" s="1"/>
  <c r="AD605" i="1"/>
  <c r="AD628" i="1" s="1"/>
  <c r="AB605" i="1"/>
  <c r="AC605" i="1" s="1"/>
  <c r="Z605" i="1"/>
  <c r="Z628" i="1" s="1"/>
  <c r="X605" i="1"/>
  <c r="Y605" i="1" s="1"/>
  <c r="V605" i="1"/>
  <c r="V628" i="1" s="1"/>
  <c r="T605" i="1"/>
  <c r="U605" i="1" s="1"/>
  <c r="R605" i="1"/>
  <c r="R628" i="1" s="1"/>
  <c r="P605" i="1"/>
  <c r="Q605" i="1" s="1"/>
  <c r="N605" i="1"/>
  <c r="N628" i="1" s="1"/>
  <c r="O628" i="1" s="1"/>
  <c r="L605" i="1"/>
  <c r="M605" i="1" s="1"/>
  <c r="J605" i="1"/>
  <c r="J628" i="1" s="1"/>
  <c r="K628" i="1" s="1"/>
  <c r="CE607" i="1"/>
  <c r="CC607" i="1"/>
  <c r="CA607" i="1"/>
  <c r="BY607" i="1"/>
  <c r="BZ607" i="1" s="1"/>
  <c r="CE606" i="1"/>
  <c r="CC606" i="1"/>
  <c r="CD606" i="1" s="1"/>
  <c r="CA606" i="1"/>
  <c r="CB606" i="1" s="1"/>
  <c r="BY606" i="1"/>
  <c r="BZ606" i="1" s="1"/>
  <c r="CE605" i="1"/>
  <c r="CC605" i="1"/>
  <c r="BY605" i="1"/>
  <c r="AT604" i="1"/>
  <c r="AT623" i="1" s="1"/>
  <c r="AR604" i="1"/>
  <c r="AR608" i="1" s="1"/>
  <c r="AW597" i="1"/>
  <c r="BU598" i="1"/>
  <c r="BU597" i="1"/>
  <c r="BU596" i="1"/>
  <c r="BU599" i="1" s="1"/>
  <c r="BU601" i="1" s="1"/>
  <c r="H599" i="1"/>
  <c r="H601" i="1" s="1"/>
  <c r="H610" i="1" s="1"/>
  <c r="F599" i="1"/>
  <c r="F601" i="1" s="1"/>
  <c r="F610" i="1" s="1"/>
  <c r="D599" i="1"/>
  <c r="D601" i="1" s="1"/>
  <c r="D610" i="1" s="1"/>
  <c r="B599" i="1"/>
  <c r="B601" i="1" s="1"/>
  <c r="B610" i="1" s="1"/>
  <c r="AT600" i="1"/>
  <c r="AR600" i="1"/>
  <c r="AU598" i="1"/>
  <c r="AT598" i="1"/>
  <c r="AT620" i="1" s="1"/>
  <c r="AS598" i="1"/>
  <c r="AR598" i="1"/>
  <c r="AR620" i="1" s="1"/>
  <c r="AQ598" i="1"/>
  <c r="AP598" i="1"/>
  <c r="AP620" i="1" s="1"/>
  <c r="AO598" i="1"/>
  <c r="AN598" i="1"/>
  <c r="AW598" i="1" s="1"/>
  <c r="AM598" i="1"/>
  <c r="AL598" i="1"/>
  <c r="AL620" i="1" s="1"/>
  <c r="AK598" i="1"/>
  <c r="AJ598" i="1"/>
  <c r="AJ620" i="1" s="1"/>
  <c r="AI598" i="1"/>
  <c r="AH598" i="1"/>
  <c r="AH620" i="1" s="1"/>
  <c r="AG598" i="1"/>
  <c r="AF598" i="1"/>
  <c r="AF620" i="1" s="1"/>
  <c r="AE598" i="1"/>
  <c r="AD598" i="1"/>
  <c r="AD620" i="1" s="1"/>
  <c r="AC598" i="1"/>
  <c r="AB598" i="1"/>
  <c r="AB620" i="1" s="1"/>
  <c r="AA598" i="1"/>
  <c r="Z598" i="1"/>
  <c r="Z620" i="1" s="1"/>
  <c r="Y598" i="1"/>
  <c r="X598" i="1"/>
  <c r="X620" i="1" s="1"/>
  <c r="W598" i="1"/>
  <c r="V598" i="1"/>
  <c r="V620" i="1" s="1"/>
  <c r="U598" i="1"/>
  <c r="T598" i="1"/>
  <c r="T620" i="1" s="1"/>
  <c r="S598" i="1"/>
  <c r="R598" i="1"/>
  <c r="R620" i="1" s="1"/>
  <c r="Q598" i="1"/>
  <c r="P598" i="1"/>
  <c r="O598" i="1"/>
  <c r="N598" i="1"/>
  <c r="M598" i="1"/>
  <c r="L598" i="1"/>
  <c r="K598" i="1"/>
  <c r="J598" i="1"/>
  <c r="AU597" i="1"/>
  <c r="AS597" i="1"/>
  <c r="AQ597" i="1"/>
  <c r="AO597" i="1"/>
  <c r="AM597" i="1"/>
  <c r="AK597" i="1"/>
  <c r="AI597" i="1"/>
  <c r="AG597" i="1"/>
  <c r="AE597" i="1"/>
  <c r="AC597" i="1"/>
  <c r="AA597" i="1"/>
  <c r="Y597" i="1"/>
  <c r="W597" i="1"/>
  <c r="U597" i="1"/>
  <c r="S597" i="1"/>
  <c r="Q597" i="1"/>
  <c r="O597" i="1"/>
  <c r="M597" i="1"/>
  <c r="K597" i="1"/>
  <c r="BV600" i="1"/>
  <c r="CE598" i="1"/>
  <c r="CC598" i="1"/>
  <c r="CD598" i="1" s="1"/>
  <c r="CA598" i="1"/>
  <c r="CB598" i="1" s="1"/>
  <c r="BY598" i="1"/>
  <c r="BZ598" i="1" s="1"/>
  <c r="BW598" i="1"/>
  <c r="BX598" i="1" s="1"/>
  <c r="BV598" i="1"/>
  <c r="CE597" i="1"/>
  <c r="CC597" i="1"/>
  <c r="CD597" i="1" s="1"/>
  <c r="CA597" i="1"/>
  <c r="BY597" i="1"/>
  <c r="BZ597" i="1" s="1"/>
  <c r="BW597" i="1"/>
  <c r="BX597" i="1" s="1"/>
  <c r="BV597" i="1"/>
  <c r="BV596" i="1"/>
  <c r="AT596" i="1"/>
  <c r="AT599" i="1" s="1"/>
  <c r="AR596" i="1"/>
  <c r="AR599" i="1" s="1"/>
  <c r="AP595" i="1"/>
  <c r="AP604" i="1" s="1"/>
  <c r="AP594" i="1"/>
  <c r="AP596" i="1" s="1"/>
  <c r="AN595" i="1"/>
  <c r="AN604" i="1" s="1"/>
  <c r="AN594" i="1"/>
  <c r="AN596" i="1" s="1"/>
  <c r="AL596" i="1"/>
  <c r="AL599" i="1" s="1"/>
  <c r="AL595" i="1"/>
  <c r="AL604" i="1" s="1"/>
  <c r="AL594" i="1"/>
  <c r="AL948" i="1" s="1"/>
  <c r="AJ595" i="1"/>
  <c r="AJ604" i="1" s="1"/>
  <c r="AJ594" i="1"/>
  <c r="AJ948" i="1" s="1"/>
  <c r="AH595" i="1"/>
  <c r="AH604" i="1" s="1"/>
  <c r="AH594" i="1"/>
  <c r="AH948" i="1" s="1"/>
  <c r="AF595" i="1"/>
  <c r="AF604" i="1" s="1"/>
  <c r="AF594" i="1"/>
  <c r="AF948" i="1" s="1"/>
  <c r="AD596" i="1"/>
  <c r="AD599" i="1" s="1"/>
  <c r="AD595" i="1"/>
  <c r="AD604" i="1" s="1"/>
  <c r="AD594" i="1"/>
  <c r="AD948" i="1" s="1"/>
  <c r="AB595" i="1"/>
  <c r="AB604" i="1" s="1"/>
  <c r="AB594" i="1"/>
  <c r="AB948" i="1" s="1"/>
  <c r="Z595" i="1"/>
  <c r="Z604" i="1" s="1"/>
  <c r="Z594" i="1"/>
  <c r="Z948" i="1" s="1"/>
  <c r="X595" i="1"/>
  <c r="X604" i="1" s="1"/>
  <c r="X594" i="1"/>
  <c r="X948" i="1" s="1"/>
  <c r="V596" i="1"/>
  <c r="V599" i="1" s="1"/>
  <c r="V595" i="1"/>
  <c r="V604" i="1" s="1"/>
  <c r="V594" i="1"/>
  <c r="V948" i="1" s="1"/>
  <c r="T595" i="1"/>
  <c r="T604" i="1" s="1"/>
  <c r="T594" i="1"/>
  <c r="T948" i="1" s="1"/>
  <c r="R595" i="1"/>
  <c r="R604" i="1" s="1"/>
  <c r="R594" i="1"/>
  <c r="R948" i="1" s="1"/>
  <c r="P595" i="1"/>
  <c r="P604" i="1" s="1"/>
  <c r="P594" i="1"/>
  <c r="P948" i="1" s="1"/>
  <c r="N596" i="1"/>
  <c r="N599" i="1" s="1"/>
  <c r="N595" i="1"/>
  <c r="N604" i="1" s="1"/>
  <c r="N594" i="1"/>
  <c r="N948" i="1" s="1"/>
  <c r="L595" i="1"/>
  <c r="L604" i="1" s="1"/>
  <c r="L594" i="1"/>
  <c r="L948" i="1" s="1"/>
  <c r="J595" i="1"/>
  <c r="J604" i="1" s="1"/>
  <c r="J594" i="1"/>
  <c r="J948" i="1" s="1"/>
  <c r="CE595" i="1"/>
  <c r="CE604" i="1" s="1"/>
  <c r="CE608" i="1" s="1"/>
  <c r="CC594" i="1"/>
  <c r="BY594" i="1"/>
  <c r="AG594" i="1"/>
  <c r="AE594" i="1"/>
  <c r="AC594" i="1"/>
  <c r="Q594" i="1"/>
  <c r="M594" i="1"/>
  <c r="CI589" i="1"/>
  <c r="CI588" i="1"/>
  <c r="CI587" i="1"/>
  <c r="CI586" i="1"/>
  <c r="CG589" i="1"/>
  <c r="CS589" i="1" s="1"/>
  <c r="CG588" i="1"/>
  <c r="CS588" i="1" s="1"/>
  <c r="CG586" i="1"/>
  <c r="CS586" i="1" s="1"/>
  <c r="BF587" i="1"/>
  <c r="BF588" i="1" s="1"/>
  <c r="AU589" i="1"/>
  <c r="AU588" i="1"/>
  <c r="AU586" i="1"/>
  <c r="AS589" i="1"/>
  <c r="AS588" i="1"/>
  <c r="AS586" i="1"/>
  <c r="AQ589" i="1"/>
  <c r="AQ588" i="1"/>
  <c r="AQ586" i="1"/>
  <c r="AO589" i="1"/>
  <c r="AO588" i="1"/>
  <c r="AO586" i="1"/>
  <c r="AM589" i="1"/>
  <c r="AM588" i="1"/>
  <c r="AM586" i="1"/>
  <c r="AK589" i="1"/>
  <c r="AK588" i="1"/>
  <c r="AK586" i="1"/>
  <c r="AI589" i="1"/>
  <c r="AI588" i="1"/>
  <c r="AI586" i="1"/>
  <c r="AG589" i="1"/>
  <c r="AG588" i="1"/>
  <c r="AG586" i="1"/>
  <c r="AE589" i="1"/>
  <c r="AE588" i="1"/>
  <c r="AE586" i="1"/>
  <c r="AC589" i="1"/>
  <c r="AC588" i="1"/>
  <c r="AC586" i="1"/>
  <c r="AA589" i="1"/>
  <c r="AA588" i="1"/>
  <c r="AA587" i="1"/>
  <c r="AA586" i="1"/>
  <c r="Y589" i="1"/>
  <c r="Y588" i="1"/>
  <c r="Y587" i="1"/>
  <c r="Y586" i="1"/>
  <c r="W589" i="1"/>
  <c r="W588" i="1"/>
  <c r="W587" i="1"/>
  <c r="W586" i="1"/>
  <c r="BD587" i="1"/>
  <c r="CG587" i="1" s="1"/>
  <c r="CS587" i="1" s="1"/>
  <c r="BB587" i="1"/>
  <c r="AZ587" i="1"/>
  <c r="AX587" i="1"/>
  <c r="AV587" i="1"/>
  <c r="CE587" i="1" s="1"/>
  <c r="AT587" i="1"/>
  <c r="AU587" i="1" s="1"/>
  <c r="AR587" i="1"/>
  <c r="AP587" i="1"/>
  <c r="AQ587" i="1" s="1"/>
  <c r="AN587" i="1"/>
  <c r="AL587" i="1"/>
  <c r="AM587" i="1" s="1"/>
  <c r="AJ587" i="1"/>
  <c r="AH587" i="1"/>
  <c r="AI587" i="1" s="1"/>
  <c r="AF587" i="1"/>
  <c r="AG587" i="1" s="1"/>
  <c r="AD587" i="1"/>
  <c r="AE587" i="1" s="1"/>
  <c r="AB587" i="1"/>
  <c r="AC587" i="1" s="1"/>
  <c r="Z587" i="1"/>
  <c r="CE589" i="1"/>
  <c r="CC589" i="1"/>
  <c r="CD589" i="1" s="1"/>
  <c r="CA589" i="1"/>
  <c r="CB589" i="1" s="1"/>
  <c r="BY589" i="1"/>
  <c r="BZ589" i="1" s="1"/>
  <c r="CE588" i="1"/>
  <c r="CD588" i="1"/>
  <c r="CC588" i="1"/>
  <c r="CA588" i="1"/>
  <c r="CB588" i="1" s="1"/>
  <c r="BZ588" i="1"/>
  <c r="BY588" i="1"/>
  <c r="BY587" i="1"/>
  <c r="BZ587" i="1" s="1"/>
  <c r="CE586" i="1"/>
  <c r="CC586" i="1"/>
  <c r="CA586" i="1"/>
  <c r="CD586" i="1" s="1"/>
  <c r="BY586" i="1"/>
  <c r="H582" i="1"/>
  <c r="F582" i="1"/>
  <c r="D582" i="1"/>
  <c r="B582" i="1"/>
  <c r="BS582" i="1"/>
  <c r="BQ582" i="1"/>
  <c r="CR584" i="1"/>
  <c r="CR583" i="1"/>
  <c r="CR582" i="1"/>
  <c r="BH582" i="1"/>
  <c r="BG582" i="1"/>
  <c r="BF582" i="1"/>
  <c r="BD582" i="1"/>
  <c r="BM582" i="1" s="1"/>
  <c r="AZ582" i="1"/>
  <c r="AX582" i="1"/>
  <c r="AY582" i="1" s="1"/>
  <c r="AV582" i="1"/>
  <c r="AT582" i="1"/>
  <c r="AR582" i="1"/>
  <c r="AS582" i="1" s="1"/>
  <c r="AP582" i="1"/>
  <c r="AN582" i="1"/>
  <c r="AO582" i="1" s="1"/>
  <c r="AJ582" i="1"/>
  <c r="AH582" i="1"/>
  <c r="AQ582" i="1" s="1"/>
  <c r="AF582" i="1"/>
  <c r="AG582" i="1" s="1"/>
  <c r="AD582" i="1"/>
  <c r="AB582" i="1"/>
  <c r="AK582" i="1" s="1"/>
  <c r="Z582" i="1"/>
  <c r="X582" i="1"/>
  <c r="Y582" i="1" s="1"/>
  <c r="Q582" i="1"/>
  <c r="P582" i="1"/>
  <c r="O582" i="1"/>
  <c r="N582" i="1"/>
  <c r="M582" i="1"/>
  <c r="L582" i="1"/>
  <c r="K582" i="1"/>
  <c r="J582" i="1"/>
  <c r="CS579" i="1"/>
  <c r="CI581" i="1"/>
  <c r="CI580" i="1"/>
  <c r="CI582" i="1" s="1"/>
  <c r="CI579" i="1"/>
  <c r="CG581" i="1"/>
  <c r="CS581" i="1" s="1"/>
  <c r="CG580" i="1"/>
  <c r="CS580" i="1" s="1"/>
  <c r="CG579" i="1"/>
  <c r="CH579" i="1" s="1"/>
  <c r="CE581" i="1"/>
  <c r="CE580" i="1"/>
  <c r="CF580" i="1" s="1"/>
  <c r="CE579" i="1"/>
  <c r="CC580" i="1"/>
  <c r="CC579" i="1"/>
  <c r="CA581" i="1"/>
  <c r="CA580" i="1"/>
  <c r="CA579" i="1"/>
  <c r="BW581" i="1"/>
  <c r="BU581" i="1"/>
  <c r="BV581" i="1" s="1"/>
  <c r="BB581" i="1"/>
  <c r="BB582" i="1" s="1"/>
  <c r="BC582" i="1" s="1"/>
  <c r="AL581" i="1"/>
  <c r="AL582" i="1" s="1"/>
  <c r="T581" i="1"/>
  <c r="R581" i="1"/>
  <c r="R582" i="1" s="1"/>
  <c r="CR580" i="1"/>
  <c r="CR579" i="1"/>
  <c r="CD580" i="1"/>
  <c r="BM580" i="1"/>
  <c r="BM579" i="1"/>
  <c r="BG580" i="1"/>
  <c r="BG579" i="1"/>
  <c r="BE580" i="1"/>
  <c r="BE579" i="1"/>
  <c r="BC580" i="1"/>
  <c r="BC579" i="1"/>
  <c r="BA580" i="1"/>
  <c r="BA579" i="1"/>
  <c r="AY580" i="1"/>
  <c r="AY579" i="1"/>
  <c r="AW580" i="1"/>
  <c r="AW579" i="1"/>
  <c r="AU580" i="1"/>
  <c r="AU579" i="1"/>
  <c r="AS580" i="1"/>
  <c r="AS579" i="1"/>
  <c r="AQ580" i="1"/>
  <c r="AQ579" i="1"/>
  <c r="AO580" i="1"/>
  <c r="AO579" i="1"/>
  <c r="AM580" i="1"/>
  <c r="AM579" i="1"/>
  <c r="AK580" i="1"/>
  <c r="AK579" i="1"/>
  <c r="AI580" i="1"/>
  <c r="AI579" i="1"/>
  <c r="AG580" i="1"/>
  <c r="AG579" i="1"/>
  <c r="AE580" i="1"/>
  <c r="AC580" i="1"/>
  <c r="AA580" i="1"/>
  <c r="AA579" i="1"/>
  <c r="Y580" i="1"/>
  <c r="Y579" i="1"/>
  <c r="W580" i="1"/>
  <c r="U580" i="1"/>
  <c r="S580" i="1"/>
  <c r="S579" i="1"/>
  <c r="Q580" i="1"/>
  <c r="Q579" i="1"/>
  <c r="O580" i="1"/>
  <c r="O579" i="1"/>
  <c r="M580" i="1"/>
  <c r="M579" i="1"/>
  <c r="K580" i="1"/>
  <c r="K579" i="1"/>
  <c r="BY580" i="1"/>
  <c r="CB580" i="1" s="1"/>
  <c r="BW580" i="1"/>
  <c r="BX580" i="1" s="1"/>
  <c r="BU580" i="1"/>
  <c r="BV580" i="1" s="1"/>
  <c r="BW579" i="1"/>
  <c r="BW582" i="1" s="1"/>
  <c r="BU579" i="1"/>
  <c r="BU582" i="1" s="1"/>
  <c r="BV582" i="1" s="1"/>
  <c r="T579" i="1"/>
  <c r="AC579" i="1" s="1"/>
  <c r="CR577" i="1"/>
  <c r="CR576" i="1"/>
  <c r="BD574" i="1"/>
  <c r="BM574" i="1" s="1"/>
  <c r="CR574" i="1"/>
  <c r="CR573" i="1"/>
  <c r="CR572" i="1"/>
  <c r="BS568" i="1"/>
  <c r="BS574" i="1" s="1"/>
  <c r="BQ569" i="1"/>
  <c r="BQ568" i="1"/>
  <c r="BQ574" i="1" s="1"/>
  <c r="BM568" i="1"/>
  <c r="BM567" i="1"/>
  <c r="BM566" i="1"/>
  <c r="H568" i="1"/>
  <c r="H574" i="1" s="1"/>
  <c r="F568" i="1"/>
  <c r="F574" i="1" s="1"/>
  <c r="D568" i="1"/>
  <c r="M568" i="1" s="1"/>
  <c r="B568" i="1"/>
  <c r="B574" i="1" s="1"/>
  <c r="BB568" i="1"/>
  <c r="BB574" i="1" s="1"/>
  <c r="BA568" i="1"/>
  <c r="AZ568" i="1"/>
  <c r="AZ574" i="1" s="1"/>
  <c r="BA574" i="1" s="1"/>
  <c r="AX568" i="1"/>
  <c r="AX574" i="1" s="1"/>
  <c r="BG574" i="1" s="1"/>
  <c r="AW568" i="1"/>
  <c r="AV568" i="1"/>
  <c r="AV574" i="1" s="1"/>
  <c r="AT568" i="1"/>
  <c r="AT574" i="1" s="1"/>
  <c r="AU574" i="1" s="1"/>
  <c r="AS568" i="1"/>
  <c r="AR568" i="1"/>
  <c r="AR574" i="1" s="1"/>
  <c r="AP568" i="1"/>
  <c r="AP574" i="1" s="1"/>
  <c r="AO568" i="1"/>
  <c r="AN568" i="1"/>
  <c r="AN574" i="1" s="1"/>
  <c r="AO574" i="1" s="1"/>
  <c r="AL568" i="1"/>
  <c r="AL574" i="1" s="1"/>
  <c r="AK568" i="1"/>
  <c r="AJ568" i="1"/>
  <c r="AJ574" i="1" s="1"/>
  <c r="AK574" i="1" s="1"/>
  <c r="AH568" i="1"/>
  <c r="AH574" i="1" s="1"/>
  <c r="AG568" i="1"/>
  <c r="AF568" i="1"/>
  <c r="AF574" i="1" s="1"/>
  <c r="AG574" i="1" s="1"/>
  <c r="AD568" i="1"/>
  <c r="AD574" i="1" s="1"/>
  <c r="AE574" i="1" s="1"/>
  <c r="AC568" i="1"/>
  <c r="AB568" i="1"/>
  <c r="AB574" i="1" s="1"/>
  <c r="Z568" i="1"/>
  <c r="Z574" i="1" s="1"/>
  <c r="Y568" i="1"/>
  <c r="X568" i="1"/>
  <c r="X574" i="1" s="1"/>
  <c r="Y574" i="1" s="1"/>
  <c r="V568" i="1"/>
  <c r="V574" i="1" s="1"/>
  <c r="W574" i="1" s="1"/>
  <c r="U568" i="1"/>
  <c r="T568" i="1"/>
  <c r="T574" i="1" s="1"/>
  <c r="R568" i="1"/>
  <c r="R574" i="1" s="1"/>
  <c r="P568" i="1"/>
  <c r="P574" i="1" s="1"/>
  <c r="N568" i="1"/>
  <c r="N574" i="1" s="1"/>
  <c r="O574" i="1" s="1"/>
  <c r="L568" i="1"/>
  <c r="L574" i="1" s="1"/>
  <c r="J568" i="1"/>
  <c r="J574" i="1" s="1"/>
  <c r="K574" i="1" s="1"/>
  <c r="BC567" i="1"/>
  <c r="BC566" i="1"/>
  <c r="BA567" i="1"/>
  <c r="BA566" i="1"/>
  <c r="AY567" i="1"/>
  <c r="AY566" i="1"/>
  <c r="AW567" i="1"/>
  <c r="AW566" i="1"/>
  <c r="AU567" i="1"/>
  <c r="AU566" i="1"/>
  <c r="AS567" i="1"/>
  <c r="AS566" i="1"/>
  <c r="AQ567" i="1"/>
  <c r="AQ566" i="1"/>
  <c r="AO567" i="1"/>
  <c r="AO566" i="1"/>
  <c r="AM567" i="1"/>
  <c r="AM566" i="1"/>
  <c r="AK567" i="1"/>
  <c r="AK566" i="1"/>
  <c r="AI567" i="1"/>
  <c r="AI566" i="1"/>
  <c r="AG567" i="1"/>
  <c r="AG566" i="1"/>
  <c r="AE567" i="1"/>
  <c r="AE566" i="1"/>
  <c r="AC567" i="1"/>
  <c r="AC566" i="1"/>
  <c r="AA567" i="1"/>
  <c r="AA566" i="1"/>
  <c r="Y567" i="1"/>
  <c r="Y566" i="1"/>
  <c r="W567" i="1"/>
  <c r="W566" i="1"/>
  <c r="U567" i="1"/>
  <c r="U566" i="1"/>
  <c r="S567" i="1"/>
  <c r="S566" i="1"/>
  <c r="Q567" i="1"/>
  <c r="Q566" i="1"/>
  <c r="O567" i="1"/>
  <c r="O566" i="1"/>
  <c r="M567" i="1"/>
  <c r="M566" i="1"/>
  <c r="K567" i="1"/>
  <c r="K566" i="1"/>
  <c r="CR569" i="1"/>
  <c r="CR568" i="1"/>
  <c r="CR567" i="1"/>
  <c r="CS566" i="1"/>
  <c r="CR566" i="1"/>
  <c r="CR565" i="1"/>
  <c r="CG567" i="1"/>
  <c r="CE567" i="1"/>
  <c r="CC567" i="1"/>
  <c r="CA567" i="1"/>
  <c r="BY567" i="1"/>
  <c r="BW567" i="1"/>
  <c r="BU567" i="1"/>
  <c r="CG566" i="1"/>
  <c r="CF566" i="1"/>
  <c r="CE566" i="1"/>
  <c r="CC566" i="1"/>
  <c r="CA566" i="1"/>
  <c r="CB566" i="1" s="1"/>
  <c r="BY566" i="1"/>
  <c r="BZ566" i="1" s="1"/>
  <c r="BW566" i="1"/>
  <c r="BX566" i="1" s="1"/>
  <c r="BU566" i="1"/>
  <c r="BV566" i="1" s="1"/>
  <c r="BE568" i="1"/>
  <c r="BE567" i="1"/>
  <c r="BE566" i="1"/>
  <c r="BE565" i="1"/>
  <c r="BD565" i="1"/>
  <c r="BM565" i="1" s="1"/>
  <c r="BB565" i="1"/>
  <c r="BB569" i="1" s="1"/>
  <c r="AZ565" i="1"/>
  <c r="AZ569" i="1" s="1"/>
  <c r="AX565" i="1"/>
  <c r="AV565" i="1"/>
  <c r="AW565" i="1" s="1"/>
  <c r="AT565" i="1"/>
  <c r="AT569" i="1" s="1"/>
  <c r="AR565" i="1"/>
  <c r="AP565" i="1"/>
  <c r="AN565" i="1"/>
  <c r="AN569" i="1" s="1"/>
  <c r="AL565" i="1"/>
  <c r="AL569" i="1" s="1"/>
  <c r="AJ565" i="1"/>
  <c r="AJ569" i="1" s="1"/>
  <c r="AH565" i="1"/>
  <c r="AF565" i="1"/>
  <c r="AF569" i="1" s="1"/>
  <c r="AD565" i="1"/>
  <c r="AD569" i="1" s="1"/>
  <c r="AB565" i="1"/>
  <c r="Z565" i="1"/>
  <c r="X565" i="1"/>
  <c r="Y565" i="1" s="1"/>
  <c r="V565" i="1"/>
  <c r="V569" i="1" s="1"/>
  <c r="T565" i="1"/>
  <c r="T569" i="1" s="1"/>
  <c r="R565" i="1"/>
  <c r="P565" i="1"/>
  <c r="Q565" i="1" s="1"/>
  <c r="N565" i="1"/>
  <c r="N569" i="1" s="1"/>
  <c r="L565" i="1"/>
  <c r="J565" i="1"/>
  <c r="H565" i="1"/>
  <c r="H569" i="1" s="1"/>
  <c r="F565" i="1"/>
  <c r="F569" i="1" s="1"/>
  <c r="D565" i="1"/>
  <c r="D569" i="1" s="1"/>
  <c r="B565" i="1"/>
  <c r="B569" i="1" s="1"/>
  <c r="CR562" i="1"/>
  <c r="CR561" i="1"/>
  <c r="CR558" i="1"/>
  <c r="CR557" i="1"/>
  <c r="CR556" i="1"/>
  <c r="BM552" i="1"/>
  <c r="BM550" i="1"/>
  <c r="BM549" i="1"/>
  <c r="BC552" i="1"/>
  <c r="BC550" i="1"/>
  <c r="BC549" i="1"/>
  <c r="BA552" i="1"/>
  <c r="BA550" i="1"/>
  <c r="BA549" i="1"/>
  <c r="AY552" i="1"/>
  <c r="AY550" i="1"/>
  <c r="AY549" i="1"/>
  <c r="AW552" i="1"/>
  <c r="AW549" i="1"/>
  <c r="AU552" i="1"/>
  <c r="AU550" i="1"/>
  <c r="AU549" i="1"/>
  <c r="AS552" i="1"/>
  <c r="AS550" i="1"/>
  <c r="AS549" i="1"/>
  <c r="AQ552" i="1"/>
  <c r="AQ550" i="1"/>
  <c r="AQ549" i="1"/>
  <c r="AO552" i="1"/>
  <c r="AO550" i="1"/>
  <c r="AO549" i="1"/>
  <c r="AM552" i="1"/>
  <c r="AM550" i="1"/>
  <c r="AM549" i="1"/>
  <c r="AK552" i="1"/>
  <c r="AK550" i="1"/>
  <c r="AK549" i="1"/>
  <c r="AI552" i="1"/>
  <c r="AI550" i="1"/>
  <c r="AI549" i="1"/>
  <c r="AG552" i="1"/>
  <c r="AG550" i="1"/>
  <c r="AG549" i="1"/>
  <c r="AE552" i="1"/>
  <c r="AE550" i="1"/>
  <c r="AE549" i="1"/>
  <c r="AC552" i="1"/>
  <c r="AC550" i="1"/>
  <c r="AC549" i="1"/>
  <c r="AA552" i="1"/>
  <c r="AA550" i="1"/>
  <c r="AA549" i="1"/>
  <c r="Y552" i="1"/>
  <c r="Y550" i="1"/>
  <c r="Y549" i="1"/>
  <c r="W552" i="1"/>
  <c r="W550" i="1"/>
  <c r="W549" i="1"/>
  <c r="U552" i="1"/>
  <c r="U550" i="1"/>
  <c r="U549" i="1"/>
  <c r="S552" i="1"/>
  <c r="S550" i="1"/>
  <c r="S549" i="1"/>
  <c r="Q552" i="1"/>
  <c r="Q550" i="1"/>
  <c r="Q549" i="1"/>
  <c r="O552" i="1"/>
  <c r="O550" i="1"/>
  <c r="O549" i="1"/>
  <c r="M552" i="1"/>
  <c r="M550" i="1"/>
  <c r="M549" i="1"/>
  <c r="K552" i="1"/>
  <c r="K550" i="1"/>
  <c r="K549" i="1"/>
  <c r="BS551" i="1"/>
  <c r="BQ551" i="1"/>
  <c r="BQ576" i="1" s="1"/>
  <c r="BQ583" i="1" s="1"/>
  <c r="AN550" i="1"/>
  <c r="AW550" i="1" s="1"/>
  <c r="H551" i="1"/>
  <c r="H553" i="1" s="1"/>
  <c r="F551" i="1"/>
  <c r="F553" i="1" s="1"/>
  <c r="D551" i="1"/>
  <c r="D553" i="1" s="1"/>
  <c r="B551" i="1"/>
  <c r="B553" i="1" s="1"/>
  <c r="CR553" i="1"/>
  <c r="CR552" i="1"/>
  <c r="CR551" i="1"/>
  <c r="CR550" i="1"/>
  <c r="CR549" i="1"/>
  <c r="CR548" i="1"/>
  <c r="CG552" i="1"/>
  <c r="CS552" i="1" s="1"/>
  <c r="CE552" i="1"/>
  <c r="CE565" i="1" s="1"/>
  <c r="CC552" i="1"/>
  <c r="CC565" i="1" s="1"/>
  <c r="CA552" i="1"/>
  <c r="CA565" i="1" s="1"/>
  <c r="BY552" i="1"/>
  <c r="BY565" i="1" s="1"/>
  <c r="BW552" i="1"/>
  <c r="BW565" i="1" s="1"/>
  <c r="BU552" i="1"/>
  <c r="BU565" i="1" s="1"/>
  <c r="CG550" i="1"/>
  <c r="CS550" i="1" s="1"/>
  <c r="CE550" i="1"/>
  <c r="CC550" i="1"/>
  <c r="CD550" i="1" s="1"/>
  <c r="CA550" i="1"/>
  <c r="BY550" i="1"/>
  <c r="BZ550" i="1" s="1"/>
  <c r="BW550" i="1"/>
  <c r="BU550" i="1"/>
  <c r="BV550" i="1" s="1"/>
  <c r="CG549" i="1"/>
  <c r="CH549" i="1" s="1"/>
  <c r="CE549" i="1"/>
  <c r="CF549" i="1" s="1"/>
  <c r="CC549" i="1"/>
  <c r="CD549" i="1" s="1"/>
  <c r="CA549" i="1"/>
  <c r="CB549" i="1" s="1"/>
  <c r="BY549" i="1"/>
  <c r="BZ549" i="1" s="1"/>
  <c r="BW549" i="1"/>
  <c r="BX549" i="1" s="1"/>
  <c r="BU549" i="1"/>
  <c r="BV549" i="1" s="1"/>
  <c r="BU548" i="1"/>
  <c r="BE552" i="1"/>
  <c r="BE550" i="1"/>
  <c r="BE549" i="1"/>
  <c r="BD548" i="1"/>
  <c r="BD551" i="1" s="1"/>
  <c r="BM551" i="1" s="1"/>
  <c r="AX548" i="1"/>
  <c r="AP548" i="1"/>
  <c r="AP551" i="1" s="1"/>
  <c r="AH548" i="1"/>
  <c r="Z548" i="1"/>
  <c r="Z551" i="1" s="1"/>
  <c r="R548" i="1"/>
  <c r="R551" i="1" s="1"/>
  <c r="R547" i="1"/>
  <c r="R546" i="1"/>
  <c r="BY546" i="1" s="1"/>
  <c r="N548" i="1"/>
  <c r="N551" i="1" s="1"/>
  <c r="J548" i="1"/>
  <c r="J551" i="1" s="1"/>
  <c r="CR547" i="1"/>
  <c r="CR546" i="1"/>
  <c r="CR545" i="1"/>
  <c r="CH545" i="1"/>
  <c r="CE547" i="1"/>
  <c r="CF547" i="1" s="1"/>
  <c r="CC547" i="1"/>
  <c r="CA547" i="1"/>
  <c r="BY547" i="1"/>
  <c r="BZ547" i="1" s="1"/>
  <c r="BW547" i="1"/>
  <c r="BX547" i="1" s="1"/>
  <c r="BV547" i="1"/>
  <c r="BB546" i="1"/>
  <c r="BB548" i="1" s="1"/>
  <c r="AZ546" i="1"/>
  <c r="AZ548" i="1" s="1"/>
  <c r="AX546" i="1"/>
  <c r="AV546" i="1"/>
  <c r="AV548" i="1" s="1"/>
  <c r="AT546" i="1"/>
  <c r="AT548" i="1" s="1"/>
  <c r="AR546" i="1"/>
  <c r="AR548" i="1" s="1"/>
  <c r="AP546" i="1"/>
  <c r="CE546" i="1" s="1"/>
  <c r="AN546" i="1"/>
  <c r="AN548" i="1" s="1"/>
  <c r="AL546" i="1"/>
  <c r="AL548" i="1" s="1"/>
  <c r="AJ546" i="1"/>
  <c r="AJ548" i="1" s="1"/>
  <c r="AH546" i="1"/>
  <c r="CC546" i="1" s="1"/>
  <c r="AF546" i="1"/>
  <c r="AF548" i="1" s="1"/>
  <c r="AD546" i="1"/>
  <c r="AD548" i="1" s="1"/>
  <c r="AB546" i="1"/>
  <c r="AB548" i="1" s="1"/>
  <c r="Z546" i="1"/>
  <c r="CA546" i="1" s="1"/>
  <c r="X546" i="1"/>
  <c r="X548" i="1" s="1"/>
  <c r="V546" i="1"/>
  <c r="V548" i="1" s="1"/>
  <c r="T546" i="1"/>
  <c r="T548" i="1" s="1"/>
  <c r="P546" i="1"/>
  <c r="P548" i="1" s="1"/>
  <c r="N546" i="1"/>
  <c r="L546" i="1"/>
  <c r="L548" i="1" s="1"/>
  <c r="J546" i="1"/>
  <c r="BW546" i="1" s="1"/>
  <c r="CE545" i="1"/>
  <c r="CC545" i="1"/>
  <c r="CD545" i="1" s="1"/>
  <c r="CA545" i="1"/>
  <c r="BY545" i="1"/>
  <c r="BZ545" i="1" s="1"/>
  <c r="BW545" i="1"/>
  <c r="BX545" i="1" s="1"/>
  <c r="BS542" i="1"/>
  <c r="BQ542" i="1"/>
  <c r="BM540" i="1"/>
  <c r="CR542" i="1"/>
  <c r="CR541" i="1"/>
  <c r="CR540" i="1"/>
  <c r="CI540" i="1"/>
  <c r="CG540" i="1"/>
  <c r="CS540" i="1" s="1"/>
  <c r="CF540" i="1"/>
  <c r="CE540" i="1"/>
  <c r="CC540" i="1"/>
  <c r="CD540" i="1" s="1"/>
  <c r="CB540" i="1"/>
  <c r="CA540" i="1"/>
  <c r="BY540" i="1"/>
  <c r="BZ540" i="1" s="1"/>
  <c r="BX540" i="1"/>
  <c r="BW540" i="1"/>
  <c r="BU540" i="1"/>
  <c r="BV540" i="1" s="1"/>
  <c r="BH540" i="1"/>
  <c r="BF540" i="1"/>
  <c r="BE540" i="1"/>
  <c r="BC540" i="1"/>
  <c r="BA540" i="1"/>
  <c r="AY540" i="1"/>
  <c r="AW540" i="1"/>
  <c r="AU540" i="1"/>
  <c r="AS540" i="1"/>
  <c r="AQ540" i="1"/>
  <c r="AO540" i="1"/>
  <c r="AM540" i="1"/>
  <c r="AK540" i="1"/>
  <c r="AI540" i="1"/>
  <c r="AG540" i="1"/>
  <c r="AE540" i="1"/>
  <c r="AC540" i="1"/>
  <c r="AA540" i="1"/>
  <c r="Y540" i="1"/>
  <c r="W540" i="1"/>
  <c r="U540" i="1"/>
  <c r="S540" i="1"/>
  <c r="Q540" i="1"/>
  <c r="O540" i="1"/>
  <c r="M540" i="1"/>
  <c r="K540" i="1"/>
  <c r="CS538" i="1"/>
  <c r="B537" i="1"/>
  <c r="B538" i="1" s="1"/>
  <c r="B536" i="1"/>
  <c r="B535" i="1"/>
  <c r="CR537" i="1"/>
  <c r="CR536" i="1"/>
  <c r="CR535" i="1"/>
  <c r="CR533" i="1"/>
  <c r="H533" i="1"/>
  <c r="F533" i="1"/>
  <c r="D533" i="1"/>
  <c r="B533" i="1"/>
  <c r="B531" i="1"/>
  <c r="B561" i="1" s="1"/>
  <c r="B530" i="1"/>
  <c r="B541" i="1" s="1"/>
  <c r="CR531" i="1"/>
  <c r="CR530" i="1"/>
  <c r="CR529" i="1"/>
  <c r="CR528" i="1"/>
  <c r="CR527" i="1"/>
  <c r="CR526" i="1"/>
  <c r="BU529" i="1"/>
  <c r="BU537" i="1" s="1"/>
  <c r="BV537" i="1" s="1"/>
  <c r="BU528" i="1"/>
  <c r="BU536" i="1" s="1"/>
  <c r="BV536" i="1" s="1"/>
  <c r="BU527" i="1"/>
  <c r="BU535" i="1" s="1"/>
  <c r="BV535" i="1" s="1"/>
  <c r="BV526" i="1"/>
  <c r="BU526" i="1"/>
  <c r="BD529" i="1"/>
  <c r="BB529" i="1"/>
  <c r="AZ529" i="1"/>
  <c r="AX529" i="1"/>
  <c r="AV529" i="1"/>
  <c r="AT529" i="1"/>
  <c r="AR529" i="1"/>
  <c r="AP529" i="1"/>
  <c r="AN529" i="1"/>
  <c r="AL529" i="1"/>
  <c r="AJ529" i="1"/>
  <c r="AH529" i="1"/>
  <c r="AF529" i="1"/>
  <c r="AD529" i="1"/>
  <c r="AB529" i="1"/>
  <c r="Z529" i="1"/>
  <c r="X529" i="1"/>
  <c r="V529" i="1"/>
  <c r="T529" i="1"/>
  <c r="R529" i="1"/>
  <c r="P529" i="1"/>
  <c r="Q529" i="1" s="1"/>
  <c r="N529" i="1"/>
  <c r="L529" i="1"/>
  <c r="M529" i="1" s="1"/>
  <c r="J529" i="1"/>
  <c r="BE528" i="1"/>
  <c r="BD528" i="1"/>
  <c r="BC528" i="1"/>
  <c r="BB528" i="1"/>
  <c r="BA528" i="1"/>
  <c r="AZ528" i="1"/>
  <c r="AY528" i="1"/>
  <c r="AX528" i="1"/>
  <c r="AW528" i="1"/>
  <c r="AV528" i="1"/>
  <c r="AU528" i="1"/>
  <c r="AT528" i="1"/>
  <c r="AS528" i="1"/>
  <c r="AR528" i="1"/>
  <c r="AQ528" i="1"/>
  <c r="AP528" i="1"/>
  <c r="AO528" i="1"/>
  <c r="AN528" i="1"/>
  <c r="AM528" i="1"/>
  <c r="AL528" i="1"/>
  <c r="AK528" i="1"/>
  <c r="AJ528" i="1"/>
  <c r="AI528" i="1"/>
  <c r="AH528" i="1"/>
  <c r="AG528" i="1"/>
  <c r="AF528" i="1"/>
  <c r="AE528" i="1"/>
  <c r="AD528" i="1"/>
  <c r="AC528" i="1"/>
  <c r="AB528" i="1"/>
  <c r="AA528" i="1"/>
  <c r="Z528" i="1"/>
  <c r="Y528" i="1"/>
  <c r="X528" i="1"/>
  <c r="W528" i="1"/>
  <c r="V528" i="1"/>
  <c r="U528" i="1"/>
  <c r="T528" i="1"/>
  <c r="S528" i="1"/>
  <c r="R528" i="1"/>
  <c r="Q528" i="1"/>
  <c r="P528" i="1"/>
  <c r="O528" i="1"/>
  <c r="N528" i="1"/>
  <c r="M528" i="1"/>
  <c r="L528" i="1"/>
  <c r="K528" i="1"/>
  <c r="J528" i="1"/>
  <c r="BD527" i="1"/>
  <c r="BB527" i="1"/>
  <c r="AZ527" i="1"/>
  <c r="AX527" i="1"/>
  <c r="AV527" i="1"/>
  <c r="AT527" i="1"/>
  <c r="AR527" i="1"/>
  <c r="AP527" i="1"/>
  <c r="AN527" i="1"/>
  <c r="AL527" i="1"/>
  <c r="AJ527" i="1"/>
  <c r="AH527" i="1"/>
  <c r="AF527" i="1"/>
  <c r="AD527" i="1"/>
  <c r="AB527" i="1"/>
  <c r="Z527" i="1"/>
  <c r="X527" i="1"/>
  <c r="V527" i="1"/>
  <c r="T527" i="1"/>
  <c r="R527" i="1"/>
  <c r="P527" i="1"/>
  <c r="N527" i="1"/>
  <c r="O527" i="1" s="1"/>
  <c r="L527" i="1"/>
  <c r="J527" i="1"/>
  <c r="K527" i="1" s="1"/>
  <c r="K526" i="1"/>
  <c r="J526" i="1"/>
  <c r="J530" i="1" s="1"/>
  <c r="D526" i="1"/>
  <c r="D537" i="1" s="1"/>
  <c r="D538" i="1" s="1"/>
  <c r="J522" i="1"/>
  <c r="K522" i="1" s="1"/>
  <c r="AI521" i="1"/>
  <c r="AI520" i="1"/>
  <c r="AI519" i="1"/>
  <c r="AG521" i="1"/>
  <c r="AG520" i="1"/>
  <c r="AG519" i="1"/>
  <c r="AE521" i="1"/>
  <c r="AE520" i="1"/>
  <c r="AE519" i="1"/>
  <c r="AC521" i="1"/>
  <c r="AC520" i="1"/>
  <c r="AC519" i="1"/>
  <c r="AA521" i="1"/>
  <c r="AA520" i="1"/>
  <c r="AA519" i="1"/>
  <c r="Y521" i="1"/>
  <c r="Y520" i="1"/>
  <c r="Y519" i="1"/>
  <c r="W521" i="1"/>
  <c r="W520" i="1"/>
  <c r="W519" i="1"/>
  <c r="U521" i="1"/>
  <c r="U520" i="1"/>
  <c r="U519" i="1"/>
  <c r="S521" i="1"/>
  <c r="S520" i="1"/>
  <c r="S519" i="1"/>
  <c r="Q521" i="1"/>
  <c r="Q520" i="1"/>
  <c r="Q519" i="1"/>
  <c r="O521" i="1"/>
  <c r="O520" i="1"/>
  <c r="O519" i="1"/>
  <c r="M521" i="1"/>
  <c r="M520" i="1"/>
  <c r="M519" i="1"/>
  <c r="K521" i="1"/>
  <c r="K520" i="1"/>
  <c r="K519" i="1"/>
  <c r="K518" i="1"/>
  <c r="CA521" i="1"/>
  <c r="CB521" i="1" s="1"/>
  <c r="BY521" i="1"/>
  <c r="BZ521" i="1" s="1"/>
  <c r="CA520" i="1"/>
  <c r="CB520" i="1" s="1"/>
  <c r="BY520" i="1"/>
  <c r="BZ520" i="1" s="1"/>
  <c r="CA519" i="1"/>
  <c r="CB519" i="1" s="1"/>
  <c r="BY519" i="1"/>
  <c r="BZ519" i="1" s="1"/>
  <c r="J514" i="1"/>
  <c r="AI513" i="1"/>
  <c r="AI512" i="1"/>
  <c r="AI511" i="1"/>
  <c r="AG513" i="1"/>
  <c r="AG512" i="1"/>
  <c r="AG511" i="1"/>
  <c r="AE513" i="1"/>
  <c r="AE512" i="1"/>
  <c r="AE511" i="1"/>
  <c r="AC513" i="1"/>
  <c r="AC512" i="1"/>
  <c r="AC511" i="1"/>
  <c r="AA513" i="1"/>
  <c r="AA512" i="1"/>
  <c r="AA511" i="1"/>
  <c r="Y513" i="1"/>
  <c r="Y512" i="1"/>
  <c r="Y511" i="1"/>
  <c r="W513" i="1"/>
  <c r="W512" i="1"/>
  <c r="W511" i="1"/>
  <c r="U513" i="1"/>
  <c r="U512" i="1"/>
  <c r="U511" i="1"/>
  <c r="S513" i="1"/>
  <c r="S512" i="1"/>
  <c r="S511" i="1"/>
  <c r="Q513" i="1"/>
  <c r="Q512" i="1"/>
  <c r="Q511" i="1"/>
  <c r="O513" i="1"/>
  <c r="O512" i="1"/>
  <c r="O511" i="1"/>
  <c r="M513" i="1"/>
  <c r="M512" i="1"/>
  <c r="M511" i="1"/>
  <c r="K513" i="1"/>
  <c r="K512" i="1"/>
  <c r="K511" i="1"/>
  <c r="K510" i="1"/>
  <c r="CA513" i="1"/>
  <c r="BY513" i="1"/>
  <c r="CA512" i="1"/>
  <c r="BZ512" i="1"/>
  <c r="BY512" i="1"/>
  <c r="BY528" i="1" s="1"/>
  <c r="CA511" i="1"/>
  <c r="CA527" i="1" s="1"/>
  <c r="BZ511" i="1"/>
  <c r="BY511" i="1"/>
  <c r="BY527" i="1" s="1"/>
  <c r="L510" i="1"/>
  <c r="L514" i="1" s="1"/>
  <c r="BH503" i="1"/>
  <c r="BF505" i="1"/>
  <c r="BH505" i="1" s="1"/>
  <c r="BF504" i="1"/>
  <c r="BH504" i="1" s="1"/>
  <c r="BF503" i="1"/>
  <c r="AU502" i="1"/>
  <c r="AS502" i="1"/>
  <c r="AQ505" i="1"/>
  <c r="AS505" i="1" s="1"/>
  <c r="AU505" i="1" s="1"/>
  <c r="AQ504" i="1"/>
  <c r="AS504" i="1" s="1"/>
  <c r="AQ502" i="1"/>
  <c r="AO505" i="1"/>
  <c r="AO504" i="1"/>
  <c r="AO502" i="1"/>
  <c r="AM505" i="1"/>
  <c r="AM504" i="1"/>
  <c r="AM502" i="1"/>
  <c r="AK505" i="1"/>
  <c r="AK504" i="1"/>
  <c r="AK502" i="1"/>
  <c r="AI505" i="1"/>
  <c r="AI504" i="1"/>
  <c r="AI502" i="1"/>
  <c r="AG505" i="1"/>
  <c r="AG504" i="1"/>
  <c r="AG502" i="1"/>
  <c r="AE505" i="1"/>
  <c r="AE504" i="1"/>
  <c r="AE502" i="1"/>
  <c r="AC505" i="1"/>
  <c r="AC504" i="1"/>
  <c r="AC502" i="1"/>
  <c r="AA505" i="1"/>
  <c r="AA504" i="1"/>
  <c r="AA502" i="1"/>
  <c r="Y505" i="1"/>
  <c r="Y504" i="1"/>
  <c r="Y503" i="1"/>
  <c r="Y502" i="1"/>
  <c r="CI505" i="1"/>
  <c r="CG505" i="1"/>
  <c r="CS505" i="1" s="1"/>
  <c r="CE505" i="1"/>
  <c r="CF505" i="1" s="1"/>
  <c r="CC505" i="1"/>
  <c r="CD505" i="1" s="1"/>
  <c r="CA505" i="1"/>
  <c r="BY505" i="1"/>
  <c r="BZ505" i="1" s="1"/>
  <c r="CI504" i="1"/>
  <c r="CG504" i="1"/>
  <c r="CE504" i="1"/>
  <c r="CF504" i="1" s="1"/>
  <c r="CC504" i="1"/>
  <c r="CD504" i="1" s="1"/>
  <c r="CA504" i="1"/>
  <c r="BY504" i="1"/>
  <c r="BZ504" i="1" s="1"/>
  <c r="CI503" i="1"/>
  <c r="CG503" i="1"/>
  <c r="CS503" i="1" s="1"/>
  <c r="CC503" i="1"/>
  <c r="BY503" i="1"/>
  <c r="BZ503" i="1" s="1"/>
  <c r="BD503" i="1"/>
  <c r="BB503" i="1"/>
  <c r="AZ503" i="1"/>
  <c r="AX503" i="1"/>
  <c r="AV503" i="1"/>
  <c r="CE503" i="1" s="1"/>
  <c r="CF503" i="1" s="1"/>
  <c r="AT503" i="1"/>
  <c r="AR503" i="1"/>
  <c r="AP503" i="1"/>
  <c r="AN503" i="1"/>
  <c r="AL503" i="1"/>
  <c r="AJ503" i="1"/>
  <c r="AH503" i="1"/>
  <c r="AF503" i="1"/>
  <c r="AG503" i="1" s="1"/>
  <c r="AD503" i="1"/>
  <c r="AE503" i="1" s="1"/>
  <c r="AB503" i="1"/>
  <c r="AC503" i="1" s="1"/>
  <c r="Z503" i="1"/>
  <c r="AA503" i="1" s="1"/>
  <c r="CR505" i="1"/>
  <c r="CR504" i="1"/>
  <c r="CR503" i="1"/>
  <c r="CR502" i="1"/>
  <c r="CI502" i="1"/>
  <c r="CH502" i="1"/>
  <c r="CG502" i="1"/>
  <c r="CS502" i="1" s="1"/>
  <c r="CF502" i="1"/>
  <c r="CE502" i="1"/>
  <c r="CD502" i="1"/>
  <c r="CC502" i="1"/>
  <c r="CB502" i="1"/>
  <c r="CA502" i="1"/>
  <c r="BZ502" i="1"/>
  <c r="BY502" i="1"/>
  <c r="BM499" i="1"/>
  <c r="CR500" i="1"/>
  <c r="CS499" i="1"/>
  <c r="CR499" i="1"/>
  <c r="CJ499" i="1"/>
  <c r="CI499" i="1"/>
  <c r="CH499" i="1"/>
  <c r="CG499" i="1"/>
  <c r="CF499" i="1"/>
  <c r="CE499" i="1"/>
  <c r="CD499" i="1"/>
  <c r="CC499" i="1"/>
  <c r="CB499" i="1"/>
  <c r="CA499" i="1"/>
  <c r="BZ499" i="1"/>
  <c r="BY499" i="1"/>
  <c r="BX499" i="1"/>
  <c r="BW499" i="1"/>
  <c r="BV499" i="1"/>
  <c r="BU499" i="1"/>
  <c r="BI499" i="1"/>
  <c r="BG499" i="1"/>
  <c r="BE499" i="1"/>
  <c r="BC499" i="1"/>
  <c r="BA499" i="1"/>
  <c r="AY499" i="1"/>
  <c r="AW499" i="1"/>
  <c r="AU499" i="1"/>
  <c r="AS499" i="1"/>
  <c r="AQ499" i="1"/>
  <c r="AO499" i="1"/>
  <c r="AM499" i="1"/>
  <c r="AK499" i="1"/>
  <c r="AI499" i="1"/>
  <c r="AG499" i="1"/>
  <c r="AE499" i="1"/>
  <c r="AC499" i="1"/>
  <c r="AA499" i="1"/>
  <c r="Y499" i="1"/>
  <c r="W499" i="1"/>
  <c r="U499" i="1"/>
  <c r="S499" i="1"/>
  <c r="Q499" i="1"/>
  <c r="O499" i="1"/>
  <c r="M499" i="1"/>
  <c r="K499" i="1"/>
  <c r="CR496" i="1"/>
  <c r="BS494" i="1"/>
  <c r="BS493" i="1"/>
  <c r="BQ494" i="1"/>
  <c r="BQ493" i="1"/>
  <c r="BQ492" i="1"/>
  <c r="H494" i="1"/>
  <c r="H493" i="1"/>
  <c r="F494" i="1"/>
  <c r="F493" i="1"/>
  <c r="D494" i="1"/>
  <c r="D493" i="1"/>
  <c r="B494" i="1"/>
  <c r="B493" i="1"/>
  <c r="BH494" i="1"/>
  <c r="BH493" i="1"/>
  <c r="CR494" i="1"/>
  <c r="CR493" i="1"/>
  <c r="CR492" i="1"/>
  <c r="BD494" i="1"/>
  <c r="BM494" i="1" s="1"/>
  <c r="BB494" i="1"/>
  <c r="BC494" i="1" s="1"/>
  <c r="AZ494" i="1"/>
  <c r="BA494" i="1" s="1"/>
  <c r="AX494" i="1"/>
  <c r="AY494" i="1" s="1"/>
  <c r="AV494" i="1"/>
  <c r="AW494" i="1" s="1"/>
  <c r="AT494" i="1"/>
  <c r="AU494" i="1" s="1"/>
  <c r="AR494" i="1"/>
  <c r="AS494" i="1" s="1"/>
  <c r="AP494" i="1"/>
  <c r="AQ494" i="1" s="1"/>
  <c r="AN494" i="1"/>
  <c r="AO494" i="1" s="1"/>
  <c r="AL494" i="1"/>
  <c r="AM494" i="1" s="1"/>
  <c r="AJ494" i="1"/>
  <c r="AK494" i="1" s="1"/>
  <c r="AH494" i="1"/>
  <c r="AI494" i="1" s="1"/>
  <c r="AF494" i="1"/>
  <c r="AG494" i="1" s="1"/>
  <c r="AD494" i="1"/>
  <c r="AE494" i="1" s="1"/>
  <c r="AB494" i="1"/>
  <c r="AC494" i="1" s="1"/>
  <c r="Z494" i="1"/>
  <c r="AA494" i="1" s="1"/>
  <c r="X494" i="1"/>
  <c r="Y494" i="1" s="1"/>
  <c r="V494" i="1"/>
  <c r="W494" i="1" s="1"/>
  <c r="T494" i="1"/>
  <c r="U494" i="1" s="1"/>
  <c r="R494" i="1"/>
  <c r="S494" i="1" s="1"/>
  <c r="P494" i="1"/>
  <c r="Q494" i="1" s="1"/>
  <c r="N494" i="1"/>
  <c r="O494" i="1" s="1"/>
  <c r="L494" i="1"/>
  <c r="M494" i="1" s="1"/>
  <c r="J494" i="1"/>
  <c r="K494" i="1" s="1"/>
  <c r="BD493" i="1"/>
  <c r="BM493" i="1" s="1"/>
  <c r="BB493" i="1"/>
  <c r="BC493" i="1" s="1"/>
  <c r="AZ493" i="1"/>
  <c r="BA493" i="1" s="1"/>
  <c r="AX493" i="1"/>
  <c r="BG493" i="1" s="1"/>
  <c r="AV493" i="1"/>
  <c r="AW493" i="1" s="1"/>
  <c r="AT493" i="1"/>
  <c r="AU493" i="1" s="1"/>
  <c r="AR493" i="1"/>
  <c r="AS493" i="1" s="1"/>
  <c r="AP493" i="1"/>
  <c r="AQ493" i="1" s="1"/>
  <c r="AN493" i="1"/>
  <c r="AO493" i="1" s="1"/>
  <c r="AL493" i="1"/>
  <c r="AM493" i="1" s="1"/>
  <c r="AJ493" i="1"/>
  <c r="AK493" i="1" s="1"/>
  <c r="AH493" i="1"/>
  <c r="AI493" i="1" s="1"/>
  <c r="AF493" i="1"/>
  <c r="AG493" i="1" s="1"/>
  <c r="AD493" i="1"/>
  <c r="AE493" i="1" s="1"/>
  <c r="AB493" i="1"/>
  <c r="AC493" i="1" s="1"/>
  <c r="Z493" i="1"/>
  <c r="AA493" i="1" s="1"/>
  <c r="X493" i="1"/>
  <c r="Y493" i="1" s="1"/>
  <c r="V493" i="1"/>
  <c r="W493" i="1" s="1"/>
  <c r="T493" i="1"/>
  <c r="U493" i="1" s="1"/>
  <c r="R493" i="1"/>
  <c r="S493" i="1" s="1"/>
  <c r="P493" i="1"/>
  <c r="Q493" i="1" s="1"/>
  <c r="N493" i="1"/>
  <c r="O493" i="1" s="1"/>
  <c r="L493" i="1"/>
  <c r="M493" i="1" s="1"/>
  <c r="J493" i="1"/>
  <c r="K493" i="1" s="1"/>
  <c r="BS489" i="1"/>
  <c r="BQ489" i="1"/>
  <c r="BM488" i="1"/>
  <c r="BM487" i="1"/>
  <c r="BM486" i="1"/>
  <c r="BD489" i="1"/>
  <c r="BM489" i="1" s="1"/>
  <c r="BB489" i="1"/>
  <c r="BC489" i="1" s="1"/>
  <c r="AZ489" i="1"/>
  <c r="BA489" i="1" s="1"/>
  <c r="AX489" i="1"/>
  <c r="AY489" i="1" s="1"/>
  <c r="AV489" i="1"/>
  <c r="AW489" i="1" s="1"/>
  <c r="AT489" i="1"/>
  <c r="AU489" i="1" s="1"/>
  <c r="AR489" i="1"/>
  <c r="AS489" i="1" s="1"/>
  <c r="AP489" i="1"/>
  <c r="AQ489" i="1" s="1"/>
  <c r="AN489" i="1"/>
  <c r="AO489" i="1" s="1"/>
  <c r="AL489" i="1"/>
  <c r="AM489" i="1" s="1"/>
  <c r="AJ489" i="1"/>
  <c r="AK489" i="1" s="1"/>
  <c r="AH489" i="1"/>
  <c r="AI489" i="1" s="1"/>
  <c r="AF489" i="1"/>
  <c r="AG489" i="1" s="1"/>
  <c r="AD489" i="1"/>
  <c r="AE489" i="1" s="1"/>
  <c r="AB489" i="1"/>
  <c r="AC489" i="1" s="1"/>
  <c r="Z489" i="1"/>
  <c r="AA489" i="1" s="1"/>
  <c r="X489" i="1"/>
  <c r="Y489" i="1" s="1"/>
  <c r="V489" i="1"/>
  <c r="W489" i="1" s="1"/>
  <c r="T489" i="1"/>
  <c r="U489" i="1" s="1"/>
  <c r="R489" i="1"/>
  <c r="S489" i="1" s="1"/>
  <c r="P489" i="1"/>
  <c r="O489" i="1"/>
  <c r="N489" i="1"/>
  <c r="L489" i="1"/>
  <c r="K489" i="1"/>
  <c r="J489" i="1"/>
  <c r="H489" i="1"/>
  <c r="Q489" i="1" s="1"/>
  <c r="F489" i="1"/>
  <c r="D489" i="1"/>
  <c r="M489" i="1" s="1"/>
  <c r="B489" i="1"/>
  <c r="BC488" i="1"/>
  <c r="BC487" i="1"/>
  <c r="BC486" i="1"/>
  <c r="BA488" i="1"/>
  <c r="BA487" i="1"/>
  <c r="BA486" i="1"/>
  <c r="AY488" i="1"/>
  <c r="AY487" i="1"/>
  <c r="AY486" i="1"/>
  <c r="AW488" i="1"/>
  <c r="AW487" i="1"/>
  <c r="AW486" i="1"/>
  <c r="AU488" i="1"/>
  <c r="AU487" i="1"/>
  <c r="AU486" i="1"/>
  <c r="AS488" i="1"/>
  <c r="AS487" i="1"/>
  <c r="AS486" i="1"/>
  <c r="AQ488" i="1"/>
  <c r="AQ487" i="1"/>
  <c r="AQ486" i="1"/>
  <c r="AO488" i="1"/>
  <c r="AO487" i="1"/>
  <c r="AO486" i="1"/>
  <c r="AM488" i="1"/>
  <c r="AM487" i="1"/>
  <c r="AM486" i="1"/>
  <c r="AK488" i="1"/>
  <c r="AK487" i="1"/>
  <c r="AK486" i="1"/>
  <c r="AI488" i="1"/>
  <c r="AI487" i="1"/>
  <c r="AI486" i="1"/>
  <c r="AG488" i="1"/>
  <c r="AG487" i="1"/>
  <c r="AG486" i="1"/>
  <c r="AE488" i="1"/>
  <c r="AE487" i="1"/>
  <c r="AE486" i="1"/>
  <c r="AC488" i="1"/>
  <c r="AC487" i="1"/>
  <c r="AC486" i="1"/>
  <c r="AA488" i="1"/>
  <c r="AA487" i="1"/>
  <c r="AA486" i="1"/>
  <c r="Y488" i="1"/>
  <c r="Y487" i="1"/>
  <c r="Y486" i="1"/>
  <c r="W488" i="1"/>
  <c r="W487" i="1"/>
  <c r="W486" i="1"/>
  <c r="U488" i="1"/>
  <c r="U487" i="1"/>
  <c r="U486" i="1"/>
  <c r="S488" i="1"/>
  <c r="S487" i="1"/>
  <c r="S486" i="1"/>
  <c r="Q488" i="1"/>
  <c r="Q487" i="1"/>
  <c r="Q486" i="1"/>
  <c r="O488" i="1"/>
  <c r="O487" i="1"/>
  <c r="O486" i="1"/>
  <c r="M488" i="1"/>
  <c r="M487" i="1"/>
  <c r="M486" i="1"/>
  <c r="K488" i="1"/>
  <c r="K487" i="1"/>
  <c r="K486" i="1"/>
  <c r="CR489" i="1"/>
  <c r="CR488" i="1"/>
  <c r="CR487" i="1"/>
  <c r="CR486" i="1"/>
  <c r="CG488" i="1"/>
  <c r="CE488" i="1"/>
  <c r="CC488" i="1"/>
  <c r="CF488" i="1" s="1"/>
  <c r="CA488" i="1"/>
  <c r="BY488" i="1"/>
  <c r="BW488" i="1"/>
  <c r="BX488" i="1" s="1"/>
  <c r="BU488" i="1"/>
  <c r="CG487" i="1"/>
  <c r="CS487" i="1" s="1"/>
  <c r="CE487" i="1"/>
  <c r="CC487" i="1"/>
  <c r="CF487" i="1" s="1"/>
  <c r="CA487" i="1"/>
  <c r="BY487" i="1"/>
  <c r="BW487" i="1"/>
  <c r="BX487" i="1" s="1"/>
  <c r="BU487" i="1"/>
  <c r="CG486" i="1"/>
  <c r="CE486" i="1"/>
  <c r="CC486" i="1"/>
  <c r="CF486" i="1" s="1"/>
  <c r="CA486" i="1"/>
  <c r="BY486" i="1"/>
  <c r="BW486" i="1"/>
  <c r="BX486" i="1" s="1"/>
  <c r="BU486" i="1"/>
  <c r="BE488" i="1"/>
  <c r="BE487" i="1"/>
  <c r="BE486" i="1"/>
  <c r="BQ483" i="1"/>
  <c r="BQ482" i="1"/>
  <c r="CR483" i="1"/>
  <c r="CR482" i="1"/>
  <c r="CR479" i="1"/>
  <c r="BQ479" i="1"/>
  <c r="BS476" i="1"/>
  <c r="BS496" i="1" s="1"/>
  <c r="BQ476" i="1"/>
  <c r="BQ496" i="1" s="1"/>
  <c r="BQ500" i="1" s="1"/>
  <c r="BM475" i="1"/>
  <c r="BM474" i="1"/>
  <c r="BM473" i="1"/>
  <c r="BM472" i="1"/>
  <c r="BD476" i="1"/>
  <c r="BD496" i="1" s="1"/>
  <c r="T476" i="1"/>
  <c r="T496" i="1" s="1"/>
  <c r="R476" i="1"/>
  <c r="R496" i="1" s="1"/>
  <c r="P476" i="1"/>
  <c r="P496" i="1" s="1"/>
  <c r="N476" i="1"/>
  <c r="N496" i="1" s="1"/>
  <c r="L476" i="1"/>
  <c r="L496" i="1" s="1"/>
  <c r="J476" i="1"/>
  <c r="J496" i="1" s="1"/>
  <c r="H476" i="1"/>
  <c r="H496" i="1" s="1"/>
  <c r="F476" i="1"/>
  <c r="F496" i="1" s="1"/>
  <c r="D476" i="1"/>
  <c r="D496" i="1" s="1"/>
  <c r="B476" i="1"/>
  <c r="B496" i="1" s="1"/>
  <c r="BB475" i="1"/>
  <c r="BB476" i="1" s="1"/>
  <c r="AZ475" i="1"/>
  <c r="BH475" i="1" s="1"/>
  <c r="BI475" i="1" s="1"/>
  <c r="AX475" i="1"/>
  <c r="AX476" i="1" s="1"/>
  <c r="AV475" i="1"/>
  <c r="AV476" i="1" s="1"/>
  <c r="AT475" i="1"/>
  <c r="AT476" i="1" s="1"/>
  <c r="AR475" i="1"/>
  <c r="AR476" i="1" s="1"/>
  <c r="AP475" i="1"/>
  <c r="AP476" i="1" s="1"/>
  <c r="AN475" i="1"/>
  <c r="AN476" i="1" s="1"/>
  <c r="AL475" i="1"/>
  <c r="AL476" i="1" s="1"/>
  <c r="AJ475" i="1"/>
  <c r="AJ476" i="1" s="1"/>
  <c r="AH475" i="1"/>
  <c r="AH476" i="1" s="1"/>
  <c r="AF475" i="1"/>
  <c r="AF476" i="1" s="1"/>
  <c r="AD475" i="1"/>
  <c r="AD476" i="1" s="1"/>
  <c r="AB475" i="1"/>
  <c r="AB476" i="1" s="1"/>
  <c r="Z475" i="1"/>
  <c r="Z476" i="1" s="1"/>
  <c r="X475" i="1"/>
  <c r="X476" i="1" s="1"/>
  <c r="V475" i="1"/>
  <c r="V476" i="1" s="1"/>
  <c r="U475" i="1"/>
  <c r="S475" i="1"/>
  <c r="S474" i="1"/>
  <c r="S473" i="1"/>
  <c r="S472" i="1"/>
  <c r="Q475" i="1"/>
  <c r="Q474" i="1"/>
  <c r="Q473" i="1"/>
  <c r="Q472" i="1"/>
  <c r="O475" i="1"/>
  <c r="O474" i="1"/>
  <c r="O473" i="1"/>
  <c r="O472" i="1"/>
  <c r="M475" i="1"/>
  <c r="M474" i="1"/>
  <c r="M473" i="1"/>
  <c r="M472" i="1"/>
  <c r="K475" i="1"/>
  <c r="K474" i="1"/>
  <c r="K473" i="1"/>
  <c r="K472" i="1"/>
  <c r="BC474" i="1"/>
  <c r="BC473" i="1"/>
  <c r="BC472" i="1"/>
  <c r="BA474" i="1"/>
  <c r="BA473" i="1"/>
  <c r="BA472" i="1"/>
  <c r="AY474" i="1"/>
  <c r="AY473" i="1"/>
  <c r="AY472" i="1"/>
  <c r="AW474" i="1"/>
  <c r="AW473" i="1"/>
  <c r="AW472" i="1"/>
  <c r="AU474" i="1"/>
  <c r="AU473" i="1"/>
  <c r="AU472" i="1"/>
  <c r="AS474" i="1"/>
  <c r="AS473" i="1"/>
  <c r="AS472" i="1"/>
  <c r="AQ474" i="1"/>
  <c r="AQ473" i="1"/>
  <c r="AQ472" i="1"/>
  <c r="AO474" i="1"/>
  <c r="AO473" i="1"/>
  <c r="AO472" i="1"/>
  <c r="AM474" i="1"/>
  <c r="AM473" i="1"/>
  <c r="AM472" i="1"/>
  <c r="AK474" i="1"/>
  <c r="AK473" i="1"/>
  <c r="AK472" i="1"/>
  <c r="AI474" i="1"/>
  <c r="AI473" i="1"/>
  <c r="AI472" i="1"/>
  <c r="AG474" i="1"/>
  <c r="AG473" i="1"/>
  <c r="AG472" i="1"/>
  <c r="AE474" i="1"/>
  <c r="AE473" i="1"/>
  <c r="AE472" i="1"/>
  <c r="AC474" i="1"/>
  <c r="AC473" i="1"/>
  <c r="AC472" i="1"/>
  <c r="AA474" i="1"/>
  <c r="AA473" i="1"/>
  <c r="AA472" i="1"/>
  <c r="Y474" i="1"/>
  <c r="Y473" i="1"/>
  <c r="Y472" i="1"/>
  <c r="W474" i="1"/>
  <c r="W473" i="1"/>
  <c r="W472" i="1"/>
  <c r="U474" i="1"/>
  <c r="U473" i="1"/>
  <c r="U472" i="1"/>
  <c r="CR476" i="1"/>
  <c r="CR475" i="1"/>
  <c r="CR474" i="1"/>
  <c r="CS473" i="1"/>
  <c r="CR473" i="1"/>
  <c r="CR472" i="1"/>
  <c r="BX475" i="1"/>
  <c r="BW475" i="1"/>
  <c r="BU475" i="1"/>
  <c r="BV475" i="1" s="1"/>
  <c r="CH474" i="1"/>
  <c r="CG474" i="1"/>
  <c r="CS474" i="1" s="1"/>
  <c r="CE474" i="1"/>
  <c r="CF474" i="1" s="1"/>
  <c r="CD474" i="1"/>
  <c r="CC474" i="1"/>
  <c r="CA474" i="1"/>
  <c r="CB474" i="1" s="1"/>
  <c r="BZ474" i="1"/>
  <c r="BY474" i="1"/>
  <c r="BW474" i="1"/>
  <c r="BX474" i="1" s="1"/>
  <c r="BV474" i="1"/>
  <c r="BU474" i="1"/>
  <c r="CG473" i="1"/>
  <c r="CH473" i="1" s="1"/>
  <c r="CF473" i="1"/>
  <c r="CE473" i="1"/>
  <c r="CC473" i="1"/>
  <c r="CD473" i="1" s="1"/>
  <c r="CB473" i="1"/>
  <c r="CA473" i="1"/>
  <c r="BY473" i="1"/>
  <c r="BZ473" i="1" s="1"/>
  <c r="BX473" i="1"/>
  <c r="BW473" i="1"/>
  <c r="BU473" i="1"/>
  <c r="BV473" i="1" s="1"/>
  <c r="CH472" i="1"/>
  <c r="CG472" i="1"/>
  <c r="CS472" i="1" s="1"/>
  <c r="CE472" i="1"/>
  <c r="CF472" i="1" s="1"/>
  <c r="CD472" i="1"/>
  <c r="CC472" i="1"/>
  <c r="CA472" i="1"/>
  <c r="CB472" i="1" s="1"/>
  <c r="BZ472" i="1"/>
  <c r="BY472" i="1"/>
  <c r="BW472" i="1"/>
  <c r="BX472" i="1" s="1"/>
  <c r="BV472" i="1"/>
  <c r="BU472" i="1"/>
  <c r="BE475" i="1"/>
  <c r="BE474" i="1"/>
  <c r="BE473" i="1"/>
  <c r="BE472" i="1"/>
  <c r="BS469" i="1"/>
  <c r="R469" i="1"/>
  <c r="B469" i="1"/>
  <c r="BS467" i="1"/>
  <c r="BS466" i="1"/>
  <c r="H467" i="1"/>
  <c r="H466" i="1"/>
  <c r="H492" i="1" s="1"/>
  <c r="F467" i="1"/>
  <c r="F466" i="1"/>
  <c r="D467" i="1"/>
  <c r="D466" i="1"/>
  <c r="D492" i="1" s="1"/>
  <c r="B467" i="1"/>
  <c r="B466" i="1"/>
  <c r="B492" i="1" s="1"/>
  <c r="CR467" i="1"/>
  <c r="CR466" i="1"/>
  <c r="BD467" i="1"/>
  <c r="BM467" i="1" s="1"/>
  <c r="BB467" i="1"/>
  <c r="AZ467" i="1"/>
  <c r="AX467" i="1"/>
  <c r="AV467" i="1"/>
  <c r="AT467" i="1"/>
  <c r="AR467" i="1"/>
  <c r="AP467" i="1"/>
  <c r="AN467" i="1"/>
  <c r="AL467" i="1"/>
  <c r="AJ467" i="1"/>
  <c r="AH467" i="1"/>
  <c r="AF467" i="1"/>
  <c r="AD467" i="1"/>
  <c r="AB467" i="1"/>
  <c r="Z467" i="1"/>
  <c r="X467" i="1"/>
  <c r="V467" i="1"/>
  <c r="T467" i="1"/>
  <c r="R467" i="1"/>
  <c r="P467" i="1"/>
  <c r="Q467" i="1" s="1"/>
  <c r="N467" i="1"/>
  <c r="O467" i="1" s="1"/>
  <c r="L467" i="1"/>
  <c r="M467" i="1" s="1"/>
  <c r="J467" i="1"/>
  <c r="K467" i="1" s="1"/>
  <c r="BD466" i="1"/>
  <c r="BD492" i="1" s="1"/>
  <c r="BM492" i="1" s="1"/>
  <c r="BB466" i="1"/>
  <c r="BB492" i="1" s="1"/>
  <c r="AZ466" i="1"/>
  <c r="AZ492" i="1" s="1"/>
  <c r="BI492" i="1" s="1"/>
  <c r="AX466" i="1"/>
  <c r="AV466" i="1"/>
  <c r="AV492" i="1" s="1"/>
  <c r="AT466" i="1"/>
  <c r="AT492" i="1" s="1"/>
  <c r="AR466" i="1"/>
  <c r="AR492" i="1" s="1"/>
  <c r="AP466" i="1"/>
  <c r="AN466" i="1"/>
  <c r="AN492" i="1" s="1"/>
  <c r="AL466" i="1"/>
  <c r="AL492" i="1" s="1"/>
  <c r="AJ466" i="1"/>
  <c r="AJ492" i="1" s="1"/>
  <c r="AH466" i="1"/>
  <c r="AF466" i="1"/>
  <c r="AF492" i="1" s="1"/>
  <c r="AD466" i="1"/>
  <c r="AD492" i="1" s="1"/>
  <c r="AB466" i="1"/>
  <c r="AB492" i="1" s="1"/>
  <c r="Z466" i="1"/>
  <c r="X466" i="1"/>
  <c r="X492" i="1" s="1"/>
  <c r="V466" i="1"/>
  <c r="V492" i="1" s="1"/>
  <c r="T466" i="1"/>
  <c r="T492" i="1" s="1"/>
  <c r="R466" i="1"/>
  <c r="P466" i="1"/>
  <c r="P492" i="1" s="1"/>
  <c r="N466" i="1"/>
  <c r="N492" i="1" s="1"/>
  <c r="L466" i="1"/>
  <c r="L492" i="1" s="1"/>
  <c r="M492" i="1" s="1"/>
  <c r="J466" i="1"/>
  <c r="BS463" i="1"/>
  <c r="BS464" i="1" s="1"/>
  <c r="BM462" i="1"/>
  <c r="BM461" i="1"/>
  <c r="H463" i="1"/>
  <c r="F463" i="1"/>
  <c r="H464" i="1" s="1"/>
  <c r="D463" i="1"/>
  <c r="F464" i="1" s="1"/>
  <c r="B463" i="1"/>
  <c r="D464" i="1" s="1"/>
  <c r="BD463" i="1"/>
  <c r="BB463" i="1"/>
  <c r="BD464" i="1" s="1"/>
  <c r="AZ463" i="1"/>
  <c r="BB464" i="1" s="1"/>
  <c r="AX463" i="1"/>
  <c r="AZ464" i="1" s="1"/>
  <c r="AV463" i="1"/>
  <c r="AT463" i="1"/>
  <c r="AV464" i="1" s="1"/>
  <c r="AR463" i="1"/>
  <c r="AT464" i="1" s="1"/>
  <c r="AP463" i="1"/>
  <c r="AR464" i="1" s="1"/>
  <c r="AN463" i="1"/>
  <c r="AL463" i="1"/>
  <c r="AN464" i="1" s="1"/>
  <c r="AJ463" i="1"/>
  <c r="AL464" i="1" s="1"/>
  <c r="AH463" i="1"/>
  <c r="AJ464" i="1" s="1"/>
  <c r="AF463" i="1"/>
  <c r="AD463" i="1"/>
  <c r="AF464" i="1" s="1"/>
  <c r="AB463" i="1"/>
  <c r="AD464" i="1" s="1"/>
  <c r="Z463" i="1"/>
  <c r="AB464" i="1" s="1"/>
  <c r="X463" i="1"/>
  <c r="V463" i="1"/>
  <c r="X464" i="1" s="1"/>
  <c r="T463" i="1"/>
  <c r="V464" i="1" s="1"/>
  <c r="R463" i="1"/>
  <c r="T464" i="1" s="1"/>
  <c r="P463" i="1"/>
  <c r="N463" i="1"/>
  <c r="P464" i="1" s="1"/>
  <c r="L463" i="1"/>
  <c r="J463" i="1"/>
  <c r="J464" i="1" s="1"/>
  <c r="BC462" i="1"/>
  <c r="BC461" i="1"/>
  <c r="BA462" i="1"/>
  <c r="BA461" i="1"/>
  <c r="AY462" i="1"/>
  <c r="AY461" i="1"/>
  <c r="AW462" i="1"/>
  <c r="AW461" i="1"/>
  <c r="AU462" i="1"/>
  <c r="AU461" i="1"/>
  <c r="AS462" i="1"/>
  <c r="AS461" i="1"/>
  <c r="AQ462" i="1"/>
  <c r="AQ461" i="1"/>
  <c r="AO462" i="1"/>
  <c r="AO461" i="1"/>
  <c r="AM462" i="1"/>
  <c r="AM461" i="1"/>
  <c r="AK462" i="1"/>
  <c r="AK461" i="1"/>
  <c r="AI462" i="1"/>
  <c r="AI461" i="1"/>
  <c r="AG462" i="1"/>
  <c r="AG461" i="1"/>
  <c r="AE462" i="1"/>
  <c r="AE461" i="1"/>
  <c r="AC462" i="1"/>
  <c r="AC461" i="1"/>
  <c r="AA462" i="1"/>
  <c r="AA461" i="1"/>
  <c r="Y462" i="1"/>
  <c r="Y461" i="1"/>
  <c r="W462" i="1"/>
  <c r="W461" i="1"/>
  <c r="U462" i="1"/>
  <c r="U461" i="1"/>
  <c r="S462" i="1"/>
  <c r="S461" i="1"/>
  <c r="Q462" i="1"/>
  <c r="Q461" i="1"/>
  <c r="O462" i="1"/>
  <c r="O461" i="1"/>
  <c r="M462" i="1"/>
  <c r="M461" i="1"/>
  <c r="K462" i="1"/>
  <c r="K461" i="1"/>
  <c r="CR464" i="1"/>
  <c r="CR463" i="1"/>
  <c r="CR462" i="1"/>
  <c r="CR461" i="1"/>
  <c r="CI462" i="1"/>
  <c r="CG462" i="1"/>
  <c r="CI467" i="1" s="1"/>
  <c r="CE462" i="1"/>
  <c r="CC462" i="1"/>
  <c r="CE467" i="1" s="1"/>
  <c r="CA462" i="1"/>
  <c r="CC467" i="1" s="1"/>
  <c r="BY462" i="1"/>
  <c r="CA467" i="1" s="1"/>
  <c r="BW462" i="1"/>
  <c r="BU462" i="1"/>
  <c r="BW467" i="1" s="1"/>
  <c r="CI461" i="1"/>
  <c r="CI463" i="1" s="1"/>
  <c r="CG461" i="1"/>
  <c r="CI466" i="1" s="1"/>
  <c r="CE461" i="1"/>
  <c r="CE463" i="1" s="1"/>
  <c r="CC461" i="1"/>
  <c r="CE466" i="1" s="1"/>
  <c r="CA461" i="1"/>
  <c r="CA463" i="1" s="1"/>
  <c r="BY461" i="1"/>
  <c r="CA466" i="1" s="1"/>
  <c r="BW461" i="1"/>
  <c r="BW463" i="1" s="1"/>
  <c r="BU461" i="1"/>
  <c r="BW466" i="1" s="1"/>
  <c r="BF462" i="1"/>
  <c r="BE462" i="1"/>
  <c r="BF461" i="1"/>
  <c r="BH461" i="1" s="1"/>
  <c r="BE461" i="1"/>
  <c r="CR458" i="1"/>
  <c r="BS458" i="1"/>
  <c r="BD458" i="1"/>
  <c r="BM458" i="1" s="1"/>
  <c r="BB458" i="1"/>
  <c r="AZ458" i="1"/>
  <c r="AX458" i="1"/>
  <c r="AV458" i="1"/>
  <c r="AT458" i="1"/>
  <c r="AR458" i="1"/>
  <c r="AP458" i="1"/>
  <c r="AN458" i="1"/>
  <c r="AL458" i="1"/>
  <c r="AJ458" i="1"/>
  <c r="AH458" i="1"/>
  <c r="AF458" i="1"/>
  <c r="AD458" i="1"/>
  <c r="AB458" i="1"/>
  <c r="Z458" i="1"/>
  <c r="X458" i="1"/>
  <c r="V458" i="1"/>
  <c r="T458" i="1"/>
  <c r="R458" i="1"/>
  <c r="P458" i="1"/>
  <c r="N458" i="1"/>
  <c r="L458" i="1"/>
  <c r="J458" i="1"/>
  <c r="H458" i="1"/>
  <c r="F458" i="1"/>
  <c r="D458" i="1"/>
  <c r="B458" i="1"/>
  <c r="CR456" i="1"/>
  <c r="CI454" i="1"/>
  <c r="CG454" i="1"/>
  <c r="CS454" i="1" s="1"/>
  <c r="CE454" i="1"/>
  <c r="CC454" i="1"/>
  <c r="CA454" i="1"/>
  <c r="BY454" i="1"/>
  <c r="BW455" i="1"/>
  <c r="BW454" i="1"/>
  <c r="BF454" i="1"/>
  <c r="BH454" i="1" s="1"/>
  <c r="Y454" i="1"/>
  <c r="BS452" i="1"/>
  <c r="BS456" i="1" s="1"/>
  <c r="BM451" i="1"/>
  <c r="BM450" i="1"/>
  <c r="BM449" i="1"/>
  <c r="R452" i="1"/>
  <c r="R455" i="1" s="1"/>
  <c r="R456" i="1" s="1"/>
  <c r="B452" i="1"/>
  <c r="B456" i="1" s="1"/>
  <c r="BC451" i="1"/>
  <c r="BC450" i="1"/>
  <c r="BC449" i="1"/>
  <c r="BA451" i="1"/>
  <c r="BA450" i="1"/>
  <c r="BA449" i="1"/>
  <c r="AY451" i="1"/>
  <c r="AY450" i="1"/>
  <c r="AY449" i="1"/>
  <c r="AW451" i="1"/>
  <c r="AW450" i="1"/>
  <c r="AW449" i="1"/>
  <c r="AU451" i="1"/>
  <c r="AU450" i="1"/>
  <c r="AU449" i="1"/>
  <c r="AS451" i="1"/>
  <c r="AS450" i="1"/>
  <c r="AS449" i="1"/>
  <c r="AQ451" i="1"/>
  <c r="AQ450" i="1"/>
  <c r="AQ449" i="1"/>
  <c r="AO451" i="1"/>
  <c r="AO450" i="1"/>
  <c r="AO449" i="1"/>
  <c r="AM451" i="1"/>
  <c r="AM450" i="1"/>
  <c r="AM449" i="1"/>
  <c r="AK451" i="1"/>
  <c r="AK450" i="1"/>
  <c r="AK449" i="1"/>
  <c r="AI451" i="1"/>
  <c r="AI450" i="1"/>
  <c r="AI449" i="1"/>
  <c r="AG451" i="1"/>
  <c r="AG450" i="1"/>
  <c r="AG449" i="1"/>
  <c r="AE451" i="1"/>
  <c r="AE450" i="1"/>
  <c r="AE449" i="1"/>
  <c r="AC451" i="1"/>
  <c r="AC450" i="1"/>
  <c r="AC449" i="1"/>
  <c r="AA451" i="1"/>
  <c r="AA450" i="1"/>
  <c r="AA449" i="1"/>
  <c r="Y451" i="1"/>
  <c r="Y450" i="1"/>
  <c r="Y449" i="1"/>
  <c r="W451" i="1"/>
  <c r="W450" i="1"/>
  <c r="W449" i="1"/>
  <c r="U451" i="1"/>
  <c r="U450" i="1"/>
  <c r="U449" i="1"/>
  <c r="S451" i="1"/>
  <c r="S450" i="1"/>
  <c r="S449" i="1"/>
  <c r="Q451" i="1"/>
  <c r="Q450" i="1"/>
  <c r="Q449" i="1"/>
  <c r="O451" i="1"/>
  <c r="O450" i="1"/>
  <c r="O449" i="1"/>
  <c r="M451" i="1"/>
  <c r="M450" i="1"/>
  <c r="M449" i="1"/>
  <c r="K451" i="1"/>
  <c r="K450" i="1"/>
  <c r="K449" i="1"/>
  <c r="CR452" i="1"/>
  <c r="CS451" i="1"/>
  <c r="CR451" i="1"/>
  <c r="CR450" i="1"/>
  <c r="CR449" i="1"/>
  <c r="CR448" i="1"/>
  <c r="CG451" i="1"/>
  <c r="CH451" i="1" s="1"/>
  <c r="CE451" i="1"/>
  <c r="CC451" i="1"/>
  <c r="CD451" i="1" s="1"/>
  <c r="CA451" i="1"/>
  <c r="BY451" i="1"/>
  <c r="BZ451" i="1" s="1"/>
  <c r="BW451" i="1"/>
  <c r="BU451" i="1"/>
  <c r="BV451" i="1" s="1"/>
  <c r="CG450" i="1"/>
  <c r="CE450" i="1"/>
  <c r="CF450" i="1" s="1"/>
  <c r="CC450" i="1"/>
  <c r="CA450" i="1"/>
  <c r="CB450" i="1" s="1"/>
  <c r="BY450" i="1"/>
  <c r="BY469" i="1" s="1"/>
  <c r="BW450" i="1"/>
  <c r="BX450" i="1" s="1"/>
  <c r="BU450" i="1"/>
  <c r="BU469" i="1" s="1"/>
  <c r="CG449" i="1"/>
  <c r="CE449" i="1"/>
  <c r="CC449" i="1"/>
  <c r="CA449" i="1"/>
  <c r="BY449" i="1"/>
  <c r="BW449" i="1"/>
  <c r="BU449" i="1"/>
  <c r="BY448" i="1"/>
  <c r="BV448" i="1"/>
  <c r="BU448" i="1"/>
  <c r="BG451" i="1"/>
  <c r="BF451" i="1"/>
  <c r="BE451" i="1"/>
  <c r="BF450" i="1"/>
  <c r="BE450" i="1"/>
  <c r="BH449" i="1"/>
  <c r="BI449" i="1" s="1"/>
  <c r="BF449" i="1"/>
  <c r="BE449" i="1"/>
  <c r="T448" i="1"/>
  <c r="T469" i="1" s="1"/>
  <c r="D448" i="1"/>
  <c r="CR442" i="1"/>
  <c r="CP442" i="1"/>
  <c r="CN442" i="1"/>
  <c r="CJ442" i="1"/>
  <c r="CI442" i="1"/>
  <c r="CL442" i="1" s="1"/>
  <c r="CG442" i="1"/>
  <c r="CS442" i="1" s="1"/>
  <c r="BY442" i="1"/>
  <c r="BZ442" i="1" s="1"/>
  <c r="BW442" i="1"/>
  <c r="BX442" i="1" s="1"/>
  <c r="BU442" i="1"/>
  <c r="BV442" i="1" s="1"/>
  <c r="BM442" i="1"/>
  <c r="BK442" i="1"/>
  <c r="BI442" i="1"/>
  <c r="BG442" i="1"/>
  <c r="BE442" i="1"/>
  <c r="BC442" i="1"/>
  <c r="BA442" i="1"/>
  <c r="AW442" i="1"/>
  <c r="AP442" i="1"/>
  <c r="AY442" i="1" s="1"/>
  <c r="AN442" i="1"/>
  <c r="AO442" i="1" s="1"/>
  <c r="AL442" i="1"/>
  <c r="AM442" i="1" s="1"/>
  <c r="AJ442" i="1"/>
  <c r="AS442" i="1" s="1"/>
  <c r="AH442" i="1"/>
  <c r="CC442" i="1" s="1"/>
  <c r="AF442" i="1"/>
  <c r="AG442" i="1" s="1"/>
  <c r="AD442" i="1"/>
  <c r="AE442" i="1" s="1"/>
  <c r="AB442" i="1"/>
  <c r="CA442" i="1" s="1"/>
  <c r="CB442" i="1" s="1"/>
  <c r="AA442" i="1"/>
  <c r="Y442" i="1"/>
  <c r="W442" i="1"/>
  <c r="U442" i="1"/>
  <c r="S442" i="1"/>
  <c r="Q442" i="1"/>
  <c r="O442" i="1"/>
  <c r="M442" i="1"/>
  <c r="K442" i="1"/>
  <c r="BS440" i="1"/>
  <c r="BS654" i="1" s="1"/>
  <c r="BQ440" i="1"/>
  <c r="BQ654" i="1" s="1"/>
  <c r="BB440" i="1"/>
  <c r="AZ440" i="1"/>
  <c r="AX440" i="1"/>
  <c r="AV440" i="1"/>
  <c r="AR440" i="1"/>
  <c r="AN440" i="1"/>
  <c r="AL440" i="1"/>
  <c r="AM440" i="1" s="1"/>
  <c r="AH440" i="1"/>
  <c r="AF440" i="1"/>
  <c r="AD440" i="1"/>
  <c r="AB440" i="1"/>
  <c r="Z440" i="1"/>
  <c r="X440" i="1"/>
  <c r="V440" i="1"/>
  <c r="T440" i="1"/>
  <c r="R440" i="1"/>
  <c r="P440" i="1"/>
  <c r="N440" i="1"/>
  <c r="L440" i="1"/>
  <c r="J440" i="1"/>
  <c r="H440" i="1"/>
  <c r="F440" i="1"/>
  <c r="D440" i="1"/>
  <c r="B440" i="1"/>
  <c r="CN439" i="1"/>
  <c r="CM439" i="1"/>
  <c r="CO439" i="1" s="1"/>
  <c r="CA439" i="1"/>
  <c r="BY439" i="1"/>
  <c r="BW439" i="1"/>
  <c r="BU439" i="1"/>
  <c r="BV439" i="1" s="1"/>
  <c r="BL439" i="1"/>
  <c r="BM439" i="1" s="1"/>
  <c r="BJ439" i="1"/>
  <c r="BK439" i="1" s="1"/>
  <c r="BI439" i="1"/>
  <c r="BG439" i="1"/>
  <c r="BD439" i="1"/>
  <c r="CG439" i="1" s="1"/>
  <c r="BA439" i="1"/>
  <c r="AW439" i="1"/>
  <c r="AT439" i="1"/>
  <c r="AT440" i="1" s="1"/>
  <c r="AR439" i="1"/>
  <c r="AS439" i="1" s="1"/>
  <c r="AP439" i="1"/>
  <c r="AP440" i="1" s="1"/>
  <c r="AO439" i="1"/>
  <c r="AM439" i="1"/>
  <c r="AJ439" i="1"/>
  <c r="CC439" i="1" s="1"/>
  <c r="CD439" i="1" s="1"/>
  <c r="AI439" i="1"/>
  <c r="AG439" i="1"/>
  <c r="AE439" i="1"/>
  <c r="AC439" i="1"/>
  <c r="AA439" i="1"/>
  <c r="Y439" i="1"/>
  <c r="W439" i="1"/>
  <c r="U439" i="1"/>
  <c r="S439" i="1"/>
  <c r="Q439" i="1"/>
  <c r="O439" i="1"/>
  <c r="M439" i="1"/>
  <c r="K439" i="1"/>
  <c r="CO438" i="1"/>
  <c r="CQ438" i="1" s="1"/>
  <c r="CM438" i="1"/>
  <c r="CM437" i="1"/>
  <c r="CO437" i="1" s="1"/>
  <c r="CQ437" i="1" s="1"/>
  <c r="CI438" i="1"/>
  <c r="CI436" i="1"/>
  <c r="CI435" i="1"/>
  <c r="CI433" i="1"/>
  <c r="CG438" i="1"/>
  <c r="CG437" i="1"/>
  <c r="CG435" i="1"/>
  <c r="CG433" i="1"/>
  <c r="CJ433" i="1" s="1"/>
  <c r="CE437" i="1"/>
  <c r="CE436" i="1"/>
  <c r="CE435" i="1"/>
  <c r="CE434" i="1"/>
  <c r="CE433" i="1"/>
  <c r="CE432" i="1"/>
  <c r="CF432" i="1" s="1"/>
  <c r="CC437" i="1"/>
  <c r="CC436" i="1"/>
  <c r="CC435" i="1"/>
  <c r="CC434" i="1"/>
  <c r="CF434" i="1" s="1"/>
  <c r="CC433" i="1"/>
  <c r="CF433" i="1" s="1"/>
  <c r="CC432" i="1"/>
  <c r="BL437" i="1"/>
  <c r="CI437" i="1" s="1"/>
  <c r="CS435" i="1"/>
  <c r="BM436" i="1"/>
  <c r="BM435" i="1"/>
  <c r="BM433" i="1"/>
  <c r="BK436" i="1"/>
  <c r="BK435" i="1"/>
  <c r="BK433" i="1"/>
  <c r="BI436" i="1"/>
  <c r="BI435" i="1"/>
  <c r="BI433" i="1"/>
  <c r="BG436" i="1"/>
  <c r="BG435" i="1"/>
  <c r="BG433" i="1"/>
  <c r="BE436" i="1"/>
  <c r="BD436" i="1"/>
  <c r="CG436" i="1" s="1"/>
  <c r="CS436" i="1" s="1"/>
  <c r="CR435" i="1"/>
  <c r="CR433" i="1"/>
  <c r="CP435" i="1"/>
  <c r="CP433" i="1"/>
  <c r="CN435" i="1"/>
  <c r="CN433" i="1"/>
  <c r="CL435" i="1"/>
  <c r="CL433" i="1"/>
  <c r="CJ435" i="1"/>
  <c r="CH435" i="1"/>
  <c r="CF435" i="1"/>
  <c r="BE435" i="1"/>
  <c r="BE433" i="1"/>
  <c r="BC435" i="1"/>
  <c r="BC434" i="1"/>
  <c r="BC433" i="1"/>
  <c r="BC432" i="1"/>
  <c r="BA435" i="1"/>
  <c r="BA434" i="1"/>
  <c r="BA433" i="1"/>
  <c r="BA432" i="1"/>
  <c r="AY435" i="1"/>
  <c r="AY434" i="1"/>
  <c r="AY433" i="1"/>
  <c r="AY432" i="1"/>
  <c r="AW435" i="1"/>
  <c r="AW434" i="1"/>
  <c r="AW433" i="1"/>
  <c r="AW432" i="1"/>
  <c r="AU435" i="1"/>
  <c r="AU434" i="1"/>
  <c r="AU433" i="1"/>
  <c r="AU432" i="1"/>
  <c r="AS435" i="1"/>
  <c r="AS434" i="1"/>
  <c r="AS433" i="1"/>
  <c r="AS432" i="1"/>
  <c r="AQ435" i="1"/>
  <c r="AQ434" i="1"/>
  <c r="AQ433" i="1"/>
  <c r="AQ432" i="1"/>
  <c r="AO435" i="1"/>
  <c r="AO434" i="1"/>
  <c r="AO433" i="1"/>
  <c r="AO432" i="1"/>
  <c r="AM435" i="1"/>
  <c r="AM434" i="1"/>
  <c r="AM433" i="1"/>
  <c r="AM432" i="1"/>
  <c r="AK435" i="1"/>
  <c r="AK434" i="1"/>
  <c r="AK433" i="1"/>
  <c r="AK432" i="1"/>
  <c r="AI435" i="1"/>
  <c r="AI434" i="1"/>
  <c r="AI433" i="1"/>
  <c r="AI432" i="1"/>
  <c r="AG435" i="1"/>
  <c r="AG434" i="1"/>
  <c r="AG433" i="1"/>
  <c r="AG432" i="1"/>
  <c r="AE435" i="1"/>
  <c r="AE434" i="1"/>
  <c r="AE433" i="1"/>
  <c r="AE432" i="1"/>
  <c r="AC435" i="1"/>
  <c r="AC434" i="1"/>
  <c r="AC433" i="1"/>
  <c r="AC432" i="1"/>
  <c r="AA435" i="1"/>
  <c r="AA434" i="1"/>
  <c r="AA433" i="1"/>
  <c r="AA432" i="1"/>
  <c r="Y435" i="1"/>
  <c r="Y434" i="1"/>
  <c r="Y433" i="1"/>
  <c r="Y432" i="1"/>
  <c r="W435" i="1"/>
  <c r="W434" i="1"/>
  <c r="W433" i="1"/>
  <c r="W432" i="1"/>
  <c r="U435" i="1"/>
  <c r="U434" i="1"/>
  <c r="U433" i="1"/>
  <c r="U432" i="1"/>
  <c r="S435" i="1"/>
  <c r="S434" i="1"/>
  <c r="S433" i="1"/>
  <c r="S432" i="1"/>
  <c r="Q435" i="1"/>
  <c r="Q434" i="1"/>
  <c r="Q433" i="1"/>
  <c r="Q432" i="1"/>
  <c r="O435" i="1"/>
  <c r="O434" i="1"/>
  <c r="O433" i="1"/>
  <c r="O432" i="1"/>
  <c r="M435" i="1"/>
  <c r="M434" i="1"/>
  <c r="M433" i="1"/>
  <c r="M432" i="1"/>
  <c r="K435" i="1"/>
  <c r="K434" i="1"/>
  <c r="K433" i="1"/>
  <c r="K432" i="1"/>
  <c r="BH434" i="1"/>
  <c r="BI434" i="1" s="1"/>
  <c r="BD434" i="1"/>
  <c r="CG434" i="1" s="1"/>
  <c r="CH434" i="1" s="1"/>
  <c r="CA435" i="1"/>
  <c r="CB435" i="1" s="1"/>
  <c r="BY435" i="1"/>
  <c r="BZ435" i="1" s="1"/>
  <c r="BW435" i="1"/>
  <c r="BX435" i="1" s="1"/>
  <c r="BU435" i="1"/>
  <c r="BV435" i="1" s="1"/>
  <c r="CA434" i="1"/>
  <c r="CD434" i="1" s="1"/>
  <c r="BY434" i="1"/>
  <c r="BZ434" i="1" s="1"/>
  <c r="BW434" i="1"/>
  <c r="BX434" i="1" s="1"/>
  <c r="BU434" i="1"/>
  <c r="BV434" i="1" s="1"/>
  <c r="CA433" i="1"/>
  <c r="CB433" i="1" s="1"/>
  <c r="BY433" i="1"/>
  <c r="BZ433" i="1" s="1"/>
  <c r="BW433" i="1"/>
  <c r="BX433" i="1" s="1"/>
  <c r="BU433" i="1"/>
  <c r="BV433" i="1" s="1"/>
  <c r="CA432" i="1"/>
  <c r="CD432" i="1" s="1"/>
  <c r="BY432" i="1"/>
  <c r="BY440" i="1" s="1"/>
  <c r="BW432" i="1"/>
  <c r="BX432" i="1" s="1"/>
  <c r="BU432" i="1"/>
  <c r="BU440" i="1" s="1"/>
  <c r="BD432" i="1"/>
  <c r="BE432" i="1" s="1"/>
  <c r="BF428" i="1"/>
  <c r="BH428" i="1" s="1"/>
  <c r="BJ428" i="1" s="1"/>
  <c r="BL428" i="1" s="1"/>
  <c r="CI428" i="1" s="1"/>
  <c r="BF426" i="1"/>
  <c r="BF427" i="1" s="1"/>
  <c r="BH426" i="1" s="1"/>
  <c r="BH427" i="1" s="1"/>
  <c r="BJ426" i="1" s="1"/>
  <c r="BJ427" i="1" s="1"/>
  <c r="BL426" i="1" s="1"/>
  <c r="AU428" i="1"/>
  <c r="AU427" i="1"/>
  <c r="AU425" i="1"/>
  <c r="AS428" i="1"/>
  <c r="AS427" i="1"/>
  <c r="AS425" i="1"/>
  <c r="AQ428" i="1"/>
  <c r="AQ427" i="1"/>
  <c r="AQ425" i="1"/>
  <c r="AO428" i="1"/>
  <c r="AO427" i="1"/>
  <c r="AO425" i="1"/>
  <c r="AM428" i="1"/>
  <c r="AM427" i="1"/>
  <c r="AM425" i="1"/>
  <c r="AK428" i="1"/>
  <c r="AK427" i="1"/>
  <c r="AK425" i="1"/>
  <c r="AI428" i="1"/>
  <c r="AI427" i="1"/>
  <c r="AI425" i="1"/>
  <c r="AG428" i="1"/>
  <c r="AG427" i="1"/>
  <c r="AG425" i="1"/>
  <c r="AE428" i="1"/>
  <c r="AE427" i="1"/>
  <c r="AE425" i="1"/>
  <c r="AC428" i="1"/>
  <c r="AC427" i="1"/>
  <c r="AC425" i="1"/>
  <c r="AA428" i="1"/>
  <c r="AA427" i="1"/>
  <c r="AA425" i="1"/>
  <c r="Y428" i="1"/>
  <c r="Y427" i="1"/>
  <c r="Y426" i="1"/>
  <c r="Y425" i="1"/>
  <c r="W428" i="1"/>
  <c r="W427" i="1"/>
  <c r="W426" i="1"/>
  <c r="W425" i="1"/>
  <c r="BD426" i="1"/>
  <c r="CG426" i="1" s="1"/>
  <c r="BB426" i="1"/>
  <c r="AZ426" i="1"/>
  <c r="AX426" i="1"/>
  <c r="AV426" i="1"/>
  <c r="AT426" i="1"/>
  <c r="AR426" i="1"/>
  <c r="AP426" i="1"/>
  <c r="AN426" i="1"/>
  <c r="AL426" i="1"/>
  <c r="AJ426" i="1"/>
  <c r="AH426" i="1"/>
  <c r="AF426" i="1"/>
  <c r="AG426" i="1" s="1"/>
  <c r="AD426" i="1"/>
  <c r="AE426" i="1" s="1"/>
  <c r="AB426" i="1"/>
  <c r="AC426" i="1" s="1"/>
  <c r="Z426" i="1"/>
  <c r="AA426" i="1" s="1"/>
  <c r="CG428" i="1"/>
  <c r="CH428" i="1" s="1"/>
  <c r="CF428" i="1"/>
  <c r="CE428" i="1"/>
  <c r="CC428" i="1"/>
  <c r="CD428" i="1" s="1"/>
  <c r="CB428" i="1"/>
  <c r="CA428" i="1"/>
  <c r="BY428" i="1"/>
  <c r="BZ428" i="1" s="1"/>
  <c r="CG427" i="1"/>
  <c r="CH427" i="1" s="1"/>
  <c r="CE427" i="1"/>
  <c r="CF427" i="1" s="1"/>
  <c r="CC427" i="1"/>
  <c r="CA427" i="1"/>
  <c r="BY427" i="1"/>
  <c r="BZ427" i="1" s="1"/>
  <c r="CE426" i="1"/>
  <c r="CA426" i="1"/>
  <c r="CB426" i="1" s="1"/>
  <c r="BZ426" i="1"/>
  <c r="BY426" i="1"/>
  <c r="CG425" i="1"/>
  <c r="CE425" i="1"/>
  <c r="CC425" i="1"/>
  <c r="CD425" i="1" s="1"/>
  <c r="CA425" i="1"/>
  <c r="CB425" i="1" s="1"/>
  <c r="BY425" i="1"/>
  <c r="BZ425" i="1" s="1"/>
  <c r="H421" i="1"/>
  <c r="F421" i="1"/>
  <c r="D421" i="1"/>
  <c r="B421" i="1"/>
  <c r="BS421" i="1"/>
  <c r="BQ421" i="1"/>
  <c r="CQ421" i="1"/>
  <c r="CO421" i="1"/>
  <c r="CR421" i="1" s="1"/>
  <c r="CM421" i="1"/>
  <c r="CK421" i="1"/>
  <c r="CN421" i="1" s="1"/>
  <c r="BL421" i="1"/>
  <c r="BJ421" i="1"/>
  <c r="BH421" i="1"/>
  <c r="BI421" i="1" s="1"/>
  <c r="BF421" i="1"/>
  <c r="BD421" i="1"/>
  <c r="BE421" i="1" s="1"/>
  <c r="AZ421" i="1"/>
  <c r="AX421" i="1"/>
  <c r="BG421" i="1" s="1"/>
  <c r="AW421" i="1"/>
  <c r="AV421" i="1"/>
  <c r="AR421" i="1"/>
  <c r="BA421" i="1" s="1"/>
  <c r="AP421" i="1"/>
  <c r="AN421" i="1"/>
  <c r="AL421" i="1"/>
  <c r="AF421" i="1"/>
  <c r="AO421" i="1" s="1"/>
  <c r="AC421" i="1"/>
  <c r="AB421" i="1"/>
  <c r="Z421" i="1"/>
  <c r="W421" i="1"/>
  <c r="V421" i="1"/>
  <c r="T421" i="1"/>
  <c r="U421" i="1" s="1"/>
  <c r="Q421" i="1"/>
  <c r="P421" i="1"/>
  <c r="N421" i="1"/>
  <c r="O421" i="1" s="1"/>
  <c r="M421" i="1"/>
  <c r="L421" i="1"/>
  <c r="J421" i="1"/>
  <c r="K421" i="1" s="1"/>
  <c r="CR420" i="1"/>
  <c r="CP420" i="1"/>
  <c r="CN420" i="1"/>
  <c r="CI420" i="1"/>
  <c r="CL420" i="1" s="1"/>
  <c r="CG420" i="1"/>
  <c r="CS420" i="1" s="1"/>
  <c r="CE420" i="1"/>
  <c r="CE421" i="1" s="1"/>
  <c r="CA420" i="1"/>
  <c r="CA421" i="1" s="1"/>
  <c r="BY420" i="1"/>
  <c r="BY421" i="1" s="1"/>
  <c r="BW420" i="1"/>
  <c r="BW421" i="1" s="1"/>
  <c r="BX421" i="1" s="1"/>
  <c r="BU420" i="1"/>
  <c r="BU421" i="1" s="1"/>
  <c r="BV421" i="1" s="1"/>
  <c r="BM420" i="1"/>
  <c r="BK420" i="1"/>
  <c r="BI420" i="1"/>
  <c r="BG420" i="1"/>
  <c r="BE420" i="1"/>
  <c r="BC420" i="1"/>
  <c r="BB420" i="1"/>
  <c r="BB701" i="1" s="1"/>
  <c r="BA420" i="1"/>
  <c r="AY420" i="1"/>
  <c r="AW420" i="1"/>
  <c r="AT420" i="1"/>
  <c r="AT701" i="1" s="1"/>
  <c r="AQ420" i="1"/>
  <c r="AO420" i="1"/>
  <c r="AM420" i="1"/>
  <c r="AJ420" i="1"/>
  <c r="AJ701" i="1" s="1"/>
  <c r="AH420" i="1"/>
  <c r="AH701" i="1" s="1"/>
  <c r="AG420" i="1"/>
  <c r="AE420" i="1"/>
  <c r="AD420" i="1"/>
  <c r="AD701" i="1" s="1"/>
  <c r="AC420" i="1"/>
  <c r="AA420" i="1"/>
  <c r="Y420" i="1"/>
  <c r="X420" i="1"/>
  <c r="X701" i="1" s="1"/>
  <c r="W420" i="1"/>
  <c r="U420" i="1"/>
  <c r="S420" i="1"/>
  <c r="R420" i="1"/>
  <c r="R421" i="1" s="1"/>
  <c r="Q420" i="1"/>
  <c r="O420" i="1"/>
  <c r="M420" i="1"/>
  <c r="K420" i="1"/>
  <c r="H415" i="1"/>
  <c r="F415" i="1"/>
  <c r="D415" i="1"/>
  <c r="B415" i="1"/>
  <c r="BD415" i="1"/>
  <c r="AF415" i="1"/>
  <c r="V415" i="1"/>
  <c r="W415" i="1" s="1"/>
  <c r="T415" i="1"/>
  <c r="R415" i="1"/>
  <c r="S415" i="1" s="1"/>
  <c r="Q415" i="1"/>
  <c r="P415" i="1"/>
  <c r="N415" i="1"/>
  <c r="O415" i="1" s="1"/>
  <c r="L415" i="1"/>
  <c r="U415" i="1" s="1"/>
  <c r="J415" i="1"/>
  <c r="K415" i="1" s="1"/>
  <c r="BJ413" i="1"/>
  <c r="BL413" i="1" s="1"/>
  <c r="BH413" i="1"/>
  <c r="BS410" i="1"/>
  <c r="BS409" i="1"/>
  <c r="BQ410" i="1"/>
  <c r="BB409" i="1"/>
  <c r="BC409" i="1" s="1"/>
  <c r="AZ409" i="1"/>
  <c r="AZ415" i="1" s="1"/>
  <c r="AX409" i="1"/>
  <c r="AY409" i="1" s="1"/>
  <c r="AV409" i="1"/>
  <c r="AV415" i="1" s="1"/>
  <c r="AT409" i="1"/>
  <c r="AU409" i="1" s="1"/>
  <c r="AR409" i="1"/>
  <c r="AR415" i="1" s="1"/>
  <c r="AP409" i="1"/>
  <c r="AQ409" i="1" s="1"/>
  <c r="AN409" i="1"/>
  <c r="AN415" i="1" s="1"/>
  <c r="AO415" i="1" s="1"/>
  <c r="AL409" i="1"/>
  <c r="AM409" i="1" s="1"/>
  <c r="AJ409" i="1"/>
  <c r="AJ415" i="1" s="1"/>
  <c r="AH409" i="1"/>
  <c r="AI409" i="1" s="1"/>
  <c r="AE409" i="1"/>
  <c r="AD409" i="1"/>
  <c r="AD415" i="1" s="1"/>
  <c r="AE415" i="1" s="1"/>
  <c r="AC409" i="1"/>
  <c r="AB409" i="1"/>
  <c r="AB415" i="1" s="1"/>
  <c r="AC415" i="1" s="1"/>
  <c r="AA409" i="1"/>
  <c r="Z409" i="1"/>
  <c r="Z415" i="1" s="1"/>
  <c r="AA415" i="1" s="1"/>
  <c r="Y409" i="1"/>
  <c r="X409" i="1"/>
  <c r="X415" i="1" s="1"/>
  <c r="W409" i="1"/>
  <c r="U409" i="1"/>
  <c r="U408" i="1"/>
  <c r="U407" i="1"/>
  <c r="S409" i="1"/>
  <c r="S408" i="1"/>
  <c r="S407" i="1"/>
  <c r="Q409" i="1"/>
  <c r="Q408" i="1"/>
  <c r="Q407" i="1"/>
  <c r="O409" i="1"/>
  <c r="O408" i="1"/>
  <c r="O407" i="1"/>
  <c r="M409" i="1"/>
  <c r="M408" i="1"/>
  <c r="M407" i="1"/>
  <c r="K409" i="1"/>
  <c r="K408" i="1"/>
  <c r="K407" i="1"/>
  <c r="BC408" i="1"/>
  <c r="BC407" i="1"/>
  <c r="BA408" i="1"/>
  <c r="BA407" i="1"/>
  <c r="AY408" i="1"/>
  <c r="AY407" i="1"/>
  <c r="AW408" i="1"/>
  <c r="AW407" i="1"/>
  <c r="AU408" i="1"/>
  <c r="AU407" i="1"/>
  <c r="AS408" i="1"/>
  <c r="AS407" i="1"/>
  <c r="AQ408" i="1"/>
  <c r="AQ407" i="1"/>
  <c r="AO408" i="1"/>
  <c r="AO407" i="1"/>
  <c r="AM408" i="1"/>
  <c r="AM407" i="1"/>
  <c r="AK408" i="1"/>
  <c r="AK407" i="1"/>
  <c r="AI408" i="1"/>
  <c r="AI407" i="1"/>
  <c r="AG408" i="1"/>
  <c r="AG407" i="1"/>
  <c r="AE408" i="1"/>
  <c r="AE407" i="1"/>
  <c r="AC408" i="1"/>
  <c r="AC407" i="1"/>
  <c r="AA408" i="1"/>
  <c r="AA407" i="1"/>
  <c r="Y408" i="1"/>
  <c r="Y407" i="1"/>
  <c r="W408" i="1"/>
  <c r="W407" i="1"/>
  <c r="CA409" i="1"/>
  <c r="CA415" i="1" s="1"/>
  <c r="BY409" i="1"/>
  <c r="BY415" i="1" s="1"/>
  <c r="BZ415" i="1" s="1"/>
  <c r="BW409" i="1"/>
  <c r="BW415" i="1" s="1"/>
  <c r="BU409" i="1"/>
  <c r="BV409" i="1" s="1"/>
  <c r="CG408" i="1"/>
  <c r="CE408" i="1"/>
  <c r="CC408" i="1"/>
  <c r="CA408" i="1"/>
  <c r="BY408" i="1"/>
  <c r="BW408" i="1"/>
  <c r="BU408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E408" i="1"/>
  <c r="BE407" i="1"/>
  <c r="BE406" i="1"/>
  <c r="BD406" i="1"/>
  <c r="BD410" i="1" s="1"/>
  <c r="BB406" i="1"/>
  <c r="BB410" i="1" s="1"/>
  <c r="AZ406" i="1"/>
  <c r="AZ410" i="1" s="1"/>
  <c r="AX406" i="1"/>
  <c r="AX410" i="1" s="1"/>
  <c r="AV406" i="1"/>
  <c r="AV410" i="1" s="1"/>
  <c r="AT406" i="1"/>
  <c r="AT410" i="1" s="1"/>
  <c r="AR406" i="1"/>
  <c r="AR410" i="1" s="1"/>
  <c r="AP406" i="1"/>
  <c r="AP410" i="1" s="1"/>
  <c r="AN406" i="1"/>
  <c r="AN410" i="1" s="1"/>
  <c r="AL406" i="1"/>
  <c r="AL410" i="1" s="1"/>
  <c r="AJ406" i="1"/>
  <c r="AJ410" i="1" s="1"/>
  <c r="AH406" i="1"/>
  <c r="AH410" i="1" s="1"/>
  <c r="AF406" i="1"/>
  <c r="AF410" i="1" s="1"/>
  <c r="AD406" i="1"/>
  <c r="AD410" i="1" s="1"/>
  <c r="AB406" i="1"/>
  <c r="AB410" i="1" s="1"/>
  <c r="Z406" i="1"/>
  <c r="Z410" i="1" s="1"/>
  <c r="X406" i="1"/>
  <c r="X410" i="1" s="1"/>
  <c r="V406" i="1"/>
  <c r="V410" i="1" s="1"/>
  <c r="T406" i="1"/>
  <c r="T410" i="1" s="1"/>
  <c r="R406" i="1"/>
  <c r="R410" i="1" s="1"/>
  <c r="P406" i="1"/>
  <c r="P410" i="1" s="1"/>
  <c r="N406" i="1"/>
  <c r="N410" i="1" s="1"/>
  <c r="L406" i="1"/>
  <c r="M406" i="1" s="1"/>
  <c r="J406" i="1"/>
  <c r="J410" i="1" s="1"/>
  <c r="H406" i="1"/>
  <c r="H410" i="1" s="1"/>
  <c r="F406" i="1"/>
  <c r="F410" i="1" s="1"/>
  <c r="D406" i="1"/>
  <c r="D410" i="1" s="1"/>
  <c r="B406" i="1"/>
  <c r="B410" i="1" s="1"/>
  <c r="BH401" i="1"/>
  <c r="BJ401" i="1" s="1"/>
  <c r="BL401" i="1" s="1"/>
  <c r="BC397" i="1"/>
  <c r="BC395" i="1"/>
  <c r="BA397" i="1"/>
  <c r="BA395" i="1"/>
  <c r="AY397" i="1"/>
  <c r="AY395" i="1"/>
  <c r="AW397" i="1"/>
  <c r="AW395" i="1"/>
  <c r="AU397" i="1"/>
  <c r="AU395" i="1"/>
  <c r="AS397" i="1"/>
  <c r="AS395" i="1"/>
  <c r="AQ397" i="1"/>
  <c r="AQ395" i="1"/>
  <c r="AO397" i="1"/>
  <c r="AO395" i="1"/>
  <c r="AM397" i="1"/>
  <c r="AM395" i="1"/>
  <c r="AK397" i="1"/>
  <c r="AK395" i="1"/>
  <c r="AI397" i="1"/>
  <c r="AI395" i="1"/>
  <c r="AG397" i="1"/>
  <c r="AG395" i="1"/>
  <c r="AE397" i="1"/>
  <c r="AE395" i="1"/>
  <c r="AC397" i="1"/>
  <c r="AC395" i="1"/>
  <c r="AA397" i="1"/>
  <c r="AA395" i="1"/>
  <c r="Y397" i="1"/>
  <c r="W397" i="1"/>
  <c r="U397" i="1"/>
  <c r="S397" i="1"/>
  <c r="Q397" i="1"/>
  <c r="O397" i="1"/>
  <c r="M397" i="1"/>
  <c r="K397" i="1"/>
  <c r="BS396" i="1"/>
  <c r="BS417" i="1" s="1"/>
  <c r="BQ396" i="1"/>
  <c r="BQ417" i="1" s="1"/>
  <c r="N394" i="1"/>
  <c r="J394" i="1"/>
  <c r="K394" i="1" s="1"/>
  <c r="CG397" i="1"/>
  <c r="CG406" i="1" s="1"/>
  <c r="CE397" i="1"/>
  <c r="CC397" i="1"/>
  <c r="CC406" i="1" s="1"/>
  <c r="CA397" i="1"/>
  <c r="BY397" i="1"/>
  <c r="BY406" i="1" s="1"/>
  <c r="BW397" i="1"/>
  <c r="BU397" i="1"/>
  <c r="BU406" i="1" s="1"/>
  <c r="CG395" i="1"/>
  <c r="CH395" i="1" s="1"/>
  <c r="CE395" i="1"/>
  <c r="CF395" i="1" s="1"/>
  <c r="CC395" i="1"/>
  <c r="CA395" i="1"/>
  <c r="BY395" i="1"/>
  <c r="BV394" i="1"/>
  <c r="BU394" i="1"/>
  <c r="BE397" i="1"/>
  <c r="BE395" i="1"/>
  <c r="CR393" i="1"/>
  <c r="CR392" i="1"/>
  <c r="CR391" i="1"/>
  <c r="CP393" i="1"/>
  <c r="CP392" i="1"/>
  <c r="CP391" i="1"/>
  <c r="CN393" i="1"/>
  <c r="CN392" i="1"/>
  <c r="CN391" i="1"/>
  <c r="CL393" i="1"/>
  <c r="CL392" i="1"/>
  <c r="CL391" i="1"/>
  <c r="CJ393" i="1"/>
  <c r="CJ392" i="1"/>
  <c r="CJ391" i="1"/>
  <c r="CH393" i="1"/>
  <c r="CH392" i="1"/>
  <c r="CH391" i="1"/>
  <c r="CF393" i="1"/>
  <c r="CF392" i="1"/>
  <c r="CF391" i="1"/>
  <c r="CD393" i="1"/>
  <c r="CD392" i="1"/>
  <c r="CD391" i="1"/>
  <c r="BY393" i="1"/>
  <c r="BW393" i="1"/>
  <c r="BX393" i="1" s="1"/>
  <c r="BV393" i="1"/>
  <c r="BD392" i="1"/>
  <c r="BD394" i="1" s="1"/>
  <c r="BB392" i="1"/>
  <c r="BB394" i="1" s="1"/>
  <c r="AZ392" i="1"/>
  <c r="AZ394" i="1" s="1"/>
  <c r="AX392" i="1"/>
  <c r="AX394" i="1" s="1"/>
  <c r="AV392" i="1"/>
  <c r="AV394" i="1" s="1"/>
  <c r="AT392" i="1"/>
  <c r="AT394" i="1" s="1"/>
  <c r="AR392" i="1"/>
  <c r="AR394" i="1" s="1"/>
  <c r="AP392" i="1"/>
  <c r="AP394" i="1" s="1"/>
  <c r="AN392" i="1"/>
  <c r="AN394" i="1" s="1"/>
  <c r="AL392" i="1"/>
  <c r="AL394" i="1" s="1"/>
  <c r="AJ392" i="1"/>
  <c r="AJ394" i="1" s="1"/>
  <c r="AH392" i="1"/>
  <c r="AH394" i="1" s="1"/>
  <c r="AF392" i="1"/>
  <c r="AF394" i="1" s="1"/>
  <c r="AD392" i="1"/>
  <c r="AD394" i="1" s="1"/>
  <c r="AB392" i="1"/>
  <c r="AB394" i="1" s="1"/>
  <c r="Z392" i="1"/>
  <c r="Z394" i="1" s="1"/>
  <c r="X392" i="1"/>
  <c r="X394" i="1" s="1"/>
  <c r="V392" i="1"/>
  <c r="V394" i="1" s="1"/>
  <c r="T392" i="1"/>
  <c r="T394" i="1" s="1"/>
  <c r="R392" i="1"/>
  <c r="R394" i="1" s="1"/>
  <c r="P392" i="1"/>
  <c r="P394" i="1" s="1"/>
  <c r="N392" i="1"/>
  <c r="L392" i="1"/>
  <c r="L394" i="1" s="1"/>
  <c r="J392" i="1"/>
  <c r="BZ391" i="1"/>
  <c r="BY391" i="1"/>
  <c r="CB391" i="1" s="1"/>
  <c r="BX391" i="1"/>
  <c r="BW391" i="1"/>
  <c r="BM388" i="1"/>
  <c r="BM386" i="1"/>
  <c r="BM385" i="1"/>
  <c r="BM384" i="1"/>
  <c r="BK388" i="1"/>
  <c r="BK386" i="1"/>
  <c r="BK385" i="1"/>
  <c r="BK384" i="1"/>
  <c r="BI388" i="1"/>
  <c r="BI386" i="1"/>
  <c r="BI385" i="1"/>
  <c r="BI384" i="1"/>
  <c r="BG388" i="1"/>
  <c r="BG386" i="1"/>
  <c r="BG385" i="1"/>
  <c r="BG384" i="1"/>
  <c r="BE388" i="1"/>
  <c r="BE387" i="1"/>
  <c r="BE386" i="1"/>
  <c r="BE385" i="1"/>
  <c r="BE384" i="1"/>
  <c r="BC388" i="1"/>
  <c r="BC387" i="1"/>
  <c r="BC386" i="1"/>
  <c r="BC385" i="1"/>
  <c r="BC384" i="1"/>
  <c r="BA388" i="1"/>
  <c r="BA387" i="1"/>
  <c r="BA386" i="1"/>
  <c r="BA385" i="1"/>
  <c r="BA384" i="1"/>
  <c r="AY388" i="1"/>
  <c r="AY387" i="1"/>
  <c r="AY386" i="1"/>
  <c r="AY385" i="1"/>
  <c r="AY384" i="1"/>
  <c r="AW388" i="1"/>
  <c r="AW387" i="1"/>
  <c r="AW386" i="1"/>
  <c r="AW385" i="1"/>
  <c r="AW384" i="1"/>
  <c r="AU388" i="1"/>
  <c r="AU387" i="1"/>
  <c r="AU386" i="1"/>
  <c r="AU385" i="1"/>
  <c r="AU384" i="1"/>
  <c r="AS388" i="1"/>
  <c r="AS387" i="1"/>
  <c r="AS386" i="1"/>
  <c r="AS385" i="1"/>
  <c r="AS384" i="1"/>
  <c r="AQ388" i="1"/>
  <c r="AQ387" i="1"/>
  <c r="AQ386" i="1"/>
  <c r="AQ385" i="1"/>
  <c r="AQ384" i="1"/>
  <c r="AO388" i="1"/>
  <c r="AO387" i="1"/>
  <c r="AO386" i="1"/>
  <c r="AO385" i="1"/>
  <c r="AO384" i="1"/>
  <c r="AM388" i="1"/>
  <c r="AM387" i="1"/>
  <c r="AM386" i="1"/>
  <c r="AM385" i="1"/>
  <c r="AM384" i="1"/>
  <c r="AK388" i="1"/>
  <c r="AK387" i="1"/>
  <c r="AK386" i="1"/>
  <c r="AK385" i="1"/>
  <c r="AK384" i="1"/>
  <c r="AI388" i="1"/>
  <c r="AI387" i="1"/>
  <c r="AI386" i="1"/>
  <c r="AI385" i="1"/>
  <c r="AI384" i="1"/>
  <c r="AG388" i="1"/>
  <c r="AG387" i="1"/>
  <c r="AG386" i="1"/>
  <c r="AG385" i="1"/>
  <c r="AG384" i="1"/>
  <c r="AE388" i="1"/>
  <c r="AE387" i="1"/>
  <c r="AE386" i="1"/>
  <c r="AE385" i="1"/>
  <c r="AE384" i="1"/>
  <c r="AC388" i="1"/>
  <c r="AC387" i="1"/>
  <c r="AC386" i="1"/>
  <c r="AC385" i="1"/>
  <c r="AC384" i="1"/>
  <c r="AA388" i="1"/>
  <c r="AA387" i="1"/>
  <c r="AA386" i="1"/>
  <c r="AA385" i="1"/>
  <c r="AA384" i="1"/>
  <c r="Y386" i="1"/>
  <c r="Y385" i="1"/>
  <c r="Y384" i="1"/>
  <c r="H388" i="1"/>
  <c r="H387" i="1"/>
  <c r="F388" i="1"/>
  <c r="F387" i="1"/>
  <c r="D388" i="1"/>
  <c r="D387" i="1"/>
  <c r="B388" i="1"/>
  <c r="B387" i="1"/>
  <c r="CG387" i="1"/>
  <c r="CE387" i="1"/>
  <c r="CF387" i="1" s="1"/>
  <c r="CD387" i="1"/>
  <c r="CC387" i="1"/>
  <c r="CA387" i="1"/>
  <c r="BY387" i="1"/>
  <c r="BL387" i="1"/>
  <c r="BM387" i="1" s="1"/>
  <c r="BJ387" i="1"/>
  <c r="BK387" i="1" s="1"/>
  <c r="BH387" i="1"/>
  <c r="BI387" i="1" s="1"/>
  <c r="BF387" i="1"/>
  <c r="BG387" i="1" s="1"/>
  <c r="P388" i="1"/>
  <c r="Q388" i="1" s="1"/>
  <c r="N388" i="1"/>
  <c r="O388" i="1" s="1"/>
  <c r="L388" i="1"/>
  <c r="M388" i="1" s="1"/>
  <c r="J388" i="1"/>
  <c r="K388" i="1" s="1"/>
  <c r="P387" i="1"/>
  <c r="Y387" i="1" s="1"/>
  <c r="N387" i="1"/>
  <c r="W387" i="1" s="1"/>
  <c r="L387" i="1"/>
  <c r="U387" i="1" s="1"/>
  <c r="J387" i="1"/>
  <c r="K387" i="1" s="1"/>
  <c r="CS386" i="1"/>
  <c r="CS385" i="1"/>
  <c r="CS384" i="1"/>
  <c r="Q386" i="1"/>
  <c r="Q385" i="1"/>
  <c r="Q384" i="1"/>
  <c r="O386" i="1"/>
  <c r="O385" i="1"/>
  <c r="O384" i="1"/>
  <c r="M386" i="1"/>
  <c r="M385" i="1"/>
  <c r="M384" i="1"/>
  <c r="K386" i="1"/>
  <c r="K385" i="1"/>
  <c r="K384" i="1"/>
  <c r="BW386" i="1"/>
  <c r="BX386" i="1" s="1"/>
  <c r="BU386" i="1"/>
  <c r="BV386" i="1" s="1"/>
  <c r="BX385" i="1"/>
  <c r="BW385" i="1"/>
  <c r="BU385" i="1"/>
  <c r="BV385" i="1" s="1"/>
  <c r="BX384" i="1"/>
  <c r="BW384" i="1"/>
  <c r="BW387" i="1" s="1"/>
  <c r="BZ387" i="1" s="1"/>
  <c r="BU384" i="1"/>
  <c r="BV384" i="1" s="1"/>
  <c r="BM381" i="1"/>
  <c r="BJ381" i="1"/>
  <c r="BK381" i="1" s="1"/>
  <c r="BD381" i="1"/>
  <c r="BB381" i="1"/>
  <c r="AZ381" i="1"/>
  <c r="BI381" i="1" s="1"/>
  <c r="AX381" i="1"/>
  <c r="AV381" i="1"/>
  <c r="AT381" i="1"/>
  <c r="AR381" i="1"/>
  <c r="AP381" i="1"/>
  <c r="AN381" i="1"/>
  <c r="AL381" i="1"/>
  <c r="AJ381" i="1"/>
  <c r="AH381" i="1"/>
  <c r="AF381" i="1"/>
  <c r="AD381" i="1"/>
  <c r="AB381" i="1"/>
  <c r="Z381" i="1"/>
  <c r="X381" i="1"/>
  <c r="V381" i="1"/>
  <c r="T381" i="1"/>
  <c r="R381" i="1"/>
  <c r="P381" i="1"/>
  <c r="N381" i="1"/>
  <c r="L381" i="1"/>
  <c r="M381" i="1" s="1"/>
  <c r="J381" i="1"/>
  <c r="H381" i="1"/>
  <c r="H380" i="1"/>
  <c r="F381" i="1"/>
  <c r="F380" i="1"/>
  <c r="D381" i="1"/>
  <c r="D380" i="1"/>
  <c r="B381" i="1"/>
  <c r="B380" i="1"/>
  <c r="BD380" i="1"/>
  <c r="BB380" i="1"/>
  <c r="BC380" i="1" s="1"/>
  <c r="AZ380" i="1"/>
  <c r="AX380" i="1"/>
  <c r="AY380" i="1" s="1"/>
  <c r="AV380" i="1"/>
  <c r="AW380" i="1" s="1"/>
  <c r="AT380" i="1"/>
  <c r="AR380" i="1"/>
  <c r="AQ380" i="1"/>
  <c r="AP380" i="1"/>
  <c r="AN380" i="1"/>
  <c r="AL380" i="1"/>
  <c r="AM380" i="1" s="1"/>
  <c r="AJ380" i="1"/>
  <c r="AH380" i="1"/>
  <c r="AI380" i="1" s="1"/>
  <c r="AF380" i="1"/>
  <c r="AG380" i="1" s="1"/>
  <c r="AD380" i="1"/>
  <c r="AE380" i="1" s="1"/>
  <c r="AB380" i="1"/>
  <c r="AC380" i="1" s="1"/>
  <c r="AA380" i="1"/>
  <c r="Z380" i="1"/>
  <c r="X380" i="1"/>
  <c r="V380" i="1"/>
  <c r="W380" i="1" s="1"/>
  <c r="T380" i="1"/>
  <c r="R380" i="1"/>
  <c r="S380" i="1" s="1"/>
  <c r="P380" i="1"/>
  <c r="Q380" i="1" s="1"/>
  <c r="N380" i="1"/>
  <c r="O380" i="1" s="1"/>
  <c r="L380" i="1"/>
  <c r="M380" i="1" s="1"/>
  <c r="K380" i="1"/>
  <c r="J380" i="1"/>
  <c r="BC379" i="1"/>
  <c r="BC378" i="1"/>
  <c r="BC377" i="1"/>
  <c r="BA379" i="1"/>
  <c r="BA378" i="1"/>
  <c r="BA377" i="1"/>
  <c r="AY379" i="1"/>
  <c r="AY378" i="1"/>
  <c r="AY377" i="1"/>
  <c r="AW379" i="1"/>
  <c r="AW378" i="1"/>
  <c r="AW377" i="1"/>
  <c r="AU379" i="1"/>
  <c r="AU378" i="1"/>
  <c r="AU377" i="1"/>
  <c r="AS379" i="1"/>
  <c r="AS378" i="1"/>
  <c r="AS377" i="1"/>
  <c r="AQ379" i="1"/>
  <c r="AQ378" i="1"/>
  <c r="AQ377" i="1"/>
  <c r="AO379" i="1"/>
  <c r="AO378" i="1"/>
  <c r="AO377" i="1"/>
  <c r="AM379" i="1"/>
  <c r="AM378" i="1"/>
  <c r="AM377" i="1"/>
  <c r="AK379" i="1"/>
  <c r="AK378" i="1"/>
  <c r="AK377" i="1"/>
  <c r="AI379" i="1"/>
  <c r="AI378" i="1"/>
  <c r="AI377" i="1"/>
  <c r="AG379" i="1"/>
  <c r="AG378" i="1"/>
  <c r="AG377" i="1"/>
  <c r="AE379" i="1"/>
  <c r="AE378" i="1"/>
  <c r="AE377" i="1"/>
  <c r="AC379" i="1"/>
  <c r="AC378" i="1"/>
  <c r="AC377" i="1"/>
  <c r="AA379" i="1"/>
  <c r="AA378" i="1"/>
  <c r="AA377" i="1"/>
  <c r="Y379" i="1"/>
  <c r="Y378" i="1"/>
  <c r="Y377" i="1"/>
  <c r="W379" i="1"/>
  <c r="W378" i="1"/>
  <c r="W377" i="1"/>
  <c r="U379" i="1"/>
  <c r="U378" i="1"/>
  <c r="U377" i="1"/>
  <c r="S379" i="1"/>
  <c r="S378" i="1"/>
  <c r="S377" i="1"/>
  <c r="Q379" i="1"/>
  <c r="Q378" i="1"/>
  <c r="Q377" i="1"/>
  <c r="O379" i="1"/>
  <c r="O378" i="1"/>
  <c r="O377" i="1"/>
  <c r="M379" i="1"/>
  <c r="M378" i="1"/>
  <c r="M377" i="1"/>
  <c r="K379" i="1"/>
  <c r="K378" i="1"/>
  <c r="K377" i="1"/>
  <c r="CG379" i="1"/>
  <c r="CH379" i="1" s="1"/>
  <c r="CE379" i="1"/>
  <c r="CC379" i="1"/>
  <c r="CA379" i="1"/>
  <c r="CB379" i="1" s="1"/>
  <c r="BY379" i="1"/>
  <c r="BZ379" i="1" s="1"/>
  <c r="BW379" i="1"/>
  <c r="BX379" i="1" s="1"/>
  <c r="BV379" i="1"/>
  <c r="BU379" i="1"/>
  <c r="CG378" i="1"/>
  <c r="CE378" i="1"/>
  <c r="CC378" i="1"/>
  <c r="CA378" i="1"/>
  <c r="BY378" i="1"/>
  <c r="BW378" i="1"/>
  <c r="BU378" i="1"/>
  <c r="BU381" i="1" s="1"/>
  <c r="BV381" i="1" s="1"/>
  <c r="CG377" i="1"/>
  <c r="CE377" i="1"/>
  <c r="CF377" i="1" s="1"/>
  <c r="CC377" i="1"/>
  <c r="CD377" i="1" s="1"/>
  <c r="CA377" i="1"/>
  <c r="CB377" i="1" s="1"/>
  <c r="BY377" i="1"/>
  <c r="BZ377" i="1" s="1"/>
  <c r="BX377" i="1"/>
  <c r="BW377" i="1"/>
  <c r="BU377" i="1"/>
  <c r="BV377" i="1" s="1"/>
  <c r="BJ378" i="1"/>
  <c r="BL377" i="1"/>
  <c r="BL378" i="1" s="1"/>
  <c r="BJ377" i="1"/>
  <c r="BK377" i="1" s="1"/>
  <c r="BH377" i="1"/>
  <c r="BH378" i="1" s="1"/>
  <c r="BF379" i="1"/>
  <c r="BG379" i="1" s="1"/>
  <c r="BE379" i="1"/>
  <c r="BE378" i="1"/>
  <c r="BF377" i="1"/>
  <c r="BF378" i="1" s="1"/>
  <c r="BE377" i="1"/>
  <c r="BI374" i="1"/>
  <c r="BD374" i="1"/>
  <c r="BM374" i="1" s="1"/>
  <c r="BC374" i="1"/>
  <c r="BB374" i="1"/>
  <c r="BK374" i="1" s="1"/>
  <c r="AZ374" i="1"/>
  <c r="AX374" i="1"/>
  <c r="BG374" i="1" s="1"/>
  <c r="AV374" i="1"/>
  <c r="AT374" i="1"/>
  <c r="AU374" i="1" s="1"/>
  <c r="AR374" i="1"/>
  <c r="AS374" i="1" s="1"/>
  <c r="AP374" i="1"/>
  <c r="AQ374" i="1" s="1"/>
  <c r="AN374" i="1"/>
  <c r="AM374" i="1"/>
  <c r="AL374" i="1"/>
  <c r="AJ374" i="1"/>
  <c r="AH374" i="1"/>
  <c r="AI374" i="1" s="1"/>
  <c r="AF374" i="1"/>
  <c r="AD374" i="1"/>
  <c r="AE374" i="1" s="1"/>
  <c r="AB374" i="1"/>
  <c r="AC374" i="1" s="1"/>
  <c r="Z374" i="1"/>
  <c r="AA374" i="1" s="1"/>
  <c r="X374" i="1"/>
  <c r="W374" i="1"/>
  <c r="V374" i="1"/>
  <c r="T374" i="1"/>
  <c r="R374" i="1"/>
  <c r="S374" i="1" s="1"/>
  <c r="P374" i="1"/>
  <c r="N374" i="1"/>
  <c r="L374" i="1"/>
  <c r="J374" i="1"/>
  <c r="H374" i="1"/>
  <c r="H373" i="1"/>
  <c r="H395" i="1" s="1"/>
  <c r="H396" i="1" s="1"/>
  <c r="H398" i="1" s="1"/>
  <c r="F374" i="1"/>
  <c r="O374" i="1" s="1"/>
  <c r="F373" i="1"/>
  <c r="F395" i="1" s="1"/>
  <c r="F396" i="1" s="1"/>
  <c r="F398" i="1" s="1"/>
  <c r="D374" i="1"/>
  <c r="D373" i="1"/>
  <c r="D395" i="1" s="1"/>
  <c r="D396" i="1" s="1"/>
  <c r="D398" i="1" s="1"/>
  <c r="B374" i="1"/>
  <c r="B373" i="1"/>
  <c r="B395" i="1" s="1"/>
  <c r="B396" i="1" s="1"/>
  <c r="B398" i="1" s="1"/>
  <c r="BL370" i="1"/>
  <c r="BM370" i="1" s="1"/>
  <c r="BJ370" i="1"/>
  <c r="BK370" i="1" s="1"/>
  <c r="BH370" i="1"/>
  <c r="BI370" i="1" s="1"/>
  <c r="BD373" i="1"/>
  <c r="BB373" i="1"/>
  <c r="AZ373" i="1"/>
  <c r="AX373" i="1"/>
  <c r="AV373" i="1"/>
  <c r="AT373" i="1"/>
  <c r="AR373" i="1"/>
  <c r="AP373" i="1"/>
  <c r="AN373" i="1"/>
  <c r="AL373" i="1"/>
  <c r="AJ373" i="1"/>
  <c r="AH373" i="1"/>
  <c r="AF373" i="1"/>
  <c r="AD373" i="1"/>
  <c r="AB373" i="1"/>
  <c r="Z373" i="1"/>
  <c r="X373" i="1"/>
  <c r="V373" i="1"/>
  <c r="T373" i="1"/>
  <c r="R373" i="1"/>
  <c r="P373" i="1"/>
  <c r="Q373" i="1" s="1"/>
  <c r="N373" i="1"/>
  <c r="N395" i="1" s="1"/>
  <c r="L373" i="1"/>
  <c r="L395" i="1" s="1"/>
  <c r="J373" i="1"/>
  <c r="J395" i="1" s="1"/>
  <c r="BC372" i="1"/>
  <c r="BC371" i="1"/>
  <c r="BC370" i="1"/>
  <c r="BA372" i="1"/>
  <c r="BA371" i="1"/>
  <c r="BA370" i="1"/>
  <c r="AY372" i="1"/>
  <c r="AY371" i="1"/>
  <c r="AY370" i="1"/>
  <c r="AW372" i="1"/>
  <c r="AW371" i="1"/>
  <c r="AW370" i="1"/>
  <c r="AU372" i="1"/>
  <c r="AU371" i="1"/>
  <c r="AU370" i="1"/>
  <c r="AS372" i="1"/>
  <c r="AS371" i="1"/>
  <c r="AS370" i="1"/>
  <c r="AQ372" i="1"/>
  <c r="AQ371" i="1"/>
  <c r="AQ370" i="1"/>
  <c r="AO372" i="1"/>
  <c r="AO371" i="1"/>
  <c r="AO370" i="1"/>
  <c r="AM372" i="1"/>
  <c r="AM371" i="1"/>
  <c r="AM370" i="1"/>
  <c r="AK372" i="1"/>
  <c r="AK371" i="1"/>
  <c r="AK370" i="1"/>
  <c r="AI372" i="1"/>
  <c r="AI371" i="1"/>
  <c r="AI370" i="1"/>
  <c r="AG372" i="1"/>
  <c r="AG371" i="1"/>
  <c r="AG370" i="1"/>
  <c r="AE372" i="1"/>
  <c r="AE371" i="1"/>
  <c r="AE370" i="1"/>
  <c r="AC372" i="1"/>
  <c r="AC371" i="1"/>
  <c r="AC370" i="1"/>
  <c r="AA372" i="1"/>
  <c r="AA371" i="1"/>
  <c r="AA370" i="1"/>
  <c r="Y372" i="1"/>
  <c r="Y371" i="1"/>
  <c r="Y370" i="1"/>
  <c r="W372" i="1"/>
  <c r="W371" i="1"/>
  <c r="W370" i="1"/>
  <c r="U372" i="1"/>
  <c r="U371" i="1"/>
  <c r="U370" i="1"/>
  <c r="S372" i="1"/>
  <c r="S371" i="1"/>
  <c r="S370" i="1"/>
  <c r="Q372" i="1"/>
  <c r="Q371" i="1"/>
  <c r="Q370" i="1"/>
  <c r="O372" i="1"/>
  <c r="O371" i="1"/>
  <c r="O370" i="1"/>
  <c r="M372" i="1"/>
  <c r="M371" i="1"/>
  <c r="M370" i="1"/>
  <c r="K372" i="1"/>
  <c r="K371" i="1"/>
  <c r="K370" i="1"/>
  <c r="CG372" i="1"/>
  <c r="CH372" i="1" s="1"/>
  <c r="CE372" i="1"/>
  <c r="CC372" i="1"/>
  <c r="CA372" i="1"/>
  <c r="BY372" i="1"/>
  <c r="BZ372" i="1" s="1"/>
  <c r="BW372" i="1"/>
  <c r="BX372" i="1" s="1"/>
  <c r="BU372" i="1"/>
  <c r="BV372" i="1" s="1"/>
  <c r="CG371" i="1"/>
  <c r="CF371" i="1"/>
  <c r="CE371" i="1"/>
  <c r="CC371" i="1"/>
  <c r="CA371" i="1"/>
  <c r="CB371" i="1" s="1"/>
  <c r="BY371" i="1"/>
  <c r="BZ371" i="1" s="1"/>
  <c r="BW371" i="1"/>
  <c r="BX371" i="1" s="1"/>
  <c r="BU371" i="1"/>
  <c r="BV371" i="1" s="1"/>
  <c r="CG370" i="1"/>
  <c r="CE370" i="1"/>
  <c r="CE374" i="1" s="1"/>
  <c r="CC370" i="1"/>
  <c r="CD370" i="1" s="1"/>
  <c r="CA370" i="1"/>
  <c r="BY370" i="1"/>
  <c r="BW370" i="1"/>
  <c r="BW374" i="1" s="1"/>
  <c r="BU370" i="1"/>
  <c r="BV370" i="1" s="1"/>
  <c r="BF372" i="1"/>
  <c r="BG372" i="1" s="1"/>
  <c r="BE372" i="1"/>
  <c r="BF371" i="1"/>
  <c r="BE371" i="1"/>
  <c r="BF370" i="1"/>
  <c r="BE370" i="1"/>
  <c r="H366" i="1"/>
  <c r="H365" i="1"/>
  <c r="H402" i="1" s="1"/>
  <c r="F366" i="1"/>
  <c r="F365" i="1"/>
  <c r="F402" i="1" s="1"/>
  <c r="D366" i="1"/>
  <c r="D365" i="1"/>
  <c r="D402" i="1" s="1"/>
  <c r="B366" i="1"/>
  <c r="B365" i="1"/>
  <c r="B401" i="1" s="1"/>
  <c r="BD366" i="1"/>
  <c r="BB366" i="1"/>
  <c r="AZ366" i="1"/>
  <c r="AX366" i="1"/>
  <c r="AV366" i="1"/>
  <c r="AT366" i="1"/>
  <c r="AR366" i="1"/>
  <c r="AP366" i="1"/>
  <c r="AN366" i="1"/>
  <c r="AL366" i="1"/>
  <c r="AJ366" i="1"/>
  <c r="AH366" i="1"/>
  <c r="AF366" i="1"/>
  <c r="AD366" i="1"/>
  <c r="AB366" i="1"/>
  <c r="Z366" i="1"/>
  <c r="X366" i="1"/>
  <c r="V366" i="1"/>
  <c r="T366" i="1"/>
  <c r="R366" i="1"/>
  <c r="P366" i="1"/>
  <c r="Q366" i="1" s="1"/>
  <c r="N366" i="1"/>
  <c r="O366" i="1" s="1"/>
  <c r="L366" i="1"/>
  <c r="M366" i="1" s="1"/>
  <c r="J366" i="1"/>
  <c r="K366" i="1" s="1"/>
  <c r="BD365" i="1"/>
  <c r="BD402" i="1" s="1"/>
  <c r="BB365" i="1"/>
  <c r="BB402" i="1" s="1"/>
  <c r="AZ365" i="1"/>
  <c r="AZ402" i="1" s="1"/>
  <c r="AX365" i="1"/>
  <c r="AX402" i="1" s="1"/>
  <c r="AV365" i="1"/>
  <c r="AV402" i="1" s="1"/>
  <c r="AT365" i="1"/>
  <c r="AT402" i="1" s="1"/>
  <c r="AR365" i="1"/>
  <c r="AR402" i="1" s="1"/>
  <c r="AP365" i="1"/>
  <c r="AP402" i="1" s="1"/>
  <c r="AN365" i="1"/>
  <c r="AN402" i="1" s="1"/>
  <c r="AL365" i="1"/>
  <c r="AL402" i="1" s="1"/>
  <c r="AJ365" i="1"/>
  <c r="AJ402" i="1" s="1"/>
  <c r="AH365" i="1"/>
  <c r="AH402" i="1" s="1"/>
  <c r="AF365" i="1"/>
  <c r="AF402" i="1" s="1"/>
  <c r="AD365" i="1"/>
  <c r="AD402" i="1" s="1"/>
  <c r="AB365" i="1"/>
  <c r="AB402" i="1" s="1"/>
  <c r="Z365" i="1"/>
  <c r="Z402" i="1" s="1"/>
  <c r="X365" i="1"/>
  <c r="X402" i="1" s="1"/>
  <c r="V365" i="1"/>
  <c r="V402" i="1" s="1"/>
  <c r="T365" i="1"/>
  <c r="T402" i="1" s="1"/>
  <c r="R365" i="1"/>
  <c r="R402" i="1" s="1"/>
  <c r="P365" i="1"/>
  <c r="P402" i="1" s="1"/>
  <c r="Q402" i="1" s="1"/>
  <c r="N365" i="1"/>
  <c r="N402" i="1" s="1"/>
  <c r="O402" i="1" s="1"/>
  <c r="L365" i="1"/>
  <c r="L402" i="1" s="1"/>
  <c r="M402" i="1" s="1"/>
  <c r="J365" i="1"/>
  <c r="J402" i="1" s="1"/>
  <c r="H362" i="1"/>
  <c r="F362" i="1"/>
  <c r="H363" i="1" s="1"/>
  <c r="D362" i="1"/>
  <c r="B362" i="1"/>
  <c r="B363" i="1" s="1"/>
  <c r="BD362" i="1"/>
  <c r="BB362" i="1"/>
  <c r="AZ362" i="1"/>
  <c r="AX362" i="1"/>
  <c r="AZ363" i="1" s="1"/>
  <c r="AV362" i="1"/>
  <c r="AT362" i="1"/>
  <c r="AR362" i="1"/>
  <c r="AP362" i="1"/>
  <c r="AR363" i="1" s="1"/>
  <c r="AN362" i="1"/>
  <c r="AL362" i="1"/>
  <c r="AJ362" i="1"/>
  <c r="AH362" i="1"/>
  <c r="AJ363" i="1" s="1"/>
  <c r="AF362" i="1"/>
  <c r="AD362" i="1"/>
  <c r="AB362" i="1"/>
  <c r="Z362" i="1"/>
  <c r="AB363" i="1" s="1"/>
  <c r="X362" i="1"/>
  <c r="V362" i="1"/>
  <c r="T362" i="1"/>
  <c r="R362" i="1"/>
  <c r="T363" i="1" s="1"/>
  <c r="P362" i="1"/>
  <c r="Q362" i="1" s="1"/>
  <c r="N362" i="1"/>
  <c r="L362" i="1"/>
  <c r="M362" i="1" s="1"/>
  <c r="J362" i="1"/>
  <c r="L363" i="1" s="1"/>
  <c r="BC361" i="1"/>
  <c r="BC360" i="1"/>
  <c r="BA361" i="1"/>
  <c r="BA360" i="1"/>
  <c r="AY361" i="1"/>
  <c r="AY360" i="1"/>
  <c r="AW361" i="1"/>
  <c r="AW360" i="1"/>
  <c r="AU361" i="1"/>
  <c r="AU360" i="1"/>
  <c r="AS361" i="1"/>
  <c r="AS360" i="1"/>
  <c r="AQ361" i="1"/>
  <c r="AQ360" i="1"/>
  <c r="AO361" i="1"/>
  <c r="AO360" i="1"/>
  <c r="AM361" i="1"/>
  <c r="AM360" i="1"/>
  <c r="AK361" i="1"/>
  <c r="AK360" i="1"/>
  <c r="AI361" i="1"/>
  <c r="AI360" i="1"/>
  <c r="AG361" i="1"/>
  <c r="AG360" i="1"/>
  <c r="AE361" i="1"/>
  <c r="AE360" i="1"/>
  <c r="AC361" i="1"/>
  <c r="AC360" i="1"/>
  <c r="AA361" i="1"/>
  <c r="AA360" i="1"/>
  <c r="Y361" i="1"/>
  <c r="Y360" i="1"/>
  <c r="W361" i="1"/>
  <c r="W360" i="1"/>
  <c r="U361" i="1"/>
  <c r="U360" i="1"/>
  <c r="S361" i="1"/>
  <c r="S360" i="1"/>
  <c r="Q361" i="1"/>
  <c r="Q360" i="1"/>
  <c r="O361" i="1"/>
  <c r="O360" i="1"/>
  <c r="M361" i="1"/>
  <c r="M360" i="1"/>
  <c r="K361" i="1"/>
  <c r="K360" i="1"/>
  <c r="CH361" i="1"/>
  <c r="CG361" i="1"/>
  <c r="CF361" i="1"/>
  <c r="CE361" i="1"/>
  <c r="CG366" i="1" s="1"/>
  <c r="CD361" i="1"/>
  <c r="CC361" i="1"/>
  <c r="CE366" i="1" s="1"/>
  <c r="CB361" i="1"/>
  <c r="CA361" i="1"/>
  <c r="CC366" i="1" s="1"/>
  <c r="BZ361" i="1"/>
  <c r="BY361" i="1"/>
  <c r="CA366" i="1" s="1"/>
  <c r="BX361" i="1"/>
  <c r="BW361" i="1"/>
  <c r="BY366" i="1" s="1"/>
  <c r="BV361" i="1"/>
  <c r="BU361" i="1"/>
  <c r="BU366" i="1" s="1"/>
  <c r="BV366" i="1" s="1"/>
  <c r="CG360" i="1"/>
  <c r="CG362" i="1" s="1"/>
  <c r="CE360" i="1"/>
  <c r="CE362" i="1" s="1"/>
  <c r="CC360" i="1"/>
  <c r="CE365" i="1" s="1"/>
  <c r="CA360" i="1"/>
  <c r="CA362" i="1" s="1"/>
  <c r="BY360" i="1"/>
  <c r="CA365" i="1" s="1"/>
  <c r="BW360" i="1"/>
  <c r="BW362" i="1" s="1"/>
  <c r="BU360" i="1"/>
  <c r="BW365" i="1" s="1"/>
  <c r="BL361" i="1"/>
  <c r="CI361" i="1" s="1"/>
  <c r="BJ361" i="1"/>
  <c r="BL366" i="1" s="1"/>
  <c r="BM366" i="1" s="1"/>
  <c r="BH361" i="1"/>
  <c r="BI361" i="1" s="1"/>
  <c r="BF361" i="1"/>
  <c r="BH366" i="1" s="1"/>
  <c r="BI366" i="1" s="1"/>
  <c r="BE361" i="1"/>
  <c r="BG360" i="1"/>
  <c r="BF360" i="1"/>
  <c r="BF365" i="1" s="1"/>
  <c r="BE360" i="1"/>
  <c r="BF354" i="1"/>
  <c r="BH354" i="1" s="1"/>
  <c r="BF353" i="1"/>
  <c r="AU355" i="1"/>
  <c r="AU354" i="1"/>
  <c r="AU352" i="1"/>
  <c r="AS355" i="1"/>
  <c r="AS354" i="1"/>
  <c r="AS352" i="1"/>
  <c r="AQ355" i="1"/>
  <c r="AQ354" i="1"/>
  <c r="AQ352" i="1"/>
  <c r="AO355" i="1"/>
  <c r="AO354" i="1"/>
  <c r="AO352" i="1"/>
  <c r="AM355" i="1"/>
  <c r="AM354" i="1"/>
  <c r="AM352" i="1"/>
  <c r="AK355" i="1"/>
  <c r="AK354" i="1"/>
  <c r="AK352" i="1"/>
  <c r="AI355" i="1"/>
  <c r="AI354" i="1"/>
  <c r="AI352" i="1"/>
  <c r="AG355" i="1"/>
  <c r="AG354" i="1"/>
  <c r="AG352" i="1"/>
  <c r="AE355" i="1"/>
  <c r="AE354" i="1"/>
  <c r="AE352" i="1"/>
  <c r="AC355" i="1"/>
  <c r="AC354" i="1"/>
  <c r="AC352" i="1"/>
  <c r="AA355" i="1"/>
  <c r="AA354" i="1"/>
  <c r="AA352" i="1"/>
  <c r="Y355" i="1"/>
  <c r="Y354" i="1"/>
  <c r="Y353" i="1"/>
  <c r="Y352" i="1"/>
  <c r="W355" i="1"/>
  <c r="W354" i="1"/>
  <c r="W353" i="1"/>
  <c r="W352" i="1"/>
  <c r="BD353" i="1"/>
  <c r="BB353" i="1"/>
  <c r="AZ353" i="1"/>
  <c r="AX353" i="1"/>
  <c r="AV353" i="1"/>
  <c r="AT353" i="1"/>
  <c r="AR353" i="1"/>
  <c r="AP353" i="1"/>
  <c r="AN353" i="1"/>
  <c r="AO353" i="1" s="1"/>
  <c r="AL353" i="1"/>
  <c r="AJ353" i="1"/>
  <c r="AH353" i="1"/>
  <c r="AF353" i="1"/>
  <c r="AG353" i="1" s="1"/>
  <c r="AD353" i="1"/>
  <c r="AE353" i="1" s="1"/>
  <c r="AB353" i="1"/>
  <c r="AC353" i="1" s="1"/>
  <c r="Z353" i="1"/>
  <c r="AA353" i="1" s="1"/>
  <c r="CC355" i="1"/>
  <c r="CD355" i="1" s="1"/>
  <c r="CA355" i="1"/>
  <c r="CB355" i="1" s="1"/>
  <c r="BY355" i="1"/>
  <c r="BZ355" i="1" s="1"/>
  <c r="CG354" i="1"/>
  <c r="CE354" i="1"/>
  <c r="CC354" i="1"/>
  <c r="CA354" i="1"/>
  <c r="CB354" i="1" s="1"/>
  <c r="BY354" i="1"/>
  <c r="BZ354" i="1" s="1"/>
  <c r="CC353" i="1"/>
  <c r="CD353" i="1" s="1"/>
  <c r="CB353" i="1"/>
  <c r="CA353" i="1"/>
  <c r="BZ353" i="1"/>
  <c r="BY353" i="1"/>
  <c r="CC352" i="1"/>
  <c r="CD352" i="1" s="1"/>
  <c r="CA352" i="1"/>
  <c r="BY352" i="1"/>
  <c r="CS351" i="1"/>
  <c r="BL348" i="1"/>
  <c r="BJ348" i="1"/>
  <c r="BH348" i="1"/>
  <c r="BI348" i="1" s="1"/>
  <c r="BF348" i="1"/>
  <c r="BD348" i="1"/>
  <c r="BE348" i="1" s="1"/>
  <c r="AZ348" i="1"/>
  <c r="AX348" i="1"/>
  <c r="AV348" i="1"/>
  <c r="AT348" i="1"/>
  <c r="AR348" i="1"/>
  <c r="AP348" i="1"/>
  <c r="AN348" i="1"/>
  <c r="AL348" i="1"/>
  <c r="AM348" i="1" s="1"/>
  <c r="AJ348" i="1"/>
  <c r="AH348" i="1"/>
  <c r="AI348" i="1" s="1"/>
  <c r="AD348" i="1"/>
  <c r="AB348" i="1"/>
  <c r="Z348" i="1"/>
  <c r="X348" i="1"/>
  <c r="P348" i="1"/>
  <c r="N348" i="1"/>
  <c r="L348" i="1"/>
  <c r="J348" i="1"/>
  <c r="H348" i="1"/>
  <c r="F348" i="1"/>
  <c r="D348" i="1"/>
  <c r="B348" i="1"/>
  <c r="BS348" i="1"/>
  <c r="BQ348" i="1"/>
  <c r="CQ348" i="1"/>
  <c r="CO348" i="1"/>
  <c r="CM348" i="1"/>
  <c r="CN348" i="1" s="1"/>
  <c r="CK348" i="1"/>
  <c r="CI347" i="1"/>
  <c r="CI346" i="1"/>
  <c r="CI345" i="1"/>
  <c r="CL345" i="1" s="1"/>
  <c r="CG346" i="1"/>
  <c r="CS346" i="1" s="1"/>
  <c r="CG345" i="1"/>
  <c r="CE347" i="1"/>
  <c r="CE348" i="1" s="1"/>
  <c r="CE346" i="1"/>
  <c r="CE345" i="1"/>
  <c r="CC347" i="1"/>
  <c r="CC346" i="1"/>
  <c r="CF346" i="1" s="1"/>
  <c r="CC345" i="1"/>
  <c r="CA346" i="1"/>
  <c r="CA345" i="1"/>
  <c r="BW347" i="1"/>
  <c r="BX347" i="1" s="1"/>
  <c r="BV347" i="1"/>
  <c r="BU347" i="1"/>
  <c r="BD347" i="1"/>
  <c r="BB347" i="1"/>
  <c r="BB348" i="1" s="1"/>
  <c r="BC348" i="1" s="1"/>
  <c r="AF347" i="1"/>
  <c r="CA347" i="1" s="1"/>
  <c r="R347" i="1"/>
  <c r="R348" i="1" s="1"/>
  <c r="S348" i="1" s="1"/>
  <c r="CR346" i="1"/>
  <c r="CR345" i="1"/>
  <c r="CP346" i="1"/>
  <c r="CP345" i="1"/>
  <c r="CN346" i="1"/>
  <c r="CN345" i="1"/>
  <c r="CL346" i="1"/>
  <c r="CJ346" i="1"/>
  <c r="CJ345" i="1"/>
  <c r="CH346" i="1"/>
  <c r="CH345" i="1"/>
  <c r="CF345" i="1"/>
  <c r="BM346" i="1"/>
  <c r="BM345" i="1"/>
  <c r="BK346" i="1"/>
  <c r="BK345" i="1"/>
  <c r="BI346" i="1"/>
  <c r="BI345" i="1"/>
  <c r="BG346" i="1"/>
  <c r="BG345" i="1"/>
  <c r="BE346" i="1"/>
  <c r="BE345" i="1"/>
  <c r="BC346" i="1"/>
  <c r="BC345" i="1"/>
  <c r="BA346" i="1"/>
  <c r="BA345" i="1"/>
  <c r="AY346" i="1"/>
  <c r="AY345" i="1"/>
  <c r="AW346" i="1"/>
  <c r="AW345" i="1"/>
  <c r="AU346" i="1"/>
  <c r="AU345" i="1"/>
  <c r="AS346" i="1"/>
  <c r="AS345" i="1"/>
  <c r="AQ346" i="1"/>
  <c r="AQ345" i="1"/>
  <c r="AO346" i="1"/>
  <c r="AO345" i="1"/>
  <c r="AM346" i="1"/>
  <c r="AM345" i="1"/>
  <c r="AK346" i="1"/>
  <c r="AK345" i="1"/>
  <c r="AI346" i="1"/>
  <c r="AI345" i="1"/>
  <c r="AG346" i="1"/>
  <c r="AG345" i="1"/>
  <c r="AE346" i="1"/>
  <c r="AC346" i="1"/>
  <c r="AA346" i="1"/>
  <c r="AA345" i="1"/>
  <c r="Y346" i="1"/>
  <c r="Y345" i="1"/>
  <c r="W346" i="1"/>
  <c r="U346" i="1"/>
  <c r="S346" i="1"/>
  <c r="S345" i="1"/>
  <c r="Q346" i="1"/>
  <c r="Q345" i="1"/>
  <c r="O346" i="1"/>
  <c r="O345" i="1"/>
  <c r="M346" i="1"/>
  <c r="M345" i="1"/>
  <c r="K346" i="1"/>
  <c r="K345" i="1"/>
  <c r="BY346" i="1"/>
  <c r="CB346" i="1" s="1"/>
  <c r="BW346" i="1"/>
  <c r="BX346" i="1" s="1"/>
  <c r="BU346" i="1"/>
  <c r="BV346" i="1" s="1"/>
  <c r="BW345" i="1"/>
  <c r="BX345" i="1" s="1"/>
  <c r="BU345" i="1"/>
  <c r="BU348" i="1" s="1"/>
  <c r="BV348" i="1" s="1"/>
  <c r="T345" i="1"/>
  <c r="AC345" i="1" s="1"/>
  <c r="B340" i="1"/>
  <c r="BS334" i="1"/>
  <c r="BS335" i="1" s="1"/>
  <c r="BQ335" i="1"/>
  <c r="BQ334" i="1"/>
  <c r="H334" i="1"/>
  <c r="H340" i="1" s="1"/>
  <c r="F334" i="1"/>
  <c r="F340" i="1" s="1"/>
  <c r="D334" i="1"/>
  <c r="BU334" i="1" s="1"/>
  <c r="B334" i="1"/>
  <c r="BD334" i="1"/>
  <c r="BE334" i="1" s="1"/>
  <c r="BC334" i="1"/>
  <c r="BB334" i="1"/>
  <c r="BB340" i="1" s="1"/>
  <c r="AZ334" i="1"/>
  <c r="CG334" i="1" s="1"/>
  <c r="AY334" i="1"/>
  <c r="AX334" i="1"/>
  <c r="AX340" i="1" s="1"/>
  <c r="AV334" i="1"/>
  <c r="AW334" i="1" s="1"/>
  <c r="AU334" i="1"/>
  <c r="AT334" i="1"/>
  <c r="AT340" i="1" s="1"/>
  <c r="AR334" i="1"/>
  <c r="AS334" i="1" s="1"/>
  <c r="AQ334" i="1"/>
  <c r="AP334" i="1"/>
  <c r="AP340" i="1" s="1"/>
  <c r="AN334" i="1"/>
  <c r="AO334" i="1" s="1"/>
  <c r="AM334" i="1"/>
  <c r="AL334" i="1"/>
  <c r="AL340" i="1" s="1"/>
  <c r="AJ334" i="1"/>
  <c r="CC334" i="1" s="1"/>
  <c r="AI334" i="1"/>
  <c r="AH334" i="1"/>
  <c r="AH340" i="1" s="1"/>
  <c r="AF334" i="1"/>
  <c r="AG334" i="1" s="1"/>
  <c r="AE334" i="1"/>
  <c r="AD334" i="1"/>
  <c r="AD340" i="1" s="1"/>
  <c r="AB334" i="1"/>
  <c r="AC334" i="1" s="1"/>
  <c r="AA334" i="1"/>
  <c r="Z334" i="1"/>
  <c r="Z340" i="1" s="1"/>
  <c r="X334" i="1"/>
  <c r="Y334" i="1" s="1"/>
  <c r="W334" i="1"/>
  <c r="V334" i="1"/>
  <c r="V340" i="1" s="1"/>
  <c r="W340" i="1" s="1"/>
  <c r="T334" i="1"/>
  <c r="BY334" i="1" s="1"/>
  <c r="S334" i="1"/>
  <c r="R334" i="1"/>
  <c r="R340" i="1" s="1"/>
  <c r="S340" i="1" s="1"/>
  <c r="P334" i="1"/>
  <c r="Q334" i="1" s="1"/>
  <c r="O334" i="1"/>
  <c r="N334" i="1"/>
  <c r="N340" i="1" s="1"/>
  <c r="O340" i="1" s="1"/>
  <c r="L334" i="1"/>
  <c r="M334" i="1" s="1"/>
  <c r="K334" i="1"/>
  <c r="J334" i="1"/>
  <c r="J340" i="1" s="1"/>
  <c r="K340" i="1" s="1"/>
  <c r="BA333" i="1"/>
  <c r="BA332" i="1"/>
  <c r="AY333" i="1"/>
  <c r="AY332" i="1"/>
  <c r="AW333" i="1"/>
  <c r="AW332" i="1"/>
  <c r="AU333" i="1"/>
  <c r="AU332" i="1"/>
  <c r="AS333" i="1"/>
  <c r="AS332" i="1"/>
  <c r="AQ333" i="1"/>
  <c r="AQ332" i="1"/>
  <c r="AO333" i="1"/>
  <c r="AO332" i="1"/>
  <c r="AM333" i="1"/>
  <c r="AM332" i="1"/>
  <c r="AK333" i="1"/>
  <c r="AK332" i="1"/>
  <c r="AI333" i="1"/>
  <c r="AI332" i="1"/>
  <c r="AG333" i="1"/>
  <c r="AG332" i="1"/>
  <c r="AE333" i="1"/>
  <c r="AE332" i="1"/>
  <c r="AC333" i="1"/>
  <c r="AC332" i="1"/>
  <c r="AA333" i="1"/>
  <c r="AA332" i="1"/>
  <c r="Y333" i="1"/>
  <c r="Y332" i="1"/>
  <c r="W333" i="1"/>
  <c r="W332" i="1"/>
  <c r="U333" i="1"/>
  <c r="U332" i="1"/>
  <c r="S333" i="1"/>
  <c r="S332" i="1"/>
  <c r="Q333" i="1"/>
  <c r="Q332" i="1"/>
  <c r="O333" i="1"/>
  <c r="O332" i="1"/>
  <c r="M333" i="1"/>
  <c r="M332" i="1"/>
  <c r="K333" i="1"/>
  <c r="K332" i="1"/>
  <c r="CE334" i="1"/>
  <c r="CA334" i="1"/>
  <c r="BW334" i="1"/>
  <c r="CF333" i="1"/>
  <c r="CE333" i="1"/>
  <c r="CC333" i="1"/>
  <c r="CA333" i="1"/>
  <c r="CB333" i="1" s="1"/>
  <c r="BY333" i="1"/>
  <c r="BZ333" i="1" s="1"/>
  <c r="BW333" i="1"/>
  <c r="BU333" i="1"/>
  <c r="BV333" i="1" s="1"/>
  <c r="CG332" i="1"/>
  <c r="CE332" i="1"/>
  <c r="CC332" i="1"/>
  <c r="CA332" i="1"/>
  <c r="BY332" i="1"/>
  <c r="BW332" i="1"/>
  <c r="BU332" i="1"/>
  <c r="BD333" i="1"/>
  <c r="BD629" i="1" s="1"/>
  <c r="BE629" i="1" s="1"/>
  <c r="BC333" i="1"/>
  <c r="BE332" i="1"/>
  <c r="BD332" i="1"/>
  <c r="BC332" i="1"/>
  <c r="BD331" i="1"/>
  <c r="BB331" i="1"/>
  <c r="BB335" i="1" s="1"/>
  <c r="AZ331" i="1"/>
  <c r="AX331" i="1"/>
  <c r="AX335" i="1" s="1"/>
  <c r="AV331" i="1"/>
  <c r="AT331" i="1"/>
  <c r="AT335" i="1" s="1"/>
  <c r="AR331" i="1"/>
  <c r="AP331" i="1"/>
  <c r="AP335" i="1" s="1"/>
  <c r="AN331" i="1"/>
  <c r="AL331" i="1"/>
  <c r="AL335" i="1" s="1"/>
  <c r="AJ331" i="1"/>
  <c r="AH331" i="1"/>
  <c r="AH335" i="1" s="1"/>
  <c r="AF331" i="1"/>
  <c r="AD331" i="1"/>
  <c r="AD335" i="1" s="1"/>
  <c r="AB331" i="1"/>
  <c r="Z331" i="1"/>
  <c r="Z335" i="1" s="1"/>
  <c r="X331" i="1"/>
  <c r="V331" i="1"/>
  <c r="V335" i="1" s="1"/>
  <c r="T331" i="1"/>
  <c r="R331" i="1"/>
  <c r="R335" i="1" s="1"/>
  <c r="P331" i="1"/>
  <c r="N331" i="1"/>
  <c r="N335" i="1" s="1"/>
  <c r="L331" i="1"/>
  <c r="J331" i="1"/>
  <c r="J335" i="1" s="1"/>
  <c r="H331" i="1"/>
  <c r="H335" i="1" s="1"/>
  <c r="F331" i="1"/>
  <c r="F335" i="1" s="1"/>
  <c r="D331" i="1"/>
  <c r="D335" i="1" s="1"/>
  <c r="B331" i="1"/>
  <c r="B335" i="1" s="1"/>
  <c r="BH328" i="1"/>
  <c r="BC319" i="1"/>
  <c r="BC317" i="1"/>
  <c r="BC316" i="1"/>
  <c r="BC315" i="1"/>
  <c r="BC314" i="1"/>
  <c r="BC313" i="1"/>
  <c r="BC312" i="1"/>
  <c r="BC311" i="1"/>
  <c r="BC310" i="1"/>
  <c r="BA319" i="1"/>
  <c r="BA317" i="1"/>
  <c r="BA316" i="1"/>
  <c r="BA315" i="1"/>
  <c r="BA314" i="1"/>
  <c r="BA313" i="1"/>
  <c r="BA312" i="1"/>
  <c r="BA311" i="1"/>
  <c r="BA310" i="1"/>
  <c r="AY319" i="1"/>
  <c r="AY317" i="1"/>
  <c r="AY316" i="1"/>
  <c r="AY315" i="1"/>
  <c r="AY314" i="1"/>
  <c r="AY313" i="1"/>
  <c r="AY312" i="1"/>
  <c r="AY311" i="1"/>
  <c r="AY310" i="1"/>
  <c r="AW319" i="1"/>
  <c r="AW317" i="1"/>
  <c r="AW316" i="1"/>
  <c r="AW315" i="1"/>
  <c r="AW314" i="1"/>
  <c r="AW313" i="1"/>
  <c r="AW312" i="1"/>
  <c r="AW311" i="1"/>
  <c r="AW310" i="1"/>
  <c r="AU319" i="1"/>
  <c r="AU317" i="1"/>
  <c r="AU316" i="1"/>
  <c r="AU315" i="1"/>
  <c r="AU314" i="1"/>
  <c r="AU313" i="1"/>
  <c r="AU312" i="1"/>
  <c r="AU311" i="1"/>
  <c r="AU310" i="1"/>
  <c r="AS319" i="1"/>
  <c r="AS317" i="1"/>
  <c r="AS316" i="1"/>
  <c r="AS315" i="1"/>
  <c r="AS314" i="1"/>
  <c r="AS313" i="1"/>
  <c r="AS312" i="1"/>
  <c r="AS311" i="1"/>
  <c r="AS310" i="1"/>
  <c r="AQ319" i="1"/>
  <c r="AQ317" i="1"/>
  <c r="AQ316" i="1"/>
  <c r="AQ315" i="1"/>
  <c r="AQ314" i="1"/>
  <c r="AQ313" i="1"/>
  <c r="AQ312" i="1"/>
  <c r="AQ311" i="1"/>
  <c r="AQ310" i="1"/>
  <c r="AO319" i="1"/>
  <c r="AO317" i="1"/>
  <c r="AO316" i="1"/>
  <c r="AO315" i="1"/>
  <c r="AO314" i="1"/>
  <c r="AO313" i="1"/>
  <c r="AO312" i="1"/>
  <c r="AO311" i="1"/>
  <c r="AO310" i="1"/>
  <c r="AM319" i="1"/>
  <c r="AM317" i="1"/>
  <c r="AM316" i="1"/>
  <c r="AM315" i="1"/>
  <c r="AM314" i="1"/>
  <c r="AM313" i="1"/>
  <c r="AM312" i="1"/>
  <c r="AM311" i="1"/>
  <c r="AM310" i="1"/>
  <c r="AK319" i="1"/>
  <c r="AK317" i="1"/>
  <c r="AK316" i="1"/>
  <c r="AK315" i="1"/>
  <c r="AK314" i="1"/>
  <c r="AK313" i="1"/>
  <c r="AK312" i="1"/>
  <c r="AK311" i="1"/>
  <c r="AK310" i="1"/>
  <c r="AI319" i="1"/>
  <c r="AI317" i="1"/>
  <c r="AI316" i="1"/>
  <c r="AI315" i="1"/>
  <c r="AI314" i="1"/>
  <c r="AI313" i="1"/>
  <c r="AI312" i="1"/>
  <c r="AI311" i="1"/>
  <c r="AI310" i="1"/>
  <c r="AG319" i="1"/>
  <c r="AG317" i="1"/>
  <c r="AG316" i="1"/>
  <c r="AG315" i="1"/>
  <c r="AG314" i="1"/>
  <c r="AG313" i="1"/>
  <c r="AG312" i="1"/>
  <c r="AG311" i="1"/>
  <c r="AG310" i="1"/>
  <c r="AE319" i="1"/>
  <c r="AE317" i="1"/>
  <c r="AE316" i="1"/>
  <c r="AE315" i="1"/>
  <c r="AE314" i="1"/>
  <c r="AE313" i="1"/>
  <c r="AE312" i="1"/>
  <c r="AE311" i="1"/>
  <c r="AE310" i="1"/>
  <c r="AC319" i="1"/>
  <c r="AC317" i="1"/>
  <c r="AC316" i="1"/>
  <c r="AC315" i="1"/>
  <c r="AC314" i="1"/>
  <c r="AC313" i="1"/>
  <c r="AC312" i="1"/>
  <c r="AC311" i="1"/>
  <c r="AC310" i="1"/>
  <c r="AA319" i="1"/>
  <c r="AA317" i="1"/>
  <c r="AA316" i="1"/>
  <c r="AA315" i="1"/>
  <c r="AA314" i="1"/>
  <c r="AA313" i="1"/>
  <c r="AA312" i="1"/>
  <c r="AA311" i="1"/>
  <c r="AA310" i="1"/>
  <c r="Y319" i="1"/>
  <c r="Y314" i="1"/>
  <c r="Y311" i="1"/>
  <c r="Y310" i="1"/>
  <c r="W319" i="1"/>
  <c r="U319" i="1"/>
  <c r="S319" i="1"/>
  <c r="Q319" i="1"/>
  <c r="Q314" i="1"/>
  <c r="Q311" i="1"/>
  <c r="Q310" i="1"/>
  <c r="O319" i="1"/>
  <c r="O314" i="1"/>
  <c r="O311" i="1"/>
  <c r="O310" i="1"/>
  <c r="M319" i="1"/>
  <c r="M314" i="1"/>
  <c r="M311" i="1"/>
  <c r="M310" i="1"/>
  <c r="K319" i="1"/>
  <c r="K314" i="1"/>
  <c r="K311" i="1"/>
  <c r="K310" i="1"/>
  <c r="BS318" i="1"/>
  <c r="BS342" i="1" s="1"/>
  <c r="BQ318" i="1"/>
  <c r="BQ342" i="1" s="1"/>
  <c r="P316" i="1"/>
  <c r="Y316" i="1" s="1"/>
  <c r="P315" i="1"/>
  <c r="Y315" i="1" s="1"/>
  <c r="N316" i="1"/>
  <c r="N315" i="1"/>
  <c r="O315" i="1" s="1"/>
  <c r="L316" i="1"/>
  <c r="L315" i="1"/>
  <c r="M315" i="1" s="1"/>
  <c r="J316" i="1"/>
  <c r="J315" i="1"/>
  <c r="K315" i="1" s="1"/>
  <c r="H316" i="1"/>
  <c r="H315" i="1"/>
  <c r="Q315" i="1" s="1"/>
  <c r="F316" i="1"/>
  <c r="F315" i="1"/>
  <c r="D316" i="1"/>
  <c r="D315" i="1"/>
  <c r="B316" i="1"/>
  <c r="B315" i="1"/>
  <c r="CG319" i="1"/>
  <c r="CH319" i="1" s="1"/>
  <c r="CE319" i="1"/>
  <c r="CC319" i="1"/>
  <c r="CD319" i="1" s="1"/>
  <c r="CB319" i="1"/>
  <c r="CA319" i="1"/>
  <c r="BY319" i="1"/>
  <c r="BX319" i="1"/>
  <c r="BW319" i="1"/>
  <c r="BU319" i="1"/>
  <c r="BV319" i="1" s="1"/>
  <c r="CG317" i="1"/>
  <c r="CH317" i="1" s="1"/>
  <c r="CE317" i="1"/>
  <c r="CC317" i="1"/>
  <c r="CA317" i="1"/>
  <c r="CD317" i="1" s="1"/>
  <c r="BY317" i="1"/>
  <c r="BE319" i="1"/>
  <c r="BE317" i="1"/>
  <c r="CS316" i="1"/>
  <c r="CS315" i="1"/>
  <c r="CS314" i="1"/>
  <c r="CS313" i="1"/>
  <c r="CS312" i="1"/>
  <c r="CS311" i="1"/>
  <c r="BM316" i="1"/>
  <c r="BM315" i="1"/>
  <c r="BM314" i="1"/>
  <c r="BM313" i="1"/>
  <c r="BM312" i="1"/>
  <c r="BM311" i="1"/>
  <c r="BK316" i="1"/>
  <c r="BK315" i="1"/>
  <c r="BK314" i="1"/>
  <c r="BK313" i="1"/>
  <c r="BK312" i="1"/>
  <c r="BK311" i="1"/>
  <c r="BI316" i="1"/>
  <c r="BI315" i="1"/>
  <c r="BI314" i="1"/>
  <c r="BI313" i="1"/>
  <c r="BI312" i="1"/>
  <c r="BI311" i="1"/>
  <c r="BG316" i="1"/>
  <c r="BG315" i="1"/>
  <c r="BG314" i="1"/>
  <c r="BG313" i="1"/>
  <c r="BG312" i="1"/>
  <c r="BG311" i="1"/>
  <c r="BE316" i="1"/>
  <c r="BE315" i="1"/>
  <c r="BE314" i="1"/>
  <c r="BE313" i="1"/>
  <c r="BE312" i="1"/>
  <c r="BE311" i="1"/>
  <c r="BE310" i="1"/>
  <c r="P313" i="1"/>
  <c r="Y313" i="1" s="1"/>
  <c r="P312" i="1"/>
  <c r="Q312" i="1" s="1"/>
  <c r="N312" i="1"/>
  <c r="N313" i="1" s="1"/>
  <c r="L313" i="1"/>
  <c r="L317" i="1" s="1"/>
  <c r="L312" i="1"/>
  <c r="M312" i="1" s="1"/>
  <c r="J312" i="1"/>
  <c r="J313" i="1" s="1"/>
  <c r="H313" i="1"/>
  <c r="H317" i="1" s="1"/>
  <c r="H312" i="1"/>
  <c r="F312" i="1"/>
  <c r="F313" i="1" s="1"/>
  <c r="F317" i="1" s="1"/>
  <c r="D313" i="1"/>
  <c r="D317" i="1" s="1"/>
  <c r="D312" i="1"/>
  <c r="B312" i="1"/>
  <c r="B313" i="1" s="1"/>
  <c r="B317" i="1" s="1"/>
  <c r="BU315" i="1"/>
  <c r="BV315" i="1" s="1"/>
  <c r="BW314" i="1"/>
  <c r="BX314" i="1" s="1"/>
  <c r="BU314" i="1"/>
  <c r="BV314" i="1" s="1"/>
  <c r="BU312" i="1"/>
  <c r="BV312" i="1" s="1"/>
  <c r="BW311" i="1"/>
  <c r="BU311" i="1"/>
  <c r="BV311" i="1" s="1"/>
  <c r="BL310" i="1"/>
  <c r="BM310" i="1" s="1"/>
  <c r="BJ310" i="1"/>
  <c r="BK310" i="1" s="1"/>
  <c r="BH310" i="1"/>
  <c r="BI310" i="1" s="1"/>
  <c r="BF310" i="1"/>
  <c r="BG310" i="1" s="1"/>
  <c r="W310" i="1"/>
  <c r="U310" i="1"/>
  <c r="S310" i="1"/>
  <c r="CH310" i="1"/>
  <c r="CG310" i="1"/>
  <c r="CE310" i="1"/>
  <c r="CC310" i="1"/>
  <c r="CD310" i="1" s="1"/>
  <c r="CA310" i="1"/>
  <c r="CB310" i="1" s="1"/>
  <c r="BY310" i="1"/>
  <c r="BZ310" i="1" s="1"/>
  <c r="BW310" i="1"/>
  <c r="BX310" i="1" s="1"/>
  <c r="BV310" i="1"/>
  <c r="BU310" i="1"/>
  <c r="BU309" i="1"/>
  <c r="BV309" i="1" s="1"/>
  <c r="BB309" i="1"/>
  <c r="AZ309" i="1"/>
  <c r="AV308" i="1"/>
  <c r="AV307" i="1"/>
  <c r="AV309" i="1" s="1"/>
  <c r="AP309" i="1"/>
  <c r="AN309" i="1"/>
  <c r="AN318" i="1" s="1"/>
  <c r="AH309" i="1"/>
  <c r="AH318" i="1" s="1"/>
  <c r="AF309" i="1"/>
  <c r="AG309" i="1" s="1"/>
  <c r="Z309" i="1"/>
  <c r="X309" i="1"/>
  <c r="X318" i="1" s="1"/>
  <c r="R309" i="1"/>
  <c r="P309" i="1"/>
  <c r="Q309" i="1" s="1"/>
  <c r="J309" i="1"/>
  <c r="K309" i="1" s="1"/>
  <c r="CR308" i="1"/>
  <c r="CR307" i="1"/>
  <c r="CR306" i="1"/>
  <c r="CP308" i="1"/>
  <c r="CP307" i="1"/>
  <c r="CP306" i="1"/>
  <c r="CN308" i="1"/>
  <c r="CN307" i="1"/>
  <c r="CN306" i="1"/>
  <c r="CL308" i="1"/>
  <c r="CL307" i="1"/>
  <c r="CL306" i="1"/>
  <c r="CJ308" i="1"/>
  <c r="CJ307" i="1"/>
  <c r="CJ306" i="1"/>
  <c r="CH308" i="1"/>
  <c r="CH307" i="1"/>
  <c r="CH306" i="1"/>
  <c r="CF308" i="1"/>
  <c r="CF307" i="1"/>
  <c r="CF306" i="1"/>
  <c r="CD308" i="1"/>
  <c r="CD307" i="1"/>
  <c r="CD306" i="1"/>
  <c r="BY308" i="1"/>
  <c r="BZ308" i="1" s="1"/>
  <c r="BW308" i="1"/>
  <c r="BX308" i="1" s="1"/>
  <c r="BV308" i="1"/>
  <c r="BD307" i="1"/>
  <c r="BD309" i="1" s="1"/>
  <c r="BB307" i="1"/>
  <c r="AZ307" i="1"/>
  <c r="AX307" i="1"/>
  <c r="AX309" i="1" s="1"/>
  <c r="AT307" i="1"/>
  <c r="AT309" i="1" s="1"/>
  <c r="AR307" i="1"/>
  <c r="AR309" i="1" s="1"/>
  <c r="AP307" i="1"/>
  <c r="AN307" i="1"/>
  <c r="AL307" i="1"/>
  <c r="AL309" i="1" s="1"/>
  <c r="AJ307" i="1"/>
  <c r="AJ309" i="1" s="1"/>
  <c r="AH307" i="1"/>
  <c r="AF307" i="1"/>
  <c r="AD307" i="1"/>
  <c r="AD309" i="1" s="1"/>
  <c r="AB307" i="1"/>
  <c r="AB309" i="1" s="1"/>
  <c r="Z307" i="1"/>
  <c r="X307" i="1"/>
  <c r="V307" i="1"/>
  <c r="V309" i="1" s="1"/>
  <c r="T307" i="1"/>
  <c r="T309" i="1" s="1"/>
  <c r="R307" i="1"/>
  <c r="P307" i="1"/>
  <c r="N307" i="1"/>
  <c r="BW307" i="1" s="1"/>
  <c r="L307" i="1"/>
  <c r="L309" i="1" s="1"/>
  <c r="J307" i="1"/>
  <c r="BY307" i="1"/>
  <c r="BY306" i="1"/>
  <c r="CB306" i="1" s="1"/>
  <c r="BW306" i="1"/>
  <c r="BX306" i="1" s="1"/>
  <c r="H303" i="1"/>
  <c r="H302" i="1"/>
  <c r="H324" i="1" s="1"/>
  <c r="F303" i="1"/>
  <c r="F302" i="1"/>
  <c r="D303" i="1"/>
  <c r="D302" i="1"/>
  <c r="B303" i="1"/>
  <c r="B302" i="1"/>
  <c r="B323" i="1" s="1"/>
  <c r="BD303" i="1"/>
  <c r="BB303" i="1"/>
  <c r="AZ303" i="1"/>
  <c r="AX303" i="1"/>
  <c r="AV303" i="1"/>
  <c r="AT303" i="1"/>
  <c r="AR303" i="1"/>
  <c r="AP303" i="1"/>
  <c r="AN303" i="1"/>
  <c r="AL303" i="1"/>
  <c r="AJ303" i="1"/>
  <c r="AH303" i="1"/>
  <c r="AF303" i="1"/>
  <c r="AD303" i="1"/>
  <c r="AB303" i="1"/>
  <c r="Z303" i="1"/>
  <c r="X303" i="1"/>
  <c r="V303" i="1"/>
  <c r="T303" i="1"/>
  <c r="R303" i="1"/>
  <c r="P303" i="1"/>
  <c r="Q303" i="1" s="1"/>
  <c r="N303" i="1"/>
  <c r="O303" i="1" s="1"/>
  <c r="L303" i="1"/>
  <c r="M303" i="1" s="1"/>
  <c r="J303" i="1"/>
  <c r="K303" i="1" s="1"/>
  <c r="BD302" i="1"/>
  <c r="BD324" i="1" s="1"/>
  <c r="BB302" i="1"/>
  <c r="BB324" i="1" s="1"/>
  <c r="AZ302" i="1"/>
  <c r="AZ324" i="1" s="1"/>
  <c r="AX302" i="1"/>
  <c r="AV302" i="1"/>
  <c r="AV324" i="1" s="1"/>
  <c r="AT302" i="1"/>
  <c r="AR302" i="1"/>
  <c r="AR324" i="1" s="1"/>
  <c r="AP302" i="1"/>
  <c r="AP324" i="1" s="1"/>
  <c r="AN302" i="1"/>
  <c r="AN324" i="1" s="1"/>
  <c r="AL302" i="1"/>
  <c r="AL324" i="1" s="1"/>
  <c r="AJ302" i="1"/>
  <c r="AJ324" i="1" s="1"/>
  <c r="AH302" i="1"/>
  <c r="AF302" i="1"/>
  <c r="AF324" i="1" s="1"/>
  <c r="AD302" i="1"/>
  <c r="AB302" i="1"/>
  <c r="AB324" i="1" s="1"/>
  <c r="Z302" i="1"/>
  <c r="Z324" i="1" s="1"/>
  <c r="X302" i="1"/>
  <c r="X324" i="1" s="1"/>
  <c r="V302" i="1"/>
  <c r="V324" i="1" s="1"/>
  <c r="T302" i="1"/>
  <c r="T324" i="1" s="1"/>
  <c r="R302" i="1"/>
  <c r="P302" i="1"/>
  <c r="P324" i="1" s="1"/>
  <c r="N302" i="1"/>
  <c r="O302" i="1" s="1"/>
  <c r="L302" i="1"/>
  <c r="L324" i="1" s="1"/>
  <c r="J302" i="1"/>
  <c r="J324" i="1" s="1"/>
  <c r="H299" i="1"/>
  <c r="F299" i="1"/>
  <c r="H300" i="1" s="1"/>
  <c r="D299" i="1"/>
  <c r="B299" i="1"/>
  <c r="B300" i="1" s="1"/>
  <c r="BD299" i="1"/>
  <c r="BB299" i="1"/>
  <c r="BD300" i="1" s="1"/>
  <c r="AZ299" i="1"/>
  <c r="AX299" i="1"/>
  <c r="AZ300" i="1" s="1"/>
  <c r="AV299" i="1"/>
  <c r="AT299" i="1"/>
  <c r="AV300" i="1" s="1"/>
  <c r="AR299" i="1"/>
  <c r="AP299" i="1"/>
  <c r="AR300" i="1" s="1"/>
  <c r="AN299" i="1"/>
  <c r="AL299" i="1"/>
  <c r="AN300" i="1" s="1"/>
  <c r="AJ299" i="1"/>
  <c r="AH299" i="1"/>
  <c r="AJ300" i="1" s="1"/>
  <c r="AF299" i="1"/>
  <c r="AD299" i="1"/>
  <c r="AF300" i="1" s="1"/>
  <c r="AB299" i="1"/>
  <c r="Z299" i="1"/>
  <c r="AB300" i="1" s="1"/>
  <c r="X299" i="1"/>
  <c r="V299" i="1"/>
  <c r="X300" i="1" s="1"/>
  <c r="T299" i="1"/>
  <c r="R299" i="1"/>
  <c r="T300" i="1" s="1"/>
  <c r="P299" i="1"/>
  <c r="Q299" i="1" s="1"/>
  <c r="N299" i="1"/>
  <c r="P300" i="1" s="1"/>
  <c r="Q300" i="1" s="1"/>
  <c r="L299" i="1"/>
  <c r="M299" i="1" s="1"/>
  <c r="J299" i="1"/>
  <c r="L300" i="1" s="1"/>
  <c r="BC298" i="1"/>
  <c r="BC297" i="1"/>
  <c r="BA298" i="1"/>
  <c r="BA297" i="1"/>
  <c r="AY298" i="1"/>
  <c r="AY297" i="1"/>
  <c r="AW298" i="1"/>
  <c r="AW297" i="1"/>
  <c r="AU298" i="1"/>
  <c r="AU297" i="1"/>
  <c r="AS298" i="1"/>
  <c r="AS297" i="1"/>
  <c r="AQ298" i="1"/>
  <c r="AQ297" i="1"/>
  <c r="AO298" i="1"/>
  <c r="AO297" i="1"/>
  <c r="AM298" i="1"/>
  <c r="AM297" i="1"/>
  <c r="AK298" i="1"/>
  <c r="AK297" i="1"/>
  <c r="AI298" i="1"/>
  <c r="AI297" i="1"/>
  <c r="AG298" i="1"/>
  <c r="AG297" i="1"/>
  <c r="AE298" i="1"/>
  <c r="AE297" i="1"/>
  <c r="AC298" i="1"/>
  <c r="AC297" i="1"/>
  <c r="AA298" i="1"/>
  <c r="AA297" i="1"/>
  <c r="Y298" i="1"/>
  <c r="Y297" i="1"/>
  <c r="W298" i="1"/>
  <c r="W297" i="1"/>
  <c r="U298" i="1"/>
  <c r="U297" i="1"/>
  <c r="S298" i="1"/>
  <c r="S297" i="1"/>
  <c r="Q298" i="1"/>
  <c r="Q297" i="1"/>
  <c r="O298" i="1"/>
  <c r="O297" i="1"/>
  <c r="M298" i="1"/>
  <c r="M297" i="1"/>
  <c r="K298" i="1"/>
  <c r="K297" i="1"/>
  <c r="BU299" i="1"/>
  <c r="BU300" i="1" s="1"/>
  <c r="BV300" i="1" s="1"/>
  <c r="CG298" i="1"/>
  <c r="CE298" i="1"/>
  <c r="CC298" i="1"/>
  <c r="CA298" i="1"/>
  <c r="BY298" i="1"/>
  <c r="BW298" i="1"/>
  <c r="BU298" i="1"/>
  <c r="BU303" i="1" s="1"/>
  <c r="BV303" i="1" s="1"/>
  <c r="CG297" i="1"/>
  <c r="CG299" i="1" s="1"/>
  <c r="CE297" i="1"/>
  <c r="CE299" i="1" s="1"/>
  <c r="CC297" i="1"/>
  <c r="CC299" i="1" s="1"/>
  <c r="CA297" i="1"/>
  <c r="BY297" i="1"/>
  <c r="BW297" i="1"/>
  <c r="BW299" i="1" s="1"/>
  <c r="BU297" i="1"/>
  <c r="BH298" i="1"/>
  <c r="BJ298" i="1" s="1"/>
  <c r="BF298" i="1"/>
  <c r="BE298" i="1"/>
  <c r="BF297" i="1"/>
  <c r="BG297" i="1" s="1"/>
  <c r="BE297" i="1"/>
  <c r="CP294" i="1"/>
  <c r="CP293" i="1"/>
  <c r="CP292" i="1"/>
  <c r="CP291" i="1"/>
  <c r="CP290" i="1"/>
  <c r="CN294" i="1"/>
  <c r="CN293" i="1"/>
  <c r="CN292" i="1"/>
  <c r="CN291" i="1"/>
  <c r="CN290" i="1"/>
  <c r="BD294" i="1"/>
  <c r="AT294" i="1"/>
  <c r="AJ294" i="1"/>
  <c r="AH294" i="1"/>
  <c r="AD294" i="1"/>
  <c r="AB294" i="1"/>
  <c r="AK294" i="1" s="1"/>
  <c r="P294" i="1"/>
  <c r="N294" i="1"/>
  <c r="L294" i="1"/>
  <c r="J294" i="1"/>
  <c r="K294" i="1" s="1"/>
  <c r="H294" i="1"/>
  <c r="Q294" i="1" s="1"/>
  <c r="F294" i="1"/>
  <c r="O294" i="1" s="1"/>
  <c r="D294" i="1"/>
  <c r="B294" i="1"/>
  <c r="BC293" i="1"/>
  <c r="BC292" i="1"/>
  <c r="BC291" i="1"/>
  <c r="BA293" i="1"/>
  <c r="BA292" i="1"/>
  <c r="BA291" i="1"/>
  <c r="AY293" i="1"/>
  <c r="AY292" i="1"/>
  <c r="AY291" i="1"/>
  <c r="AW293" i="1"/>
  <c r="AW292" i="1"/>
  <c r="AW291" i="1"/>
  <c r="AU293" i="1"/>
  <c r="AU292" i="1"/>
  <c r="AU291" i="1"/>
  <c r="AS293" i="1"/>
  <c r="AS292" i="1"/>
  <c r="AS291" i="1"/>
  <c r="AQ293" i="1"/>
  <c r="AQ292" i="1"/>
  <c r="AQ291" i="1"/>
  <c r="AO293" i="1"/>
  <c r="AO292" i="1"/>
  <c r="AO291" i="1"/>
  <c r="AM293" i="1"/>
  <c r="AM292" i="1"/>
  <c r="AM291" i="1"/>
  <c r="AK293" i="1"/>
  <c r="AK292" i="1"/>
  <c r="AK291" i="1"/>
  <c r="AK290" i="1"/>
  <c r="AI293" i="1"/>
  <c r="AI292" i="1"/>
  <c r="AI291" i="1"/>
  <c r="AG293" i="1"/>
  <c r="AG292" i="1"/>
  <c r="AG291" i="1"/>
  <c r="AE293" i="1"/>
  <c r="AE292" i="1"/>
  <c r="AE291" i="1"/>
  <c r="AC293" i="1"/>
  <c r="AC292" i="1"/>
  <c r="AC291" i="1"/>
  <c r="AA293" i="1"/>
  <c r="Z293" i="1"/>
  <c r="Y293" i="1"/>
  <c r="X293" i="1"/>
  <c r="W293" i="1"/>
  <c r="V293" i="1"/>
  <c r="U293" i="1"/>
  <c r="S293" i="1"/>
  <c r="S292" i="1"/>
  <c r="S291" i="1"/>
  <c r="Q293" i="1"/>
  <c r="Q292" i="1"/>
  <c r="Q291" i="1"/>
  <c r="Q290" i="1"/>
  <c r="O293" i="1"/>
  <c r="O292" i="1"/>
  <c r="O291" i="1"/>
  <c r="O290" i="1"/>
  <c r="M293" i="1"/>
  <c r="M292" i="1"/>
  <c r="M291" i="1"/>
  <c r="M290" i="1"/>
  <c r="K293" i="1"/>
  <c r="K292" i="1"/>
  <c r="K291" i="1"/>
  <c r="K290" i="1"/>
  <c r="AA292" i="1"/>
  <c r="AA291" i="1"/>
  <c r="Y292" i="1"/>
  <c r="Y291" i="1"/>
  <c r="W292" i="1"/>
  <c r="W291" i="1"/>
  <c r="U292" i="1"/>
  <c r="U291" i="1"/>
  <c r="U290" i="1"/>
  <c r="CR294" i="1"/>
  <c r="CR293" i="1"/>
  <c r="CR292" i="1"/>
  <c r="CR291" i="1"/>
  <c r="CR290" i="1"/>
  <c r="CG293" i="1"/>
  <c r="CS293" i="1" s="1"/>
  <c r="CE293" i="1"/>
  <c r="CC293" i="1"/>
  <c r="CD293" i="1" s="1"/>
  <c r="CA293" i="1"/>
  <c r="BY293" i="1"/>
  <c r="BZ293" i="1" s="1"/>
  <c r="BW293" i="1"/>
  <c r="BU293" i="1"/>
  <c r="BV293" i="1" s="1"/>
  <c r="CG292" i="1"/>
  <c r="CS292" i="1" s="1"/>
  <c r="CE292" i="1"/>
  <c r="CC292" i="1"/>
  <c r="CD292" i="1" s="1"/>
  <c r="CA292" i="1"/>
  <c r="BY292" i="1"/>
  <c r="BZ292" i="1" s="1"/>
  <c r="BW292" i="1"/>
  <c r="BU292" i="1"/>
  <c r="BV292" i="1" s="1"/>
  <c r="CG291" i="1"/>
  <c r="CS291" i="1" s="1"/>
  <c r="CE291" i="1"/>
  <c r="CF291" i="1" s="1"/>
  <c r="CC291" i="1"/>
  <c r="CA291" i="1"/>
  <c r="CB291" i="1" s="1"/>
  <c r="BY291" i="1"/>
  <c r="BW291" i="1"/>
  <c r="BX291" i="1" s="1"/>
  <c r="BU291" i="1"/>
  <c r="BV291" i="1" s="1"/>
  <c r="CA290" i="1"/>
  <c r="BW290" i="1"/>
  <c r="BU290" i="1"/>
  <c r="BS290" i="1"/>
  <c r="BS294" i="1" s="1"/>
  <c r="BQ290" i="1"/>
  <c r="BQ294" i="1" s="1"/>
  <c r="BL293" i="1"/>
  <c r="BM293" i="1" s="1"/>
  <c r="BJ293" i="1"/>
  <c r="BK293" i="1" s="1"/>
  <c r="BH293" i="1"/>
  <c r="BI293" i="1" s="1"/>
  <c r="BF293" i="1"/>
  <c r="BG293" i="1" s="1"/>
  <c r="BE293" i="1"/>
  <c r="BM292" i="1"/>
  <c r="BL292" i="1"/>
  <c r="BK292" i="1"/>
  <c r="BJ292" i="1"/>
  <c r="BI292" i="1"/>
  <c r="BH292" i="1"/>
  <c r="BG292" i="1"/>
  <c r="BF292" i="1"/>
  <c r="CI292" i="1" s="1"/>
  <c r="CJ292" i="1" s="1"/>
  <c r="BE292" i="1"/>
  <c r="BL291" i="1"/>
  <c r="BM291" i="1" s="1"/>
  <c r="BJ291" i="1"/>
  <c r="BK291" i="1" s="1"/>
  <c r="BH291" i="1"/>
  <c r="BI291" i="1" s="1"/>
  <c r="BF291" i="1"/>
  <c r="BG291" i="1" s="1"/>
  <c r="BE291" i="1"/>
  <c r="BM290" i="1"/>
  <c r="BL290" i="1"/>
  <c r="BL294" i="1" s="1"/>
  <c r="BM294" i="1" s="1"/>
  <c r="BK290" i="1"/>
  <c r="BJ290" i="1"/>
  <c r="BB290" i="1"/>
  <c r="BB294" i="1" s="1"/>
  <c r="BC294" i="1" s="1"/>
  <c r="AZ290" i="1"/>
  <c r="CG290" i="1" s="1"/>
  <c r="AX290" i="1"/>
  <c r="BF290" i="1" s="1"/>
  <c r="AV290" i="1"/>
  <c r="AV294" i="1" s="1"/>
  <c r="AR290" i="1"/>
  <c r="AR294" i="1" s="1"/>
  <c r="AS294" i="1" s="1"/>
  <c r="AP290" i="1"/>
  <c r="AP294" i="1" s="1"/>
  <c r="AQ294" i="1" s="1"/>
  <c r="AN290" i="1"/>
  <c r="AN294" i="1" s="1"/>
  <c r="AL290" i="1"/>
  <c r="CC290" i="1" s="1"/>
  <c r="AF290" i="1"/>
  <c r="AF294" i="1" s="1"/>
  <c r="Z290" i="1"/>
  <c r="AA290" i="1" s="1"/>
  <c r="X290" i="1"/>
  <c r="Y290" i="1" s="1"/>
  <c r="V290" i="1"/>
  <c r="V294" i="1" s="1"/>
  <c r="T290" i="1"/>
  <c r="T294" i="1" s="1"/>
  <c r="R290" i="1"/>
  <c r="BY290" i="1" s="1"/>
  <c r="CG285" i="1"/>
  <c r="CG284" i="1"/>
  <c r="CG282" i="1"/>
  <c r="BF284" i="1"/>
  <c r="BF283" i="1"/>
  <c r="AU282" i="1"/>
  <c r="AS282" i="1"/>
  <c r="AQ285" i="1"/>
  <c r="AS285" i="1" s="1"/>
  <c r="AU285" i="1" s="1"/>
  <c r="AQ284" i="1"/>
  <c r="AS284" i="1" s="1"/>
  <c r="AU284" i="1" s="1"/>
  <c r="AQ282" i="1"/>
  <c r="AO285" i="1"/>
  <c r="AO284" i="1"/>
  <c r="AO282" i="1"/>
  <c r="AM285" i="1"/>
  <c r="AM284" i="1"/>
  <c r="AM282" i="1"/>
  <c r="AK285" i="1"/>
  <c r="AK284" i="1"/>
  <c r="AK282" i="1"/>
  <c r="AI285" i="1"/>
  <c r="AI284" i="1"/>
  <c r="AI282" i="1"/>
  <c r="AG285" i="1"/>
  <c r="AG284" i="1"/>
  <c r="AG282" i="1"/>
  <c r="AE285" i="1"/>
  <c r="AE284" i="1"/>
  <c r="AE282" i="1"/>
  <c r="AC285" i="1"/>
  <c r="AC284" i="1"/>
  <c r="AC282" i="1"/>
  <c r="AA285" i="1"/>
  <c r="AA284" i="1"/>
  <c r="AA282" i="1"/>
  <c r="Y285" i="1"/>
  <c r="Y284" i="1"/>
  <c r="Y283" i="1"/>
  <c r="Y282" i="1"/>
  <c r="W285" i="1"/>
  <c r="W284" i="1"/>
  <c r="W283" i="1"/>
  <c r="W282" i="1"/>
  <c r="BD283" i="1"/>
  <c r="CG283" i="1" s="1"/>
  <c r="BB283" i="1"/>
  <c r="AZ283" i="1"/>
  <c r="AX283" i="1"/>
  <c r="AV283" i="1"/>
  <c r="CE283" i="1" s="1"/>
  <c r="AT283" i="1"/>
  <c r="AR283" i="1"/>
  <c r="AP283" i="1"/>
  <c r="AN283" i="1"/>
  <c r="AL283" i="1"/>
  <c r="AJ283" i="1"/>
  <c r="AH283" i="1"/>
  <c r="AF283" i="1"/>
  <c r="AG283" i="1" s="1"/>
  <c r="AD283" i="1"/>
  <c r="AE283" i="1" s="1"/>
  <c r="AB283" i="1"/>
  <c r="AC283" i="1" s="1"/>
  <c r="Z283" i="1"/>
  <c r="AA283" i="1" s="1"/>
  <c r="CE285" i="1"/>
  <c r="CC285" i="1"/>
  <c r="CA285" i="1"/>
  <c r="BZ285" i="1"/>
  <c r="BY285" i="1"/>
  <c r="CE284" i="1"/>
  <c r="CC284" i="1"/>
  <c r="CD284" i="1" s="1"/>
  <c r="CA284" i="1"/>
  <c r="CB284" i="1" s="1"/>
  <c r="BY284" i="1"/>
  <c r="BZ284" i="1" s="1"/>
  <c r="BZ283" i="1"/>
  <c r="BY283" i="1"/>
  <c r="CE282" i="1"/>
  <c r="CC282" i="1"/>
  <c r="CA282" i="1"/>
  <c r="CB282" i="1" s="1"/>
  <c r="BY282" i="1"/>
  <c r="BZ282" i="1" s="1"/>
  <c r="BS278" i="1"/>
  <c r="BQ278" i="1"/>
  <c r="H278" i="1"/>
  <c r="F278" i="1"/>
  <c r="D278" i="1"/>
  <c r="B278" i="1"/>
  <c r="CR278" i="1"/>
  <c r="CQ278" i="1"/>
  <c r="CO278" i="1"/>
  <c r="CP278" i="1" s="1"/>
  <c r="CN278" i="1"/>
  <c r="CM278" i="1"/>
  <c r="CK278" i="1"/>
  <c r="BL278" i="1"/>
  <c r="BJ278" i="1"/>
  <c r="BH278" i="1"/>
  <c r="BF278" i="1"/>
  <c r="BD278" i="1"/>
  <c r="BC278" i="1"/>
  <c r="BB278" i="1"/>
  <c r="BK278" i="1" s="1"/>
  <c r="AZ278" i="1"/>
  <c r="AY278" i="1"/>
  <c r="AX278" i="1"/>
  <c r="BG278" i="1" s="1"/>
  <c r="AV278" i="1"/>
  <c r="AW278" i="1" s="1"/>
  <c r="AU278" i="1"/>
  <c r="AT278" i="1"/>
  <c r="AR278" i="1"/>
  <c r="AS278" i="1" s="1"/>
  <c r="AQ278" i="1"/>
  <c r="AP278" i="1"/>
  <c r="AN278" i="1"/>
  <c r="AM278" i="1"/>
  <c r="AL278" i="1"/>
  <c r="AJ278" i="1"/>
  <c r="AH278" i="1"/>
  <c r="AF278" i="1"/>
  <c r="AG278" i="1" s="1"/>
  <c r="AD278" i="1"/>
  <c r="AB278" i="1"/>
  <c r="AC278" i="1" s="1"/>
  <c r="Z278" i="1"/>
  <c r="AI278" i="1" s="1"/>
  <c r="X278" i="1"/>
  <c r="Y278" i="1" s="1"/>
  <c r="W278" i="1"/>
  <c r="V278" i="1"/>
  <c r="AE278" i="1" s="1"/>
  <c r="T278" i="1"/>
  <c r="U278" i="1" s="1"/>
  <c r="Q278" i="1"/>
  <c r="P278" i="1"/>
  <c r="N278" i="1"/>
  <c r="O278" i="1" s="1"/>
  <c r="M278" i="1"/>
  <c r="L278" i="1"/>
  <c r="J278" i="1"/>
  <c r="K278" i="1" s="1"/>
  <c r="CR277" i="1"/>
  <c r="CP277" i="1"/>
  <c r="CN277" i="1"/>
  <c r="CI277" i="1"/>
  <c r="CG277" i="1"/>
  <c r="CH277" i="1" s="1"/>
  <c r="CE277" i="1"/>
  <c r="CC277" i="1"/>
  <c r="CC278" i="1" s="1"/>
  <c r="CA277" i="1"/>
  <c r="CA278" i="1" s="1"/>
  <c r="BY277" i="1"/>
  <c r="BY278" i="1" s="1"/>
  <c r="BW277" i="1"/>
  <c r="BW278" i="1" s="1"/>
  <c r="BU277" i="1"/>
  <c r="BU278" i="1" s="1"/>
  <c r="BV278" i="1" s="1"/>
  <c r="BM277" i="1"/>
  <c r="BK277" i="1"/>
  <c r="BI277" i="1"/>
  <c r="BG277" i="1"/>
  <c r="BE277" i="1"/>
  <c r="BC277" i="1"/>
  <c r="BA277" i="1"/>
  <c r="AY277" i="1"/>
  <c r="AW277" i="1"/>
  <c r="AU277" i="1"/>
  <c r="AS277" i="1"/>
  <c r="AQ277" i="1"/>
  <c r="AO277" i="1"/>
  <c r="AM277" i="1"/>
  <c r="AK277" i="1"/>
  <c r="AI277" i="1"/>
  <c r="AG277" i="1"/>
  <c r="AE277" i="1"/>
  <c r="AC277" i="1"/>
  <c r="AA277" i="1"/>
  <c r="Y277" i="1"/>
  <c r="W277" i="1"/>
  <c r="U277" i="1"/>
  <c r="S277" i="1"/>
  <c r="R277" i="1"/>
  <c r="R701" i="1" s="1"/>
  <c r="Q277" i="1"/>
  <c r="O277" i="1"/>
  <c r="M277" i="1"/>
  <c r="K277" i="1"/>
  <c r="CI276" i="1"/>
  <c r="CG276" i="1"/>
  <c r="CG278" i="1" s="1"/>
  <c r="CE276" i="1"/>
  <c r="CE278" i="1" s="1"/>
  <c r="CF278" i="1" s="1"/>
  <c r="BJ271" i="1"/>
  <c r="BL271" i="1" s="1"/>
  <c r="BS268" i="1"/>
  <c r="BQ268" i="1"/>
  <c r="BD268" i="1"/>
  <c r="BE268" i="1" s="1"/>
  <c r="BC268" i="1"/>
  <c r="BB268" i="1"/>
  <c r="AZ268" i="1"/>
  <c r="AY268" i="1"/>
  <c r="AX268" i="1"/>
  <c r="AV268" i="1"/>
  <c r="AU268" i="1"/>
  <c r="AT268" i="1"/>
  <c r="AR268" i="1"/>
  <c r="AS268" i="1" s="1"/>
  <c r="AQ268" i="1"/>
  <c r="AP268" i="1"/>
  <c r="AN268" i="1"/>
  <c r="AO268" i="1" s="1"/>
  <c r="AM268" i="1"/>
  <c r="AL268" i="1"/>
  <c r="AJ268" i="1"/>
  <c r="AI268" i="1"/>
  <c r="AH268" i="1"/>
  <c r="AF268" i="1"/>
  <c r="AE268" i="1"/>
  <c r="AD268" i="1"/>
  <c r="AB268" i="1"/>
  <c r="AC268" i="1" s="1"/>
  <c r="AA268" i="1"/>
  <c r="Z268" i="1"/>
  <c r="X268" i="1"/>
  <c r="Y268" i="1" s="1"/>
  <c r="V268" i="1"/>
  <c r="T268" i="1"/>
  <c r="U268" i="1" s="1"/>
  <c r="R268" i="1"/>
  <c r="P268" i="1"/>
  <c r="O268" i="1"/>
  <c r="N268" i="1"/>
  <c r="W268" i="1" s="1"/>
  <c r="L268" i="1"/>
  <c r="J268" i="1"/>
  <c r="H268" i="1"/>
  <c r="Q268" i="1" s="1"/>
  <c r="F268" i="1"/>
  <c r="D268" i="1"/>
  <c r="M268" i="1" s="1"/>
  <c r="B268" i="1"/>
  <c r="CA268" i="1"/>
  <c r="CH267" i="1"/>
  <c r="CG267" i="1"/>
  <c r="CG268" i="1" s="1"/>
  <c r="CE267" i="1"/>
  <c r="CE268" i="1" s="1"/>
  <c r="CF268" i="1" s="1"/>
  <c r="CD267" i="1"/>
  <c r="CC267" i="1"/>
  <c r="CC268" i="1" s="1"/>
  <c r="CA267" i="1"/>
  <c r="CB267" i="1" s="1"/>
  <c r="BZ267" i="1"/>
  <c r="BY267" i="1"/>
  <c r="BY268" i="1" s="1"/>
  <c r="BZ268" i="1" s="1"/>
  <c r="BW267" i="1"/>
  <c r="BW268" i="1" s="1"/>
  <c r="BV267" i="1"/>
  <c r="BU267" i="1"/>
  <c r="BU268" i="1" s="1"/>
  <c r="BV268" i="1" s="1"/>
  <c r="BE267" i="1"/>
  <c r="BC267" i="1"/>
  <c r="BA267" i="1"/>
  <c r="AY267" i="1"/>
  <c r="AW267" i="1"/>
  <c r="AU267" i="1"/>
  <c r="AS267" i="1"/>
  <c r="AQ267" i="1"/>
  <c r="AO267" i="1"/>
  <c r="AM267" i="1"/>
  <c r="AK267" i="1"/>
  <c r="AI267" i="1"/>
  <c r="AG267" i="1"/>
  <c r="AE267" i="1"/>
  <c r="AC267" i="1"/>
  <c r="AA267" i="1"/>
  <c r="Y267" i="1"/>
  <c r="W267" i="1"/>
  <c r="U267" i="1"/>
  <c r="S267" i="1"/>
  <c r="Q267" i="1"/>
  <c r="O267" i="1"/>
  <c r="M267" i="1"/>
  <c r="K267" i="1"/>
  <c r="H263" i="1"/>
  <c r="H261" i="1"/>
  <c r="F263" i="1"/>
  <c r="F261" i="1"/>
  <c r="D263" i="1"/>
  <c r="D261" i="1"/>
  <c r="B263" i="1"/>
  <c r="B261" i="1"/>
  <c r="BD263" i="1"/>
  <c r="BF263" i="1" s="1"/>
  <c r="BC263" i="1"/>
  <c r="BB263" i="1"/>
  <c r="AZ263" i="1"/>
  <c r="BA263" i="1" s="1"/>
  <c r="AY263" i="1"/>
  <c r="AX263" i="1"/>
  <c r="AV263" i="1"/>
  <c r="AW263" i="1" s="1"/>
  <c r="AU263" i="1"/>
  <c r="AT263" i="1"/>
  <c r="AR263" i="1"/>
  <c r="AS263" i="1" s="1"/>
  <c r="AQ263" i="1"/>
  <c r="AP263" i="1"/>
  <c r="AN263" i="1"/>
  <c r="AO263" i="1" s="1"/>
  <c r="AM263" i="1"/>
  <c r="AL263" i="1"/>
  <c r="AJ263" i="1"/>
  <c r="AK263" i="1" s="1"/>
  <c r="AI263" i="1"/>
  <c r="AH263" i="1"/>
  <c r="AF263" i="1"/>
  <c r="AG263" i="1" s="1"/>
  <c r="AE263" i="1"/>
  <c r="AD263" i="1"/>
  <c r="AB263" i="1"/>
  <c r="AC263" i="1" s="1"/>
  <c r="AA263" i="1"/>
  <c r="Z263" i="1"/>
  <c r="X263" i="1"/>
  <c r="Y263" i="1" s="1"/>
  <c r="W263" i="1"/>
  <c r="V263" i="1"/>
  <c r="T263" i="1"/>
  <c r="U263" i="1" s="1"/>
  <c r="S263" i="1"/>
  <c r="R263" i="1"/>
  <c r="P263" i="1"/>
  <c r="Q263" i="1" s="1"/>
  <c r="O263" i="1"/>
  <c r="N263" i="1"/>
  <c r="L263" i="1"/>
  <c r="M263" i="1" s="1"/>
  <c r="K263" i="1"/>
  <c r="J263" i="1"/>
  <c r="BD261" i="1"/>
  <c r="BF261" i="1" s="1"/>
  <c r="BC261" i="1"/>
  <c r="BB261" i="1"/>
  <c r="AZ261" i="1"/>
  <c r="BA261" i="1" s="1"/>
  <c r="AY261" i="1"/>
  <c r="AX261" i="1"/>
  <c r="AV261" i="1"/>
  <c r="AW261" i="1" s="1"/>
  <c r="AU261" i="1"/>
  <c r="AT261" i="1"/>
  <c r="AR261" i="1"/>
  <c r="AS261" i="1" s="1"/>
  <c r="AQ261" i="1"/>
  <c r="AP261" i="1"/>
  <c r="AN261" i="1"/>
  <c r="AO261" i="1" s="1"/>
  <c r="AM261" i="1"/>
  <c r="AL261" i="1"/>
  <c r="AJ261" i="1"/>
  <c r="AK261" i="1" s="1"/>
  <c r="AI261" i="1"/>
  <c r="AH261" i="1"/>
  <c r="AF261" i="1"/>
  <c r="AG261" i="1" s="1"/>
  <c r="AE261" i="1"/>
  <c r="AD261" i="1"/>
  <c r="AB261" i="1"/>
  <c r="AC261" i="1" s="1"/>
  <c r="AA261" i="1"/>
  <c r="Z261" i="1"/>
  <c r="X261" i="1"/>
  <c r="Y261" i="1" s="1"/>
  <c r="W261" i="1"/>
  <c r="V261" i="1"/>
  <c r="T261" i="1"/>
  <c r="U261" i="1" s="1"/>
  <c r="S261" i="1"/>
  <c r="R261" i="1"/>
  <c r="P261" i="1"/>
  <c r="Q261" i="1" s="1"/>
  <c r="O261" i="1"/>
  <c r="N261" i="1"/>
  <c r="L261" i="1"/>
  <c r="M261" i="1" s="1"/>
  <c r="K261" i="1"/>
  <c r="J261" i="1"/>
  <c r="BL261" i="1"/>
  <c r="BM261" i="1" s="1"/>
  <c r="BK261" i="1"/>
  <c r="BS255" i="1"/>
  <c r="BQ255" i="1"/>
  <c r="BD255" i="1"/>
  <c r="BC255" i="1"/>
  <c r="BB255" i="1"/>
  <c r="AZ255" i="1"/>
  <c r="AX255" i="1"/>
  <c r="AY255" i="1" s="1"/>
  <c r="AV255" i="1"/>
  <c r="AW255" i="1" s="1"/>
  <c r="AT255" i="1"/>
  <c r="AU255" i="1" s="1"/>
  <c r="AR255" i="1"/>
  <c r="AS255" i="1" s="1"/>
  <c r="AP255" i="1"/>
  <c r="AN255" i="1"/>
  <c r="AM255" i="1"/>
  <c r="AL255" i="1"/>
  <c r="AJ255" i="1"/>
  <c r="AH255" i="1"/>
  <c r="AF255" i="1"/>
  <c r="AG255" i="1" s="1"/>
  <c r="AD255" i="1"/>
  <c r="AE255" i="1" s="1"/>
  <c r="AB255" i="1"/>
  <c r="AC255" i="1" s="1"/>
  <c r="Z255" i="1"/>
  <c r="X255" i="1"/>
  <c r="W255" i="1"/>
  <c r="V255" i="1"/>
  <c r="T255" i="1"/>
  <c r="R255" i="1"/>
  <c r="P255" i="1"/>
  <c r="Q255" i="1" s="1"/>
  <c r="N255" i="1"/>
  <c r="L255" i="1"/>
  <c r="K255" i="1"/>
  <c r="J255" i="1"/>
  <c r="H255" i="1"/>
  <c r="F255" i="1"/>
  <c r="O255" i="1" s="1"/>
  <c r="D255" i="1"/>
  <c r="B255" i="1"/>
  <c r="BS251" i="1"/>
  <c r="BS252" i="1" s="1"/>
  <c r="BQ252" i="1"/>
  <c r="BQ273" i="1" s="1"/>
  <c r="BQ251" i="1"/>
  <c r="BD252" i="1"/>
  <c r="BE252" i="1" s="1"/>
  <c r="BB252" i="1"/>
  <c r="BB273" i="1" s="1"/>
  <c r="AZ252" i="1"/>
  <c r="BA252" i="1" s="1"/>
  <c r="AX252" i="1"/>
  <c r="AX273" i="1" s="1"/>
  <c r="AV252" i="1"/>
  <c r="AU252" i="1"/>
  <c r="AT252" i="1"/>
  <c r="AT273" i="1" s="1"/>
  <c r="AR252" i="1"/>
  <c r="AP252" i="1"/>
  <c r="AN252" i="1"/>
  <c r="AO252" i="1" s="1"/>
  <c r="AL252" i="1"/>
  <c r="AL273" i="1" s="1"/>
  <c r="AJ252" i="1"/>
  <c r="AK252" i="1" s="1"/>
  <c r="AH252" i="1"/>
  <c r="AH273" i="1" s="1"/>
  <c r="AF252" i="1"/>
  <c r="AE252" i="1"/>
  <c r="AD252" i="1"/>
  <c r="AD273" i="1" s="1"/>
  <c r="AB252" i="1"/>
  <c r="Z252" i="1"/>
  <c r="X252" i="1"/>
  <c r="V252" i="1"/>
  <c r="V273" i="1" s="1"/>
  <c r="R252" i="1"/>
  <c r="R273" i="1" s="1"/>
  <c r="BE251" i="1"/>
  <c r="BC251" i="1"/>
  <c r="BC249" i="1"/>
  <c r="BC248" i="1"/>
  <c r="BC246" i="1"/>
  <c r="BC245" i="1"/>
  <c r="BC244" i="1"/>
  <c r="BA251" i="1"/>
  <c r="BA249" i="1"/>
  <c r="BA248" i="1"/>
  <c r="BA246" i="1"/>
  <c r="BA245" i="1"/>
  <c r="BA244" i="1"/>
  <c r="AY251" i="1"/>
  <c r="AY249" i="1"/>
  <c r="AY248" i="1"/>
  <c r="AY246" i="1"/>
  <c r="AY245" i="1"/>
  <c r="AY244" i="1"/>
  <c r="AW251" i="1"/>
  <c r="AW249" i="1"/>
  <c r="AW248" i="1"/>
  <c r="AW246" i="1"/>
  <c r="AW245" i="1"/>
  <c r="AW244" i="1"/>
  <c r="AU251" i="1"/>
  <c r="AU249" i="1"/>
  <c r="AU248" i="1"/>
  <c r="AU246" i="1"/>
  <c r="AU245" i="1"/>
  <c r="AU244" i="1"/>
  <c r="AS251" i="1"/>
  <c r="AS249" i="1"/>
  <c r="AS248" i="1"/>
  <c r="AS246" i="1"/>
  <c r="AS245" i="1"/>
  <c r="AS244" i="1"/>
  <c r="AQ251" i="1"/>
  <c r="AQ249" i="1"/>
  <c r="AQ248" i="1"/>
  <c r="AQ246" i="1"/>
  <c r="AQ245" i="1"/>
  <c r="AQ244" i="1"/>
  <c r="AO251" i="1"/>
  <c r="AO249" i="1"/>
  <c r="AO248" i="1"/>
  <c r="AO246" i="1"/>
  <c r="AO245" i="1"/>
  <c r="AO244" i="1"/>
  <c r="AM251" i="1"/>
  <c r="AM249" i="1"/>
  <c r="AM248" i="1"/>
  <c r="AM246" i="1"/>
  <c r="AM245" i="1"/>
  <c r="AM244" i="1"/>
  <c r="AK251" i="1"/>
  <c r="AK249" i="1"/>
  <c r="AK248" i="1"/>
  <c r="AK246" i="1"/>
  <c r="AK245" i="1"/>
  <c r="AK244" i="1"/>
  <c r="AI251" i="1"/>
  <c r="AI249" i="1"/>
  <c r="AI248" i="1"/>
  <c r="AI246" i="1"/>
  <c r="AI245" i="1"/>
  <c r="AI244" i="1"/>
  <c r="AG251" i="1"/>
  <c r="AG249" i="1"/>
  <c r="AG248" i="1"/>
  <c r="AG246" i="1"/>
  <c r="AG245" i="1"/>
  <c r="AG244" i="1"/>
  <c r="AE251" i="1"/>
  <c r="AE249" i="1"/>
  <c r="AE248" i="1"/>
  <c r="AE246" i="1"/>
  <c r="AE245" i="1"/>
  <c r="AE244" i="1"/>
  <c r="AC249" i="1"/>
  <c r="AC248" i="1"/>
  <c r="AC246" i="1"/>
  <c r="AC245" i="1"/>
  <c r="AC244" i="1"/>
  <c r="AA251" i="1"/>
  <c r="AA249" i="1"/>
  <c r="AA248" i="1"/>
  <c r="AA246" i="1"/>
  <c r="AA245" i="1"/>
  <c r="AA244" i="1"/>
  <c r="Y249" i="1"/>
  <c r="Y248" i="1"/>
  <c r="Y246" i="1"/>
  <c r="Y245" i="1"/>
  <c r="Y244" i="1"/>
  <c r="W249" i="1"/>
  <c r="W248" i="1"/>
  <c r="W246" i="1"/>
  <c r="W245" i="1"/>
  <c r="W244" i="1"/>
  <c r="T251" i="1"/>
  <c r="T250" i="1" s="1"/>
  <c r="U250" i="1" s="1"/>
  <c r="BH250" i="1"/>
  <c r="BJ250" i="1" s="1"/>
  <c r="Q250" i="1"/>
  <c r="O250" i="1"/>
  <c r="O249" i="1"/>
  <c r="O248" i="1"/>
  <c r="O246" i="1"/>
  <c r="O245" i="1"/>
  <c r="O244" i="1"/>
  <c r="M250" i="1"/>
  <c r="M249" i="1"/>
  <c r="M248" i="1"/>
  <c r="M246" i="1"/>
  <c r="M245" i="1"/>
  <c r="M244" i="1"/>
  <c r="K250" i="1"/>
  <c r="K249" i="1"/>
  <c r="K248" i="1"/>
  <c r="K246" i="1"/>
  <c r="K245" i="1"/>
  <c r="K244" i="1"/>
  <c r="U249" i="1"/>
  <c r="U248" i="1"/>
  <c r="U246" i="1"/>
  <c r="U245" i="1"/>
  <c r="U244" i="1"/>
  <c r="S249" i="1"/>
  <c r="S248" i="1"/>
  <c r="S246" i="1"/>
  <c r="S245" i="1"/>
  <c r="S244" i="1"/>
  <c r="Q249" i="1"/>
  <c r="Q248" i="1"/>
  <c r="Q246" i="1"/>
  <c r="Q245" i="1"/>
  <c r="Q244" i="1"/>
  <c r="BD247" i="1"/>
  <c r="BD250" i="1" s="1"/>
  <c r="BM250" i="1" s="1"/>
  <c r="BB247" i="1"/>
  <c r="BB250" i="1" s="1"/>
  <c r="AZ247" i="1"/>
  <c r="AX247" i="1"/>
  <c r="AX250" i="1" s="1"/>
  <c r="AV247" i="1"/>
  <c r="AV250" i="1" s="1"/>
  <c r="AT247" i="1"/>
  <c r="AT250" i="1" s="1"/>
  <c r="AR247" i="1"/>
  <c r="AP247" i="1"/>
  <c r="AP250" i="1" s="1"/>
  <c r="AN247" i="1"/>
  <c r="AN250" i="1" s="1"/>
  <c r="AL247" i="1"/>
  <c r="AL250" i="1" s="1"/>
  <c r="AJ247" i="1"/>
  <c r="AH247" i="1"/>
  <c r="AH250" i="1" s="1"/>
  <c r="AF247" i="1"/>
  <c r="AF250" i="1" s="1"/>
  <c r="AD247" i="1"/>
  <c r="AD250" i="1" s="1"/>
  <c r="AB247" i="1"/>
  <c r="Z247" i="1"/>
  <c r="Z250" i="1" s="1"/>
  <c r="X247" i="1"/>
  <c r="Y247" i="1" s="1"/>
  <c r="V247" i="1"/>
  <c r="V250" i="1" s="1"/>
  <c r="T247" i="1"/>
  <c r="R247" i="1"/>
  <c r="P247" i="1"/>
  <c r="P251" i="1" s="1"/>
  <c r="N247" i="1"/>
  <c r="L247" i="1"/>
  <c r="J247" i="1"/>
  <c r="H247" i="1"/>
  <c r="F247" i="1"/>
  <c r="D247" i="1"/>
  <c r="B247" i="1"/>
  <c r="BX250" i="1"/>
  <c r="BW250" i="1"/>
  <c r="BU250" i="1"/>
  <c r="BV250" i="1" s="1"/>
  <c r="CG249" i="1"/>
  <c r="CE249" i="1"/>
  <c r="CC249" i="1"/>
  <c r="CD249" i="1" s="1"/>
  <c r="CA249" i="1"/>
  <c r="BY249" i="1"/>
  <c r="BW249" i="1"/>
  <c r="BU249" i="1"/>
  <c r="BV249" i="1" s="1"/>
  <c r="CG248" i="1"/>
  <c r="CE248" i="1"/>
  <c r="CF248" i="1" s="1"/>
  <c r="CC248" i="1"/>
  <c r="CA248" i="1"/>
  <c r="CB248" i="1" s="1"/>
  <c r="BZ248" i="1"/>
  <c r="BY248" i="1"/>
  <c r="BW248" i="1"/>
  <c r="BU248" i="1"/>
  <c r="BV248" i="1" s="1"/>
  <c r="CG246" i="1"/>
  <c r="CH246" i="1" s="1"/>
  <c r="CE246" i="1"/>
  <c r="CC246" i="1"/>
  <c r="CD246" i="1" s="1"/>
  <c r="CB246" i="1"/>
  <c r="CA246" i="1"/>
  <c r="BY246" i="1"/>
  <c r="BW246" i="1"/>
  <c r="BX246" i="1" s="1"/>
  <c r="BU246" i="1"/>
  <c r="BV246" i="1" s="1"/>
  <c r="CG245" i="1"/>
  <c r="CE245" i="1"/>
  <c r="CE247" i="1" s="1"/>
  <c r="CC245" i="1"/>
  <c r="CC247" i="1" s="1"/>
  <c r="CA245" i="1"/>
  <c r="CA247" i="1" s="1"/>
  <c r="BY245" i="1"/>
  <c r="BY247" i="1" s="1"/>
  <c r="BW245" i="1"/>
  <c r="BW247" i="1" s="1"/>
  <c r="BU245" i="1"/>
  <c r="BU247" i="1" s="1"/>
  <c r="CG244" i="1"/>
  <c r="CE244" i="1"/>
  <c r="CF244" i="1" s="1"/>
  <c r="CD244" i="1"/>
  <c r="CC244" i="1"/>
  <c r="CA244" i="1"/>
  <c r="BY244" i="1"/>
  <c r="BZ244" i="1" s="1"/>
  <c r="BW244" i="1"/>
  <c r="BU244" i="1"/>
  <c r="BE249" i="1"/>
  <c r="BE248" i="1"/>
  <c r="BE246" i="1"/>
  <c r="BE245" i="1"/>
  <c r="BE244" i="1"/>
  <c r="BD239" i="1"/>
  <c r="BD238" i="1"/>
  <c r="BD240" i="1" s="1"/>
  <c r="BB239" i="1"/>
  <c r="BC239" i="1" s="1"/>
  <c r="AZ239" i="1"/>
  <c r="AZ238" i="1"/>
  <c r="AX239" i="1"/>
  <c r="AY239" i="1" s="1"/>
  <c r="AX238" i="1"/>
  <c r="AX240" i="1" s="1"/>
  <c r="AV239" i="1"/>
  <c r="AV238" i="1"/>
  <c r="AT239" i="1"/>
  <c r="AR239" i="1"/>
  <c r="AS239" i="1" s="1"/>
  <c r="AR238" i="1"/>
  <c r="BA238" i="1" s="1"/>
  <c r="AP239" i="1"/>
  <c r="AP238" i="1"/>
  <c r="AP240" i="1" s="1"/>
  <c r="AN239" i="1"/>
  <c r="AO239" i="1" s="1"/>
  <c r="AN238" i="1"/>
  <c r="AL239" i="1"/>
  <c r="AJ239" i="1"/>
  <c r="AK239" i="1" s="1"/>
  <c r="AJ238" i="1"/>
  <c r="AJ240" i="1" s="1"/>
  <c r="AH239" i="1"/>
  <c r="AH238" i="1"/>
  <c r="AF239" i="1"/>
  <c r="AD239" i="1"/>
  <c r="AM239" i="1" s="1"/>
  <c r="AB239" i="1"/>
  <c r="AB238" i="1"/>
  <c r="Z239" i="1"/>
  <c r="X239" i="1"/>
  <c r="Y239" i="1" s="1"/>
  <c r="X238" i="1"/>
  <c r="V239" i="1"/>
  <c r="T239" i="1"/>
  <c r="U239" i="1" s="1"/>
  <c r="R239" i="1"/>
  <c r="S239" i="1" s="1"/>
  <c r="AU239" i="1"/>
  <c r="AS238" i="1"/>
  <c r="AE239" i="1"/>
  <c r="H239" i="1"/>
  <c r="Q239" i="1" s="1"/>
  <c r="F239" i="1"/>
  <c r="D239" i="1"/>
  <c r="B239" i="1"/>
  <c r="BE238" i="1"/>
  <c r="P239" i="1"/>
  <c r="N239" i="1"/>
  <c r="O239" i="1" s="1"/>
  <c r="M239" i="1"/>
  <c r="L239" i="1"/>
  <c r="J239" i="1"/>
  <c r="BD232" i="1"/>
  <c r="BB232" i="1"/>
  <c r="AZ232" i="1"/>
  <c r="AX232" i="1"/>
  <c r="AV232" i="1"/>
  <c r="AT232" i="1"/>
  <c r="AR232" i="1"/>
  <c r="AP232" i="1"/>
  <c r="AN232" i="1"/>
  <c r="AL232" i="1"/>
  <c r="AJ232" i="1"/>
  <c r="AH232" i="1"/>
  <c r="AF232" i="1"/>
  <c r="AD232" i="1"/>
  <c r="AB232" i="1"/>
  <c r="Z232" i="1"/>
  <c r="X232" i="1"/>
  <c r="V232" i="1"/>
  <c r="T232" i="1"/>
  <c r="R232" i="1"/>
  <c r="BC226" i="1"/>
  <c r="BC224" i="1"/>
  <c r="BA226" i="1"/>
  <c r="BA224" i="1"/>
  <c r="AY226" i="1"/>
  <c r="AY224" i="1"/>
  <c r="AW226" i="1"/>
  <c r="AW224" i="1"/>
  <c r="AU226" i="1"/>
  <c r="AU224" i="1"/>
  <c r="AS226" i="1"/>
  <c r="AS224" i="1"/>
  <c r="AQ226" i="1"/>
  <c r="AQ224" i="1"/>
  <c r="AO226" i="1"/>
  <c r="AO224" i="1"/>
  <c r="AM226" i="1"/>
  <c r="AM224" i="1"/>
  <c r="AK226" i="1"/>
  <c r="AK224" i="1"/>
  <c r="AI226" i="1"/>
  <c r="AI224" i="1"/>
  <c r="AG226" i="1"/>
  <c r="AG224" i="1"/>
  <c r="AE226" i="1"/>
  <c r="AE224" i="1"/>
  <c r="AC226" i="1"/>
  <c r="AC224" i="1"/>
  <c r="AA226" i="1"/>
  <c r="AA224" i="1"/>
  <c r="Y226" i="1"/>
  <c r="Y224" i="1"/>
  <c r="W226" i="1"/>
  <c r="W224" i="1"/>
  <c r="U226" i="1"/>
  <c r="U224" i="1"/>
  <c r="S226" i="1"/>
  <c r="S224" i="1"/>
  <c r="Q226" i="1"/>
  <c r="Q224" i="1"/>
  <c r="O226" i="1"/>
  <c r="O224" i="1"/>
  <c r="M226" i="1"/>
  <c r="M224" i="1"/>
  <c r="K226" i="1"/>
  <c r="K224" i="1"/>
  <c r="BS222" i="1"/>
  <c r="BS221" i="1"/>
  <c r="BS223" i="1" s="1"/>
  <c r="BS225" i="1" s="1"/>
  <c r="BS227" i="1" s="1"/>
  <c r="BQ222" i="1"/>
  <c r="BQ223" i="1" s="1"/>
  <c r="BQ225" i="1" s="1"/>
  <c r="BQ227" i="1" s="1"/>
  <c r="BQ221" i="1"/>
  <c r="CG226" i="1"/>
  <c r="CE226" i="1"/>
  <c r="CC226" i="1"/>
  <c r="CD226" i="1" s="1"/>
  <c r="CA226" i="1"/>
  <c r="CB226" i="1" s="1"/>
  <c r="BY226" i="1"/>
  <c r="BW226" i="1"/>
  <c r="BU226" i="1"/>
  <c r="BV226" i="1" s="1"/>
  <c r="CG224" i="1"/>
  <c r="CH224" i="1" s="1"/>
  <c r="CE224" i="1"/>
  <c r="CC224" i="1"/>
  <c r="CD224" i="1" s="1"/>
  <c r="CB224" i="1"/>
  <c r="CA224" i="1"/>
  <c r="BY224" i="1"/>
  <c r="BW224" i="1"/>
  <c r="BX224" i="1" s="1"/>
  <c r="BU224" i="1"/>
  <c r="BV224" i="1" s="1"/>
  <c r="BF226" i="1"/>
  <c r="BF249" i="1" s="1"/>
  <c r="BE226" i="1"/>
  <c r="BF224" i="1"/>
  <c r="BH224" i="1" s="1"/>
  <c r="BE224" i="1"/>
  <c r="B218" i="1"/>
  <c r="B217" i="1"/>
  <c r="B216" i="1"/>
  <c r="BH216" i="1"/>
  <c r="BJ216" i="1" s="1"/>
  <c r="BH215" i="1"/>
  <c r="BD213" i="1"/>
  <c r="BE213" i="1" s="1"/>
  <c r="BA213" i="1"/>
  <c r="AZ213" i="1"/>
  <c r="AX213" i="1"/>
  <c r="AV213" i="1"/>
  <c r="AW213" i="1" s="1"/>
  <c r="AS213" i="1"/>
  <c r="AR213" i="1"/>
  <c r="AP213" i="1"/>
  <c r="AN213" i="1"/>
  <c r="AJ213" i="1"/>
  <c r="AH213" i="1"/>
  <c r="AB213" i="1"/>
  <c r="AK213" i="1" s="1"/>
  <c r="X213" i="1"/>
  <c r="BM209" i="1"/>
  <c r="BM207" i="1"/>
  <c r="BK209" i="1"/>
  <c r="BK207" i="1"/>
  <c r="BI209" i="1"/>
  <c r="BI207" i="1"/>
  <c r="BG209" i="1"/>
  <c r="BG207" i="1"/>
  <c r="BE209" i="1"/>
  <c r="BE208" i="1"/>
  <c r="BE207" i="1"/>
  <c r="BE206" i="1"/>
  <c r="BE205" i="1"/>
  <c r="BC209" i="1"/>
  <c r="BC208" i="1"/>
  <c r="BC207" i="1"/>
  <c r="BC206" i="1"/>
  <c r="BA209" i="1"/>
  <c r="BA208" i="1"/>
  <c r="BA207" i="1"/>
  <c r="BA206" i="1"/>
  <c r="BA205" i="1"/>
  <c r="AY209" i="1"/>
  <c r="AY208" i="1"/>
  <c r="AY207" i="1"/>
  <c r="AY206" i="1"/>
  <c r="AY205" i="1"/>
  <c r="AW209" i="1"/>
  <c r="AW208" i="1"/>
  <c r="AW207" i="1"/>
  <c r="AW206" i="1"/>
  <c r="AW205" i="1"/>
  <c r="AU209" i="1"/>
  <c r="AU208" i="1"/>
  <c r="AU207" i="1"/>
  <c r="AU206" i="1"/>
  <c r="AS209" i="1"/>
  <c r="AS208" i="1"/>
  <c r="AS207" i="1"/>
  <c r="AS206" i="1"/>
  <c r="AS205" i="1"/>
  <c r="AQ209" i="1"/>
  <c r="AQ208" i="1"/>
  <c r="AQ207" i="1"/>
  <c r="AQ206" i="1"/>
  <c r="AQ205" i="1"/>
  <c r="AO209" i="1"/>
  <c r="AO208" i="1"/>
  <c r="AO207" i="1"/>
  <c r="AO206" i="1"/>
  <c r="AM209" i="1"/>
  <c r="AM208" i="1"/>
  <c r="AM207" i="1"/>
  <c r="AM206" i="1"/>
  <c r="AK209" i="1"/>
  <c r="AK208" i="1"/>
  <c r="AK207" i="1"/>
  <c r="AK206" i="1"/>
  <c r="AK205" i="1"/>
  <c r="AI209" i="1"/>
  <c r="AI208" i="1"/>
  <c r="AI207" i="1"/>
  <c r="AI206" i="1"/>
  <c r="AG209" i="1"/>
  <c r="AG208" i="1"/>
  <c r="AG207" i="1"/>
  <c r="AG206" i="1"/>
  <c r="AE209" i="1"/>
  <c r="AE208" i="1"/>
  <c r="AE207" i="1"/>
  <c r="AE206" i="1"/>
  <c r="AC209" i="1"/>
  <c r="AC208" i="1"/>
  <c r="AC207" i="1"/>
  <c r="AC206" i="1"/>
  <c r="AA209" i="1"/>
  <c r="AA208" i="1"/>
  <c r="AA207" i="1"/>
  <c r="AA206" i="1"/>
  <c r="Y209" i="1"/>
  <c r="Y208" i="1"/>
  <c r="Y207" i="1"/>
  <c r="Y206" i="1"/>
  <c r="W209" i="1"/>
  <c r="W208" i="1"/>
  <c r="W207" i="1"/>
  <c r="W206" i="1"/>
  <c r="U209" i="1"/>
  <c r="U208" i="1"/>
  <c r="U207" i="1"/>
  <c r="U206" i="1"/>
  <c r="S209" i="1"/>
  <c r="S208" i="1"/>
  <c r="S207" i="1"/>
  <c r="S206" i="1"/>
  <c r="Q209" i="1"/>
  <c r="Q208" i="1"/>
  <c r="Q207" i="1"/>
  <c r="Q206" i="1"/>
  <c r="O209" i="1"/>
  <c r="O208" i="1"/>
  <c r="O207" i="1"/>
  <c r="O206" i="1"/>
  <c r="M209" i="1"/>
  <c r="M208" i="1"/>
  <c r="M207" i="1"/>
  <c r="M206" i="1"/>
  <c r="K209" i="1"/>
  <c r="K208" i="1"/>
  <c r="K207" i="1"/>
  <c r="K206" i="1"/>
  <c r="CI209" i="1"/>
  <c r="CK209" i="1" s="1"/>
  <c r="CG209" i="1"/>
  <c r="CE209" i="1"/>
  <c r="CC209" i="1"/>
  <c r="CD209" i="1" s="1"/>
  <c r="CA209" i="1"/>
  <c r="BY209" i="1"/>
  <c r="BW209" i="1"/>
  <c r="BU209" i="1"/>
  <c r="BV209" i="1" s="1"/>
  <c r="CG208" i="1"/>
  <c r="CH208" i="1" s="1"/>
  <c r="CE208" i="1"/>
  <c r="CF208" i="1" s="1"/>
  <c r="CC208" i="1"/>
  <c r="CD208" i="1" s="1"/>
  <c r="CA208" i="1"/>
  <c r="CB208" i="1" s="1"/>
  <c r="BY208" i="1"/>
  <c r="BZ208" i="1" s="1"/>
  <c r="BW208" i="1"/>
  <c r="BX208" i="1" s="1"/>
  <c r="BU208" i="1"/>
  <c r="CP207" i="1"/>
  <c r="CN207" i="1"/>
  <c r="CI207" i="1"/>
  <c r="CL207" i="1" s="1"/>
  <c r="CH207" i="1"/>
  <c r="CG207" i="1"/>
  <c r="CE207" i="1"/>
  <c r="CF207" i="1" s="1"/>
  <c r="CD207" i="1"/>
  <c r="CC207" i="1"/>
  <c r="CA207" i="1"/>
  <c r="CB207" i="1" s="1"/>
  <c r="BZ207" i="1"/>
  <c r="BY207" i="1"/>
  <c r="BW207" i="1"/>
  <c r="BX207" i="1" s="1"/>
  <c r="BV207" i="1"/>
  <c r="BU207" i="1"/>
  <c r="BB205" i="1"/>
  <c r="AT205" i="1"/>
  <c r="AL205" i="1"/>
  <c r="AM205" i="1" s="1"/>
  <c r="AF205" i="1"/>
  <c r="AF213" i="1" s="1"/>
  <c r="AD205" i="1"/>
  <c r="AE205" i="1" s="1"/>
  <c r="Z205" i="1"/>
  <c r="V205" i="1"/>
  <c r="W205" i="1" s="1"/>
  <c r="T205" i="1"/>
  <c r="T213" i="1" s="1"/>
  <c r="R205" i="1"/>
  <c r="P205" i="1"/>
  <c r="P213" i="1" s="1"/>
  <c r="N205" i="1"/>
  <c r="O205" i="1" s="1"/>
  <c r="L205" i="1"/>
  <c r="L238" i="1" s="1"/>
  <c r="J205" i="1"/>
  <c r="H205" i="1"/>
  <c r="H238" i="1" s="1"/>
  <c r="H240" i="1" s="1"/>
  <c r="F205" i="1"/>
  <c r="F213" i="1" s="1"/>
  <c r="D205" i="1"/>
  <c r="D213" i="1" s="1"/>
  <c r="B205" i="1"/>
  <c r="B238" i="1" s="1"/>
  <c r="B240" i="1" s="1"/>
  <c r="CS207" i="1"/>
  <c r="CR207" i="1"/>
  <c r="CG206" i="1"/>
  <c r="CH206" i="1" s="1"/>
  <c r="CE206" i="1"/>
  <c r="CF206" i="1" s="1"/>
  <c r="CC206" i="1"/>
  <c r="CD206" i="1" s="1"/>
  <c r="CA206" i="1"/>
  <c r="CB206" i="1" s="1"/>
  <c r="BY206" i="1"/>
  <c r="BZ206" i="1" s="1"/>
  <c r="BW206" i="1"/>
  <c r="BX206" i="1" s="1"/>
  <c r="BU206" i="1"/>
  <c r="CG205" i="1"/>
  <c r="CE205" i="1"/>
  <c r="CE213" i="1" s="1"/>
  <c r="CC205" i="1"/>
  <c r="CA205" i="1"/>
  <c r="BY205" i="1"/>
  <c r="BW205" i="1"/>
  <c r="BW213" i="1" s="1"/>
  <c r="BU205" i="1"/>
  <c r="BU204" i="1"/>
  <c r="BU210" i="1" s="1"/>
  <c r="BS204" i="1"/>
  <c r="B200" i="1"/>
  <c r="B201" i="1" s="1"/>
  <c r="B199" i="1"/>
  <c r="B198" i="1"/>
  <c r="BH201" i="1"/>
  <c r="BJ201" i="1" s="1"/>
  <c r="BH199" i="1"/>
  <c r="BJ199" i="1" s="1"/>
  <c r="BL199" i="1" s="1"/>
  <c r="BH198" i="1"/>
  <c r="BJ198" i="1" s="1"/>
  <c r="BL198" i="1" s="1"/>
  <c r="BD196" i="1"/>
  <c r="BD233" i="1" s="1"/>
  <c r="BD234" i="1" s="1"/>
  <c r="BB196" i="1"/>
  <c r="BB233" i="1" s="1"/>
  <c r="BB234" i="1" s="1"/>
  <c r="AZ196" i="1"/>
  <c r="AZ233" i="1" s="1"/>
  <c r="AX196" i="1"/>
  <c r="AX233" i="1" s="1"/>
  <c r="AV196" i="1"/>
  <c r="AV233" i="1" s="1"/>
  <c r="AV234" i="1" s="1"/>
  <c r="AT196" i="1"/>
  <c r="AT233" i="1" s="1"/>
  <c r="AT234" i="1" s="1"/>
  <c r="AR196" i="1"/>
  <c r="AR233" i="1" s="1"/>
  <c r="AP196" i="1"/>
  <c r="AP233" i="1" s="1"/>
  <c r="AN196" i="1"/>
  <c r="AN233" i="1" s="1"/>
  <c r="AN234" i="1" s="1"/>
  <c r="AL196" i="1"/>
  <c r="AL233" i="1" s="1"/>
  <c r="AL234" i="1" s="1"/>
  <c r="AJ196" i="1"/>
  <c r="AJ233" i="1" s="1"/>
  <c r="AH196" i="1"/>
  <c r="AH233" i="1" s="1"/>
  <c r="AF196" i="1"/>
  <c r="AF233" i="1" s="1"/>
  <c r="AF234" i="1" s="1"/>
  <c r="AD196" i="1"/>
  <c r="AD233" i="1" s="1"/>
  <c r="AD234" i="1" s="1"/>
  <c r="AB196" i="1"/>
  <c r="AB233" i="1" s="1"/>
  <c r="Z196" i="1"/>
  <c r="Z233" i="1" s="1"/>
  <c r="X196" i="1"/>
  <c r="X233" i="1" s="1"/>
  <c r="X234" i="1" s="1"/>
  <c r="V196" i="1"/>
  <c r="V233" i="1" s="1"/>
  <c r="V234" i="1" s="1"/>
  <c r="T196" i="1"/>
  <c r="T233" i="1" s="1"/>
  <c r="N196" i="1"/>
  <c r="O196" i="1" s="1"/>
  <c r="L196" i="1"/>
  <c r="M196" i="1" s="1"/>
  <c r="J196" i="1"/>
  <c r="K196" i="1" s="1"/>
  <c r="H196" i="1"/>
  <c r="F196" i="1"/>
  <c r="D196" i="1"/>
  <c r="B196" i="1"/>
  <c r="B193" i="1"/>
  <c r="B221" i="1" s="1"/>
  <c r="BM192" i="1"/>
  <c r="BM190" i="1"/>
  <c r="BK192" i="1"/>
  <c r="BK190" i="1"/>
  <c r="BI192" i="1"/>
  <c r="BI190" i="1"/>
  <c r="BG192" i="1"/>
  <c r="BG190" i="1"/>
  <c r="BE192" i="1"/>
  <c r="BE191" i="1"/>
  <c r="BE190" i="1"/>
  <c r="BE189" i="1"/>
  <c r="BE188" i="1"/>
  <c r="BC192" i="1"/>
  <c r="BC191" i="1"/>
  <c r="BC190" i="1"/>
  <c r="BC189" i="1"/>
  <c r="BC188" i="1"/>
  <c r="BA192" i="1"/>
  <c r="BA191" i="1"/>
  <c r="BA190" i="1"/>
  <c r="BA189" i="1"/>
  <c r="BA188" i="1"/>
  <c r="AY192" i="1"/>
  <c r="AY191" i="1"/>
  <c r="AY190" i="1"/>
  <c r="AY189" i="1"/>
  <c r="AY188" i="1"/>
  <c r="AW192" i="1"/>
  <c r="AW191" i="1"/>
  <c r="AW190" i="1"/>
  <c r="AW189" i="1"/>
  <c r="AW188" i="1"/>
  <c r="AU192" i="1"/>
  <c r="AU191" i="1"/>
  <c r="AU190" i="1"/>
  <c r="AU189" i="1"/>
  <c r="AU188" i="1"/>
  <c r="AS192" i="1"/>
  <c r="AS191" i="1"/>
  <c r="AS190" i="1"/>
  <c r="AS189" i="1"/>
  <c r="AS188" i="1"/>
  <c r="AQ192" i="1"/>
  <c r="AQ191" i="1"/>
  <c r="AQ190" i="1"/>
  <c r="AQ189" i="1"/>
  <c r="AQ188" i="1"/>
  <c r="AO192" i="1"/>
  <c r="AO191" i="1"/>
  <c r="AO190" i="1"/>
  <c r="AO189" i="1"/>
  <c r="AO188" i="1"/>
  <c r="AM192" i="1"/>
  <c r="AM191" i="1"/>
  <c r="AM190" i="1"/>
  <c r="AM189" i="1"/>
  <c r="AM188" i="1"/>
  <c r="AK192" i="1"/>
  <c r="AK191" i="1"/>
  <c r="AK190" i="1"/>
  <c r="AK189" i="1"/>
  <c r="AK188" i="1"/>
  <c r="AI192" i="1"/>
  <c r="AI191" i="1"/>
  <c r="AI190" i="1"/>
  <c r="AI189" i="1"/>
  <c r="AI188" i="1"/>
  <c r="AG192" i="1"/>
  <c r="AG191" i="1"/>
  <c r="AG190" i="1"/>
  <c r="AG189" i="1"/>
  <c r="AG188" i="1"/>
  <c r="AE192" i="1"/>
  <c r="AE191" i="1"/>
  <c r="AE190" i="1"/>
  <c r="AE189" i="1"/>
  <c r="AE188" i="1"/>
  <c r="AC192" i="1"/>
  <c r="AC191" i="1"/>
  <c r="AC190" i="1"/>
  <c r="AC189" i="1"/>
  <c r="AC188" i="1"/>
  <c r="AA192" i="1"/>
  <c r="AA191" i="1"/>
  <c r="AA190" i="1"/>
  <c r="AA189" i="1"/>
  <c r="AA188" i="1"/>
  <c r="Y192" i="1"/>
  <c r="Y191" i="1"/>
  <c r="Y190" i="1"/>
  <c r="Y189" i="1"/>
  <c r="Y188" i="1"/>
  <c r="W192" i="1"/>
  <c r="W191" i="1"/>
  <c r="W190" i="1"/>
  <c r="W189" i="1"/>
  <c r="W188" i="1"/>
  <c r="U192" i="1"/>
  <c r="U191" i="1"/>
  <c r="U190" i="1"/>
  <c r="U189" i="1"/>
  <c r="U188" i="1"/>
  <c r="S192" i="1"/>
  <c r="S191" i="1"/>
  <c r="S190" i="1"/>
  <c r="S189" i="1"/>
  <c r="S188" i="1"/>
  <c r="Q192" i="1"/>
  <c r="Q191" i="1"/>
  <c r="Q190" i="1"/>
  <c r="Q189" i="1"/>
  <c r="Q188" i="1"/>
  <c r="O192" i="1"/>
  <c r="O191" i="1"/>
  <c r="O190" i="1"/>
  <c r="O189" i="1"/>
  <c r="O188" i="1"/>
  <c r="M192" i="1"/>
  <c r="M191" i="1"/>
  <c r="M190" i="1"/>
  <c r="M189" i="1"/>
  <c r="M188" i="1"/>
  <c r="K192" i="1"/>
  <c r="K191" i="1"/>
  <c r="K190" i="1"/>
  <c r="K189" i="1"/>
  <c r="K188" i="1"/>
  <c r="CI192" i="1"/>
  <c r="CK192" i="1" s="1"/>
  <c r="CG192" i="1"/>
  <c r="CE192" i="1"/>
  <c r="CC192" i="1"/>
  <c r="CD192" i="1" s="1"/>
  <c r="CA192" i="1"/>
  <c r="CB192" i="1" s="1"/>
  <c r="BY192" i="1"/>
  <c r="BW192" i="1"/>
  <c r="BU192" i="1"/>
  <c r="BV192" i="1" s="1"/>
  <c r="CG191" i="1"/>
  <c r="CH191" i="1" s="1"/>
  <c r="CE191" i="1"/>
  <c r="CF191" i="1" s="1"/>
  <c r="CC191" i="1"/>
  <c r="CD191" i="1" s="1"/>
  <c r="CA191" i="1"/>
  <c r="CB191" i="1" s="1"/>
  <c r="BY191" i="1"/>
  <c r="BZ191" i="1" s="1"/>
  <c r="BW191" i="1"/>
  <c r="BX191" i="1" s="1"/>
  <c r="BU191" i="1"/>
  <c r="CP190" i="1"/>
  <c r="CN190" i="1"/>
  <c r="CI190" i="1"/>
  <c r="CL190" i="1" s="1"/>
  <c r="CH190" i="1"/>
  <c r="CG190" i="1"/>
  <c r="CS190" i="1" s="1"/>
  <c r="CE190" i="1"/>
  <c r="CF190" i="1" s="1"/>
  <c r="CD190" i="1"/>
  <c r="CC190" i="1"/>
  <c r="CA190" i="1"/>
  <c r="CB190" i="1" s="1"/>
  <c r="BZ190" i="1"/>
  <c r="BY190" i="1"/>
  <c r="BW190" i="1"/>
  <c r="BX190" i="1" s="1"/>
  <c r="BV190" i="1"/>
  <c r="BU190" i="1"/>
  <c r="R188" i="1"/>
  <c r="P188" i="1"/>
  <c r="P238" i="1" s="1"/>
  <c r="CR190" i="1"/>
  <c r="CG189" i="1"/>
  <c r="CG239" i="1" s="1"/>
  <c r="CE189" i="1"/>
  <c r="CE239" i="1" s="1"/>
  <c r="CC189" i="1"/>
  <c r="CC239" i="1" s="1"/>
  <c r="CA189" i="1"/>
  <c r="CA239" i="1" s="1"/>
  <c r="BY189" i="1"/>
  <c r="BY239" i="1" s="1"/>
  <c r="BW189" i="1"/>
  <c r="BW239" i="1" s="1"/>
  <c r="BV189" i="1"/>
  <c r="BU189" i="1"/>
  <c r="BU239" i="1" s="1"/>
  <c r="CG188" i="1"/>
  <c r="CE188" i="1"/>
  <c r="CE196" i="1" s="1"/>
  <c r="CC188" i="1"/>
  <c r="CD188" i="1" s="1"/>
  <c r="CA188" i="1"/>
  <c r="BY188" i="1"/>
  <c r="BW188" i="1"/>
  <c r="BW196" i="1" s="1"/>
  <c r="BU188" i="1"/>
  <c r="BV188" i="1" s="1"/>
  <c r="BU187" i="1"/>
  <c r="BS187" i="1"/>
  <c r="BV187" i="1" s="1"/>
  <c r="D187" i="1"/>
  <c r="D193" i="1" s="1"/>
  <c r="AO181" i="1"/>
  <c r="AO180" i="1"/>
  <c r="AO178" i="1"/>
  <c r="AM181" i="1"/>
  <c r="AM180" i="1"/>
  <c r="AM178" i="1"/>
  <c r="AK181" i="1"/>
  <c r="AK180" i="1"/>
  <c r="AK178" i="1"/>
  <c r="AI181" i="1"/>
  <c r="AI180" i="1"/>
  <c r="AI178" i="1"/>
  <c r="AG181" i="1"/>
  <c r="AG180" i="1"/>
  <c r="AG178" i="1"/>
  <c r="AE181" i="1"/>
  <c r="AE180" i="1"/>
  <c r="AE178" i="1"/>
  <c r="AC181" i="1"/>
  <c r="AC180" i="1"/>
  <c r="AC178" i="1"/>
  <c r="AA181" i="1"/>
  <c r="AA180" i="1"/>
  <c r="AA179" i="1"/>
  <c r="AA178" i="1"/>
  <c r="Y181" i="1"/>
  <c r="Y180" i="1"/>
  <c r="Y179" i="1"/>
  <c r="Y178" i="1"/>
  <c r="W181" i="1"/>
  <c r="W180" i="1"/>
  <c r="W179" i="1"/>
  <c r="W178" i="1"/>
  <c r="AN179" i="1"/>
  <c r="AL179" i="1"/>
  <c r="AM179" i="1" s="1"/>
  <c r="AJ179" i="1"/>
  <c r="AH179" i="1"/>
  <c r="AI179" i="1" s="1"/>
  <c r="AF179" i="1"/>
  <c r="AG179" i="1" s="1"/>
  <c r="AD179" i="1"/>
  <c r="AE179" i="1" s="1"/>
  <c r="AB179" i="1"/>
  <c r="AC179" i="1" s="1"/>
  <c r="Z179" i="1"/>
  <c r="CE181" i="1"/>
  <c r="CC181" i="1"/>
  <c r="CA181" i="1"/>
  <c r="CB181" i="1" s="1"/>
  <c r="BY181" i="1"/>
  <c r="BZ181" i="1" s="1"/>
  <c r="CE180" i="1"/>
  <c r="CC180" i="1"/>
  <c r="CD180" i="1" s="1"/>
  <c r="CA180" i="1"/>
  <c r="BY180" i="1"/>
  <c r="CB180" i="1" s="1"/>
  <c r="CE179" i="1"/>
  <c r="CC179" i="1"/>
  <c r="CA179" i="1"/>
  <c r="BY179" i="1"/>
  <c r="BZ179" i="1" s="1"/>
  <c r="CE178" i="1"/>
  <c r="CC178" i="1"/>
  <c r="CD178" i="1" s="1"/>
  <c r="CB178" i="1"/>
  <c r="CA178" i="1"/>
  <c r="BY178" i="1"/>
  <c r="BM176" i="1"/>
  <c r="BM175" i="1"/>
  <c r="BM174" i="1"/>
  <c r="BE176" i="1"/>
  <c r="BE175" i="1"/>
  <c r="BE174" i="1"/>
  <c r="BC176" i="1"/>
  <c r="BC175" i="1"/>
  <c r="BC174" i="1"/>
  <c r="H174" i="1"/>
  <c r="F174" i="1"/>
  <c r="D174" i="1"/>
  <c r="B174" i="1"/>
  <c r="BS174" i="1"/>
  <c r="BQ174" i="1"/>
  <c r="AN174" i="1"/>
  <c r="AW174" i="1" s="1"/>
  <c r="AK174" i="1"/>
  <c r="AJ174" i="1"/>
  <c r="AH174" i="1"/>
  <c r="AI174" i="1" s="1"/>
  <c r="AG174" i="1"/>
  <c r="AF174" i="1"/>
  <c r="AD174" i="1"/>
  <c r="AB174" i="1"/>
  <c r="AA174" i="1"/>
  <c r="Z174" i="1"/>
  <c r="X174" i="1"/>
  <c r="Y174" i="1" s="1"/>
  <c r="S174" i="1"/>
  <c r="R174" i="1"/>
  <c r="P174" i="1"/>
  <c r="Q174" i="1" s="1"/>
  <c r="O174" i="1"/>
  <c r="N174" i="1"/>
  <c r="L174" i="1"/>
  <c r="M174" i="1" s="1"/>
  <c r="K174" i="1"/>
  <c r="J174" i="1"/>
  <c r="CE173" i="1"/>
  <c r="CE172" i="1"/>
  <c r="CH172" i="1" s="1"/>
  <c r="CE171" i="1"/>
  <c r="CF171" i="1" s="1"/>
  <c r="CC172" i="1"/>
  <c r="CC171" i="1"/>
  <c r="CA173" i="1"/>
  <c r="CA172" i="1"/>
  <c r="CB172" i="1" s="1"/>
  <c r="CA171" i="1"/>
  <c r="BW173" i="1"/>
  <c r="BX173" i="1" s="1"/>
  <c r="BV173" i="1"/>
  <c r="BU173" i="1"/>
  <c r="AL173" i="1"/>
  <c r="AL174" i="1" s="1"/>
  <c r="AM174" i="1" s="1"/>
  <c r="T173" i="1"/>
  <c r="R173" i="1"/>
  <c r="CF172" i="1"/>
  <c r="BM172" i="1"/>
  <c r="BM171" i="1"/>
  <c r="BE172" i="1"/>
  <c r="BE171" i="1"/>
  <c r="BC172" i="1"/>
  <c r="BC171" i="1"/>
  <c r="AW172" i="1"/>
  <c r="AW171" i="1"/>
  <c r="AO172" i="1"/>
  <c r="AO171" i="1"/>
  <c r="AM172" i="1"/>
  <c r="AM171" i="1"/>
  <c r="AK172" i="1"/>
  <c r="AK171" i="1"/>
  <c r="AI172" i="1"/>
  <c r="AI171" i="1"/>
  <c r="AG172" i="1"/>
  <c r="AG171" i="1"/>
  <c r="AE172" i="1"/>
  <c r="AC172" i="1"/>
  <c r="AA172" i="1"/>
  <c r="AA171" i="1"/>
  <c r="Y172" i="1"/>
  <c r="Y171" i="1"/>
  <c r="W172" i="1"/>
  <c r="U172" i="1"/>
  <c r="S172" i="1"/>
  <c r="S171" i="1"/>
  <c r="Q172" i="1"/>
  <c r="Q171" i="1"/>
  <c r="O172" i="1"/>
  <c r="O171" i="1"/>
  <c r="M172" i="1"/>
  <c r="M171" i="1"/>
  <c r="K172" i="1"/>
  <c r="K171" i="1"/>
  <c r="BZ172" i="1"/>
  <c r="BY172" i="1"/>
  <c r="BW172" i="1"/>
  <c r="BX172" i="1" s="1"/>
  <c r="BV172" i="1"/>
  <c r="BU172" i="1"/>
  <c r="BW171" i="1"/>
  <c r="BW174" i="1" s="1"/>
  <c r="BV171" i="1"/>
  <c r="BU171" i="1"/>
  <c r="BU174" i="1" s="1"/>
  <c r="BV174" i="1" s="1"/>
  <c r="T171" i="1"/>
  <c r="T174" i="1" s="1"/>
  <c r="BM169" i="1"/>
  <c r="BM168" i="1"/>
  <c r="BE169" i="1"/>
  <c r="BE168" i="1"/>
  <c r="BC169" i="1"/>
  <c r="BC168" i="1"/>
  <c r="BQ166" i="1"/>
  <c r="BM166" i="1"/>
  <c r="BM165" i="1"/>
  <c r="BM164" i="1"/>
  <c r="BE166" i="1"/>
  <c r="BE165" i="1"/>
  <c r="BE164" i="1"/>
  <c r="BC166" i="1"/>
  <c r="BC165" i="1"/>
  <c r="BC164" i="1"/>
  <c r="AW166" i="1"/>
  <c r="F166" i="1"/>
  <c r="B166" i="1"/>
  <c r="AN166" i="1"/>
  <c r="AL166" i="1"/>
  <c r="AJ166" i="1"/>
  <c r="AH166" i="1"/>
  <c r="AF166" i="1"/>
  <c r="AD166" i="1"/>
  <c r="AB166" i="1"/>
  <c r="Z166" i="1"/>
  <c r="X166" i="1"/>
  <c r="V166" i="1"/>
  <c r="T166" i="1"/>
  <c r="R166" i="1"/>
  <c r="P166" i="1"/>
  <c r="N166" i="1"/>
  <c r="O166" i="1" s="1"/>
  <c r="L166" i="1"/>
  <c r="J166" i="1"/>
  <c r="K166" i="1" s="1"/>
  <c r="BS161" i="1"/>
  <c r="BS160" i="1"/>
  <c r="BS166" i="1" s="1"/>
  <c r="BQ161" i="1"/>
  <c r="BQ160" i="1"/>
  <c r="BM161" i="1"/>
  <c r="BM160" i="1"/>
  <c r="BM159" i="1"/>
  <c r="BM158" i="1"/>
  <c r="BM157" i="1"/>
  <c r="BE161" i="1"/>
  <c r="BE160" i="1"/>
  <c r="BE159" i="1"/>
  <c r="BE158" i="1"/>
  <c r="BE157" i="1"/>
  <c r="BC161" i="1"/>
  <c r="BC160" i="1"/>
  <c r="BC159" i="1"/>
  <c r="BC158" i="1"/>
  <c r="BC157" i="1"/>
  <c r="AW160" i="1"/>
  <c r="AW159" i="1"/>
  <c r="AW158" i="1"/>
  <c r="H160" i="1"/>
  <c r="H166" i="1" s="1"/>
  <c r="F160" i="1"/>
  <c r="D160" i="1"/>
  <c r="D166" i="1" s="1"/>
  <c r="B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AO159" i="1"/>
  <c r="AO158" i="1"/>
  <c r="AM159" i="1"/>
  <c r="AM158" i="1"/>
  <c r="AK159" i="1"/>
  <c r="AK158" i="1"/>
  <c r="AI159" i="1"/>
  <c r="AI158" i="1"/>
  <c r="AG159" i="1"/>
  <c r="AG158" i="1"/>
  <c r="AE159" i="1"/>
  <c r="AE158" i="1"/>
  <c r="AC159" i="1"/>
  <c r="AC158" i="1"/>
  <c r="AA159" i="1"/>
  <c r="AA158" i="1"/>
  <c r="Y159" i="1"/>
  <c r="Y158" i="1"/>
  <c r="W159" i="1"/>
  <c r="W158" i="1"/>
  <c r="U159" i="1"/>
  <c r="U158" i="1"/>
  <c r="S159" i="1"/>
  <c r="S158" i="1"/>
  <c r="Q159" i="1"/>
  <c r="Q158" i="1"/>
  <c r="O159" i="1"/>
  <c r="O158" i="1"/>
  <c r="M159" i="1"/>
  <c r="M158" i="1"/>
  <c r="K159" i="1"/>
  <c r="K158" i="1"/>
  <c r="CE160" i="1"/>
  <c r="CH160" i="1" s="1"/>
  <c r="CC160" i="1"/>
  <c r="CC166" i="1" s="1"/>
  <c r="CD166" i="1" s="1"/>
  <c r="CA160" i="1"/>
  <c r="CA166" i="1" s="1"/>
  <c r="BY160" i="1"/>
  <c r="CB160" i="1" s="1"/>
  <c r="BW160" i="1"/>
  <c r="BW166" i="1" s="1"/>
  <c r="BX166" i="1" s="1"/>
  <c r="BU160" i="1"/>
  <c r="BU166" i="1" s="1"/>
  <c r="CE159" i="1"/>
  <c r="CH159" i="1" s="1"/>
  <c r="CC159" i="1"/>
  <c r="CF159" i="1" s="1"/>
  <c r="CA159" i="1"/>
  <c r="BY159" i="1"/>
  <c r="CB159" i="1" s="1"/>
  <c r="BW159" i="1"/>
  <c r="BU159" i="1"/>
  <c r="BX159" i="1" s="1"/>
  <c r="CE158" i="1"/>
  <c r="CH158" i="1" s="1"/>
  <c r="CC158" i="1"/>
  <c r="CF158" i="1" s="1"/>
  <c r="CA158" i="1"/>
  <c r="BY158" i="1"/>
  <c r="CB158" i="1" s="1"/>
  <c r="BW158" i="1"/>
  <c r="BU158" i="1"/>
  <c r="BX158" i="1" s="1"/>
  <c r="AN157" i="1"/>
  <c r="AO157" i="1" s="1"/>
  <c r="AL157" i="1"/>
  <c r="AL161" i="1" s="1"/>
  <c r="AJ157" i="1"/>
  <c r="AJ161" i="1" s="1"/>
  <c r="AH157" i="1"/>
  <c r="AH161" i="1" s="1"/>
  <c r="AF157" i="1"/>
  <c r="AF161" i="1" s="1"/>
  <c r="AD157" i="1"/>
  <c r="AD161" i="1" s="1"/>
  <c r="AB157" i="1"/>
  <c r="AB161" i="1" s="1"/>
  <c r="Z157" i="1"/>
  <c r="Z161" i="1" s="1"/>
  <c r="X157" i="1"/>
  <c r="X161" i="1" s="1"/>
  <c r="V157" i="1"/>
  <c r="V161" i="1" s="1"/>
  <c r="T157" i="1"/>
  <c r="T161" i="1" s="1"/>
  <c r="R157" i="1"/>
  <c r="R161" i="1" s="1"/>
  <c r="P157" i="1"/>
  <c r="P161" i="1" s="1"/>
  <c r="N157" i="1"/>
  <c r="N161" i="1" s="1"/>
  <c r="L157" i="1"/>
  <c r="L161" i="1" s="1"/>
  <c r="J157" i="1"/>
  <c r="J161" i="1" s="1"/>
  <c r="H157" i="1"/>
  <c r="H161" i="1" s="1"/>
  <c r="F157" i="1"/>
  <c r="F161" i="1" s="1"/>
  <c r="D157" i="1"/>
  <c r="D161" i="1" s="1"/>
  <c r="B157" i="1"/>
  <c r="B161" i="1" s="1"/>
  <c r="BM154" i="1"/>
  <c r="BM153" i="1"/>
  <c r="BE154" i="1"/>
  <c r="BE153" i="1"/>
  <c r="BC154" i="1"/>
  <c r="BC153" i="1"/>
  <c r="BM150" i="1"/>
  <c r="BM149" i="1"/>
  <c r="BM148" i="1"/>
  <c r="BE150" i="1"/>
  <c r="BE149" i="1"/>
  <c r="BE148" i="1"/>
  <c r="BC150" i="1"/>
  <c r="BC149" i="1"/>
  <c r="BC148" i="1"/>
  <c r="CH139" i="1"/>
  <c r="CH138" i="1"/>
  <c r="CH137" i="1"/>
  <c r="BM145" i="1"/>
  <c r="BM144" i="1"/>
  <c r="BM143" i="1"/>
  <c r="BM142" i="1"/>
  <c r="BM141" i="1"/>
  <c r="BM140" i="1"/>
  <c r="BE145" i="1"/>
  <c r="BE144" i="1"/>
  <c r="BE143" i="1"/>
  <c r="BE142" i="1"/>
  <c r="BE141" i="1"/>
  <c r="BE140" i="1"/>
  <c r="BC145" i="1"/>
  <c r="BC144" i="1"/>
  <c r="BC143" i="1"/>
  <c r="BC142" i="1"/>
  <c r="BC141" i="1"/>
  <c r="BC140" i="1"/>
  <c r="AW144" i="1"/>
  <c r="AW141" i="1"/>
  <c r="AO144" i="1"/>
  <c r="AO142" i="1"/>
  <c r="AO141" i="1"/>
  <c r="AM144" i="1"/>
  <c r="AM142" i="1"/>
  <c r="AM141" i="1"/>
  <c r="AK144" i="1"/>
  <c r="AK142" i="1"/>
  <c r="AK141" i="1"/>
  <c r="AI144" i="1"/>
  <c r="AI142" i="1"/>
  <c r="AI141" i="1"/>
  <c r="AG144" i="1"/>
  <c r="AG142" i="1"/>
  <c r="AG141" i="1"/>
  <c r="AE144" i="1"/>
  <c r="AE142" i="1"/>
  <c r="AE141" i="1"/>
  <c r="AC144" i="1"/>
  <c r="AC142" i="1"/>
  <c r="AC141" i="1"/>
  <c r="AA144" i="1"/>
  <c r="AA142" i="1"/>
  <c r="AA141" i="1"/>
  <c r="Y144" i="1"/>
  <c r="Y142" i="1"/>
  <c r="Y141" i="1"/>
  <c r="W144" i="1"/>
  <c r="W142" i="1"/>
  <c r="W141" i="1"/>
  <c r="U144" i="1"/>
  <c r="U142" i="1"/>
  <c r="U141" i="1"/>
  <c r="S144" i="1"/>
  <c r="S142" i="1"/>
  <c r="S141" i="1"/>
  <c r="Q144" i="1"/>
  <c r="Q142" i="1"/>
  <c r="Q141" i="1"/>
  <c r="O144" i="1"/>
  <c r="O142" i="1"/>
  <c r="O141" i="1"/>
  <c r="M144" i="1"/>
  <c r="M142" i="1"/>
  <c r="M141" i="1"/>
  <c r="K144" i="1"/>
  <c r="K142" i="1"/>
  <c r="K141" i="1"/>
  <c r="BS143" i="1"/>
  <c r="BS168" i="1" s="1"/>
  <c r="BQ143" i="1"/>
  <c r="BQ168" i="1" s="1"/>
  <c r="AN142" i="1"/>
  <c r="H143" i="1"/>
  <c r="H145" i="1" s="1"/>
  <c r="F143" i="1"/>
  <c r="F145" i="1" s="1"/>
  <c r="D143" i="1"/>
  <c r="D145" i="1" s="1"/>
  <c r="D165" i="1" s="1"/>
  <c r="B143" i="1"/>
  <c r="B145" i="1" s="1"/>
  <c r="CE144" i="1"/>
  <c r="CE157" i="1" s="1"/>
  <c r="CC144" i="1"/>
  <c r="CC157" i="1" s="1"/>
  <c r="CC161" i="1" s="1"/>
  <c r="CD161" i="1" s="1"/>
  <c r="CA144" i="1"/>
  <c r="CA157" i="1" s="1"/>
  <c r="CA161" i="1" s="1"/>
  <c r="CB161" i="1" s="1"/>
  <c r="BY144" i="1"/>
  <c r="BY157" i="1" s="1"/>
  <c r="BY161" i="1" s="1"/>
  <c r="BW144" i="1"/>
  <c r="BW157" i="1" s="1"/>
  <c r="BW161" i="1" s="1"/>
  <c r="BU144" i="1"/>
  <c r="BU157" i="1" s="1"/>
  <c r="BU161" i="1" s="1"/>
  <c r="BV161" i="1" s="1"/>
  <c r="CE142" i="1"/>
  <c r="CH142" i="1" s="1"/>
  <c r="CC142" i="1"/>
  <c r="CA142" i="1"/>
  <c r="BY142" i="1"/>
  <c r="BZ142" i="1" s="1"/>
  <c r="BW142" i="1"/>
  <c r="BU142" i="1"/>
  <c r="BV142" i="1" s="1"/>
  <c r="CE141" i="1"/>
  <c r="CC141" i="1"/>
  <c r="CD141" i="1" s="1"/>
  <c r="CA141" i="1"/>
  <c r="BY141" i="1"/>
  <c r="BW141" i="1"/>
  <c r="BU141" i="1"/>
  <c r="BV141" i="1" s="1"/>
  <c r="CE140" i="1"/>
  <c r="BU140" i="1"/>
  <c r="BV140" i="1" s="1"/>
  <c r="R140" i="1"/>
  <c r="R139" i="1"/>
  <c r="R138" i="1"/>
  <c r="N140" i="1"/>
  <c r="O140" i="1" s="1"/>
  <c r="L140" i="1"/>
  <c r="L143" i="1" s="1"/>
  <c r="CF139" i="1"/>
  <c r="CF138" i="1"/>
  <c r="CF137" i="1"/>
  <c r="CD139" i="1"/>
  <c r="CD138" i="1"/>
  <c r="CD137" i="1"/>
  <c r="BY139" i="1"/>
  <c r="CB139" i="1" s="1"/>
  <c r="BW139" i="1"/>
  <c r="BX139" i="1" s="1"/>
  <c r="BV139" i="1"/>
  <c r="AN138" i="1"/>
  <c r="AN140" i="1" s="1"/>
  <c r="AL138" i="1"/>
  <c r="AL140" i="1" s="1"/>
  <c r="AJ138" i="1"/>
  <c r="AJ140" i="1" s="1"/>
  <c r="AH138" i="1"/>
  <c r="AH140" i="1" s="1"/>
  <c r="AF138" i="1"/>
  <c r="AF140" i="1" s="1"/>
  <c r="AD138" i="1"/>
  <c r="AD140" i="1" s="1"/>
  <c r="AB138" i="1"/>
  <c r="AB140" i="1" s="1"/>
  <c r="Z138" i="1"/>
  <c r="Z140" i="1" s="1"/>
  <c r="X138" i="1"/>
  <c r="X140" i="1" s="1"/>
  <c r="V138" i="1"/>
  <c r="V140" i="1" s="1"/>
  <c r="T138" i="1"/>
  <c r="T140" i="1" s="1"/>
  <c r="P138" i="1"/>
  <c r="P140" i="1" s="1"/>
  <c r="N138" i="1"/>
  <c r="BW138" i="1" s="1"/>
  <c r="L138" i="1"/>
  <c r="J138" i="1"/>
  <c r="J140" i="1" s="1"/>
  <c r="BY138" i="1"/>
  <c r="CB138" i="1" s="1"/>
  <c r="BY137" i="1"/>
  <c r="CB137" i="1" s="1"/>
  <c r="BW137" i="1"/>
  <c r="BW140" i="1" s="1"/>
  <c r="BS134" i="1"/>
  <c r="BQ134" i="1"/>
  <c r="BM134" i="1"/>
  <c r="BM133" i="1"/>
  <c r="BM132" i="1"/>
  <c r="BE134" i="1"/>
  <c r="BE133" i="1"/>
  <c r="BE132" i="1"/>
  <c r="BC134" i="1"/>
  <c r="BC133" i="1"/>
  <c r="BC132" i="1"/>
  <c r="AW132" i="1"/>
  <c r="CE132" i="1"/>
  <c r="CF132" i="1" s="1"/>
  <c r="CC132" i="1"/>
  <c r="CD132" i="1" s="1"/>
  <c r="CA132" i="1"/>
  <c r="CB132" i="1" s="1"/>
  <c r="BY132" i="1"/>
  <c r="BW132" i="1"/>
  <c r="BX132" i="1" s="1"/>
  <c r="BU132" i="1"/>
  <c r="BV132" i="1" s="1"/>
  <c r="AO132" i="1"/>
  <c r="AM132" i="1"/>
  <c r="AK132" i="1"/>
  <c r="AI132" i="1"/>
  <c r="AG132" i="1"/>
  <c r="AE132" i="1"/>
  <c r="AC132" i="1"/>
  <c r="AA132" i="1"/>
  <c r="Y132" i="1"/>
  <c r="W132" i="1"/>
  <c r="U132" i="1"/>
  <c r="S132" i="1"/>
  <c r="Q132" i="1"/>
  <c r="O132" i="1"/>
  <c r="M132" i="1"/>
  <c r="K132" i="1"/>
  <c r="BM130" i="1"/>
  <c r="BM129" i="1"/>
  <c r="BM128" i="1"/>
  <c r="BM127" i="1"/>
  <c r="BE130" i="1"/>
  <c r="BE129" i="1"/>
  <c r="BE128" i="1"/>
  <c r="BE127" i="1"/>
  <c r="BC130" i="1"/>
  <c r="BC129" i="1"/>
  <c r="BC128" i="1"/>
  <c r="BC127" i="1"/>
  <c r="B129" i="1"/>
  <c r="B130" i="1" s="1"/>
  <c r="B128" i="1"/>
  <c r="B127" i="1"/>
  <c r="BM125" i="1"/>
  <c r="BE125" i="1"/>
  <c r="BC125" i="1"/>
  <c r="H125" i="1"/>
  <c r="F125" i="1"/>
  <c r="D125" i="1"/>
  <c r="B125" i="1"/>
  <c r="BM123" i="1"/>
  <c r="BM122" i="1"/>
  <c r="BM121" i="1"/>
  <c r="BM120" i="1"/>
  <c r="BM119" i="1"/>
  <c r="BM118" i="1"/>
  <c r="BE123" i="1"/>
  <c r="BE122" i="1"/>
  <c r="BE121" i="1"/>
  <c r="BE120" i="1"/>
  <c r="BE119" i="1"/>
  <c r="BE118" i="1"/>
  <c r="BC123" i="1"/>
  <c r="BC122" i="1"/>
  <c r="BC121" i="1"/>
  <c r="BC120" i="1"/>
  <c r="BC119" i="1"/>
  <c r="BC118" i="1"/>
  <c r="B122" i="1"/>
  <c r="B154" i="1" s="1"/>
  <c r="CE121" i="1"/>
  <c r="CH121" i="1" s="1"/>
  <c r="BU121" i="1"/>
  <c r="BU129" i="1" s="1"/>
  <c r="BV129" i="1" s="1"/>
  <c r="CE120" i="1"/>
  <c r="BU120" i="1"/>
  <c r="BU128" i="1" s="1"/>
  <c r="BV128" i="1" s="1"/>
  <c r="CE119" i="1"/>
  <c r="BU119" i="1"/>
  <c r="BU127" i="1" s="1"/>
  <c r="BV127" i="1" s="1"/>
  <c r="BU118" i="1"/>
  <c r="BV118" i="1" s="1"/>
  <c r="AN121" i="1"/>
  <c r="AW121" i="1" s="1"/>
  <c r="AL121" i="1"/>
  <c r="AJ121" i="1"/>
  <c r="AH121" i="1"/>
  <c r="AF121" i="1"/>
  <c r="AD121" i="1"/>
  <c r="AB121" i="1"/>
  <c r="Z121" i="1"/>
  <c r="X121" i="1"/>
  <c r="V121" i="1"/>
  <c r="T121" i="1"/>
  <c r="R121" i="1"/>
  <c r="P121" i="1"/>
  <c r="Q121" i="1" s="1"/>
  <c r="N121" i="1"/>
  <c r="L121" i="1"/>
  <c r="M121" i="1" s="1"/>
  <c r="J121" i="1"/>
  <c r="AN120" i="1"/>
  <c r="AL120" i="1"/>
  <c r="AJ120" i="1"/>
  <c r="AH120" i="1"/>
  <c r="AF120" i="1"/>
  <c r="AD120" i="1"/>
  <c r="AB120" i="1"/>
  <c r="Z120" i="1"/>
  <c r="X120" i="1"/>
  <c r="V120" i="1"/>
  <c r="T120" i="1"/>
  <c r="R120" i="1"/>
  <c r="P120" i="1"/>
  <c r="Q120" i="1" s="1"/>
  <c r="N120" i="1"/>
  <c r="L120" i="1"/>
  <c r="M120" i="1" s="1"/>
  <c r="J120" i="1"/>
  <c r="AN119" i="1"/>
  <c r="AL119" i="1"/>
  <c r="AL125" i="1" s="1"/>
  <c r="AJ119" i="1"/>
  <c r="AH119" i="1"/>
  <c r="AH125" i="1" s="1"/>
  <c r="AF119" i="1"/>
  <c r="AD119" i="1"/>
  <c r="AD125" i="1" s="1"/>
  <c r="AB119" i="1"/>
  <c r="Z119" i="1"/>
  <c r="Z125" i="1" s="1"/>
  <c r="X119" i="1"/>
  <c r="V119" i="1"/>
  <c r="V125" i="1" s="1"/>
  <c r="T119" i="1"/>
  <c r="R119" i="1"/>
  <c r="R125" i="1" s="1"/>
  <c r="P119" i="1"/>
  <c r="Q119" i="1" s="1"/>
  <c r="N119" i="1"/>
  <c r="N125" i="1" s="1"/>
  <c r="O125" i="1" s="1"/>
  <c r="L119" i="1"/>
  <c r="M119" i="1" s="1"/>
  <c r="J119" i="1"/>
  <c r="J125" i="1" s="1"/>
  <c r="K125" i="1" s="1"/>
  <c r="J118" i="1"/>
  <c r="K118" i="1" s="1"/>
  <c r="D118" i="1"/>
  <c r="D128" i="1" s="1"/>
  <c r="K114" i="1"/>
  <c r="J114" i="1"/>
  <c r="J115" i="1" s="1"/>
  <c r="K115" i="1" s="1"/>
  <c r="AI113" i="1"/>
  <c r="AI112" i="1"/>
  <c r="AI111" i="1"/>
  <c r="AG113" i="1"/>
  <c r="AG112" i="1"/>
  <c r="AG111" i="1"/>
  <c r="AE113" i="1"/>
  <c r="AE112" i="1"/>
  <c r="AE111" i="1"/>
  <c r="AC113" i="1"/>
  <c r="AC112" i="1"/>
  <c r="AC111" i="1"/>
  <c r="AA113" i="1"/>
  <c r="AA112" i="1"/>
  <c r="AA111" i="1"/>
  <c r="Y113" i="1"/>
  <c r="Y112" i="1"/>
  <c r="Y111" i="1"/>
  <c r="W113" i="1"/>
  <c r="W112" i="1"/>
  <c r="W111" i="1"/>
  <c r="U113" i="1"/>
  <c r="U112" i="1"/>
  <c r="U111" i="1"/>
  <c r="S113" i="1"/>
  <c r="S112" i="1"/>
  <c r="S111" i="1"/>
  <c r="Q113" i="1"/>
  <c r="Q112" i="1"/>
  <c r="Q111" i="1"/>
  <c r="O113" i="1"/>
  <c r="O112" i="1"/>
  <c r="O111" i="1"/>
  <c r="M113" i="1"/>
  <c r="M112" i="1"/>
  <c r="M111" i="1"/>
  <c r="K113" i="1"/>
  <c r="K112" i="1"/>
  <c r="K111" i="1"/>
  <c r="K110" i="1"/>
  <c r="CA113" i="1"/>
  <c r="BZ113" i="1"/>
  <c r="BY113" i="1"/>
  <c r="CB113" i="1" s="1"/>
  <c r="CA112" i="1"/>
  <c r="BZ112" i="1"/>
  <c r="BY112" i="1"/>
  <c r="CB112" i="1" s="1"/>
  <c r="CA111" i="1"/>
  <c r="CB111" i="1" s="1"/>
  <c r="BZ111" i="1"/>
  <c r="BY111" i="1"/>
  <c r="L110" i="1"/>
  <c r="M110" i="1" s="1"/>
  <c r="J106" i="1"/>
  <c r="K106" i="1" s="1"/>
  <c r="AI105" i="1"/>
  <c r="AI104" i="1"/>
  <c r="AI103" i="1"/>
  <c r="AG105" i="1"/>
  <c r="AG104" i="1"/>
  <c r="AG103" i="1"/>
  <c r="AE105" i="1"/>
  <c r="AE104" i="1"/>
  <c r="AE103" i="1"/>
  <c r="AC105" i="1"/>
  <c r="AC104" i="1"/>
  <c r="AC103" i="1"/>
  <c r="AA105" i="1"/>
  <c r="AA104" i="1"/>
  <c r="AA103" i="1"/>
  <c r="Y105" i="1"/>
  <c r="Y104" i="1"/>
  <c r="Y103" i="1"/>
  <c r="W105" i="1"/>
  <c r="W104" i="1"/>
  <c r="W103" i="1"/>
  <c r="U105" i="1"/>
  <c r="U104" i="1"/>
  <c r="U103" i="1"/>
  <c r="S105" i="1"/>
  <c r="S104" i="1"/>
  <c r="S103" i="1"/>
  <c r="Q105" i="1"/>
  <c r="Q104" i="1"/>
  <c r="Q103" i="1"/>
  <c r="O105" i="1"/>
  <c r="O104" i="1"/>
  <c r="O103" i="1"/>
  <c r="M105" i="1"/>
  <c r="M104" i="1"/>
  <c r="M103" i="1"/>
  <c r="K105" i="1"/>
  <c r="K104" i="1"/>
  <c r="K103" i="1"/>
  <c r="K102" i="1"/>
  <c r="CA105" i="1"/>
  <c r="CA121" i="1" s="1"/>
  <c r="BY105" i="1"/>
  <c r="BZ105" i="1" s="1"/>
  <c r="CA104" i="1"/>
  <c r="CA120" i="1" s="1"/>
  <c r="BY104" i="1"/>
  <c r="BZ104" i="1" s="1"/>
  <c r="CA103" i="1"/>
  <c r="CA119" i="1" s="1"/>
  <c r="BY103" i="1"/>
  <c r="BZ103" i="1" s="1"/>
  <c r="CG96" i="1"/>
  <c r="CI95" i="1" s="1"/>
  <c r="CC97" i="1"/>
  <c r="CD97" i="1" s="1"/>
  <c r="CA97" i="1"/>
  <c r="CB97" i="1" s="1"/>
  <c r="BY97" i="1"/>
  <c r="BZ97" i="1" s="1"/>
  <c r="BF95" i="1"/>
  <c r="BF96" i="1" s="1"/>
  <c r="BF97" i="1" s="1"/>
  <c r="AU97" i="1"/>
  <c r="AU96" i="1"/>
  <c r="AU94" i="1"/>
  <c r="AS97" i="1"/>
  <c r="AS96" i="1"/>
  <c r="AS94" i="1"/>
  <c r="AQ97" i="1"/>
  <c r="AQ96" i="1"/>
  <c r="AQ94" i="1"/>
  <c r="AO97" i="1"/>
  <c r="AO96" i="1"/>
  <c r="AO94" i="1"/>
  <c r="AM97" i="1"/>
  <c r="AM96" i="1"/>
  <c r="AM94" i="1"/>
  <c r="AK97" i="1"/>
  <c r="AK96" i="1"/>
  <c r="AK94" i="1"/>
  <c r="AI97" i="1"/>
  <c r="AI96" i="1"/>
  <c r="AI94" i="1"/>
  <c r="AG97" i="1"/>
  <c r="AG96" i="1"/>
  <c r="AG94" i="1"/>
  <c r="AE97" i="1"/>
  <c r="AE96" i="1"/>
  <c r="AE94" i="1"/>
  <c r="AC97" i="1"/>
  <c r="AC96" i="1"/>
  <c r="AC94" i="1"/>
  <c r="AA97" i="1"/>
  <c r="AA96" i="1"/>
  <c r="AA94" i="1"/>
  <c r="Y97" i="1"/>
  <c r="Y96" i="1"/>
  <c r="Y95" i="1"/>
  <c r="Y94" i="1"/>
  <c r="W97" i="1"/>
  <c r="W96" i="1"/>
  <c r="W95" i="1"/>
  <c r="W94" i="1"/>
  <c r="CH96" i="1"/>
  <c r="CE96" i="1"/>
  <c r="CC96" i="1"/>
  <c r="CA96" i="1"/>
  <c r="CB96" i="1" s="1"/>
  <c r="BY96" i="1"/>
  <c r="BZ96" i="1" s="1"/>
  <c r="BD95" i="1"/>
  <c r="BB95" i="1"/>
  <c r="AZ95" i="1"/>
  <c r="AX95" i="1"/>
  <c r="AV95" i="1"/>
  <c r="AT95" i="1"/>
  <c r="AR95" i="1"/>
  <c r="AP95" i="1"/>
  <c r="AN95" i="1"/>
  <c r="AL95" i="1"/>
  <c r="AJ95" i="1"/>
  <c r="AH95" i="1"/>
  <c r="AF95" i="1"/>
  <c r="AG95" i="1" s="1"/>
  <c r="AD95" i="1"/>
  <c r="AE95" i="1" s="1"/>
  <c r="AB95" i="1"/>
  <c r="AC95" i="1" s="1"/>
  <c r="Z95" i="1"/>
  <c r="AA95" i="1" s="1"/>
  <c r="CC95" i="1"/>
  <c r="CD95" i="1" s="1"/>
  <c r="CB95" i="1"/>
  <c r="CA95" i="1"/>
  <c r="BY95" i="1"/>
  <c r="BZ95" i="1" s="1"/>
  <c r="CC94" i="1"/>
  <c r="CD94" i="1" s="1"/>
  <c r="CA94" i="1"/>
  <c r="CB94" i="1" s="1"/>
  <c r="BY94" i="1"/>
  <c r="BZ94" i="1" s="1"/>
  <c r="CQ89" i="1"/>
  <c r="CO89" i="1"/>
  <c r="CM89" i="1"/>
  <c r="CK89" i="1"/>
  <c r="CI88" i="1"/>
  <c r="CI87" i="1"/>
  <c r="CI701" i="1" s="1"/>
  <c r="CI86" i="1"/>
  <c r="CI700" i="1" s="1"/>
  <c r="CG87" i="1"/>
  <c r="CG701" i="1" s="1"/>
  <c r="CE88" i="1"/>
  <c r="CE87" i="1"/>
  <c r="CE701" i="1" s="1"/>
  <c r="CE86" i="1"/>
  <c r="CE700" i="1" s="1"/>
  <c r="CC88" i="1"/>
  <c r="CC87" i="1"/>
  <c r="CD87" i="1" s="1"/>
  <c r="CC86" i="1"/>
  <c r="CC700" i="1" s="1"/>
  <c r="CA88" i="1"/>
  <c r="CA87" i="1"/>
  <c r="CA701" i="1" s="1"/>
  <c r="CA86" i="1"/>
  <c r="CA700" i="1" s="1"/>
  <c r="CA702" i="1" s="1"/>
  <c r="BY87" i="1"/>
  <c r="BY701" i="1" s="1"/>
  <c r="BW88" i="1"/>
  <c r="BW87" i="1"/>
  <c r="BW701" i="1" s="1"/>
  <c r="BW86" i="1"/>
  <c r="BW700" i="1" s="1"/>
  <c r="BW702" i="1" s="1"/>
  <c r="BL89" i="1"/>
  <c r="BJ89" i="1"/>
  <c r="BH89" i="1"/>
  <c r="BF89" i="1"/>
  <c r="BD89" i="1"/>
  <c r="BB88" i="1"/>
  <c r="CG88" i="1" s="1"/>
  <c r="CS88" i="1" s="1"/>
  <c r="AZ89" i="1"/>
  <c r="AX89" i="1"/>
  <c r="AV89" i="1"/>
  <c r="AT89" i="1"/>
  <c r="AR89" i="1"/>
  <c r="AP89" i="1"/>
  <c r="AN89" i="1"/>
  <c r="AL89" i="1"/>
  <c r="AJ89" i="1"/>
  <c r="AH89" i="1"/>
  <c r="AF89" i="1"/>
  <c r="AD89" i="1"/>
  <c r="AB89" i="1"/>
  <c r="Z89" i="1"/>
  <c r="X89" i="1"/>
  <c r="R89" i="1"/>
  <c r="R88" i="1"/>
  <c r="P89" i="1"/>
  <c r="N89" i="1"/>
  <c r="L89" i="1"/>
  <c r="J89" i="1"/>
  <c r="H89" i="1"/>
  <c r="F89" i="1"/>
  <c r="D89" i="1"/>
  <c r="B89" i="1"/>
  <c r="CR89" i="1"/>
  <c r="CP89" i="1"/>
  <c r="CN89" i="1"/>
  <c r="BM89" i="1"/>
  <c r="BG89" i="1"/>
  <c r="BE89" i="1"/>
  <c r="BA89" i="1"/>
  <c r="AY89" i="1"/>
  <c r="AW89" i="1"/>
  <c r="AU89" i="1"/>
  <c r="AS89" i="1"/>
  <c r="AQ89" i="1"/>
  <c r="AO89" i="1"/>
  <c r="AM89" i="1"/>
  <c r="AK89" i="1"/>
  <c r="AI89" i="1"/>
  <c r="AG89" i="1"/>
  <c r="AA89" i="1"/>
  <c r="Y89" i="1"/>
  <c r="Q89" i="1"/>
  <c r="O89" i="1"/>
  <c r="M89" i="1"/>
  <c r="K89" i="1"/>
  <c r="BS89" i="1"/>
  <c r="BS676" i="1" s="1"/>
  <c r="BQ89" i="1"/>
  <c r="BQ676" i="1" s="1"/>
  <c r="S89" i="1"/>
  <c r="T88" i="1"/>
  <c r="CR87" i="1"/>
  <c r="CR86" i="1"/>
  <c r="CP87" i="1"/>
  <c r="CP86" i="1"/>
  <c r="CN87" i="1"/>
  <c r="CN86" i="1"/>
  <c r="CL87" i="1"/>
  <c r="CL86" i="1"/>
  <c r="CJ87" i="1"/>
  <c r="CH87" i="1"/>
  <c r="CF87" i="1"/>
  <c r="CF86" i="1"/>
  <c r="CD86" i="1"/>
  <c r="CB87" i="1"/>
  <c r="BZ87" i="1"/>
  <c r="BM87" i="1"/>
  <c r="BM86" i="1"/>
  <c r="BK87" i="1"/>
  <c r="BK86" i="1"/>
  <c r="BI87" i="1"/>
  <c r="BI86" i="1"/>
  <c r="BG87" i="1"/>
  <c r="BG86" i="1"/>
  <c r="BE87" i="1"/>
  <c r="BE86" i="1"/>
  <c r="BC87" i="1"/>
  <c r="BC86" i="1"/>
  <c r="BA87" i="1"/>
  <c r="BA86" i="1"/>
  <c r="AY87" i="1"/>
  <c r="AY86" i="1"/>
  <c r="AW87" i="1"/>
  <c r="AW86" i="1"/>
  <c r="AU87" i="1"/>
  <c r="AU86" i="1"/>
  <c r="AS87" i="1"/>
  <c r="AS86" i="1"/>
  <c r="AQ87" i="1"/>
  <c r="AQ86" i="1"/>
  <c r="AO87" i="1"/>
  <c r="AO86" i="1"/>
  <c r="AM87" i="1"/>
  <c r="AM86" i="1"/>
  <c r="AK87" i="1"/>
  <c r="AK86" i="1"/>
  <c r="AI87" i="1"/>
  <c r="AI86" i="1"/>
  <c r="AG87" i="1"/>
  <c r="AG86" i="1"/>
  <c r="AE87" i="1"/>
  <c r="AC87" i="1"/>
  <c r="AA87" i="1"/>
  <c r="AA86" i="1"/>
  <c r="Y87" i="1"/>
  <c r="Y86" i="1"/>
  <c r="W87" i="1"/>
  <c r="U87" i="1"/>
  <c r="S87" i="1"/>
  <c r="S86" i="1"/>
  <c r="Q87" i="1"/>
  <c r="Q86" i="1"/>
  <c r="O87" i="1"/>
  <c r="O86" i="1"/>
  <c r="M87" i="1"/>
  <c r="M86" i="1"/>
  <c r="K87" i="1"/>
  <c r="K86" i="1"/>
  <c r="BU87" i="1"/>
  <c r="BU701" i="1" s="1"/>
  <c r="BU86" i="1"/>
  <c r="BU700" i="1" s="1"/>
  <c r="BU702" i="1" s="1"/>
  <c r="BB86" i="1"/>
  <c r="BB700" i="1" s="1"/>
  <c r="BB702" i="1" s="1"/>
  <c r="T86" i="1"/>
  <c r="AC86" i="1" s="1"/>
  <c r="BJ81" i="1"/>
  <c r="BL81" i="1" s="1"/>
  <c r="CM81" i="1"/>
  <c r="CO81" i="1" s="1"/>
  <c r="BS75" i="1"/>
  <c r="BS76" i="1" s="1"/>
  <c r="BQ75" i="1"/>
  <c r="BQ76" i="1" s="1"/>
  <c r="H75" i="1"/>
  <c r="H630" i="1" s="1"/>
  <c r="F75" i="1"/>
  <c r="F630" i="1" s="1"/>
  <c r="D75" i="1"/>
  <c r="D630" i="1" s="1"/>
  <c r="B75" i="1"/>
  <c r="B630" i="1" s="1"/>
  <c r="BD75" i="1"/>
  <c r="BD630" i="1" s="1"/>
  <c r="BB75" i="1"/>
  <c r="BB630" i="1" s="1"/>
  <c r="AZ75" i="1"/>
  <c r="AZ630" i="1" s="1"/>
  <c r="AX75" i="1"/>
  <c r="AX630" i="1" s="1"/>
  <c r="AV75" i="1"/>
  <c r="AV630" i="1" s="1"/>
  <c r="AT75" i="1"/>
  <c r="AT630" i="1" s="1"/>
  <c r="AR75" i="1"/>
  <c r="AR630" i="1" s="1"/>
  <c r="AP75" i="1"/>
  <c r="AP630" i="1" s="1"/>
  <c r="AN75" i="1"/>
  <c r="AN630" i="1" s="1"/>
  <c r="AL75" i="1"/>
  <c r="AL630" i="1" s="1"/>
  <c r="AJ75" i="1"/>
  <c r="AJ630" i="1" s="1"/>
  <c r="AH75" i="1"/>
  <c r="AH630" i="1" s="1"/>
  <c r="AF75" i="1"/>
  <c r="AF630" i="1" s="1"/>
  <c r="AD75" i="1"/>
  <c r="AD630" i="1" s="1"/>
  <c r="AB75" i="1"/>
  <c r="AB630" i="1" s="1"/>
  <c r="Z75" i="1"/>
  <c r="Z630" i="1" s="1"/>
  <c r="X75" i="1"/>
  <c r="X630" i="1" s="1"/>
  <c r="V75" i="1"/>
  <c r="V630" i="1" s="1"/>
  <c r="T75" i="1"/>
  <c r="T630" i="1" s="1"/>
  <c r="R75" i="1"/>
  <c r="R630" i="1" s="1"/>
  <c r="P75" i="1"/>
  <c r="P630" i="1" s="1"/>
  <c r="Q630" i="1" s="1"/>
  <c r="N75" i="1"/>
  <c r="N630" i="1" s="1"/>
  <c r="O630" i="1" s="1"/>
  <c r="L75" i="1"/>
  <c r="L630" i="1" s="1"/>
  <c r="M630" i="1" s="1"/>
  <c r="J75" i="1"/>
  <c r="J630" i="1" s="1"/>
  <c r="K630" i="1" s="1"/>
  <c r="BC74" i="1"/>
  <c r="BC73" i="1"/>
  <c r="BA74" i="1"/>
  <c r="BA73" i="1"/>
  <c r="AY74" i="1"/>
  <c r="AY73" i="1"/>
  <c r="AW74" i="1"/>
  <c r="AW73" i="1"/>
  <c r="AU74" i="1"/>
  <c r="AS74" i="1"/>
  <c r="AS73" i="1"/>
  <c r="AQ74" i="1"/>
  <c r="AQ73" i="1"/>
  <c r="AO74" i="1"/>
  <c r="AO73" i="1"/>
  <c r="AM74" i="1"/>
  <c r="AK74" i="1"/>
  <c r="AK73" i="1"/>
  <c r="AI74" i="1"/>
  <c r="AI73" i="1"/>
  <c r="AG74" i="1"/>
  <c r="AG73" i="1"/>
  <c r="AE74" i="1"/>
  <c r="AE73" i="1"/>
  <c r="AC74" i="1"/>
  <c r="AC73" i="1"/>
  <c r="AA74" i="1"/>
  <c r="AA73" i="1"/>
  <c r="Y74" i="1"/>
  <c r="Y73" i="1"/>
  <c r="W74" i="1"/>
  <c r="W73" i="1"/>
  <c r="U74" i="1"/>
  <c r="U73" i="1"/>
  <c r="S74" i="1"/>
  <c r="S73" i="1"/>
  <c r="Q74" i="1"/>
  <c r="Q73" i="1"/>
  <c r="O74" i="1"/>
  <c r="O73" i="1"/>
  <c r="M74" i="1"/>
  <c r="M73" i="1"/>
  <c r="K74" i="1"/>
  <c r="K73" i="1"/>
  <c r="BD73" i="1"/>
  <c r="BD628" i="1" s="1"/>
  <c r="BE628" i="1" s="1"/>
  <c r="BD72" i="1"/>
  <c r="BD76" i="1" s="1"/>
  <c r="AL73" i="1"/>
  <c r="AL628" i="1" s="1"/>
  <c r="AL72" i="1"/>
  <c r="BU75" i="1"/>
  <c r="BU630" i="1" s="1"/>
  <c r="BV630" i="1" s="1"/>
  <c r="CG74" i="1"/>
  <c r="CE74" i="1"/>
  <c r="CE629" i="1" s="1"/>
  <c r="CC74" i="1"/>
  <c r="CC629" i="1" s="1"/>
  <c r="CA74" i="1"/>
  <c r="CA629" i="1" s="1"/>
  <c r="BY74" i="1"/>
  <c r="BY629" i="1" s="1"/>
  <c r="BW74" i="1"/>
  <c r="BW629" i="1" s="1"/>
  <c r="BU74" i="1"/>
  <c r="BU629" i="1" s="1"/>
  <c r="BV629" i="1" s="1"/>
  <c r="CE73" i="1"/>
  <c r="CE628" i="1" s="1"/>
  <c r="CA73" i="1"/>
  <c r="CB73" i="1" s="1"/>
  <c r="BY73" i="1"/>
  <c r="BY628" i="1" s="1"/>
  <c r="BW73" i="1"/>
  <c r="BX73" i="1" s="1"/>
  <c r="BU73" i="1"/>
  <c r="BU628" i="1" s="1"/>
  <c r="BV628" i="1" s="1"/>
  <c r="BE74" i="1"/>
  <c r="BE73" i="1"/>
  <c r="BB72" i="1"/>
  <c r="AZ72" i="1"/>
  <c r="AZ76" i="1" s="1"/>
  <c r="AX72" i="1"/>
  <c r="AX76" i="1" s="1"/>
  <c r="AV72" i="1"/>
  <c r="BE72" i="1" s="1"/>
  <c r="AT72" i="1"/>
  <c r="AU72" i="1" s="1"/>
  <c r="AR72" i="1"/>
  <c r="AR76" i="1" s="1"/>
  <c r="AP72" i="1"/>
  <c r="AP76" i="1" s="1"/>
  <c r="AN72" i="1"/>
  <c r="AN76" i="1" s="1"/>
  <c r="AJ72" i="1"/>
  <c r="AJ76" i="1" s="1"/>
  <c r="AH72" i="1"/>
  <c r="AH76" i="1" s="1"/>
  <c r="AF72" i="1"/>
  <c r="AO72" i="1" s="1"/>
  <c r="AD72" i="1"/>
  <c r="AB72" i="1"/>
  <c r="AB76" i="1" s="1"/>
  <c r="Z72" i="1"/>
  <c r="Z76" i="1" s="1"/>
  <c r="X72" i="1"/>
  <c r="V72" i="1"/>
  <c r="T72" i="1"/>
  <c r="T76" i="1" s="1"/>
  <c r="R72" i="1"/>
  <c r="R76" i="1" s="1"/>
  <c r="P72" i="1"/>
  <c r="N72" i="1"/>
  <c r="L72" i="1"/>
  <c r="L76" i="1" s="1"/>
  <c r="J72" i="1"/>
  <c r="J76" i="1" s="1"/>
  <c r="H72" i="1"/>
  <c r="H76" i="1" s="1"/>
  <c r="F72" i="1"/>
  <c r="F627" i="1" s="1"/>
  <c r="D72" i="1"/>
  <c r="D627" i="1" s="1"/>
  <c r="B72" i="1"/>
  <c r="B627" i="1" s="1"/>
  <c r="BC59" i="1"/>
  <c r="BC57" i="1"/>
  <c r="BC55" i="1"/>
  <c r="BC54" i="1"/>
  <c r="BA59" i="1"/>
  <c r="BA57" i="1"/>
  <c r="BA55" i="1"/>
  <c r="BA54" i="1"/>
  <c r="AY59" i="1"/>
  <c r="AY57" i="1"/>
  <c r="AY55" i="1"/>
  <c r="AY54" i="1"/>
  <c r="AW59" i="1"/>
  <c r="AW57" i="1"/>
  <c r="AW55" i="1"/>
  <c r="AW54" i="1"/>
  <c r="AU59" i="1"/>
  <c r="AU57" i="1"/>
  <c r="AU55" i="1"/>
  <c r="AU54" i="1"/>
  <c r="AS59" i="1"/>
  <c r="AS57" i="1"/>
  <c r="AS55" i="1"/>
  <c r="AS54" i="1"/>
  <c r="AQ59" i="1"/>
  <c r="AQ57" i="1"/>
  <c r="AQ55" i="1"/>
  <c r="AQ54" i="1"/>
  <c r="AO59" i="1"/>
  <c r="AO57" i="1"/>
  <c r="AO55" i="1"/>
  <c r="AO54" i="1"/>
  <c r="AM59" i="1"/>
  <c r="AM57" i="1"/>
  <c r="AM55" i="1"/>
  <c r="AM54" i="1"/>
  <c r="AK59" i="1"/>
  <c r="AK57" i="1"/>
  <c r="AK55" i="1"/>
  <c r="AK54" i="1"/>
  <c r="AI59" i="1"/>
  <c r="AI57" i="1"/>
  <c r="AI55" i="1"/>
  <c r="AI54" i="1"/>
  <c r="AG59" i="1"/>
  <c r="AG57" i="1"/>
  <c r="AG55" i="1"/>
  <c r="AG54" i="1"/>
  <c r="AE59" i="1"/>
  <c r="AE57" i="1"/>
  <c r="AE55" i="1"/>
  <c r="AE54" i="1"/>
  <c r="AC59" i="1"/>
  <c r="AC57" i="1"/>
  <c r="AC55" i="1"/>
  <c r="AA59" i="1"/>
  <c r="AA57" i="1"/>
  <c r="AA55" i="1"/>
  <c r="AA54" i="1"/>
  <c r="Y59" i="1"/>
  <c r="Y57" i="1"/>
  <c r="Y55" i="1"/>
  <c r="Y54" i="1"/>
  <c r="W59" i="1"/>
  <c r="W57" i="1"/>
  <c r="W55" i="1"/>
  <c r="W54" i="1"/>
  <c r="U59" i="1"/>
  <c r="U57" i="1"/>
  <c r="U55" i="1"/>
  <c r="S59" i="1"/>
  <c r="S57" i="1"/>
  <c r="S55" i="1"/>
  <c r="S54" i="1"/>
  <c r="Q59" i="1"/>
  <c r="Q57" i="1"/>
  <c r="Q55" i="1"/>
  <c r="Q54" i="1"/>
  <c r="O59" i="1"/>
  <c r="O57" i="1"/>
  <c r="O55" i="1"/>
  <c r="O54" i="1"/>
  <c r="M59" i="1"/>
  <c r="M57" i="1"/>
  <c r="M55" i="1"/>
  <c r="M54" i="1"/>
  <c r="K59" i="1"/>
  <c r="K57" i="1"/>
  <c r="K55" i="1"/>
  <c r="K54" i="1"/>
  <c r="BS58" i="1"/>
  <c r="BS83" i="1" s="1"/>
  <c r="BQ58" i="1"/>
  <c r="BQ83" i="1" s="1"/>
  <c r="CG59" i="1"/>
  <c r="CG623" i="1" s="1"/>
  <c r="CG627" i="1" s="1"/>
  <c r="CE59" i="1"/>
  <c r="CE623" i="1" s="1"/>
  <c r="CE627" i="1" s="1"/>
  <c r="CC59" i="1"/>
  <c r="CC72" i="1" s="1"/>
  <c r="CA59" i="1"/>
  <c r="CA72" i="1" s="1"/>
  <c r="BY59" i="1"/>
  <c r="BY72" i="1" s="1"/>
  <c r="BW59" i="1"/>
  <c r="BW72" i="1" s="1"/>
  <c r="BU59" i="1"/>
  <c r="BU623" i="1" s="1"/>
  <c r="BU627" i="1" s="1"/>
  <c r="CG57" i="1"/>
  <c r="CG620" i="1" s="1"/>
  <c r="CE57" i="1"/>
  <c r="CE620" i="1" s="1"/>
  <c r="CF620" i="1" s="1"/>
  <c r="CC57" i="1"/>
  <c r="CC620" i="1" s="1"/>
  <c r="CA57" i="1"/>
  <c r="CA620" i="1" s="1"/>
  <c r="CB620" i="1" s="1"/>
  <c r="BY57" i="1"/>
  <c r="BY620" i="1" s="1"/>
  <c r="BW57" i="1"/>
  <c r="BX57" i="1" s="1"/>
  <c r="BU57" i="1"/>
  <c r="BV57" i="1" s="1"/>
  <c r="BE59" i="1"/>
  <c r="BE57" i="1"/>
  <c r="BD55" i="1"/>
  <c r="BD56" i="1" s="1"/>
  <c r="BD54" i="1"/>
  <c r="BB56" i="1"/>
  <c r="BB619" i="1" s="1"/>
  <c r="AZ56" i="1"/>
  <c r="AZ619" i="1" s="1"/>
  <c r="AX56" i="1"/>
  <c r="AX619" i="1" s="1"/>
  <c r="AV56" i="1"/>
  <c r="AV619" i="1" s="1"/>
  <c r="AT56" i="1"/>
  <c r="AT619" i="1" s="1"/>
  <c r="AR56" i="1"/>
  <c r="AR619" i="1" s="1"/>
  <c r="AP56" i="1"/>
  <c r="AP619" i="1" s="1"/>
  <c r="AN56" i="1"/>
  <c r="AN619" i="1" s="1"/>
  <c r="AL56" i="1"/>
  <c r="AL619" i="1" s="1"/>
  <c r="AJ56" i="1"/>
  <c r="AJ619" i="1" s="1"/>
  <c r="AH56" i="1"/>
  <c r="AH619" i="1" s="1"/>
  <c r="AF56" i="1"/>
  <c r="AF619" i="1" s="1"/>
  <c r="AD56" i="1"/>
  <c r="AD619" i="1" s="1"/>
  <c r="AB56" i="1"/>
  <c r="AB619" i="1" s="1"/>
  <c r="Z56" i="1"/>
  <c r="Z619" i="1" s="1"/>
  <c r="X56" i="1"/>
  <c r="X619" i="1" s="1"/>
  <c r="V56" i="1"/>
  <c r="V619" i="1" s="1"/>
  <c r="R56" i="1"/>
  <c r="R619" i="1" s="1"/>
  <c r="P56" i="1"/>
  <c r="N56" i="1"/>
  <c r="L56" i="1"/>
  <c r="J56" i="1"/>
  <c r="H56" i="1"/>
  <c r="F56" i="1"/>
  <c r="D56" i="1"/>
  <c r="B56" i="1"/>
  <c r="CR55" i="1"/>
  <c r="CR54" i="1"/>
  <c r="CR52" i="1"/>
  <c r="CR51" i="1"/>
  <c r="CR50" i="1"/>
  <c r="CP55" i="1"/>
  <c r="CP54" i="1"/>
  <c r="CP52" i="1"/>
  <c r="CP51" i="1"/>
  <c r="CP50" i="1"/>
  <c r="CN55" i="1"/>
  <c r="CN54" i="1"/>
  <c r="CN52" i="1"/>
  <c r="CN51" i="1"/>
  <c r="CN50" i="1"/>
  <c r="CL55" i="1"/>
  <c r="CL54" i="1"/>
  <c r="CL52" i="1"/>
  <c r="CL51" i="1"/>
  <c r="CL50" i="1"/>
  <c r="CJ55" i="1"/>
  <c r="CJ54" i="1"/>
  <c r="CJ52" i="1"/>
  <c r="CJ51" i="1"/>
  <c r="CJ50" i="1"/>
  <c r="CH55" i="1"/>
  <c r="CH54" i="1"/>
  <c r="CH52" i="1"/>
  <c r="CH51" i="1"/>
  <c r="CH50" i="1"/>
  <c r="CF55" i="1"/>
  <c r="CF54" i="1"/>
  <c r="CF52" i="1"/>
  <c r="CF51" i="1"/>
  <c r="CF50" i="1"/>
  <c r="CD55" i="1"/>
  <c r="CD54" i="1"/>
  <c r="CD52" i="1"/>
  <c r="CD51" i="1"/>
  <c r="CD50" i="1"/>
  <c r="BM55" i="1"/>
  <c r="BM54" i="1"/>
  <c r="BK55" i="1"/>
  <c r="BK54" i="1"/>
  <c r="BI55" i="1"/>
  <c r="BI54" i="1"/>
  <c r="BG55" i="1"/>
  <c r="BG54" i="1"/>
  <c r="BE55" i="1"/>
  <c r="BE54" i="1"/>
  <c r="BY55" i="1"/>
  <c r="BZ55" i="1" s="1"/>
  <c r="BW55" i="1"/>
  <c r="BU55" i="1"/>
  <c r="BV55" i="1" s="1"/>
  <c r="BY54" i="1"/>
  <c r="BW54" i="1"/>
  <c r="BX54" i="1" s="1"/>
  <c r="BU54" i="1"/>
  <c r="BV54" i="1" s="1"/>
  <c r="T54" i="1"/>
  <c r="AC54" i="1" s="1"/>
  <c r="BU53" i="1"/>
  <c r="BU618" i="1" s="1"/>
  <c r="R53" i="1"/>
  <c r="S53" i="1" s="1"/>
  <c r="N53" i="1"/>
  <c r="J53" i="1"/>
  <c r="K53" i="1" s="1"/>
  <c r="BY52" i="1"/>
  <c r="CB52" i="1" s="1"/>
  <c r="BW52" i="1"/>
  <c r="BX52" i="1" s="1"/>
  <c r="BV52" i="1"/>
  <c r="BD51" i="1"/>
  <c r="BD53" i="1" s="1"/>
  <c r="BB51" i="1"/>
  <c r="BB53" i="1" s="1"/>
  <c r="AZ51" i="1"/>
  <c r="AZ53" i="1" s="1"/>
  <c r="AX51" i="1"/>
  <c r="AX53" i="1" s="1"/>
  <c r="AV51" i="1"/>
  <c r="AV53" i="1" s="1"/>
  <c r="AT51" i="1"/>
  <c r="AT53" i="1" s="1"/>
  <c r="AR51" i="1"/>
  <c r="AR53" i="1" s="1"/>
  <c r="AP51" i="1"/>
  <c r="AP53" i="1" s="1"/>
  <c r="AN51" i="1"/>
  <c r="AN53" i="1" s="1"/>
  <c r="AL51" i="1"/>
  <c r="AL53" i="1" s="1"/>
  <c r="AJ51" i="1"/>
  <c r="AJ53" i="1" s="1"/>
  <c r="AH51" i="1"/>
  <c r="AH53" i="1" s="1"/>
  <c r="AF51" i="1"/>
  <c r="AF53" i="1" s="1"/>
  <c r="AD51" i="1"/>
  <c r="AD53" i="1" s="1"/>
  <c r="AB51" i="1"/>
  <c r="AB53" i="1" s="1"/>
  <c r="Z51" i="1"/>
  <c r="Z53" i="1" s="1"/>
  <c r="X51" i="1"/>
  <c r="X53" i="1" s="1"/>
  <c r="V51" i="1"/>
  <c r="V53" i="1" s="1"/>
  <c r="T51" i="1"/>
  <c r="BY51" i="1" s="1"/>
  <c r="R51" i="1"/>
  <c r="P51" i="1"/>
  <c r="P53" i="1" s="1"/>
  <c r="N51" i="1"/>
  <c r="L51" i="1"/>
  <c r="L53" i="1" s="1"/>
  <c r="J51" i="1"/>
  <c r="BZ50" i="1"/>
  <c r="BY50" i="1"/>
  <c r="BY948" i="1" s="1"/>
  <c r="BX50" i="1"/>
  <c r="BW50" i="1"/>
  <c r="CO45" i="1"/>
  <c r="CQ45" i="1" s="1"/>
  <c r="CM45" i="1"/>
  <c r="B47" i="1"/>
  <c r="B46" i="1"/>
  <c r="B45" i="1"/>
  <c r="B44" i="1"/>
  <c r="B43" i="1"/>
  <c r="CN45" i="1"/>
  <c r="BQ46" i="1"/>
  <c r="BQ45" i="1"/>
  <c r="CE40" i="1"/>
  <c r="CC40" i="1"/>
  <c r="CA40" i="1"/>
  <c r="BY40" i="1"/>
  <c r="BW40" i="1"/>
  <c r="BU40" i="1"/>
  <c r="BS38" i="1"/>
  <c r="BQ38" i="1"/>
  <c r="BQ35" i="1"/>
  <c r="BQ36" i="1" s="1"/>
  <c r="BQ68" i="1" s="1"/>
  <c r="CR34" i="1"/>
  <c r="CP34" i="1"/>
  <c r="CN34" i="1"/>
  <c r="CI34" i="1"/>
  <c r="CL34" i="1" s="1"/>
  <c r="CG34" i="1"/>
  <c r="CH34" i="1" s="1"/>
  <c r="CE34" i="1"/>
  <c r="CF34" i="1" s="1"/>
  <c r="CC34" i="1"/>
  <c r="CD34" i="1" s="1"/>
  <c r="CB34" i="1"/>
  <c r="CA34" i="1"/>
  <c r="BY34" i="1"/>
  <c r="BW34" i="1"/>
  <c r="BX34" i="1" s="1"/>
  <c r="BU34" i="1"/>
  <c r="BV34" i="1" s="1"/>
  <c r="BM34" i="1"/>
  <c r="BK34" i="1"/>
  <c r="BI34" i="1"/>
  <c r="BG34" i="1"/>
  <c r="BE34" i="1"/>
  <c r="BE33" i="1"/>
  <c r="BE32" i="1"/>
  <c r="BE30" i="1"/>
  <c r="BE29" i="1"/>
  <c r="BC34" i="1"/>
  <c r="BC33" i="1"/>
  <c r="BC32" i="1"/>
  <c r="BC30" i="1"/>
  <c r="BC29" i="1"/>
  <c r="BA34" i="1"/>
  <c r="BA33" i="1"/>
  <c r="BA32" i="1"/>
  <c r="BA30" i="1"/>
  <c r="BA29" i="1"/>
  <c r="AY34" i="1"/>
  <c r="AY33" i="1"/>
  <c r="AY32" i="1"/>
  <c r="AY30" i="1"/>
  <c r="AY29" i="1"/>
  <c r="AW34" i="1"/>
  <c r="AW33" i="1"/>
  <c r="AW32" i="1"/>
  <c r="AW30" i="1"/>
  <c r="AW29" i="1"/>
  <c r="AU34" i="1"/>
  <c r="AU33" i="1"/>
  <c r="AU32" i="1"/>
  <c r="AU30" i="1"/>
  <c r="AU29" i="1"/>
  <c r="AS34" i="1"/>
  <c r="AS33" i="1"/>
  <c r="AS32" i="1"/>
  <c r="AS30" i="1"/>
  <c r="AS29" i="1"/>
  <c r="AQ34" i="1"/>
  <c r="AQ33" i="1"/>
  <c r="AQ32" i="1"/>
  <c r="AQ30" i="1"/>
  <c r="AQ29" i="1"/>
  <c r="AO34" i="1"/>
  <c r="AO33" i="1"/>
  <c r="AO32" i="1"/>
  <c r="AO30" i="1"/>
  <c r="AO29" i="1"/>
  <c r="AM34" i="1"/>
  <c r="AM33" i="1"/>
  <c r="AM32" i="1"/>
  <c r="AM30" i="1"/>
  <c r="AM29" i="1"/>
  <c r="AK34" i="1"/>
  <c r="AK33" i="1"/>
  <c r="AK32" i="1"/>
  <c r="AK30" i="1"/>
  <c r="AK29" i="1"/>
  <c r="AI34" i="1"/>
  <c r="AI33" i="1"/>
  <c r="AI32" i="1"/>
  <c r="AI30" i="1"/>
  <c r="AI29" i="1"/>
  <c r="AG34" i="1"/>
  <c r="AG33" i="1"/>
  <c r="AG32" i="1"/>
  <c r="AG30" i="1"/>
  <c r="AG29" i="1"/>
  <c r="AE34" i="1"/>
  <c r="AE33" i="1"/>
  <c r="AE32" i="1"/>
  <c r="AE30" i="1"/>
  <c r="AE29" i="1"/>
  <c r="AC34" i="1"/>
  <c r="AC33" i="1"/>
  <c r="AC32" i="1"/>
  <c r="AC30" i="1"/>
  <c r="AC29" i="1"/>
  <c r="AA34" i="1"/>
  <c r="AA33" i="1"/>
  <c r="AA32" i="1"/>
  <c r="AA30" i="1"/>
  <c r="AA29" i="1"/>
  <c r="Y34" i="1"/>
  <c r="Y33" i="1"/>
  <c r="Y32" i="1"/>
  <c r="Y30" i="1"/>
  <c r="Y29" i="1"/>
  <c r="W34" i="1"/>
  <c r="W33" i="1"/>
  <c r="W32" i="1"/>
  <c r="W30" i="1"/>
  <c r="W29" i="1"/>
  <c r="U34" i="1"/>
  <c r="U33" i="1"/>
  <c r="U32" i="1"/>
  <c r="U30" i="1"/>
  <c r="U29" i="1"/>
  <c r="S34" i="1"/>
  <c r="S33" i="1"/>
  <c r="S32" i="1"/>
  <c r="S30" i="1"/>
  <c r="S29" i="1"/>
  <c r="Q34" i="1"/>
  <c r="Q33" i="1"/>
  <c r="Q32" i="1"/>
  <c r="Q30" i="1"/>
  <c r="Q29" i="1"/>
  <c r="O34" i="1"/>
  <c r="O33" i="1"/>
  <c r="O32" i="1"/>
  <c r="O30" i="1"/>
  <c r="O29" i="1"/>
  <c r="M34" i="1"/>
  <c r="M33" i="1"/>
  <c r="M32" i="1"/>
  <c r="M30" i="1"/>
  <c r="M29" i="1"/>
  <c r="K34" i="1"/>
  <c r="K33" i="1"/>
  <c r="K32" i="1"/>
  <c r="K30" i="1"/>
  <c r="K29" i="1"/>
  <c r="CG33" i="1"/>
  <c r="CH33" i="1" s="1"/>
  <c r="CE33" i="1"/>
  <c r="CC33" i="1"/>
  <c r="CD33" i="1" s="1"/>
  <c r="CA33" i="1"/>
  <c r="BY33" i="1"/>
  <c r="BZ33" i="1" s="1"/>
  <c r="BW33" i="1"/>
  <c r="BU33" i="1"/>
  <c r="BV33" i="1" s="1"/>
  <c r="CG32" i="1"/>
  <c r="CH32" i="1" s="1"/>
  <c r="CE32" i="1"/>
  <c r="CD32" i="1"/>
  <c r="CC32" i="1"/>
  <c r="CA32" i="1"/>
  <c r="BY32" i="1"/>
  <c r="BZ32" i="1" s="1"/>
  <c r="BW32" i="1"/>
  <c r="BV32" i="1"/>
  <c r="BU32" i="1"/>
  <c r="CG31" i="1"/>
  <c r="CG38" i="1" s="1"/>
  <c r="CG30" i="1"/>
  <c r="CG29" i="1"/>
  <c r="CE30" i="1"/>
  <c r="CE29" i="1"/>
  <c r="CE31" i="1" s="1"/>
  <c r="CE38" i="1" s="1"/>
  <c r="CC30" i="1"/>
  <c r="CC29" i="1"/>
  <c r="CC31" i="1" s="1"/>
  <c r="CC38" i="1" s="1"/>
  <c r="CA30" i="1"/>
  <c r="CA29" i="1"/>
  <c r="CA31" i="1" s="1"/>
  <c r="CA38" i="1" s="1"/>
  <c r="BY31" i="1"/>
  <c r="BY38" i="1" s="1"/>
  <c r="BY30" i="1"/>
  <c r="BY29" i="1"/>
  <c r="BW30" i="1"/>
  <c r="BZ30" i="1" s="1"/>
  <c r="BW29" i="1"/>
  <c r="BW31" i="1" s="1"/>
  <c r="BW38" i="1" s="1"/>
  <c r="BU30" i="1"/>
  <c r="BU29" i="1"/>
  <c r="BU31" i="1" s="1"/>
  <c r="BU38" i="1" s="1"/>
  <c r="BV38" i="1" s="1"/>
  <c r="BD31" i="1"/>
  <c r="BD38" i="1" s="1"/>
  <c r="BB31" i="1"/>
  <c r="BB38" i="1" s="1"/>
  <c r="AZ31" i="1"/>
  <c r="AZ38" i="1" s="1"/>
  <c r="AX31" i="1"/>
  <c r="AV31" i="1"/>
  <c r="AV38" i="1" s="1"/>
  <c r="AT31" i="1"/>
  <c r="AT38" i="1" s="1"/>
  <c r="AR31" i="1"/>
  <c r="AR38" i="1" s="1"/>
  <c r="AP31" i="1"/>
  <c r="AN31" i="1"/>
  <c r="AN38" i="1" s="1"/>
  <c r="AL31" i="1"/>
  <c r="AL38" i="1" s="1"/>
  <c r="AJ31" i="1"/>
  <c r="AJ38" i="1" s="1"/>
  <c r="AH31" i="1"/>
  <c r="AF31" i="1"/>
  <c r="AF38" i="1" s="1"/>
  <c r="AD31" i="1"/>
  <c r="AD38" i="1" s="1"/>
  <c r="AB31" i="1"/>
  <c r="AB38" i="1" s="1"/>
  <c r="Z31" i="1"/>
  <c r="X31" i="1"/>
  <c r="X38" i="1" s="1"/>
  <c r="V31" i="1"/>
  <c r="V38" i="1" s="1"/>
  <c r="T31" i="1"/>
  <c r="T38" i="1" s="1"/>
  <c r="R31" i="1"/>
  <c r="P31" i="1"/>
  <c r="P38" i="1" s="1"/>
  <c r="N31" i="1"/>
  <c r="N38" i="1" s="1"/>
  <c r="L31" i="1"/>
  <c r="L38" i="1" s="1"/>
  <c r="J31" i="1"/>
  <c r="H31" i="1"/>
  <c r="H38" i="1" s="1"/>
  <c r="F31" i="1"/>
  <c r="F38" i="1" s="1"/>
  <c r="D31" i="1"/>
  <c r="D38" i="1" s="1"/>
  <c r="B31" i="1"/>
  <c r="B38" i="1" s="1"/>
  <c r="CF30" i="1"/>
  <c r="CF29" i="1"/>
  <c r="CD30" i="1"/>
  <c r="CD29" i="1"/>
  <c r="CB30" i="1"/>
  <c r="CB29" i="1"/>
  <c r="BZ29" i="1"/>
  <c r="BX30" i="1"/>
  <c r="BX29" i="1"/>
  <c r="BV30" i="1"/>
  <c r="BV29" i="1"/>
  <c r="CH30" i="1"/>
  <c r="CH29" i="1"/>
  <c r="BS28" i="1"/>
  <c r="BS35" i="1" s="1"/>
  <c r="CS24" i="1"/>
  <c r="CS23" i="1"/>
  <c r="CS22" i="1"/>
  <c r="CS21" i="1"/>
  <c r="H15" i="1"/>
  <c r="H13" i="1"/>
  <c r="H12" i="1"/>
  <c r="F15" i="1"/>
  <c r="F13" i="1"/>
  <c r="F12" i="1"/>
  <c r="D15" i="1"/>
  <c r="D13" i="1"/>
  <c r="D12" i="1"/>
  <c r="B15" i="1"/>
  <c r="B13" i="1"/>
  <c r="B12" i="1"/>
  <c r="CQ13" i="1"/>
  <c r="CS13" i="1" s="1"/>
  <c r="CQ7" i="1"/>
  <c r="CO13" i="1"/>
  <c r="CO7" i="1"/>
  <c r="CM13" i="1"/>
  <c r="CM7" i="1"/>
  <c r="CK13" i="1"/>
  <c r="CK7" i="1"/>
  <c r="CI13" i="1"/>
  <c r="CI7" i="1"/>
  <c r="CG13" i="1"/>
  <c r="CG7" i="1"/>
  <c r="BY12" i="1"/>
  <c r="BW15" i="1"/>
  <c r="BU15" i="1"/>
  <c r="BU12" i="1"/>
  <c r="BL13" i="1"/>
  <c r="BL7" i="1"/>
  <c r="BJ13" i="1"/>
  <c r="BJ7" i="1"/>
  <c r="BH13" i="1"/>
  <c r="BH7" i="1"/>
  <c r="BF13" i="1"/>
  <c r="BF7" i="1"/>
  <c r="BD13" i="1"/>
  <c r="BD7" i="1"/>
  <c r="BB13" i="1"/>
  <c r="BB12" i="1"/>
  <c r="BB8" i="1"/>
  <c r="BB7" i="1"/>
  <c r="AZ13" i="1"/>
  <c r="AZ12" i="1"/>
  <c r="AZ7" i="1"/>
  <c r="AX13" i="1"/>
  <c r="AX12" i="1"/>
  <c r="AX8" i="1"/>
  <c r="AX7" i="1"/>
  <c r="AV13" i="1"/>
  <c r="AV12" i="1"/>
  <c r="AV7" i="1"/>
  <c r="AT12" i="1"/>
  <c r="AT8" i="1"/>
  <c r="AT7" i="1"/>
  <c r="AR12" i="1"/>
  <c r="AR7" i="1"/>
  <c r="AP12" i="1"/>
  <c r="AP7" i="1"/>
  <c r="AN12" i="1"/>
  <c r="AL12" i="1"/>
  <c r="AL8" i="1"/>
  <c r="AH12" i="1"/>
  <c r="AH8" i="1"/>
  <c r="AF12" i="1"/>
  <c r="AD12" i="1"/>
  <c r="AD8" i="1"/>
  <c r="AB12" i="1"/>
  <c r="Z12" i="1"/>
  <c r="X12" i="1"/>
  <c r="V12" i="1"/>
  <c r="V8" i="1"/>
  <c r="T12" i="1"/>
  <c r="R15" i="1"/>
  <c r="R12" i="1"/>
  <c r="R8" i="1"/>
  <c r="P15" i="1"/>
  <c r="P12" i="1"/>
  <c r="N15" i="1"/>
  <c r="N12" i="1"/>
  <c r="L15" i="1"/>
  <c r="L12" i="1"/>
  <c r="J15" i="1"/>
  <c r="J12" i="1"/>
  <c r="CR13" i="1"/>
  <c r="CR7" i="1"/>
  <c r="CP13" i="1"/>
  <c r="CP7" i="1"/>
  <c r="CN13" i="1"/>
  <c r="CN7" i="1"/>
  <c r="CL13" i="1"/>
  <c r="CL7" i="1"/>
  <c r="CJ13" i="1"/>
  <c r="CJ7" i="1"/>
  <c r="BX15" i="1"/>
  <c r="BV15" i="1"/>
  <c r="BV12" i="1"/>
  <c r="BM13" i="1"/>
  <c r="BM7" i="1"/>
  <c r="BK13" i="1"/>
  <c r="BK7" i="1"/>
  <c r="BI13" i="1"/>
  <c r="BI7" i="1"/>
  <c r="BG13" i="1"/>
  <c r="BG7" i="1"/>
  <c r="BE13" i="1"/>
  <c r="BE7" i="1"/>
  <c r="BC12" i="1"/>
  <c r="BC8" i="1"/>
  <c r="BC7" i="1"/>
  <c r="BA12" i="1"/>
  <c r="BA7" i="1"/>
  <c r="AY12" i="1"/>
  <c r="AY7" i="1"/>
  <c r="AW12" i="1"/>
  <c r="AU12" i="1"/>
  <c r="AU8" i="1"/>
  <c r="AQ12" i="1"/>
  <c r="AO12" i="1"/>
  <c r="AM12" i="1"/>
  <c r="AM8" i="1"/>
  <c r="AI12" i="1"/>
  <c r="AG12" i="1"/>
  <c r="AE12" i="1"/>
  <c r="AE8" i="1"/>
  <c r="AC12" i="1"/>
  <c r="AA12" i="1"/>
  <c r="Y12" i="1"/>
  <c r="W12" i="1"/>
  <c r="U12" i="1"/>
  <c r="S15" i="1"/>
  <c r="S12" i="1"/>
  <c r="Q15" i="1"/>
  <c r="Q12" i="1"/>
  <c r="O15" i="1"/>
  <c r="O12" i="1"/>
  <c r="M15" i="1"/>
  <c r="M12" i="1"/>
  <c r="K15" i="1"/>
  <c r="K12" i="1"/>
  <c r="CR4" i="1"/>
  <c r="CR3" i="1"/>
  <c r="CP4" i="1"/>
  <c r="CP3" i="1"/>
  <c r="CN4" i="1"/>
  <c r="CN3" i="1"/>
  <c r="CL4" i="1"/>
  <c r="CL3" i="1"/>
  <c r="CJ4" i="1"/>
  <c r="CJ3" i="1"/>
  <c r="CH4" i="1"/>
  <c r="CH3" i="1"/>
  <c r="CF4" i="1"/>
  <c r="CF3" i="1"/>
  <c r="CD4" i="1"/>
  <c r="CD3" i="1"/>
  <c r="CB4" i="1"/>
  <c r="CB3" i="1"/>
  <c r="BZ4" i="1"/>
  <c r="BZ3" i="1"/>
  <c r="BX4" i="1"/>
  <c r="BX3" i="1"/>
  <c r="BV4" i="1"/>
  <c r="BV3" i="1"/>
  <c r="BM4" i="1"/>
  <c r="BM3" i="1"/>
  <c r="BE4" i="1"/>
  <c r="BE3" i="1"/>
  <c r="BC4" i="1"/>
  <c r="BC3" i="1"/>
  <c r="BA4" i="1"/>
  <c r="BA3" i="1"/>
  <c r="AY4" i="1"/>
  <c r="AY3" i="1"/>
  <c r="AW4" i="1"/>
  <c r="AW3" i="1"/>
  <c r="AU4" i="1"/>
  <c r="AU3" i="1"/>
  <c r="AS4" i="1"/>
  <c r="AS3" i="1"/>
  <c r="AQ4" i="1"/>
  <c r="AQ3" i="1"/>
  <c r="AO4" i="1"/>
  <c r="AO3" i="1"/>
  <c r="AM4" i="1"/>
  <c r="AM3" i="1"/>
  <c r="AK4" i="1"/>
  <c r="AK3" i="1"/>
  <c r="AI4" i="1"/>
  <c r="AI3" i="1"/>
  <c r="AG4" i="1"/>
  <c r="AG3" i="1"/>
  <c r="AE4" i="1"/>
  <c r="AE3" i="1"/>
  <c r="AC4" i="1"/>
  <c r="AC3" i="1"/>
  <c r="AA4" i="1"/>
  <c r="AA3" i="1"/>
  <c r="Y4" i="1"/>
  <c r="Y3" i="1"/>
  <c r="W4" i="1"/>
  <c r="W3" i="1"/>
  <c r="U4" i="1"/>
  <c r="U3" i="1"/>
  <c r="S4" i="1"/>
  <c r="S3" i="1"/>
  <c r="Q4" i="1"/>
  <c r="Q3" i="1"/>
  <c r="O4" i="1"/>
  <c r="O3" i="1"/>
  <c r="M4" i="1"/>
  <c r="M3" i="1"/>
  <c r="K4" i="1"/>
  <c r="K3" i="1"/>
  <c r="D35" i="23" l="1"/>
  <c r="C8" i="23" s="1"/>
  <c r="D8" i="23" s="1"/>
  <c r="E8" i="23" s="1"/>
  <c r="C4" i="23"/>
  <c r="D4" i="23" s="1"/>
  <c r="L31" i="23"/>
  <c r="D40" i="23"/>
  <c r="D7" i="23"/>
  <c r="E7" i="23" s="1"/>
  <c r="D6" i="23"/>
  <c r="E6" i="23" s="1"/>
  <c r="B9" i="23"/>
  <c r="B12" i="23"/>
  <c r="E11" i="23"/>
  <c r="S125" i="1"/>
  <c r="AA125" i="1"/>
  <c r="AI125" i="1"/>
  <c r="AG250" i="1"/>
  <c r="AO250" i="1"/>
  <c r="AW250" i="1"/>
  <c r="BX38" i="1"/>
  <c r="CQ81" i="1"/>
  <c r="CP81" i="1"/>
  <c r="CF38" i="1"/>
  <c r="W125" i="1"/>
  <c r="AE125" i="1"/>
  <c r="AM125" i="1"/>
  <c r="BZ34" i="1"/>
  <c r="CJ34" i="1"/>
  <c r="AK95" i="1"/>
  <c r="AS95" i="1"/>
  <c r="BU125" i="1"/>
  <c r="BV125" i="1" s="1"/>
  <c r="D127" i="1"/>
  <c r="U161" i="1"/>
  <c r="AC161" i="1"/>
  <c r="AK161" i="1"/>
  <c r="BV158" i="1"/>
  <c r="BZ158" i="1"/>
  <c r="CD158" i="1"/>
  <c r="BV159" i="1"/>
  <c r="BZ159" i="1"/>
  <c r="CD159" i="1"/>
  <c r="BV160" i="1"/>
  <c r="BZ160" i="1"/>
  <c r="CD160" i="1"/>
  <c r="M166" i="1"/>
  <c r="CE166" i="1"/>
  <c r="CF166" i="1" s="1"/>
  <c r="CB179" i="1"/>
  <c r="BZ180" i="1"/>
  <c r="CD181" i="1"/>
  <c r="BZ188" i="1"/>
  <c r="CH188" i="1"/>
  <c r="BX189" i="1"/>
  <c r="CB189" i="1"/>
  <c r="CF189" i="1"/>
  <c r="BX192" i="1"/>
  <c r="CF192" i="1"/>
  <c r="B194" i="1"/>
  <c r="U196" i="1"/>
  <c r="AE196" i="1"/>
  <c r="AI196" i="1"/>
  <c r="AM196" i="1"/>
  <c r="AQ196" i="1"/>
  <c r="AU196" i="1"/>
  <c r="AY196" i="1"/>
  <c r="BC196" i="1"/>
  <c r="BX209" i="1"/>
  <c r="CF209" i="1"/>
  <c r="AQ213" i="1"/>
  <c r="BG226" i="1"/>
  <c r="BX226" i="1"/>
  <c r="CF226" i="1"/>
  <c r="AA239" i="1"/>
  <c r="AG239" i="1"/>
  <c r="BU255" i="1"/>
  <c r="BV255" i="1" s="1"/>
  <c r="CG261" i="1"/>
  <c r="BZ249" i="1"/>
  <c r="CH249" i="1"/>
  <c r="AP273" i="1"/>
  <c r="AP8" i="1" s="1"/>
  <c r="AY252" i="1"/>
  <c r="AQ252" i="1"/>
  <c r="S268" i="1"/>
  <c r="K268" i="1"/>
  <c r="AO283" i="1"/>
  <c r="CC283" i="1"/>
  <c r="U410" i="1"/>
  <c r="AC410" i="1"/>
  <c r="AK410" i="1"/>
  <c r="AS410" i="1"/>
  <c r="BA410" i="1"/>
  <c r="CQ439" i="1"/>
  <c r="CP439" i="1"/>
  <c r="CS7" i="1"/>
  <c r="CP45" i="1"/>
  <c r="BX55" i="1"/>
  <c r="CB55" i="1"/>
  <c r="P619" i="1"/>
  <c r="BZ57" i="1"/>
  <c r="CD57" i="1"/>
  <c r="CH57" i="1"/>
  <c r="BX59" i="1"/>
  <c r="CB59" i="1"/>
  <c r="CF59" i="1"/>
  <c r="BC72" i="1"/>
  <c r="BV73" i="1"/>
  <c r="BZ73" i="1"/>
  <c r="CD629" i="1"/>
  <c r="BV75" i="1"/>
  <c r="CS87" i="1"/>
  <c r="AM95" i="1"/>
  <c r="AU95" i="1"/>
  <c r="CD96" i="1"/>
  <c r="Y119" i="1"/>
  <c r="AG119" i="1"/>
  <c r="AO119" i="1"/>
  <c r="Y120" i="1"/>
  <c r="AG120" i="1"/>
  <c r="AO120" i="1"/>
  <c r="Y121" i="1"/>
  <c r="AG121" i="1"/>
  <c r="M140" i="1"/>
  <c r="O161" i="1"/>
  <c r="W161" i="1"/>
  <c r="AE161" i="1"/>
  <c r="AM161" i="1"/>
  <c r="Y157" i="1"/>
  <c r="BY166" i="1"/>
  <c r="V171" i="1"/>
  <c r="AE171" i="1" s="1"/>
  <c r="BX171" i="1"/>
  <c r="AO174" i="1"/>
  <c r="CD179" i="1"/>
  <c r="AO179" i="1"/>
  <c r="BU193" i="1"/>
  <c r="BV193" i="1" s="1"/>
  <c r="CA196" i="1"/>
  <c r="CJ190" i="1"/>
  <c r="BU200" i="1"/>
  <c r="BV200" i="1" s="1"/>
  <c r="BZ192" i="1"/>
  <c r="CH192" i="1"/>
  <c r="BV204" i="1"/>
  <c r="CA213" i="1"/>
  <c r="BU216" i="1"/>
  <c r="BV216" i="1" s="1"/>
  <c r="CJ207" i="1"/>
  <c r="BU217" i="1"/>
  <c r="BV217" i="1" s="1"/>
  <c r="BZ209" i="1"/>
  <c r="CH209" i="1"/>
  <c r="AY213" i="1"/>
  <c r="BH226" i="1"/>
  <c r="BZ224" i="1"/>
  <c r="CF224" i="1"/>
  <c r="BZ226" i="1"/>
  <c r="CH226" i="1"/>
  <c r="AH234" i="1"/>
  <c r="AP234" i="1"/>
  <c r="AP241" i="1" s="1"/>
  <c r="AX234" i="1"/>
  <c r="K239" i="1"/>
  <c r="AK238" i="1"/>
  <c r="AB240" i="1"/>
  <c r="AK240" i="1" s="1"/>
  <c r="AH240" i="1"/>
  <c r="AQ239" i="1"/>
  <c r="AW238" i="1"/>
  <c r="AZ240" i="1"/>
  <c r="BE239" i="1"/>
  <c r="BE247" i="1"/>
  <c r="BV244" i="1"/>
  <c r="CB244" i="1"/>
  <c r="CG255" i="1"/>
  <c r="CG247" i="1"/>
  <c r="BZ246" i="1"/>
  <c r="BX248" i="1"/>
  <c r="CC261" i="1"/>
  <c r="CH248" i="1"/>
  <c r="CA263" i="1"/>
  <c r="AA255" i="1"/>
  <c r="S255" i="1"/>
  <c r="CH268" i="1"/>
  <c r="AK268" i="1"/>
  <c r="BA268" i="1"/>
  <c r="AO278" i="1"/>
  <c r="BE278" i="1"/>
  <c r="BM278" i="1"/>
  <c r="CH299" i="1"/>
  <c r="CC303" i="1"/>
  <c r="CD298" i="1"/>
  <c r="CB298" i="1"/>
  <c r="K31" i="1"/>
  <c r="S31" i="1"/>
  <c r="AA31" i="1"/>
  <c r="AI31" i="1"/>
  <c r="AQ31" i="1"/>
  <c r="AY31" i="1"/>
  <c r="BZ38" i="1"/>
  <c r="CH38" i="1"/>
  <c r="O72" i="1"/>
  <c r="W72" i="1"/>
  <c r="AE72" i="1"/>
  <c r="AM72" i="1"/>
  <c r="AW72" i="1"/>
  <c r="CN81" i="1"/>
  <c r="CE702" i="1"/>
  <c r="CI702" i="1"/>
  <c r="AO95" i="1"/>
  <c r="CF96" i="1"/>
  <c r="J127" i="1"/>
  <c r="K127" i="1" s="1"/>
  <c r="J128" i="1"/>
  <c r="K128" i="1" s="1"/>
  <c r="J129" i="1"/>
  <c r="K129" i="1" s="1"/>
  <c r="D122" i="1"/>
  <c r="BZ137" i="1"/>
  <c r="BZ139" i="1"/>
  <c r="BX161" i="1"/>
  <c r="Y161" i="1"/>
  <c r="AG161" i="1"/>
  <c r="BX160" i="1"/>
  <c r="CF160" i="1"/>
  <c r="CD172" i="1"/>
  <c r="BZ189" i="1"/>
  <c r="CD189" i="1"/>
  <c r="CH189" i="1"/>
  <c r="BV191" i="1"/>
  <c r="W196" i="1"/>
  <c r="AC196" i="1"/>
  <c r="AG196" i="1"/>
  <c r="AK196" i="1"/>
  <c r="AO196" i="1"/>
  <c r="AS196" i="1"/>
  <c r="AW196" i="1"/>
  <c r="BA196" i="1"/>
  <c r="BE196" i="1"/>
  <c r="BU215" i="1"/>
  <c r="BV215" i="1" s="1"/>
  <c r="BV206" i="1"/>
  <c r="BV208" i="1"/>
  <c r="CB209" i="1"/>
  <c r="T234" i="1"/>
  <c r="AC239" i="1"/>
  <c r="AI239" i="1"/>
  <c r="AR240" i="1"/>
  <c r="AW239" i="1"/>
  <c r="BA239" i="1"/>
  <c r="BX244" i="1"/>
  <c r="CC255" i="1"/>
  <c r="CH244" i="1"/>
  <c r="CF246" i="1"/>
  <c r="BY261" i="1"/>
  <c r="CD248" i="1"/>
  <c r="AQ255" i="1"/>
  <c r="AI255" i="1"/>
  <c r="BX268" i="1"/>
  <c r="CD268" i="1"/>
  <c r="AG268" i="1"/>
  <c r="AW268" i="1"/>
  <c r="AK278" i="1"/>
  <c r="BA278" i="1"/>
  <c r="CD285" i="1"/>
  <c r="CB285" i="1"/>
  <c r="AE302" i="1"/>
  <c r="AU302" i="1"/>
  <c r="W303" i="1"/>
  <c r="AE303" i="1"/>
  <c r="Y410" i="1"/>
  <c r="AG410" i="1"/>
  <c r="AO410" i="1"/>
  <c r="AW410" i="1"/>
  <c r="BE410" i="1"/>
  <c r="CB415" i="1"/>
  <c r="BZ54" i="1"/>
  <c r="CB57" i="1"/>
  <c r="CF57" i="1"/>
  <c r="BV59" i="1"/>
  <c r="BZ59" i="1"/>
  <c r="CD59" i="1"/>
  <c r="CH59" i="1"/>
  <c r="Q72" i="1"/>
  <c r="Y72" i="1"/>
  <c r="AQ76" i="1"/>
  <c r="BZ629" i="1"/>
  <c r="AI95" i="1"/>
  <c r="AQ95" i="1"/>
  <c r="U119" i="1"/>
  <c r="AC119" i="1"/>
  <c r="AK119" i="1"/>
  <c r="U120" i="1"/>
  <c r="AC120" i="1"/>
  <c r="AK120" i="1"/>
  <c r="U121" i="1"/>
  <c r="AC121" i="1"/>
  <c r="AK121" i="1"/>
  <c r="BZ132" i="1"/>
  <c r="B133" i="1"/>
  <c r="B134" i="1" s="1"/>
  <c r="BY140" i="1"/>
  <c r="BZ161" i="1"/>
  <c r="K161" i="1"/>
  <c r="S161" i="1"/>
  <c r="AA161" i="1"/>
  <c r="AI161" i="1"/>
  <c r="AK179" i="1"/>
  <c r="BY255" i="1"/>
  <c r="BU261" i="1"/>
  <c r="BV261" i="1" s="1"/>
  <c r="BW263" i="1"/>
  <c r="CE263" i="1"/>
  <c r="X250" i="1"/>
  <c r="Y250" i="1" s="1"/>
  <c r="Z273" i="1"/>
  <c r="Z8" i="1" s="1"/>
  <c r="AI252" i="1"/>
  <c r="AA252" i="1"/>
  <c r="CB268" i="1"/>
  <c r="CJ277" i="1"/>
  <c r="CL277" i="1"/>
  <c r="BI278" i="1"/>
  <c r="BY303" i="1"/>
  <c r="BZ298" i="1"/>
  <c r="BX298" i="1"/>
  <c r="CG303" i="1"/>
  <c r="CH298" i="1"/>
  <c r="CF298" i="1"/>
  <c r="AM303" i="1"/>
  <c r="AU303" i="1"/>
  <c r="BC303" i="1"/>
  <c r="Q331" i="1"/>
  <c r="Y331" i="1"/>
  <c r="AG331" i="1"/>
  <c r="AO331" i="1"/>
  <c r="AW331" i="1"/>
  <c r="BX333" i="1"/>
  <c r="CD333" i="1"/>
  <c r="AA331" i="1"/>
  <c r="Q348" i="1"/>
  <c r="AU348" i="1"/>
  <c r="BM348" i="1"/>
  <c r="AM353" i="1"/>
  <c r="AU353" i="1"/>
  <c r="BU362" i="1"/>
  <c r="BU363" i="1" s="1"/>
  <c r="BV363" i="1" s="1"/>
  <c r="P363" i="1"/>
  <c r="X363" i="1"/>
  <c r="AF363" i="1"/>
  <c r="AN363" i="1"/>
  <c r="AV363" i="1"/>
  <c r="BD363" i="1"/>
  <c r="F363" i="1"/>
  <c r="S366" i="1"/>
  <c r="AA366" i="1"/>
  <c r="AI366" i="1"/>
  <c r="AQ366" i="1"/>
  <c r="AY366" i="1"/>
  <c r="BF366" i="1"/>
  <c r="BG366" i="1" s="1"/>
  <c r="CF372" i="1"/>
  <c r="U373" i="1"/>
  <c r="AC373" i="1"/>
  <c r="AK373" i="1"/>
  <c r="AS373" i="1"/>
  <c r="BA373" i="1"/>
  <c r="BH371" i="1"/>
  <c r="BL371" i="1"/>
  <c r="Q374" i="1"/>
  <c r="AG374" i="1"/>
  <c r="AW374" i="1"/>
  <c r="CH377" i="1"/>
  <c r="CA380" i="1"/>
  <c r="CB380" i="1" s="1"/>
  <c r="CF379" i="1"/>
  <c r="BY380" i="1"/>
  <c r="U380" i="1"/>
  <c r="AK380" i="1"/>
  <c r="AU380" i="1"/>
  <c r="BA380" i="1"/>
  <c r="K381" i="1"/>
  <c r="S381" i="1"/>
  <c r="AA381" i="1"/>
  <c r="AI381" i="1"/>
  <c r="AQ381" i="1"/>
  <c r="AY381" i="1"/>
  <c r="BX409" i="1"/>
  <c r="CB409" i="1"/>
  <c r="AC406" i="1"/>
  <c r="AS406" i="1"/>
  <c r="U406" i="1"/>
  <c r="L410" i="1"/>
  <c r="BM421" i="1"/>
  <c r="AK426" i="1"/>
  <c r="AS426" i="1"/>
  <c r="CD435" i="1"/>
  <c r="BW440" i="1"/>
  <c r="BW12" i="1" s="1"/>
  <c r="CI449" i="1"/>
  <c r="BG449" i="1"/>
  <c r="BY458" i="1"/>
  <c r="BZ449" i="1"/>
  <c r="CG458" i="1"/>
  <c r="CS458" i="1" s="1"/>
  <c r="CH449" i="1"/>
  <c r="AG252" i="1"/>
  <c r="AW252" i="1"/>
  <c r="M255" i="1"/>
  <c r="Y255" i="1"/>
  <c r="AO255" i="1"/>
  <c r="BE255" i="1"/>
  <c r="CD278" i="1"/>
  <c r="CD282" i="1"/>
  <c r="AI283" i="1"/>
  <c r="AQ283" i="1"/>
  <c r="BJ294" i="1"/>
  <c r="BK294" i="1" s="1"/>
  <c r="CD291" i="1"/>
  <c r="BX292" i="1"/>
  <c r="CF292" i="1"/>
  <c r="BX293" i="1"/>
  <c r="CF293" i="1"/>
  <c r="BH303" i="1"/>
  <c r="BI303" i="1" s="1"/>
  <c r="CA302" i="1"/>
  <c r="BY299" i="1"/>
  <c r="BZ299" i="1" s="1"/>
  <c r="Y299" i="1"/>
  <c r="AG299" i="1"/>
  <c r="AO299" i="1"/>
  <c r="AW299" i="1"/>
  <c r="BE299" i="1"/>
  <c r="Q324" i="1"/>
  <c r="Y303" i="1"/>
  <c r="AG303" i="1"/>
  <c r="AO303" i="1"/>
  <c r="AW303" i="1"/>
  <c r="BE303" i="1"/>
  <c r="R323" i="1"/>
  <c r="AA323" i="1" s="1"/>
  <c r="BZ319" i="1"/>
  <c r="K316" i="1"/>
  <c r="O316" i="1"/>
  <c r="BE331" i="1"/>
  <c r="AI331" i="1"/>
  <c r="CD345" i="1"/>
  <c r="CP348" i="1"/>
  <c r="K348" i="1"/>
  <c r="T348" i="1"/>
  <c r="U348" i="1" s="1"/>
  <c r="AW348" i="1"/>
  <c r="BG348" i="1"/>
  <c r="CD354" i="1"/>
  <c r="BY362" i="1"/>
  <c r="BZ362" i="1" s="1"/>
  <c r="Y362" i="1"/>
  <c r="AG362" i="1"/>
  <c r="AO362" i="1"/>
  <c r="AW362" i="1"/>
  <c r="BE362" i="1"/>
  <c r="U366" i="1"/>
  <c r="AC366" i="1"/>
  <c r="AK366" i="1"/>
  <c r="AS366" i="1"/>
  <c r="BA366" i="1"/>
  <c r="BU365" i="1"/>
  <c r="BV365" i="1" s="1"/>
  <c r="W373" i="1"/>
  <c r="AE373" i="1"/>
  <c r="AM373" i="1"/>
  <c r="AU373" i="1"/>
  <c r="BC373" i="1"/>
  <c r="CC381" i="1"/>
  <c r="CC380" i="1"/>
  <c r="CD380" i="1" s="1"/>
  <c r="U381" i="1"/>
  <c r="AC381" i="1"/>
  <c r="AK381" i="1"/>
  <c r="AS381" i="1"/>
  <c r="BA381" i="1"/>
  <c r="AG406" i="1"/>
  <c r="AW406" i="1"/>
  <c r="Q406" i="1"/>
  <c r="BU415" i="1"/>
  <c r="BV415" i="1" s="1"/>
  <c r="M415" i="1"/>
  <c r="BZ421" i="1"/>
  <c r="AY421" i="1"/>
  <c r="CP421" i="1"/>
  <c r="CF425" i="1"/>
  <c r="CB427" i="1"/>
  <c r="AM426" i="1"/>
  <c r="AU426" i="1"/>
  <c r="BV432" i="1"/>
  <c r="BZ432" i="1"/>
  <c r="BZ439" i="1"/>
  <c r="O440" i="1"/>
  <c r="W440" i="1"/>
  <c r="AE440" i="1"/>
  <c r="D469" i="1"/>
  <c r="D452" i="1"/>
  <c r="F448" i="1" s="1"/>
  <c r="F469" i="1" s="1"/>
  <c r="CB449" i="1"/>
  <c r="CA458" i="1"/>
  <c r="CB458" i="1" s="1"/>
  <c r="CD450" i="1"/>
  <c r="BX451" i="1"/>
  <c r="CF451" i="1"/>
  <c r="CS449" i="1"/>
  <c r="AM252" i="1"/>
  <c r="AS252" i="1"/>
  <c r="BC252" i="1"/>
  <c r="U255" i="1"/>
  <c r="AK255" i="1"/>
  <c r="BA255" i="1"/>
  <c r="BE261" i="1"/>
  <c r="BE263" i="1"/>
  <c r="BX267" i="1"/>
  <c r="CF267" i="1"/>
  <c r="BX278" i="1"/>
  <c r="CF277" i="1"/>
  <c r="AK283" i="1"/>
  <c r="AS283" i="1"/>
  <c r="AO294" i="1"/>
  <c r="BU294" i="1"/>
  <c r="BV294" i="1" s="1"/>
  <c r="CA299" i="1"/>
  <c r="CD299" i="1" s="1"/>
  <c r="CA303" i="1"/>
  <c r="CB303" i="1" s="1"/>
  <c r="CE303" i="1"/>
  <c r="CF303" i="1" s="1"/>
  <c r="S302" i="1"/>
  <c r="AI302" i="1"/>
  <c r="AY302" i="1"/>
  <c r="S303" i="1"/>
  <c r="AA303" i="1"/>
  <c r="AI303" i="1"/>
  <c r="AQ303" i="1"/>
  <c r="AY303" i="1"/>
  <c r="CF310" i="1"/>
  <c r="BX311" i="1"/>
  <c r="CF319" i="1"/>
  <c r="K331" i="1"/>
  <c r="AQ331" i="1"/>
  <c r="AI340" i="1"/>
  <c r="M348" i="1"/>
  <c r="Y348" i="1"/>
  <c r="AQ348" i="1"/>
  <c r="AY348" i="1"/>
  <c r="AI353" i="1"/>
  <c r="AQ353" i="1"/>
  <c r="CB366" i="1"/>
  <c r="CF366" i="1"/>
  <c r="CC362" i="1"/>
  <c r="BF362" i="1"/>
  <c r="W366" i="1"/>
  <c r="AE366" i="1"/>
  <c r="AM366" i="1"/>
  <c r="AU366" i="1"/>
  <c r="BC366" i="1"/>
  <c r="BZ370" i="1"/>
  <c r="CH370" i="1"/>
  <c r="CH371" i="1"/>
  <c r="CB372" i="1"/>
  <c r="Y373" i="1"/>
  <c r="AG373" i="1"/>
  <c r="AO373" i="1"/>
  <c r="AW373" i="1"/>
  <c r="BE373" i="1"/>
  <c r="BJ371" i="1"/>
  <c r="BK371" i="1" s="1"/>
  <c r="K374" i="1"/>
  <c r="M374" i="1"/>
  <c r="Y374" i="1"/>
  <c r="AO374" i="1"/>
  <c r="AY374" i="1"/>
  <c r="BW380" i="1"/>
  <c r="CE380" i="1"/>
  <c r="CF380" i="1" s="1"/>
  <c r="CG380" i="1"/>
  <c r="AS380" i="1"/>
  <c r="O381" i="1"/>
  <c r="W381" i="1"/>
  <c r="AE381" i="1"/>
  <c r="AM381" i="1"/>
  <c r="AU381" i="1"/>
  <c r="BC381" i="1"/>
  <c r="CB387" i="1"/>
  <c r="CB395" i="1"/>
  <c r="BZ409" i="1"/>
  <c r="AK406" i="1"/>
  <c r="BA406" i="1"/>
  <c r="CH425" i="1"/>
  <c r="CD427" i="1"/>
  <c r="AO426" i="1"/>
  <c r="CH426" i="1"/>
  <c r="CA440" i="1"/>
  <c r="CA12" i="1" s="1"/>
  <c r="CB12" i="1" s="1"/>
  <c r="BC440" i="1"/>
  <c r="BU458" i="1"/>
  <c r="BV458" i="1" s="1"/>
  <c r="BV449" i="1"/>
  <c r="CC458" i="1"/>
  <c r="CD458" i="1" s="1"/>
  <c r="CD449" i="1"/>
  <c r="CI278" i="1"/>
  <c r="CJ278" i="1" s="1"/>
  <c r="AM283" i="1"/>
  <c r="AU283" i="1"/>
  <c r="BF285" i="1"/>
  <c r="BX290" i="1"/>
  <c r="BZ291" i="1"/>
  <c r="CB292" i="1"/>
  <c r="CB293" i="1"/>
  <c r="M294" i="1"/>
  <c r="BW302" i="1"/>
  <c r="CE302" i="1"/>
  <c r="BV298" i="1"/>
  <c r="U299" i="1"/>
  <c r="AC299" i="1"/>
  <c r="AK299" i="1"/>
  <c r="AS299" i="1"/>
  <c r="BA299" i="1"/>
  <c r="F300" i="1"/>
  <c r="U303" i="1"/>
  <c r="AC303" i="1"/>
  <c r="AK303" i="1"/>
  <c r="AS303" i="1"/>
  <c r="BA303" i="1"/>
  <c r="Z323" i="1"/>
  <c r="AP323" i="1"/>
  <c r="AP325" i="1" s="1"/>
  <c r="BB323" i="1"/>
  <c r="M316" i="1"/>
  <c r="S331" i="1"/>
  <c r="AY331" i="1"/>
  <c r="CC348" i="1"/>
  <c r="CF348" i="1" s="1"/>
  <c r="O348" i="1"/>
  <c r="AK348" i="1"/>
  <c r="AS348" i="1"/>
  <c r="BA348" i="1"/>
  <c r="CB352" i="1"/>
  <c r="AK353" i="1"/>
  <c r="AS353" i="1"/>
  <c r="U362" i="1"/>
  <c r="AC362" i="1"/>
  <c r="AK362" i="1"/>
  <c r="AS362" i="1"/>
  <c r="BA362" i="1"/>
  <c r="Y366" i="1"/>
  <c r="AG366" i="1"/>
  <c r="AO366" i="1"/>
  <c r="AW366" i="1"/>
  <c r="BE366" i="1"/>
  <c r="BF373" i="1"/>
  <c r="BG373" i="1" s="1"/>
  <c r="CA374" i="1"/>
  <c r="CI370" i="1"/>
  <c r="CK370" i="1" s="1"/>
  <c r="CM370" i="1" s="1"/>
  <c r="CD371" i="1"/>
  <c r="CD372" i="1"/>
  <c r="S373" i="1"/>
  <c r="AA373" i="1"/>
  <c r="AI373" i="1"/>
  <c r="AQ373" i="1"/>
  <c r="AY373" i="1"/>
  <c r="U374" i="1"/>
  <c r="AK374" i="1"/>
  <c r="BA374" i="1"/>
  <c r="BG371" i="1"/>
  <c r="BY381" i="1"/>
  <c r="CG381" i="1"/>
  <c r="CD379" i="1"/>
  <c r="BU380" i="1"/>
  <c r="BV380" i="1" s="1"/>
  <c r="Y380" i="1"/>
  <c r="AO380" i="1"/>
  <c r="BE380" i="1"/>
  <c r="Q381" i="1"/>
  <c r="Y381" i="1"/>
  <c r="AG381" i="1"/>
  <c r="AO381" i="1"/>
  <c r="AW381" i="1"/>
  <c r="BE381" i="1"/>
  <c r="BW388" i="1"/>
  <c r="CH387" i="1"/>
  <c r="Y388" i="1"/>
  <c r="BZ393" i="1"/>
  <c r="CD395" i="1"/>
  <c r="Y406" i="1"/>
  <c r="AO406" i="1"/>
  <c r="BL415" i="1"/>
  <c r="BM415" i="1" s="1"/>
  <c r="AI426" i="1"/>
  <c r="AQ426" i="1"/>
  <c r="CB432" i="1"/>
  <c r="CB434" i="1"/>
  <c r="K440" i="1"/>
  <c r="S440" i="1"/>
  <c r="AA440" i="1"/>
  <c r="AI440" i="1"/>
  <c r="BX449" i="1"/>
  <c r="BW458" i="1"/>
  <c r="CF449" i="1"/>
  <c r="CE458" i="1"/>
  <c r="CF458" i="1" s="1"/>
  <c r="CH450" i="1"/>
  <c r="CB451" i="1"/>
  <c r="K458" i="1"/>
  <c r="S458" i="1"/>
  <c r="AA458" i="1"/>
  <c r="AI458" i="1"/>
  <c r="AQ458" i="1"/>
  <c r="AY458" i="1"/>
  <c r="U492" i="1"/>
  <c r="AC492" i="1"/>
  <c r="AK492" i="1"/>
  <c r="AS492" i="1"/>
  <c r="S467" i="1"/>
  <c r="AA467" i="1"/>
  <c r="AI467" i="1"/>
  <c r="AQ467" i="1"/>
  <c r="AY467" i="1"/>
  <c r="BI494" i="1"/>
  <c r="AM503" i="1"/>
  <c r="CH504" i="1"/>
  <c r="J515" i="1"/>
  <c r="K515" i="1" s="1"/>
  <c r="K514" i="1"/>
  <c r="BF458" i="1"/>
  <c r="BG458" i="1" s="1"/>
  <c r="BU452" i="1"/>
  <c r="M458" i="1"/>
  <c r="U458" i="1"/>
  <c r="AC458" i="1"/>
  <c r="AK458" i="1"/>
  <c r="AS458" i="1"/>
  <c r="BA458" i="1"/>
  <c r="CJ462" i="1"/>
  <c r="N464" i="1"/>
  <c r="W492" i="1"/>
  <c r="AE492" i="1"/>
  <c r="AM492" i="1"/>
  <c r="AU492" i="1"/>
  <c r="BC492" i="1"/>
  <c r="U467" i="1"/>
  <c r="AC467" i="1"/>
  <c r="AK467" i="1"/>
  <c r="AS467" i="1"/>
  <c r="BA467" i="1"/>
  <c r="BE493" i="1"/>
  <c r="BE494" i="1"/>
  <c r="BI493" i="1"/>
  <c r="AO503" i="1"/>
  <c r="CB504" i="1"/>
  <c r="CJ504" i="1"/>
  <c r="CA528" i="1"/>
  <c r="CB512" i="1"/>
  <c r="BA569" i="1"/>
  <c r="CS450" i="1"/>
  <c r="O458" i="1"/>
  <c r="W458" i="1"/>
  <c r="AE458" i="1"/>
  <c r="AM458" i="1"/>
  <c r="AU458" i="1"/>
  <c r="BC458" i="1"/>
  <c r="Q492" i="1"/>
  <c r="Y492" i="1"/>
  <c r="AG492" i="1"/>
  <c r="AO492" i="1"/>
  <c r="AW492" i="1"/>
  <c r="W467" i="1"/>
  <c r="AE467" i="1"/>
  <c r="AM467" i="1"/>
  <c r="AU467" i="1"/>
  <c r="BC467" i="1"/>
  <c r="F492" i="1"/>
  <c r="O492" i="1" s="1"/>
  <c r="BS492" i="1"/>
  <c r="BG494" i="1"/>
  <c r="AI503" i="1"/>
  <c r="AQ503" i="1"/>
  <c r="CB511" i="1"/>
  <c r="BY529" i="1"/>
  <c r="BZ513" i="1"/>
  <c r="BY452" i="1"/>
  <c r="BV450" i="1"/>
  <c r="BZ450" i="1"/>
  <c r="D456" i="1"/>
  <c r="Q458" i="1"/>
  <c r="Y458" i="1"/>
  <c r="AG458" i="1"/>
  <c r="AO458" i="1"/>
  <c r="AW458" i="1"/>
  <c r="BG461" i="1"/>
  <c r="BY467" i="1"/>
  <c r="BZ467" i="1" s="1"/>
  <c r="CG467" i="1"/>
  <c r="R464" i="1"/>
  <c r="Z464" i="1"/>
  <c r="AH464" i="1"/>
  <c r="AH482" i="1" s="1"/>
  <c r="AI482" i="1" s="1"/>
  <c r="AP464" i="1"/>
  <c r="AX464" i="1"/>
  <c r="J492" i="1"/>
  <c r="K492" i="1" s="1"/>
  <c r="R492" i="1"/>
  <c r="S492" i="1" s="1"/>
  <c r="Z492" i="1"/>
  <c r="AH492" i="1"/>
  <c r="AI492" i="1" s="1"/>
  <c r="AP492" i="1"/>
  <c r="AQ492" i="1" s="1"/>
  <c r="AX492" i="1"/>
  <c r="BG492" i="1" s="1"/>
  <c r="BF466" i="1"/>
  <c r="BG466" i="1" s="1"/>
  <c r="Y467" i="1"/>
  <c r="AG467" i="1"/>
  <c r="AO467" i="1"/>
  <c r="AW467" i="1"/>
  <c r="BE489" i="1"/>
  <c r="AY493" i="1"/>
  <c r="AK503" i="1"/>
  <c r="CA503" i="1"/>
  <c r="CB503" i="1" s="1"/>
  <c r="CJ503" i="1"/>
  <c r="CB505" i="1"/>
  <c r="CJ505" i="1"/>
  <c r="CA529" i="1"/>
  <c r="CB513" i="1"/>
  <c r="AO569" i="1"/>
  <c r="W527" i="1"/>
  <c r="AE527" i="1"/>
  <c r="AM527" i="1"/>
  <c r="AU527" i="1"/>
  <c r="BC527" i="1"/>
  <c r="CB545" i="1"/>
  <c r="CF545" i="1"/>
  <c r="AG565" i="1"/>
  <c r="U574" i="1"/>
  <c r="P569" i="1"/>
  <c r="AV569" i="1"/>
  <c r="AW569" i="1" s="1"/>
  <c r="AW582" i="1"/>
  <c r="BA582" i="1"/>
  <c r="CB612" i="1"/>
  <c r="BE623" i="1"/>
  <c r="BX636" i="1"/>
  <c r="BG655" i="1"/>
  <c r="BZ687" i="1"/>
  <c r="CD687" i="1"/>
  <c r="CH687" i="1"/>
  <c r="BW689" i="1"/>
  <c r="S689" i="1"/>
  <c r="AN702" i="1"/>
  <c r="AR702" i="1"/>
  <c r="T740" i="1"/>
  <c r="X740" i="1"/>
  <c r="Y740" i="1" s="1"/>
  <c r="AC738" i="1"/>
  <c r="AG738" i="1"/>
  <c r="AM737" i="1"/>
  <c r="AQ737" i="1"/>
  <c r="AU737" i="1"/>
  <c r="O738" i="1"/>
  <c r="Y737" i="1"/>
  <c r="CF756" i="1"/>
  <c r="W756" i="1"/>
  <c r="W785" i="1"/>
  <c r="BA793" i="1"/>
  <c r="CC810" i="1"/>
  <c r="CD792" i="1"/>
  <c r="BY821" i="1"/>
  <c r="BZ793" i="1"/>
  <c r="BJ878" i="1"/>
  <c r="BI878" i="1"/>
  <c r="Y529" i="1"/>
  <c r="AG529" i="1"/>
  <c r="AO529" i="1"/>
  <c r="AW529" i="1"/>
  <c r="BE529" i="1"/>
  <c r="K565" i="1"/>
  <c r="S565" i="1"/>
  <c r="AA565" i="1"/>
  <c r="AI565" i="1"/>
  <c r="AQ565" i="1"/>
  <c r="AY565" i="1"/>
  <c r="AO565" i="1"/>
  <c r="AA574" i="1"/>
  <c r="AQ574" i="1"/>
  <c r="BE574" i="1"/>
  <c r="V579" i="1"/>
  <c r="BX579" i="1"/>
  <c r="CH580" i="1"/>
  <c r="BX581" i="1"/>
  <c r="CD579" i="1"/>
  <c r="AI582" i="1"/>
  <c r="CB586" i="1"/>
  <c r="AO587" i="1"/>
  <c r="CB597" i="1"/>
  <c r="CB607" i="1"/>
  <c r="BV605" i="1"/>
  <c r="CD612" i="1"/>
  <c r="Y629" i="1"/>
  <c r="AI629" i="1"/>
  <c r="BI649" i="1"/>
  <c r="Y738" i="1"/>
  <c r="AU738" i="1"/>
  <c r="AY738" i="1"/>
  <c r="U737" i="1"/>
  <c r="AG755" i="1"/>
  <c r="AO755" i="1"/>
  <c r="AW755" i="1"/>
  <c r="BY810" i="1"/>
  <c r="BZ792" i="1"/>
  <c r="CE810" i="1"/>
  <c r="CF792" i="1"/>
  <c r="BJ858" i="1"/>
  <c r="BI858" i="1"/>
  <c r="S527" i="1"/>
  <c r="AA527" i="1"/>
  <c r="CC527" i="1"/>
  <c r="AQ527" i="1"/>
  <c r="CG527" i="1"/>
  <c r="J536" i="1"/>
  <c r="K536" i="1" s="1"/>
  <c r="J537" i="1"/>
  <c r="BU530" i="1"/>
  <c r="BV528" i="1"/>
  <c r="CB547" i="1"/>
  <c r="M565" i="1"/>
  <c r="U565" i="1"/>
  <c r="AC565" i="1"/>
  <c r="AK565" i="1"/>
  <c r="AS565" i="1"/>
  <c r="BA565" i="1"/>
  <c r="AC574" i="1"/>
  <c r="AM574" i="1"/>
  <c r="AS574" i="1"/>
  <c r="BC574" i="1"/>
  <c r="Q574" i="1"/>
  <c r="X569" i="1"/>
  <c r="Y569" i="1" s="1"/>
  <c r="BD569" i="1"/>
  <c r="BM569" i="1" s="1"/>
  <c r="BE582" i="1"/>
  <c r="CC587" i="1"/>
  <c r="CD607" i="1"/>
  <c r="BX612" i="1"/>
  <c r="BE620" i="1"/>
  <c r="U629" i="1"/>
  <c r="AK629" i="1"/>
  <c r="BV636" i="1"/>
  <c r="CH641" i="1"/>
  <c r="CL655" i="1"/>
  <c r="BE655" i="1"/>
  <c r="BI655" i="1"/>
  <c r="BM655" i="1"/>
  <c r="BE671" i="1"/>
  <c r="BM671" i="1"/>
  <c r="CJ687" i="1"/>
  <c r="CB688" i="1"/>
  <c r="CJ688" i="1"/>
  <c r="AA737" i="1"/>
  <c r="AE738" i="1"/>
  <c r="BE738" i="1"/>
  <c r="BZ742" i="1"/>
  <c r="AM743" i="1"/>
  <c r="AY743" i="1"/>
  <c r="CB753" i="1"/>
  <c r="CB754" i="1"/>
  <c r="CB755" i="1"/>
  <c r="BW756" i="1"/>
  <c r="BU821" i="1"/>
  <c r="BV793" i="1"/>
  <c r="CC821" i="1"/>
  <c r="CD821" i="1" s="1"/>
  <c r="CF793" i="1"/>
  <c r="CD793" i="1"/>
  <c r="U529" i="1"/>
  <c r="AC529" i="1"/>
  <c r="AK529" i="1"/>
  <c r="AS529" i="1"/>
  <c r="BA529" i="1"/>
  <c r="CH540" i="1"/>
  <c r="CD547" i="1"/>
  <c r="CD566" i="1"/>
  <c r="S574" i="1"/>
  <c r="AI574" i="1"/>
  <c r="L569" i="1"/>
  <c r="U569" i="1" s="1"/>
  <c r="AB569" i="1"/>
  <c r="AC569" i="1" s="1"/>
  <c r="AR569" i="1"/>
  <c r="AS569" i="1" s="1"/>
  <c r="AW574" i="1"/>
  <c r="BV579" i="1"/>
  <c r="BZ580" i="1"/>
  <c r="CA582" i="1"/>
  <c r="AK587" i="1"/>
  <c r="AS587" i="1"/>
  <c r="CE600" i="1"/>
  <c r="BI637" i="1"/>
  <c r="CD643" i="1"/>
  <c r="CJ649" i="1"/>
  <c r="CS649" i="1"/>
  <c r="BC665" i="1"/>
  <c r="BK665" i="1"/>
  <c r="CD688" i="1"/>
  <c r="CK688" i="1"/>
  <c r="CM688" i="1" s="1"/>
  <c r="AV702" i="1"/>
  <c r="AZ702" i="1"/>
  <c r="M738" i="1"/>
  <c r="S738" i="1"/>
  <c r="W738" i="1"/>
  <c r="AB740" i="1"/>
  <c r="AC740" i="1" s="1"/>
  <c r="AF740" i="1"/>
  <c r="AG740" i="1" s="1"/>
  <c r="AK738" i="1"/>
  <c r="AO738" i="1"/>
  <c r="AS738" i="1"/>
  <c r="AW738" i="1"/>
  <c r="BA738" i="1"/>
  <c r="K738" i="1"/>
  <c r="AC737" i="1"/>
  <c r="CH742" i="1"/>
  <c r="BW754" i="1"/>
  <c r="CD753" i="1"/>
  <c r="CD754" i="1"/>
  <c r="CD755" i="1"/>
  <c r="S756" i="1"/>
  <c r="M769" i="1"/>
  <c r="Q769" i="1"/>
  <c r="U769" i="1"/>
  <c r="Y769" i="1"/>
  <c r="AC769" i="1"/>
  <c r="AG769" i="1"/>
  <c r="AK769" i="1"/>
  <c r="AO769" i="1"/>
  <c r="AS769" i="1"/>
  <c r="AW769" i="1"/>
  <c r="BA769" i="1"/>
  <c r="BE769" i="1"/>
  <c r="BW811" i="1"/>
  <c r="BX811" i="1" s="1"/>
  <c r="BW810" i="1"/>
  <c r="BW812" i="1" s="1"/>
  <c r="BX812" i="1" s="1"/>
  <c r="BW806" i="1"/>
  <c r="BW821" i="1"/>
  <c r="BW827" i="1" s="1"/>
  <c r="BX827" i="1" s="1"/>
  <c r="BX793" i="1"/>
  <c r="BJ840" i="1"/>
  <c r="BL840" i="1" s="1"/>
  <c r="CI840" i="1" s="1"/>
  <c r="BI840" i="1"/>
  <c r="AD806" i="1"/>
  <c r="AE806" i="1" s="1"/>
  <c r="AA810" i="1"/>
  <c r="AE810" i="1"/>
  <c r="V811" i="1"/>
  <c r="W811" i="1" s="1"/>
  <c r="AD827" i="1"/>
  <c r="AL827" i="1"/>
  <c r="CC827" i="1" s="1"/>
  <c r="AT827" i="1"/>
  <c r="BY883" i="1"/>
  <c r="CF840" i="1"/>
  <c r="Y846" i="1"/>
  <c r="AG846" i="1"/>
  <c r="AO846" i="1"/>
  <c r="Y847" i="1"/>
  <c r="AG847" i="1"/>
  <c r="AO847" i="1"/>
  <c r="AW847" i="1"/>
  <c r="BE847" i="1"/>
  <c r="BU846" i="1"/>
  <c r="BZ861" i="1"/>
  <c r="CD861" i="1"/>
  <c r="CH861" i="1"/>
  <c r="S859" i="1"/>
  <c r="AA859" i="1"/>
  <c r="AI859" i="1"/>
  <c r="AQ859" i="1"/>
  <c r="AY859" i="1"/>
  <c r="Q858" i="1"/>
  <c r="CF874" i="1"/>
  <c r="BU877" i="1"/>
  <c r="BU769" i="1" s="1"/>
  <c r="BV769" i="1" s="1"/>
  <c r="AC805" i="1"/>
  <c r="S810" i="1"/>
  <c r="W810" i="1"/>
  <c r="AO812" i="1"/>
  <c r="AW812" i="1"/>
  <c r="AH811" i="1"/>
  <c r="AI811" i="1" s="1"/>
  <c r="AP811" i="1"/>
  <c r="AQ811" i="1" s="1"/>
  <c r="Z811" i="1"/>
  <c r="Y821" i="1"/>
  <c r="AC821" i="1"/>
  <c r="AG821" i="1"/>
  <c r="AK821" i="1"/>
  <c r="AO821" i="1"/>
  <c r="AS821" i="1"/>
  <c r="AW821" i="1"/>
  <c r="BG840" i="1"/>
  <c r="BJ842" i="1"/>
  <c r="BZ836" i="1"/>
  <c r="CD836" i="1"/>
  <c r="CB837" i="1"/>
  <c r="BV838" i="1"/>
  <c r="BZ838" i="1"/>
  <c r="CD838" i="1"/>
  <c r="BX839" i="1"/>
  <c r="CB839" i="1"/>
  <c r="BV840" i="1"/>
  <c r="BZ840" i="1"/>
  <c r="BX841" i="1"/>
  <c r="CB841" i="1"/>
  <c r="BV842" i="1"/>
  <c r="BZ842" i="1"/>
  <c r="BX843" i="1"/>
  <c r="CB843" i="1"/>
  <c r="BV844" i="1"/>
  <c r="BZ844" i="1"/>
  <c r="K859" i="1"/>
  <c r="O859" i="1"/>
  <c r="AC859" i="1"/>
  <c r="AK859" i="1"/>
  <c r="AS859" i="1"/>
  <c r="BA859" i="1"/>
  <c r="K858" i="1"/>
  <c r="W858" i="1"/>
  <c r="CF865" i="1"/>
  <c r="Z868" i="1"/>
  <c r="AP868" i="1"/>
  <c r="BZ878" i="1"/>
  <c r="CD878" i="1"/>
  <c r="CH878" i="1"/>
  <c r="AY877" i="1"/>
  <c r="CF821" i="1"/>
  <c r="R806" i="1"/>
  <c r="U805" i="1"/>
  <c r="Y812" i="1"/>
  <c r="AC810" i="1"/>
  <c r="AG810" i="1"/>
  <c r="AK810" i="1"/>
  <c r="AO810" i="1"/>
  <c r="AS810" i="1"/>
  <c r="AW810" i="1"/>
  <c r="AJ811" i="1"/>
  <c r="AR811" i="1"/>
  <c r="AS811" i="1" s="1"/>
  <c r="AB811" i="1"/>
  <c r="Z827" i="1"/>
  <c r="AH827" i="1"/>
  <c r="AP827" i="1"/>
  <c r="AX827" i="1"/>
  <c r="BW846" i="1"/>
  <c r="BX846" i="1" s="1"/>
  <c r="CA846" i="1"/>
  <c r="CB846" i="1" s="1"/>
  <c r="CF842" i="1"/>
  <c r="U846" i="1"/>
  <c r="AC846" i="1"/>
  <c r="AK846" i="1"/>
  <c r="AS846" i="1"/>
  <c r="U847" i="1"/>
  <c r="AC847" i="1"/>
  <c r="AK847" i="1"/>
  <c r="AS847" i="1"/>
  <c r="BA847" i="1"/>
  <c r="BG858" i="1"/>
  <c r="BI862" i="1"/>
  <c r="CF858" i="1"/>
  <c r="BZ860" i="1"/>
  <c r="CH860" i="1"/>
  <c r="BX862" i="1"/>
  <c r="CF862" i="1"/>
  <c r="CD864" i="1"/>
  <c r="W859" i="1"/>
  <c r="AE859" i="1"/>
  <c r="AM859" i="1"/>
  <c r="AU859" i="1"/>
  <c r="BC859" i="1"/>
  <c r="AZ864" i="1"/>
  <c r="M858" i="1"/>
  <c r="AW864" i="1"/>
  <c r="J868" i="1"/>
  <c r="AD868" i="1"/>
  <c r="AT868" i="1"/>
  <c r="BG878" i="1"/>
  <c r="CB875" i="1"/>
  <c r="CD879" i="1"/>
  <c r="CB793" i="1"/>
  <c r="AA812" i="1"/>
  <c r="AI812" i="1"/>
  <c r="AQ812" i="1"/>
  <c r="AY812" i="1"/>
  <c r="AL811" i="1"/>
  <c r="AM811" i="1" s="1"/>
  <c r="AV811" i="1"/>
  <c r="T811" i="1"/>
  <c r="U811" i="1" s="1"/>
  <c r="AD811" i="1"/>
  <c r="BH837" i="1"/>
  <c r="BH844" i="1"/>
  <c r="BX836" i="1"/>
  <c r="CB836" i="1"/>
  <c r="BX838" i="1"/>
  <c r="CB838" i="1"/>
  <c r="CF844" i="1"/>
  <c r="O847" i="1"/>
  <c r="BX857" i="1"/>
  <c r="BG860" i="1"/>
  <c r="CB860" i="1"/>
  <c r="BZ862" i="1"/>
  <c r="CH862" i="1"/>
  <c r="D868" i="1"/>
  <c r="D883" i="1" s="1"/>
  <c r="H868" i="1"/>
  <c r="H883" i="1" s="1"/>
  <c r="CH865" i="1"/>
  <c r="R868" i="1"/>
  <c r="AH868" i="1"/>
  <c r="BH879" i="1"/>
  <c r="CB873" i="1"/>
  <c r="CD875" i="1"/>
  <c r="O38" i="1"/>
  <c r="W38" i="1"/>
  <c r="AE38" i="1"/>
  <c r="AM38" i="1"/>
  <c r="AU38" i="1"/>
  <c r="BC38" i="1"/>
  <c r="CD38" i="1"/>
  <c r="CR45" i="1"/>
  <c r="Q53" i="1"/>
  <c r="P58" i="1"/>
  <c r="Y53" i="1"/>
  <c r="X58" i="1"/>
  <c r="AG53" i="1"/>
  <c r="AF58" i="1"/>
  <c r="AN618" i="1"/>
  <c r="AO53" i="1"/>
  <c r="AN58" i="1"/>
  <c r="AV618" i="1"/>
  <c r="AW53" i="1"/>
  <c r="AV58" i="1"/>
  <c r="BD618" i="1"/>
  <c r="BD58" i="1"/>
  <c r="BE53" i="1"/>
  <c r="CB72" i="1"/>
  <c r="BQ648" i="1"/>
  <c r="BQ90" i="1"/>
  <c r="BQ664" i="1" s="1"/>
  <c r="S76" i="1"/>
  <c r="AA76" i="1"/>
  <c r="AI76" i="1"/>
  <c r="AS76" i="1"/>
  <c r="BA76" i="1"/>
  <c r="CR81" i="1"/>
  <c r="P143" i="1"/>
  <c r="Q140" i="1"/>
  <c r="Z143" i="1"/>
  <c r="AA140" i="1"/>
  <c r="CA140" i="1"/>
  <c r="AH143" i="1"/>
  <c r="CC140" i="1"/>
  <c r="AI140" i="1"/>
  <c r="BZ140" i="1"/>
  <c r="B168" i="1"/>
  <c r="B165" i="1"/>
  <c r="B164" i="1"/>
  <c r="Q38" i="1"/>
  <c r="Y38" i="1"/>
  <c r="AG38" i="1"/>
  <c r="AO38" i="1"/>
  <c r="AW38" i="1"/>
  <c r="BE38" i="1"/>
  <c r="CB38" i="1"/>
  <c r="Z58" i="1"/>
  <c r="CA53" i="1"/>
  <c r="AA53" i="1"/>
  <c r="AH58" i="1"/>
  <c r="CC53" i="1"/>
  <c r="AI53" i="1"/>
  <c r="AP618" i="1"/>
  <c r="AP58" i="1"/>
  <c r="AQ53" i="1"/>
  <c r="CE53" i="1"/>
  <c r="AX618" i="1"/>
  <c r="AX58" i="1"/>
  <c r="AY53" i="1"/>
  <c r="CG53" i="1"/>
  <c r="BD619" i="1"/>
  <c r="BE619" i="1" s="1"/>
  <c r="CG56" i="1"/>
  <c r="BE56" i="1"/>
  <c r="BS648" i="1"/>
  <c r="BS90" i="1"/>
  <c r="BS664" i="1" s="1"/>
  <c r="U76" i="1"/>
  <c r="AC76" i="1"/>
  <c r="AK76" i="1"/>
  <c r="BX140" i="1"/>
  <c r="BW143" i="1"/>
  <c r="J143" i="1"/>
  <c r="K140" i="1"/>
  <c r="T143" i="1"/>
  <c r="U140" i="1"/>
  <c r="AB143" i="1"/>
  <c r="AC140" i="1"/>
  <c r="AJ143" i="1"/>
  <c r="AK140" i="1"/>
  <c r="M161" i="1"/>
  <c r="M53" i="1"/>
  <c r="L58" i="1"/>
  <c r="CB51" i="1"/>
  <c r="BY53" i="1"/>
  <c r="AB58" i="1"/>
  <c r="AK53" i="1"/>
  <c r="AJ58" i="1"/>
  <c r="AR618" i="1"/>
  <c r="AS53" i="1"/>
  <c r="AR58" i="1"/>
  <c r="AZ618" i="1"/>
  <c r="BA53" i="1"/>
  <c r="AZ58" i="1"/>
  <c r="BZ72" i="1"/>
  <c r="CD72" i="1"/>
  <c r="CA125" i="1"/>
  <c r="W140" i="1"/>
  <c r="V143" i="1"/>
  <c r="AE140" i="1"/>
  <c r="AD143" i="1"/>
  <c r="AM140" i="1"/>
  <c r="AL143" i="1"/>
  <c r="L145" i="1"/>
  <c r="M143" i="1"/>
  <c r="F168" i="1"/>
  <c r="F165" i="1"/>
  <c r="F164" i="1"/>
  <c r="BS649" i="1"/>
  <c r="BS175" i="1"/>
  <c r="BS665" i="1" s="1"/>
  <c r="BS938" i="1" s="1"/>
  <c r="BU28" i="1"/>
  <c r="BS36" i="1"/>
  <c r="M38" i="1"/>
  <c r="U38" i="1"/>
  <c r="AC38" i="1"/>
  <c r="AK38" i="1"/>
  <c r="AS38" i="1"/>
  <c r="BA38" i="1"/>
  <c r="BU44" i="1"/>
  <c r="BV44" i="1" s="1"/>
  <c r="BU45" i="1"/>
  <c r="V618" i="1"/>
  <c r="W53" i="1"/>
  <c r="V58" i="1"/>
  <c r="AD618" i="1"/>
  <c r="AE53" i="1"/>
  <c r="AD58" i="1"/>
  <c r="AL618" i="1"/>
  <c r="AM53" i="1"/>
  <c r="AL58" i="1"/>
  <c r="AT618" i="1"/>
  <c r="AU53" i="1"/>
  <c r="AT58" i="1"/>
  <c r="BB618" i="1"/>
  <c r="BC53" i="1"/>
  <c r="BB58" i="1"/>
  <c r="AY76" i="1"/>
  <c r="J130" i="1"/>
  <c r="K130" i="1" s="1"/>
  <c r="BZ138" i="1"/>
  <c r="BX138" i="1"/>
  <c r="X143" i="1"/>
  <c r="Y140" i="1"/>
  <c r="AF143" i="1"/>
  <c r="AG140" i="1"/>
  <c r="AN143" i="1"/>
  <c r="AW140" i="1"/>
  <c r="AO140" i="1"/>
  <c r="H168" i="1"/>
  <c r="H164" i="1"/>
  <c r="H165" i="1"/>
  <c r="Q161" i="1"/>
  <c r="BX32" i="1"/>
  <c r="CB32" i="1"/>
  <c r="CF32" i="1"/>
  <c r="O31" i="1"/>
  <c r="W31" i="1"/>
  <c r="AE31" i="1"/>
  <c r="AM31" i="1"/>
  <c r="AU31" i="1"/>
  <c r="BC31" i="1"/>
  <c r="BS45" i="1"/>
  <c r="BV618" i="1"/>
  <c r="T53" i="1"/>
  <c r="T56" i="1"/>
  <c r="AK619" i="1"/>
  <c r="AS619" i="1"/>
  <c r="BA619" i="1"/>
  <c r="BW56" i="1"/>
  <c r="CA56" i="1"/>
  <c r="CE56" i="1"/>
  <c r="D58" i="1"/>
  <c r="D60" i="1" s="1"/>
  <c r="K56" i="1"/>
  <c r="S56" i="1"/>
  <c r="AA56" i="1"/>
  <c r="AI56" i="1"/>
  <c r="AQ56" i="1"/>
  <c r="AY56" i="1"/>
  <c r="BQ69" i="1"/>
  <c r="BU72" i="1"/>
  <c r="BX72" i="1" s="1"/>
  <c r="CG72" i="1"/>
  <c r="BX629" i="1"/>
  <c r="CB629" i="1"/>
  <c r="CF629" i="1"/>
  <c r="M72" i="1"/>
  <c r="U72" i="1"/>
  <c r="AC72" i="1"/>
  <c r="AK72" i="1"/>
  <c r="AM73" i="1"/>
  <c r="AS72" i="1"/>
  <c r="AU73" i="1"/>
  <c r="BA72" i="1"/>
  <c r="U630" i="1"/>
  <c r="Y630" i="1"/>
  <c r="AC630" i="1"/>
  <c r="AG630" i="1"/>
  <c r="AK630" i="1"/>
  <c r="AO630" i="1"/>
  <c r="AS630" i="1"/>
  <c r="AW630" i="1"/>
  <c r="BA630" i="1"/>
  <c r="BE630" i="1"/>
  <c r="P76" i="1"/>
  <c r="Q76" i="1" s="1"/>
  <c r="X76" i="1"/>
  <c r="AF76" i="1"/>
  <c r="AV76" i="1"/>
  <c r="AW76" i="1" s="1"/>
  <c r="F81" i="1"/>
  <c r="J81" i="1"/>
  <c r="N81" i="1"/>
  <c r="R81" i="1"/>
  <c r="S81" i="1" s="1"/>
  <c r="V81" i="1"/>
  <c r="Z81" i="1"/>
  <c r="AD81" i="1"/>
  <c r="AH81" i="1"/>
  <c r="AI81" i="1" s="1"/>
  <c r="AL81" i="1"/>
  <c r="AP81" i="1"/>
  <c r="AT81" i="1"/>
  <c r="AX81" i="1"/>
  <c r="BB81" i="1"/>
  <c r="V86" i="1"/>
  <c r="U86" i="1"/>
  <c r="BB89" i="1"/>
  <c r="BU89" i="1"/>
  <c r="CC89" i="1"/>
  <c r="CG95" i="1"/>
  <c r="CG97" i="1" s="1"/>
  <c r="J122" i="1"/>
  <c r="BY119" i="1"/>
  <c r="CC119" i="1"/>
  <c r="CF119" i="1" s="1"/>
  <c r="BY120" i="1"/>
  <c r="CC120" i="1"/>
  <c r="CF120" i="1" s="1"/>
  <c r="BY121" i="1"/>
  <c r="CB121" i="1" s="1"/>
  <c r="CC121" i="1"/>
  <c r="BU122" i="1"/>
  <c r="L125" i="1"/>
  <c r="M125" i="1" s="1"/>
  <c r="P125" i="1"/>
  <c r="Q125" i="1" s="1"/>
  <c r="T125" i="1"/>
  <c r="X125" i="1"/>
  <c r="AB125" i="1"/>
  <c r="AC125" i="1" s="1"/>
  <c r="AF125" i="1"/>
  <c r="AJ125" i="1"/>
  <c r="AN125" i="1"/>
  <c r="CE125" i="1"/>
  <c r="D129" i="1"/>
  <c r="D130" i="1" s="1"/>
  <c r="D133" i="1"/>
  <c r="CH132" i="1"/>
  <c r="BX137" i="1"/>
  <c r="CE143" i="1"/>
  <c r="CH157" i="1"/>
  <c r="CE161" i="1"/>
  <c r="N143" i="1"/>
  <c r="CH140" i="1"/>
  <c r="CH144" i="1"/>
  <c r="D154" i="1"/>
  <c r="AW157" i="1"/>
  <c r="AN161" i="1"/>
  <c r="CB157" i="1"/>
  <c r="Q157" i="1"/>
  <c r="AG157" i="1"/>
  <c r="Q166" i="1"/>
  <c r="Y166" i="1"/>
  <c r="AG166" i="1"/>
  <c r="AO166" i="1"/>
  <c r="CB166" i="1"/>
  <c r="AC174" i="1"/>
  <c r="U174" i="1"/>
  <c r="BX174" i="1"/>
  <c r="D221" i="1"/>
  <c r="D194" i="1"/>
  <c r="F187" i="1"/>
  <c r="B258" i="1"/>
  <c r="BL201" i="1"/>
  <c r="BG249" i="1"/>
  <c r="BQ228" i="1"/>
  <c r="BS228" i="1"/>
  <c r="AX241" i="1"/>
  <c r="AY240" i="1"/>
  <c r="BU251" i="1"/>
  <c r="BV247" i="1"/>
  <c r="CD247" i="1"/>
  <c r="Z650" i="1"/>
  <c r="Z274" i="1"/>
  <c r="Z279" i="1"/>
  <c r="AA273" i="1"/>
  <c r="AP650" i="1"/>
  <c r="AP274" i="1"/>
  <c r="AP279" i="1"/>
  <c r="AQ273" i="1"/>
  <c r="CB278" i="1"/>
  <c r="AC294" i="1"/>
  <c r="U294" i="1"/>
  <c r="CB290" i="1"/>
  <c r="BY300" i="1"/>
  <c r="BY328" i="1" s="1"/>
  <c r="BX299" i="1"/>
  <c r="CG300" i="1"/>
  <c r="CF299" i="1"/>
  <c r="CD303" i="1"/>
  <c r="CH303" i="1"/>
  <c r="X328" i="1"/>
  <c r="Y300" i="1"/>
  <c r="AF328" i="1"/>
  <c r="AG328" i="1" s="1"/>
  <c r="AG300" i="1"/>
  <c r="AN328" i="1"/>
  <c r="AO300" i="1"/>
  <c r="AV328" i="1"/>
  <c r="AW328" i="1" s="1"/>
  <c r="AW300" i="1"/>
  <c r="BD328" i="1"/>
  <c r="BE300" i="1"/>
  <c r="BZ307" i="1"/>
  <c r="AY309" i="1"/>
  <c r="AX323" i="1"/>
  <c r="AX318" i="1"/>
  <c r="CG309" i="1"/>
  <c r="AV323" i="1"/>
  <c r="AW309" i="1"/>
  <c r="AV318" i="1"/>
  <c r="B620" i="1"/>
  <c r="B328" i="1"/>
  <c r="B318" i="1"/>
  <c r="B320" i="1" s="1"/>
  <c r="L620" i="1"/>
  <c r="L328" i="1"/>
  <c r="U317" i="1"/>
  <c r="M317" i="1"/>
  <c r="BX33" i="1"/>
  <c r="CB33" i="1"/>
  <c r="CF33" i="1"/>
  <c r="M31" i="1"/>
  <c r="U31" i="1"/>
  <c r="AC31" i="1"/>
  <c r="AK31" i="1"/>
  <c r="AS31" i="1"/>
  <c r="BA31" i="1"/>
  <c r="B35" i="1"/>
  <c r="J38" i="1"/>
  <c r="K38" i="1" s="1"/>
  <c r="R38" i="1"/>
  <c r="S38" i="1" s="1"/>
  <c r="Z38" i="1"/>
  <c r="AH38" i="1"/>
  <c r="AP38" i="1"/>
  <c r="AX38" i="1"/>
  <c r="AY38" i="1" s="1"/>
  <c r="BS46" i="1"/>
  <c r="BW51" i="1"/>
  <c r="BZ52" i="1"/>
  <c r="BV53" i="1"/>
  <c r="CB50" i="1"/>
  <c r="CB54" i="1"/>
  <c r="AE619" i="1"/>
  <c r="AM619" i="1"/>
  <c r="AU619" i="1"/>
  <c r="BC619" i="1"/>
  <c r="BV627" i="1"/>
  <c r="CH627" i="1"/>
  <c r="F58" i="1"/>
  <c r="F60" i="1" s="1"/>
  <c r="N58" i="1"/>
  <c r="Q56" i="1"/>
  <c r="U54" i="1"/>
  <c r="Y56" i="1"/>
  <c r="AG56" i="1"/>
  <c r="AO56" i="1"/>
  <c r="AW56" i="1"/>
  <c r="CC73" i="1"/>
  <c r="CG73" i="1"/>
  <c r="BX74" i="1"/>
  <c r="CB74" i="1"/>
  <c r="CF74" i="1"/>
  <c r="BW75" i="1"/>
  <c r="CA75" i="1"/>
  <c r="CE75" i="1"/>
  <c r="K72" i="1"/>
  <c r="S72" i="1"/>
  <c r="AA72" i="1"/>
  <c r="AI72" i="1"/>
  <c r="AQ72" i="1"/>
  <c r="AY72" i="1"/>
  <c r="M75" i="1"/>
  <c r="Q75" i="1"/>
  <c r="U75" i="1"/>
  <c r="Y75" i="1"/>
  <c r="AC75" i="1"/>
  <c r="AG75" i="1"/>
  <c r="AK75" i="1"/>
  <c r="AO75" i="1"/>
  <c r="AS75" i="1"/>
  <c r="AW75" i="1"/>
  <c r="BA75" i="1"/>
  <c r="BE75" i="1"/>
  <c r="D76" i="1"/>
  <c r="M76" i="1" s="1"/>
  <c r="D81" i="1"/>
  <c r="BV87" i="1"/>
  <c r="BI89" i="1"/>
  <c r="CA89" i="1"/>
  <c r="CI89" i="1"/>
  <c r="CE95" i="1"/>
  <c r="CE97" i="1" s="1"/>
  <c r="BH95" i="1"/>
  <c r="BH96" i="1" s="1"/>
  <c r="CB103" i="1"/>
  <c r="CB104" i="1"/>
  <c r="CB105" i="1"/>
  <c r="J107" i="1"/>
  <c r="K107" i="1" s="1"/>
  <c r="L114" i="1"/>
  <c r="K119" i="1"/>
  <c r="O119" i="1"/>
  <c r="S119" i="1"/>
  <c r="W119" i="1"/>
  <c r="AA119" i="1"/>
  <c r="AE119" i="1"/>
  <c r="AI119" i="1"/>
  <c r="AM119" i="1"/>
  <c r="K120" i="1"/>
  <c r="O120" i="1"/>
  <c r="S120" i="1"/>
  <c r="W120" i="1"/>
  <c r="AA120" i="1"/>
  <c r="AE120" i="1"/>
  <c r="AI120" i="1"/>
  <c r="AM120" i="1"/>
  <c r="K121" i="1"/>
  <c r="O121" i="1"/>
  <c r="S121" i="1"/>
  <c r="W121" i="1"/>
  <c r="AA121" i="1"/>
  <c r="AE121" i="1"/>
  <c r="AI121" i="1"/>
  <c r="AM121" i="1"/>
  <c r="BV119" i="1"/>
  <c r="BV120" i="1"/>
  <c r="BV121" i="1"/>
  <c r="B123" i="1"/>
  <c r="AW119" i="1"/>
  <c r="CH119" i="1"/>
  <c r="D134" i="1"/>
  <c r="BX141" i="1"/>
  <c r="CB141" i="1"/>
  <c r="CF141" i="1"/>
  <c r="BX142" i="1"/>
  <c r="CB142" i="1"/>
  <c r="CF142" i="1"/>
  <c r="BX144" i="1"/>
  <c r="CB144" i="1"/>
  <c r="CF144" i="1"/>
  <c r="AN620" i="1"/>
  <c r="AO620" i="1" s="1"/>
  <c r="S140" i="1"/>
  <c r="CH141" i="1"/>
  <c r="BU154" i="1"/>
  <c r="BV154" i="1" s="1"/>
  <c r="BV157" i="1"/>
  <c r="CD157" i="1"/>
  <c r="U157" i="1"/>
  <c r="AK157" i="1"/>
  <c r="S166" i="1"/>
  <c r="AA166" i="1"/>
  <c r="AI166" i="1"/>
  <c r="BV166" i="1"/>
  <c r="P240" i="1"/>
  <c r="Q240" i="1" s="1"/>
  <c r="Q238" i="1"/>
  <c r="BW204" i="1"/>
  <c r="BW215" i="1" s="1"/>
  <c r="BX215" i="1" s="1"/>
  <c r="BU222" i="1"/>
  <c r="BV222" i="1" s="1"/>
  <c r="BU211" i="1"/>
  <c r="BV211" i="1" s="1"/>
  <c r="BV210" i="1"/>
  <c r="Y213" i="1"/>
  <c r="AQ240" i="1"/>
  <c r="BD241" i="1"/>
  <c r="AI250" i="1"/>
  <c r="AQ250" i="1"/>
  <c r="AY250" i="1"/>
  <c r="BG250" i="1"/>
  <c r="BK250" i="1"/>
  <c r="CI250" i="1"/>
  <c r="R650" i="1"/>
  <c r="R274" i="1"/>
  <c r="AL650" i="1"/>
  <c r="AL274" i="1"/>
  <c r="AL279" i="1"/>
  <c r="AM273" i="1"/>
  <c r="BB650" i="1"/>
  <c r="BB274" i="1"/>
  <c r="BB279" i="1"/>
  <c r="BC273" i="1"/>
  <c r="BQ650" i="1"/>
  <c r="BQ279" i="1"/>
  <c r="BQ274" i="1"/>
  <c r="BG261" i="1"/>
  <c r="BH261" i="1"/>
  <c r="BI261" i="1" s="1"/>
  <c r="BG263" i="1"/>
  <c r="BH263" i="1"/>
  <c r="AE294" i="1"/>
  <c r="W294" i="1"/>
  <c r="CC294" i="1"/>
  <c r="CD290" i="1"/>
  <c r="BE294" i="1"/>
  <c r="AW294" i="1"/>
  <c r="AH320" i="1"/>
  <c r="H620" i="1"/>
  <c r="H328" i="1"/>
  <c r="H318" i="1"/>
  <c r="H320" i="1" s="1"/>
  <c r="N317" i="1"/>
  <c r="O313" i="1"/>
  <c r="BU46" i="1"/>
  <c r="BV46" i="1" s="1"/>
  <c r="Y619" i="1"/>
  <c r="AG619" i="1"/>
  <c r="AO619" i="1"/>
  <c r="AW619" i="1"/>
  <c r="BU56" i="1"/>
  <c r="BY56" i="1"/>
  <c r="CC56" i="1"/>
  <c r="H58" i="1"/>
  <c r="H60" i="1" s="1"/>
  <c r="O56" i="1"/>
  <c r="W56" i="1"/>
  <c r="AE56" i="1"/>
  <c r="AM56" i="1"/>
  <c r="AU56" i="1"/>
  <c r="BC56" i="1"/>
  <c r="CE72" i="1"/>
  <c r="AU628" i="1"/>
  <c r="AM628" i="1"/>
  <c r="AG72" i="1"/>
  <c r="S630" i="1"/>
  <c r="W630" i="1"/>
  <c r="AA630" i="1"/>
  <c r="AE630" i="1"/>
  <c r="AI630" i="1"/>
  <c r="AM630" i="1"/>
  <c r="AQ630" i="1"/>
  <c r="AU630" i="1"/>
  <c r="AY630" i="1"/>
  <c r="BC630" i="1"/>
  <c r="N76" i="1"/>
  <c r="V76" i="1"/>
  <c r="AD76" i="1"/>
  <c r="AE76" i="1" s="1"/>
  <c r="AL76" i="1"/>
  <c r="AT76" i="1"/>
  <c r="BB76" i="1"/>
  <c r="B81" i="1"/>
  <c r="L81" i="1"/>
  <c r="M81" i="1" s="1"/>
  <c r="P81" i="1"/>
  <c r="T81" i="1"/>
  <c r="X81" i="1"/>
  <c r="AB81" i="1"/>
  <c r="AC81" i="1" s="1"/>
  <c r="AF81" i="1"/>
  <c r="AG81" i="1" s="1"/>
  <c r="AJ81" i="1"/>
  <c r="AN81" i="1"/>
  <c r="AR81" i="1"/>
  <c r="AS81" i="1" s="1"/>
  <c r="AV81" i="1"/>
  <c r="AW81" i="1" s="1"/>
  <c r="AZ81" i="1"/>
  <c r="BD81" i="1"/>
  <c r="BM81" i="1" s="1"/>
  <c r="BX86" i="1"/>
  <c r="BW119" i="1"/>
  <c r="BW120" i="1"/>
  <c r="BW121" i="1"/>
  <c r="AW120" i="1"/>
  <c r="CH120" i="1"/>
  <c r="BU133" i="1"/>
  <c r="BU143" i="1"/>
  <c r="BY143" i="1"/>
  <c r="R143" i="1"/>
  <c r="D164" i="1"/>
  <c r="D168" i="1"/>
  <c r="BX157" i="1"/>
  <c r="CF157" i="1"/>
  <c r="U166" i="1"/>
  <c r="AC166" i="1"/>
  <c r="AK166" i="1"/>
  <c r="CH166" i="1"/>
  <c r="BU194" i="1"/>
  <c r="BV194" i="1" s="1"/>
  <c r="BJ224" i="1"/>
  <c r="BI224" i="1"/>
  <c r="BH249" i="1"/>
  <c r="BI249" i="1" s="1"/>
  <c r="Z234" i="1"/>
  <c r="AH241" i="1"/>
  <c r="BA240" i="1"/>
  <c r="BZ247" i="1"/>
  <c r="CH247" i="1"/>
  <c r="V650" i="1"/>
  <c r="V274" i="1"/>
  <c r="V279" i="1"/>
  <c r="AH650" i="1"/>
  <c r="AH274" i="1"/>
  <c r="AH279" i="1"/>
  <c r="AI273" i="1"/>
  <c r="AX650" i="1"/>
  <c r="AX274" i="1"/>
  <c r="AX279" i="1"/>
  <c r="AY273" i="1"/>
  <c r="BS273" i="1"/>
  <c r="BS271" i="1"/>
  <c r="CH278" i="1"/>
  <c r="CS278" i="1"/>
  <c r="BG290" i="1"/>
  <c r="BF294" i="1"/>
  <c r="BL303" i="1"/>
  <c r="BM303" i="1" s="1"/>
  <c r="BL298" i="1"/>
  <c r="BK298" i="1"/>
  <c r="CB299" i="1"/>
  <c r="T328" i="1"/>
  <c r="U300" i="1"/>
  <c r="AB328" i="1"/>
  <c r="AC300" i="1"/>
  <c r="AJ328" i="1"/>
  <c r="AK300" i="1"/>
  <c r="AR328" i="1"/>
  <c r="AS300" i="1"/>
  <c r="AZ328" i="1"/>
  <c r="BA300" i="1"/>
  <c r="L323" i="1"/>
  <c r="M309" i="1"/>
  <c r="L318" i="1"/>
  <c r="T323" i="1"/>
  <c r="T318" i="1"/>
  <c r="U309" i="1"/>
  <c r="AB323" i="1"/>
  <c r="AC309" i="1"/>
  <c r="AB318" i="1"/>
  <c r="AJ323" i="1"/>
  <c r="AK309" i="1"/>
  <c r="AJ318" i="1"/>
  <c r="AR323" i="1"/>
  <c r="AS309" i="1"/>
  <c r="AR318" i="1"/>
  <c r="X320" i="1"/>
  <c r="AN320" i="1"/>
  <c r="D620" i="1"/>
  <c r="D318" i="1"/>
  <c r="D320" i="1" s="1"/>
  <c r="K313" i="1"/>
  <c r="J317" i="1"/>
  <c r="J318" i="1" s="1"/>
  <c r="Q31" i="1"/>
  <c r="Y31" i="1"/>
  <c r="AG31" i="1"/>
  <c r="AO31" i="1"/>
  <c r="AW31" i="1"/>
  <c r="BE31" i="1"/>
  <c r="AA619" i="1"/>
  <c r="AI619" i="1"/>
  <c r="AQ619" i="1"/>
  <c r="AY619" i="1"/>
  <c r="CD620" i="1"/>
  <c r="CH620" i="1"/>
  <c r="B58" i="1"/>
  <c r="B60" i="1" s="1"/>
  <c r="J58" i="1"/>
  <c r="R58" i="1"/>
  <c r="M56" i="1"/>
  <c r="O53" i="1"/>
  <c r="AC56" i="1"/>
  <c r="AK56" i="1"/>
  <c r="AS56" i="1"/>
  <c r="BA56" i="1"/>
  <c r="BV74" i="1"/>
  <c r="BZ74" i="1"/>
  <c r="CD74" i="1"/>
  <c r="CH74" i="1"/>
  <c r="BY75" i="1"/>
  <c r="CC75" i="1"/>
  <c r="CG75" i="1"/>
  <c r="K75" i="1"/>
  <c r="O75" i="1"/>
  <c r="S75" i="1"/>
  <c r="W75" i="1"/>
  <c r="AA75" i="1"/>
  <c r="AE75" i="1"/>
  <c r="AI75" i="1"/>
  <c r="AM75" i="1"/>
  <c r="AQ75" i="1"/>
  <c r="AU75" i="1"/>
  <c r="AY75" i="1"/>
  <c r="BC75" i="1"/>
  <c r="B76" i="1"/>
  <c r="K76" i="1" s="1"/>
  <c r="F76" i="1"/>
  <c r="H81" i="1"/>
  <c r="BU81" i="1"/>
  <c r="BV81" i="1" s="1"/>
  <c r="T800" i="1"/>
  <c r="T700" i="1"/>
  <c r="T702" i="1" s="1"/>
  <c r="BV86" i="1"/>
  <c r="BX87" i="1"/>
  <c r="T89" i="1"/>
  <c r="BW89" i="1"/>
  <c r="BY86" i="1"/>
  <c r="CE89" i="1"/>
  <c r="CG86" i="1"/>
  <c r="L102" i="1"/>
  <c r="AO121" i="1"/>
  <c r="CF121" i="1"/>
  <c r="BZ141" i="1"/>
  <c r="CD142" i="1"/>
  <c r="BV144" i="1"/>
  <c r="BZ144" i="1"/>
  <c r="CD144" i="1"/>
  <c r="BQ649" i="1"/>
  <c r="BQ175" i="1"/>
  <c r="BQ665" i="1" s="1"/>
  <c r="BQ938" i="1" s="1"/>
  <c r="AW142" i="1"/>
  <c r="BZ157" i="1"/>
  <c r="M157" i="1"/>
  <c r="AC157" i="1"/>
  <c r="W166" i="1"/>
  <c r="AE166" i="1"/>
  <c r="AM166" i="1"/>
  <c r="BZ166" i="1"/>
  <c r="CL192" i="1"/>
  <c r="CM192" i="1"/>
  <c r="L240" i="1"/>
  <c r="AC213" i="1"/>
  <c r="AO213" i="1"/>
  <c r="AG213" i="1"/>
  <c r="CL209" i="1"/>
  <c r="CM209" i="1"/>
  <c r="AB234" i="1"/>
  <c r="AB241" i="1" s="1"/>
  <c r="AJ234" i="1"/>
  <c r="AJ241" i="1" s="1"/>
  <c r="AR234" i="1"/>
  <c r="AZ234" i="1"/>
  <c r="Y238" i="1"/>
  <c r="AR241" i="1"/>
  <c r="AS240" i="1"/>
  <c r="AD650" i="1"/>
  <c r="AD274" i="1"/>
  <c r="AD279" i="1"/>
  <c r="AE273" i="1"/>
  <c r="AT650" i="1"/>
  <c r="AT274" i="1"/>
  <c r="AT279" i="1"/>
  <c r="AU273" i="1"/>
  <c r="CL278" i="1"/>
  <c r="BZ278" i="1"/>
  <c r="BY294" i="1"/>
  <c r="BZ290" i="1"/>
  <c r="CG294" i="1"/>
  <c r="CS290" i="1"/>
  <c r="BW309" i="1"/>
  <c r="BX307" i="1"/>
  <c r="V318" i="1"/>
  <c r="V323" i="1"/>
  <c r="AE309" i="1"/>
  <c r="AD318" i="1"/>
  <c r="AD323" i="1"/>
  <c r="AM309" i="1"/>
  <c r="AL318" i="1"/>
  <c r="AL323" i="1"/>
  <c r="AU309" i="1"/>
  <c r="AT318" i="1"/>
  <c r="AT323" i="1"/>
  <c r="BC323" i="1" s="1"/>
  <c r="BD323" i="1"/>
  <c r="BE309" i="1"/>
  <c r="BD318" i="1"/>
  <c r="Z325" i="1"/>
  <c r="BB325" i="1"/>
  <c r="F620" i="1"/>
  <c r="F328" i="1"/>
  <c r="F318" i="1"/>
  <c r="F320" i="1" s="1"/>
  <c r="BU199" i="1"/>
  <c r="BV199" i="1" s="1"/>
  <c r="D198" i="1"/>
  <c r="Q205" i="1"/>
  <c r="Y205" i="1"/>
  <c r="AG205" i="1"/>
  <c r="AO205" i="1"/>
  <c r="H213" i="1"/>
  <c r="Q213" i="1" s="1"/>
  <c r="BJ215" i="1"/>
  <c r="BL216" i="1"/>
  <c r="BU238" i="1"/>
  <c r="BU240" i="1" s="1"/>
  <c r="BV240" i="1" s="1"/>
  <c r="BY238" i="1"/>
  <c r="BY240" i="1" s="1"/>
  <c r="CC238" i="1"/>
  <c r="CC240" i="1" s="1"/>
  <c r="CG238" i="1"/>
  <c r="CG240" i="1" s="1"/>
  <c r="F238" i="1"/>
  <c r="F240" i="1" s="1"/>
  <c r="R238" i="1"/>
  <c r="T238" i="1"/>
  <c r="V238" i="1"/>
  <c r="Z238" i="1"/>
  <c r="AD238" i="1"/>
  <c r="AF238" i="1"/>
  <c r="AO238" i="1" s="1"/>
  <c r="AL238" i="1"/>
  <c r="AT238" i="1"/>
  <c r="BB238" i="1"/>
  <c r="BX245" i="1"/>
  <c r="CB245" i="1"/>
  <c r="CF245" i="1"/>
  <c r="BX249" i="1"/>
  <c r="CB249" i="1"/>
  <c r="CF249" i="1"/>
  <c r="BU252" i="1"/>
  <c r="Q247" i="1"/>
  <c r="U247" i="1"/>
  <c r="O247" i="1"/>
  <c r="AB250" i="1"/>
  <c r="CA250" i="1" s="1"/>
  <c r="AJ250" i="1"/>
  <c r="AR250" i="1"/>
  <c r="AZ250" i="1"/>
  <c r="J251" i="1"/>
  <c r="J619" i="1" s="1"/>
  <c r="N251" i="1"/>
  <c r="N619" i="1" s="1"/>
  <c r="B251" i="1"/>
  <c r="F251" i="1"/>
  <c r="BF255" i="1"/>
  <c r="BW255" i="1"/>
  <c r="BX255" i="1" s="1"/>
  <c r="CA255" i="1"/>
  <c r="CB255" i="1" s="1"/>
  <c r="CE255" i="1"/>
  <c r="CF255" i="1" s="1"/>
  <c r="BL263" i="1"/>
  <c r="BM263" i="1" s="1"/>
  <c r="X271" i="1"/>
  <c r="AB271" i="1"/>
  <c r="AF271" i="1"/>
  <c r="AJ271" i="1"/>
  <c r="AN271" i="1"/>
  <c r="AO271" i="1" s="1"/>
  <c r="AR271" i="1"/>
  <c r="AV271" i="1"/>
  <c r="AZ271" i="1"/>
  <c r="BD271" i="1"/>
  <c r="BE271" i="1" s="1"/>
  <c r="BQ271" i="1"/>
  <c r="BX277" i="1"/>
  <c r="CB277" i="1"/>
  <c r="CA283" i="1"/>
  <c r="BH283" i="1"/>
  <c r="BH290" i="1"/>
  <c r="BV290" i="1"/>
  <c r="CH291" i="1"/>
  <c r="CH292" i="1"/>
  <c r="CH293" i="1"/>
  <c r="W290" i="1"/>
  <c r="AC290" i="1"/>
  <c r="AE290" i="1"/>
  <c r="AG290" i="1"/>
  <c r="AI290" i="1"/>
  <c r="AM290" i="1"/>
  <c r="AO290" i="1"/>
  <c r="AQ290" i="1"/>
  <c r="AS290" i="1"/>
  <c r="AU290" i="1"/>
  <c r="AW290" i="1"/>
  <c r="AY290" i="1"/>
  <c r="BA290" i="1"/>
  <c r="BC290" i="1"/>
  <c r="R294" i="1"/>
  <c r="S294" i="1" s="1"/>
  <c r="Z294" i="1"/>
  <c r="AL294" i="1"/>
  <c r="AX294" i="1"/>
  <c r="AY294" i="1" s="1"/>
  <c r="CL292" i="1"/>
  <c r="BH297" i="1"/>
  <c r="BG298" i="1"/>
  <c r="BV297" i="1"/>
  <c r="BZ297" i="1"/>
  <c r="CD297" i="1"/>
  <c r="CH297" i="1"/>
  <c r="BW300" i="1"/>
  <c r="BX300" i="1" s="1"/>
  <c r="CE300" i="1"/>
  <c r="D300" i="1"/>
  <c r="M300" i="1" s="1"/>
  <c r="M302" i="1"/>
  <c r="Q302" i="1"/>
  <c r="U302" i="1"/>
  <c r="Y302" i="1"/>
  <c r="AC302" i="1"/>
  <c r="AG302" i="1"/>
  <c r="AK302" i="1"/>
  <c r="AO302" i="1"/>
  <c r="AS302" i="1"/>
  <c r="AW302" i="1"/>
  <c r="BA302" i="1"/>
  <c r="BE302" i="1"/>
  <c r="BW303" i="1"/>
  <c r="BX303" i="1" s="1"/>
  <c r="CB307" i="1"/>
  <c r="N309" i="1"/>
  <c r="W309" i="1" s="1"/>
  <c r="BY309" i="1"/>
  <c r="CC309" i="1"/>
  <c r="S309" i="1"/>
  <c r="BW312" i="1"/>
  <c r="BX312" i="1" s="1"/>
  <c r="BW315" i="1"/>
  <c r="BX315" i="1" s="1"/>
  <c r="CB317" i="1"/>
  <c r="CF317" i="1"/>
  <c r="AF318" i="1"/>
  <c r="O312" i="1"/>
  <c r="Q313" i="1"/>
  <c r="N324" i="1"/>
  <c r="W324" i="1" s="1"/>
  <c r="AD324" i="1"/>
  <c r="AE324" i="1" s="1"/>
  <c r="AT324" i="1"/>
  <c r="AU324" i="1" s="1"/>
  <c r="H323" i="1"/>
  <c r="H325" i="1" s="1"/>
  <c r="O335" i="1"/>
  <c r="W335" i="1"/>
  <c r="AE335" i="1"/>
  <c r="AM335" i="1"/>
  <c r="AU335" i="1"/>
  <c r="BC335" i="1"/>
  <c r="BV332" i="1"/>
  <c r="BX332" i="1"/>
  <c r="CD332" i="1"/>
  <c r="CF332" i="1"/>
  <c r="CF334" i="1"/>
  <c r="CE340" i="1"/>
  <c r="BY340" i="1"/>
  <c r="BZ334" i="1"/>
  <c r="AA340" i="1"/>
  <c r="CC340" i="1"/>
  <c r="CD334" i="1"/>
  <c r="AQ340" i="1"/>
  <c r="CG340" i="1"/>
  <c r="CH340" i="1" s="1"/>
  <c r="CH334" i="1"/>
  <c r="AA348" i="1"/>
  <c r="BK348" i="1"/>
  <c r="CH362" i="1"/>
  <c r="S402" i="1"/>
  <c r="AA402" i="1"/>
  <c r="AI402" i="1"/>
  <c r="AQ402" i="1"/>
  <c r="AY402" i="1"/>
  <c r="S395" i="1"/>
  <c r="K395" i="1"/>
  <c r="J396" i="1"/>
  <c r="D413" i="1"/>
  <c r="D417" i="1"/>
  <c r="D414" i="1"/>
  <c r="H417" i="1"/>
  <c r="H414" i="1"/>
  <c r="H413" i="1"/>
  <c r="V401" i="1"/>
  <c r="W394" i="1"/>
  <c r="V396" i="1"/>
  <c r="AD401" i="1"/>
  <c r="AE394" i="1"/>
  <c r="AD396" i="1"/>
  <c r="AL401" i="1"/>
  <c r="AM394" i="1"/>
  <c r="AL396" i="1"/>
  <c r="AT401" i="1"/>
  <c r="AU394" i="1"/>
  <c r="AT396" i="1"/>
  <c r="BB401" i="1"/>
  <c r="BK401" i="1" s="1"/>
  <c r="BC394" i="1"/>
  <c r="BB396" i="1"/>
  <c r="BW402" i="1"/>
  <c r="CE402" i="1"/>
  <c r="BQ652" i="1"/>
  <c r="BQ422" i="1"/>
  <c r="BQ668" i="1" s="1"/>
  <c r="BQ941" i="1" s="1"/>
  <c r="O410" i="1"/>
  <c r="W410" i="1"/>
  <c r="AE410" i="1"/>
  <c r="AM410" i="1"/>
  <c r="AU410" i="1"/>
  <c r="BC410" i="1"/>
  <c r="AT631" i="1"/>
  <c r="AT654" i="1"/>
  <c r="AT443" i="1"/>
  <c r="AU440" i="1"/>
  <c r="BH466" i="1"/>
  <c r="BI461" i="1"/>
  <c r="CF467" i="1"/>
  <c r="P483" i="1"/>
  <c r="Q464" i="1"/>
  <c r="P482" i="1"/>
  <c r="X483" i="1"/>
  <c r="Y483" i="1" s="1"/>
  <c r="Y464" i="1"/>
  <c r="X482" i="1"/>
  <c r="AF483" i="1"/>
  <c r="AG464" i="1"/>
  <c r="AF482" i="1"/>
  <c r="AN483" i="1"/>
  <c r="AO464" i="1"/>
  <c r="AN482" i="1"/>
  <c r="AO482" i="1" s="1"/>
  <c r="AV483" i="1"/>
  <c r="AW464" i="1"/>
  <c r="AV482" i="1"/>
  <c r="BD483" i="1"/>
  <c r="BM464" i="1"/>
  <c r="BE464" i="1"/>
  <c r="BD482" i="1"/>
  <c r="H482" i="1"/>
  <c r="H483" i="1"/>
  <c r="BS483" i="1"/>
  <c r="BS482" i="1"/>
  <c r="Z496" i="1"/>
  <c r="AA476" i="1"/>
  <c r="AH496" i="1"/>
  <c r="AI476" i="1"/>
  <c r="AP496" i="1"/>
  <c r="AQ476" i="1"/>
  <c r="AX496" i="1"/>
  <c r="AY476" i="1"/>
  <c r="O157" i="1"/>
  <c r="W157" i="1"/>
  <c r="AE157" i="1"/>
  <c r="AM157" i="1"/>
  <c r="U171" i="1"/>
  <c r="AC171" i="1"/>
  <c r="CD171" i="1"/>
  <c r="CH171" i="1"/>
  <c r="V173" i="1"/>
  <c r="BY173" i="1" s="1"/>
  <c r="CC173" i="1"/>
  <c r="CC174" i="1" s="1"/>
  <c r="CA174" i="1"/>
  <c r="CE174" i="1"/>
  <c r="BX188" i="1"/>
  <c r="CB188" i="1"/>
  <c r="CF188" i="1"/>
  <c r="CJ192" i="1"/>
  <c r="R196" i="1"/>
  <c r="BU196" i="1"/>
  <c r="BV196" i="1" s="1"/>
  <c r="BY196" i="1"/>
  <c r="BZ196" i="1" s="1"/>
  <c r="CC196" i="1"/>
  <c r="CD196" i="1" s="1"/>
  <c r="CG196" i="1"/>
  <c r="CH196" i="1" s="1"/>
  <c r="D199" i="1"/>
  <c r="BV205" i="1"/>
  <c r="BZ205" i="1"/>
  <c r="CD205" i="1"/>
  <c r="CH205" i="1"/>
  <c r="CJ209" i="1"/>
  <c r="K205" i="1"/>
  <c r="S205" i="1"/>
  <c r="AA205" i="1"/>
  <c r="AI205" i="1"/>
  <c r="B210" i="1"/>
  <c r="B213" i="1"/>
  <c r="J213" i="1"/>
  <c r="N213" i="1"/>
  <c r="O213" i="1" s="1"/>
  <c r="R213" i="1"/>
  <c r="S213" i="1" s="1"/>
  <c r="V213" i="1"/>
  <c r="Z213" i="1"/>
  <c r="AD213" i="1"/>
  <c r="AL213" i="1"/>
  <c r="AM213" i="1" s="1"/>
  <c r="AT213" i="1"/>
  <c r="BB213" i="1"/>
  <c r="BU213" i="1"/>
  <c r="BV213" i="1" s="1"/>
  <c r="BY213" i="1"/>
  <c r="BZ213" i="1" s="1"/>
  <c r="CC213" i="1"/>
  <c r="CD213" i="1" s="1"/>
  <c r="CG213" i="1"/>
  <c r="CH213" i="1" s="1"/>
  <c r="B215" i="1"/>
  <c r="J238" i="1"/>
  <c r="N238" i="1"/>
  <c r="D238" i="1"/>
  <c r="D240" i="1" s="1"/>
  <c r="W239" i="1"/>
  <c r="BF244" i="1"/>
  <c r="BF248" i="1"/>
  <c r="BW251" i="1"/>
  <c r="M247" i="1"/>
  <c r="R250" i="1"/>
  <c r="W250" i="1"/>
  <c r="AE250" i="1"/>
  <c r="AM250" i="1"/>
  <c r="AU250" i="1"/>
  <c r="BC250" i="1"/>
  <c r="BU259" i="1"/>
  <c r="BV259" i="1" s="1"/>
  <c r="BW261" i="1"/>
  <c r="BX261" i="1" s="1"/>
  <c r="CA261" i="1"/>
  <c r="CB261" i="1" s="1"/>
  <c r="CE261" i="1"/>
  <c r="CF261" i="1" s="1"/>
  <c r="BU263" i="1"/>
  <c r="BV263" i="1" s="1"/>
  <c r="BY263" i="1"/>
  <c r="BZ263" i="1" s="1"/>
  <c r="CC263" i="1"/>
  <c r="CD263" i="1" s="1"/>
  <c r="CG263" i="1"/>
  <c r="CH263" i="1" s="1"/>
  <c r="X273" i="1"/>
  <c r="AB273" i="1"/>
  <c r="AF273" i="1"/>
  <c r="AJ273" i="1"/>
  <c r="AN273" i="1"/>
  <c r="AR273" i="1"/>
  <c r="AV273" i="1"/>
  <c r="AZ273" i="1"/>
  <c r="BD273" i="1"/>
  <c r="CS277" i="1"/>
  <c r="BH284" i="1"/>
  <c r="BE290" i="1"/>
  <c r="CE290" i="1"/>
  <c r="CI291" i="1"/>
  <c r="CI293" i="1"/>
  <c r="BW294" i="1"/>
  <c r="BX294" i="1" s="1"/>
  <c r="CA294" i="1"/>
  <c r="CB294" i="1" s="1"/>
  <c r="S290" i="1"/>
  <c r="BF299" i="1"/>
  <c r="J300" i="1"/>
  <c r="K300" i="1" s="1"/>
  <c r="N300" i="1"/>
  <c r="O300" i="1" s="1"/>
  <c r="R300" i="1"/>
  <c r="V300" i="1"/>
  <c r="Z300" i="1"/>
  <c r="AD300" i="1"/>
  <c r="AH300" i="1"/>
  <c r="AL300" i="1"/>
  <c r="AP300" i="1"/>
  <c r="AT300" i="1"/>
  <c r="AX300" i="1"/>
  <c r="BB300" i="1"/>
  <c r="BF302" i="1"/>
  <c r="BF303" i="1"/>
  <c r="BG303" i="1" s="1"/>
  <c r="BJ303" i="1"/>
  <c r="BK303" i="1" s="1"/>
  <c r="BU302" i="1"/>
  <c r="BV302" i="1" s="1"/>
  <c r="BY302" i="1"/>
  <c r="BZ302" i="1" s="1"/>
  <c r="CC302" i="1"/>
  <c r="CD302" i="1" s="1"/>
  <c r="CG302" i="1"/>
  <c r="CH302" i="1" s="1"/>
  <c r="D323" i="1"/>
  <c r="D324" i="1"/>
  <c r="CB308" i="1"/>
  <c r="P323" i="1"/>
  <c r="X323" i="1"/>
  <c r="AF323" i="1"/>
  <c r="AN323" i="1"/>
  <c r="AZ323" i="1"/>
  <c r="BA309" i="1"/>
  <c r="CG328" i="1"/>
  <c r="BW331" i="1"/>
  <c r="BW324" i="1"/>
  <c r="CA331" i="1"/>
  <c r="CA324" i="1"/>
  <c r="CE331" i="1"/>
  <c r="CE324" i="1"/>
  <c r="R318" i="1"/>
  <c r="Z318" i="1"/>
  <c r="AP318" i="1"/>
  <c r="BQ651" i="1"/>
  <c r="BQ349" i="1"/>
  <c r="BQ667" i="1" s="1"/>
  <c r="BQ940" i="1" s="1"/>
  <c r="J323" i="1"/>
  <c r="R324" i="1"/>
  <c r="S324" i="1" s="1"/>
  <c r="AH324" i="1"/>
  <c r="AI324" i="1" s="1"/>
  <c r="AX324" i="1"/>
  <c r="AY324" i="1" s="1"/>
  <c r="AM340" i="1"/>
  <c r="BC340" i="1"/>
  <c r="BU340" i="1"/>
  <c r="BV340" i="1" s="1"/>
  <c r="BV334" i="1"/>
  <c r="BY363" i="1"/>
  <c r="BX362" i="1"/>
  <c r="CG363" i="1"/>
  <c r="CF362" i="1"/>
  <c r="CD366" i="1"/>
  <c r="CH366" i="1"/>
  <c r="Q363" i="1"/>
  <c r="Y363" i="1"/>
  <c r="AG363" i="1"/>
  <c r="AO363" i="1"/>
  <c r="AW363" i="1"/>
  <c r="BE363" i="1"/>
  <c r="U402" i="1"/>
  <c r="AC402" i="1"/>
  <c r="AK402" i="1"/>
  <c r="AS402" i="1"/>
  <c r="BA402" i="1"/>
  <c r="CO370" i="1"/>
  <c r="CN370" i="1"/>
  <c r="U395" i="1"/>
  <c r="M395" i="1"/>
  <c r="BZ380" i="1"/>
  <c r="P401" i="1"/>
  <c r="Q394" i="1"/>
  <c r="X401" i="1"/>
  <c r="X396" i="1"/>
  <c r="Y394" i="1"/>
  <c r="AF401" i="1"/>
  <c r="AF396" i="1"/>
  <c r="AG394" i="1"/>
  <c r="AN401" i="1"/>
  <c r="AN396" i="1"/>
  <c r="AO394" i="1"/>
  <c r="AV401" i="1"/>
  <c r="AV396" i="1"/>
  <c r="AW394" i="1"/>
  <c r="BD401" i="1"/>
  <c r="BD396" i="1"/>
  <c r="BE394" i="1"/>
  <c r="BY410" i="1"/>
  <c r="BS652" i="1"/>
  <c r="BS422" i="1"/>
  <c r="BS668" i="1" s="1"/>
  <c r="BS941" i="1" s="1"/>
  <c r="BE415" i="1"/>
  <c r="AW415" i="1"/>
  <c r="M410" i="1"/>
  <c r="AA421" i="1"/>
  <c r="S421" i="1"/>
  <c r="BW654" i="1"/>
  <c r="BW631" i="1"/>
  <c r="BW443" i="1"/>
  <c r="BX440" i="1"/>
  <c r="AY440" i="1"/>
  <c r="BY455" i="1"/>
  <c r="BY456" i="1" s="1"/>
  <c r="CA448" i="1"/>
  <c r="CH467" i="1"/>
  <c r="CS467" i="1"/>
  <c r="R482" i="1"/>
  <c r="R483" i="1"/>
  <c r="S464" i="1"/>
  <c r="Z482" i="1"/>
  <c r="Z483" i="1"/>
  <c r="AA464" i="1"/>
  <c r="AI464" i="1"/>
  <c r="AP482" i="1"/>
  <c r="AP483" i="1"/>
  <c r="AX482" i="1"/>
  <c r="AX483" i="1"/>
  <c r="AY464" i="1"/>
  <c r="AB496" i="1"/>
  <c r="AC476" i="1"/>
  <c r="AJ496" i="1"/>
  <c r="AK476" i="1"/>
  <c r="AR496" i="1"/>
  <c r="AS476" i="1"/>
  <c r="BU198" i="1"/>
  <c r="BV198" i="1" s="1"/>
  <c r="D200" i="1"/>
  <c r="D201" i="1" s="1"/>
  <c r="M205" i="1"/>
  <c r="U205" i="1"/>
  <c r="AC205" i="1"/>
  <c r="AU205" i="1"/>
  <c r="BC205" i="1"/>
  <c r="BG224" i="1"/>
  <c r="BI226" i="1"/>
  <c r="BW238" i="1"/>
  <c r="BW240" i="1" s="1"/>
  <c r="BX240" i="1" s="1"/>
  <c r="CA238" i="1"/>
  <c r="CA240" i="1" s="1"/>
  <c r="CB240" i="1" s="1"/>
  <c r="CE238" i="1"/>
  <c r="CE240" i="1" s="1"/>
  <c r="AI238" i="1"/>
  <c r="AQ238" i="1"/>
  <c r="AY238" i="1"/>
  <c r="X240" i="1"/>
  <c r="AN240" i="1"/>
  <c r="AV240" i="1"/>
  <c r="BE240" i="1" s="1"/>
  <c r="BV245" i="1"/>
  <c r="BZ245" i="1"/>
  <c r="CD245" i="1"/>
  <c r="CH245" i="1"/>
  <c r="BX247" i="1"/>
  <c r="CB247" i="1"/>
  <c r="CF247" i="1"/>
  <c r="BW252" i="1"/>
  <c r="BW271" i="1" s="1"/>
  <c r="S247" i="1"/>
  <c r="K247" i="1"/>
  <c r="BI250" i="1"/>
  <c r="L251" i="1"/>
  <c r="U251" i="1" s="1"/>
  <c r="W247" i="1"/>
  <c r="Y251" i="1"/>
  <c r="AA247" i="1"/>
  <c r="AC247" i="1"/>
  <c r="AC251" i="1"/>
  <c r="AE247" i="1"/>
  <c r="AG247" i="1"/>
  <c r="AI247" i="1"/>
  <c r="AK247" i="1"/>
  <c r="AM247" i="1"/>
  <c r="AO247" i="1"/>
  <c r="AQ247" i="1"/>
  <c r="AS247" i="1"/>
  <c r="AU247" i="1"/>
  <c r="AW247" i="1"/>
  <c r="AY247" i="1"/>
  <c r="BA247" i="1"/>
  <c r="BC247" i="1"/>
  <c r="D251" i="1"/>
  <c r="H251" i="1"/>
  <c r="P252" i="1"/>
  <c r="T252" i="1"/>
  <c r="R271" i="1"/>
  <c r="V271" i="1"/>
  <c r="Z271" i="1"/>
  <c r="AD271" i="1"/>
  <c r="AH271" i="1"/>
  <c r="AL271" i="1"/>
  <c r="AP271" i="1"/>
  <c r="AT271" i="1"/>
  <c r="AX271" i="1"/>
  <c r="BB271" i="1"/>
  <c r="BV277" i="1"/>
  <c r="BZ277" i="1"/>
  <c r="CD277" i="1"/>
  <c r="R278" i="1"/>
  <c r="X294" i="1"/>
  <c r="Y294" i="1" s="1"/>
  <c r="AZ294" i="1"/>
  <c r="BA294" i="1" s="1"/>
  <c r="BI298" i="1"/>
  <c r="BX297" i="1"/>
  <c r="CB297" i="1"/>
  <c r="CF297" i="1"/>
  <c r="BV299" i="1"/>
  <c r="K299" i="1"/>
  <c r="O299" i="1"/>
  <c r="S299" i="1"/>
  <c r="W299" i="1"/>
  <c r="AA299" i="1"/>
  <c r="AE299" i="1"/>
  <c r="AI299" i="1"/>
  <c r="AM299" i="1"/>
  <c r="AQ299" i="1"/>
  <c r="AU299" i="1"/>
  <c r="AY299" i="1"/>
  <c r="BC299" i="1"/>
  <c r="K302" i="1"/>
  <c r="W302" i="1"/>
  <c r="AA302" i="1"/>
  <c r="AM302" i="1"/>
  <c r="AQ302" i="1"/>
  <c r="BC302" i="1"/>
  <c r="BZ306" i="1"/>
  <c r="AA309" i="1"/>
  <c r="AI309" i="1"/>
  <c r="AQ309" i="1"/>
  <c r="BC309" i="1"/>
  <c r="CA309" i="1"/>
  <c r="CE309" i="1"/>
  <c r="CI310" i="1"/>
  <c r="BU313" i="1"/>
  <c r="BU316" i="1"/>
  <c r="BV316" i="1" s="1"/>
  <c r="AZ318" i="1"/>
  <c r="BS651" i="1"/>
  <c r="BS349" i="1"/>
  <c r="BS667" i="1" s="1"/>
  <c r="BS940" i="1" s="1"/>
  <c r="K312" i="1"/>
  <c r="M313" i="1"/>
  <c r="Y312" i="1"/>
  <c r="AO309" i="1"/>
  <c r="B324" i="1"/>
  <c r="K324" i="1" s="1"/>
  <c r="BJ328" i="1"/>
  <c r="BI328" i="1"/>
  <c r="K335" i="1"/>
  <c r="S335" i="1"/>
  <c r="AA335" i="1"/>
  <c r="AI335" i="1"/>
  <c r="AQ335" i="1"/>
  <c r="AY335" i="1"/>
  <c r="BZ332" i="1"/>
  <c r="CB332" i="1"/>
  <c r="CH332" i="1"/>
  <c r="BX334" i="1"/>
  <c r="BW340" i="1"/>
  <c r="BX340" i="1" s="1"/>
  <c r="BF340" i="1"/>
  <c r="AY340" i="1"/>
  <c r="W402" i="1"/>
  <c r="AE402" i="1"/>
  <c r="AM402" i="1"/>
  <c r="AU402" i="1"/>
  <c r="BC402" i="1"/>
  <c r="W395" i="1"/>
  <c r="O395" i="1"/>
  <c r="B414" i="1"/>
  <c r="B417" i="1"/>
  <c r="B413" i="1"/>
  <c r="F414" i="1"/>
  <c r="F413" i="1"/>
  <c r="F417" i="1"/>
  <c r="BM378" i="1"/>
  <c r="R396" i="1"/>
  <c r="R401" i="1"/>
  <c r="S394" i="1"/>
  <c r="Z396" i="1"/>
  <c r="Z401" i="1"/>
  <c r="AA394" i="1"/>
  <c r="CA394" i="1"/>
  <c r="AH396" i="1"/>
  <c r="CC394" i="1"/>
  <c r="AH401" i="1"/>
  <c r="AI394" i="1"/>
  <c r="AP396" i="1"/>
  <c r="AP401" i="1"/>
  <c r="AQ394" i="1"/>
  <c r="CE394" i="1"/>
  <c r="AX396" i="1"/>
  <c r="CG394" i="1"/>
  <c r="AX401" i="1"/>
  <c r="AY394" i="1"/>
  <c r="CA402" i="1"/>
  <c r="K410" i="1"/>
  <c r="S410" i="1"/>
  <c r="AA410" i="1"/>
  <c r="AI410" i="1"/>
  <c r="AQ410" i="1"/>
  <c r="AY410" i="1"/>
  <c r="AG415" i="1"/>
  <c r="Y415" i="1"/>
  <c r="Q410" i="1"/>
  <c r="CI426" i="1"/>
  <c r="CJ426" i="1" s="1"/>
  <c r="BL427" i="1"/>
  <c r="CI427" i="1" s="1"/>
  <c r="AP654" i="1"/>
  <c r="AP631" i="1"/>
  <c r="AP443" i="1"/>
  <c r="AQ440" i="1"/>
  <c r="CS439" i="1"/>
  <c r="CR439" i="1"/>
  <c r="CJ449" i="1"/>
  <c r="CA469" i="1"/>
  <c r="CJ467" i="1"/>
  <c r="J482" i="1"/>
  <c r="J483" i="1"/>
  <c r="T483" i="1"/>
  <c r="T482" i="1"/>
  <c r="AB483" i="1"/>
  <c r="AC464" i="1"/>
  <c r="AB482" i="1"/>
  <c r="AJ483" i="1"/>
  <c r="AK464" i="1"/>
  <c r="AJ482" i="1"/>
  <c r="AR483" i="1"/>
  <c r="AS464" i="1"/>
  <c r="AR482" i="1"/>
  <c r="AZ483" i="1"/>
  <c r="BA464" i="1"/>
  <c r="AZ482" i="1"/>
  <c r="D482" i="1"/>
  <c r="D483" i="1"/>
  <c r="V496" i="1"/>
  <c r="W476" i="1"/>
  <c r="AD496" i="1"/>
  <c r="AE476" i="1"/>
  <c r="AL496" i="1"/>
  <c r="AM476" i="1"/>
  <c r="AT496" i="1"/>
  <c r="AU476" i="1"/>
  <c r="BB496" i="1"/>
  <c r="BC476" i="1"/>
  <c r="K157" i="1"/>
  <c r="S157" i="1"/>
  <c r="AA157" i="1"/>
  <c r="AI157" i="1"/>
  <c r="BY171" i="1"/>
  <c r="W171" i="1"/>
  <c r="P196" i="1"/>
  <c r="BX205" i="1"/>
  <c r="CB205" i="1"/>
  <c r="CF205" i="1"/>
  <c r="L213" i="1"/>
  <c r="M213" i="1" s="1"/>
  <c r="BJ226" i="1"/>
  <c r="BE250" i="1"/>
  <c r="M324" i="1"/>
  <c r="U324" i="1"/>
  <c r="Y324" i="1"/>
  <c r="AC324" i="1"/>
  <c r="AG324" i="1"/>
  <c r="AK324" i="1"/>
  <c r="AO324" i="1"/>
  <c r="AS324" i="1"/>
  <c r="AW324" i="1"/>
  <c r="BA324" i="1"/>
  <c r="BE324" i="1"/>
  <c r="B325" i="1"/>
  <c r="F324" i="1"/>
  <c r="F323" i="1"/>
  <c r="BU331" i="1"/>
  <c r="BY324" i="1"/>
  <c r="BZ324" i="1" s="1"/>
  <c r="BY331" i="1"/>
  <c r="CC324" i="1"/>
  <c r="CD324" i="1" s="1"/>
  <c r="CC331" i="1"/>
  <c r="CG324" i="1"/>
  <c r="CH324" i="1" s="1"/>
  <c r="CG331" i="1"/>
  <c r="P317" i="1"/>
  <c r="BB318" i="1"/>
  <c r="Q316" i="1"/>
  <c r="Y309" i="1"/>
  <c r="AH323" i="1"/>
  <c r="AQ323" i="1" s="1"/>
  <c r="BF324" i="1"/>
  <c r="L335" i="1"/>
  <c r="M335" i="1" s="1"/>
  <c r="M331" i="1"/>
  <c r="T335" i="1"/>
  <c r="U331" i="1"/>
  <c r="AB335" i="1"/>
  <c r="AC331" i="1"/>
  <c r="AJ335" i="1"/>
  <c r="AK331" i="1"/>
  <c r="AR335" i="1"/>
  <c r="AS331" i="1"/>
  <c r="AZ335" i="1"/>
  <c r="BA331" i="1"/>
  <c r="CB334" i="1"/>
  <c r="CA340" i="1"/>
  <c r="CB340" i="1" s="1"/>
  <c r="AE340" i="1"/>
  <c r="AU340" i="1"/>
  <c r="BJ354" i="1"/>
  <c r="BJ353" i="1"/>
  <c r="BH355" i="1"/>
  <c r="CJ361" i="1"/>
  <c r="CK361" i="1"/>
  <c r="CC363" i="1"/>
  <c r="CB362" i="1"/>
  <c r="CI366" i="1"/>
  <c r="CJ366" i="1" s="1"/>
  <c r="CD362" i="1"/>
  <c r="U363" i="1"/>
  <c r="AC363" i="1"/>
  <c r="AK363" i="1"/>
  <c r="AS363" i="1"/>
  <c r="BA363" i="1"/>
  <c r="Y402" i="1"/>
  <c r="AG402" i="1"/>
  <c r="AO402" i="1"/>
  <c r="AW402" i="1"/>
  <c r="BF402" i="1"/>
  <c r="BE402" i="1"/>
  <c r="BG378" i="1"/>
  <c r="CI378" i="1"/>
  <c r="BI378" i="1"/>
  <c r="CH380" i="1"/>
  <c r="L401" i="1"/>
  <c r="M394" i="1"/>
  <c r="L396" i="1"/>
  <c r="T401" i="1"/>
  <c r="U394" i="1"/>
  <c r="T396" i="1"/>
  <c r="AB401" i="1"/>
  <c r="AC394" i="1"/>
  <c r="AB396" i="1"/>
  <c r="AJ401" i="1"/>
  <c r="AK394" i="1"/>
  <c r="AJ396" i="1"/>
  <c r="AR401" i="1"/>
  <c r="AS394" i="1"/>
  <c r="AR396" i="1"/>
  <c r="AZ401" i="1"/>
  <c r="BA394" i="1"/>
  <c r="AZ396" i="1"/>
  <c r="BU410" i="1"/>
  <c r="BV410" i="1" s="1"/>
  <c r="BV406" i="1"/>
  <c r="N396" i="1"/>
  <c r="AK415" i="1"/>
  <c r="AS415" i="1"/>
  <c r="BA415" i="1"/>
  <c r="BH415" i="1"/>
  <c r="BI415" i="1" s="1"/>
  <c r="CB421" i="1"/>
  <c r="CK428" i="1"/>
  <c r="CJ428" i="1"/>
  <c r="CA654" i="1"/>
  <c r="CA631" i="1"/>
  <c r="CA443" i="1"/>
  <c r="CB440" i="1"/>
  <c r="BV452" i="1"/>
  <c r="BU456" i="1"/>
  <c r="BV456" i="1" s="1"/>
  <c r="BW448" i="1"/>
  <c r="CD467" i="1"/>
  <c r="N482" i="1"/>
  <c r="N483" i="1"/>
  <c r="O483" i="1" s="1"/>
  <c r="O464" i="1"/>
  <c r="V482" i="1"/>
  <c r="V483" i="1"/>
  <c r="W464" i="1"/>
  <c r="AD482" i="1"/>
  <c r="AD483" i="1"/>
  <c r="AE464" i="1"/>
  <c r="AL482" i="1"/>
  <c r="AM482" i="1" s="1"/>
  <c r="AL483" i="1"/>
  <c r="AM464" i="1"/>
  <c r="AT482" i="1"/>
  <c r="AT483" i="1"/>
  <c r="AU483" i="1" s="1"/>
  <c r="AU464" i="1"/>
  <c r="BB482" i="1"/>
  <c r="BB483" i="1"/>
  <c r="BC464" i="1"/>
  <c r="F483" i="1"/>
  <c r="F482" i="1"/>
  <c r="BW479" i="1"/>
  <c r="CA479" i="1"/>
  <c r="CE479" i="1"/>
  <c r="X496" i="1"/>
  <c r="Y476" i="1"/>
  <c r="AF496" i="1"/>
  <c r="AG476" i="1"/>
  <c r="AN496" i="1"/>
  <c r="AO476" i="1"/>
  <c r="AV496" i="1"/>
  <c r="BE496" i="1" s="1"/>
  <c r="AW476" i="1"/>
  <c r="D340" i="1"/>
  <c r="V345" i="1"/>
  <c r="BZ346" i="1"/>
  <c r="CD346" i="1"/>
  <c r="CG347" i="1"/>
  <c r="CS347" i="1" s="1"/>
  <c r="CS345" i="1"/>
  <c r="CE353" i="1"/>
  <c r="CF353" i="1" s="1"/>
  <c r="CI353" i="1"/>
  <c r="CH354" i="1"/>
  <c r="BF355" i="1"/>
  <c r="BH360" i="1"/>
  <c r="BG361" i="1"/>
  <c r="BK361" i="1"/>
  <c r="BV360" i="1"/>
  <c r="BZ360" i="1"/>
  <c r="CD360" i="1"/>
  <c r="CH360" i="1"/>
  <c r="BW363" i="1"/>
  <c r="BX363" i="1" s="1"/>
  <c r="CA363" i="1"/>
  <c r="CB363" i="1" s="1"/>
  <c r="CE363" i="1"/>
  <c r="D363" i="1"/>
  <c r="M363" i="1" s="1"/>
  <c r="M365" i="1"/>
  <c r="Q365" i="1"/>
  <c r="U365" i="1"/>
  <c r="Y365" i="1"/>
  <c r="AC365" i="1"/>
  <c r="AG365" i="1"/>
  <c r="AK365" i="1"/>
  <c r="AO365" i="1"/>
  <c r="AS365" i="1"/>
  <c r="AW365" i="1"/>
  <c r="BA365" i="1"/>
  <c r="BE365" i="1"/>
  <c r="BW366" i="1"/>
  <c r="BX366" i="1" s="1"/>
  <c r="BX370" i="1"/>
  <c r="CB370" i="1"/>
  <c r="CF370" i="1"/>
  <c r="CJ370" i="1"/>
  <c r="BU373" i="1"/>
  <c r="BY373" i="1"/>
  <c r="CC373" i="1"/>
  <c r="CG373" i="1"/>
  <c r="K373" i="1"/>
  <c r="O373" i="1"/>
  <c r="BG370" i="1"/>
  <c r="BM371" i="1"/>
  <c r="BH379" i="1"/>
  <c r="BH380" i="1" s="1"/>
  <c r="BI380" i="1" s="1"/>
  <c r="CI377" i="1"/>
  <c r="BV378" i="1"/>
  <c r="BZ378" i="1"/>
  <c r="CD378" i="1"/>
  <c r="CH378" i="1"/>
  <c r="BW381" i="1"/>
  <c r="BX381" i="1" s="1"/>
  <c r="CA381" i="1"/>
  <c r="CB381" i="1" s="1"/>
  <c r="CE381" i="1"/>
  <c r="CF381" i="1" s="1"/>
  <c r="BF380" i="1"/>
  <c r="BG380" i="1" s="1"/>
  <c r="M387" i="1"/>
  <c r="Q387" i="1"/>
  <c r="BU387" i="1"/>
  <c r="BV387" i="1" s="1"/>
  <c r="BY392" i="1"/>
  <c r="BY394" i="1" s="1"/>
  <c r="BX397" i="1"/>
  <c r="CB397" i="1"/>
  <c r="CF397" i="1"/>
  <c r="B402" i="1"/>
  <c r="K402" i="1" s="1"/>
  <c r="H401" i="1"/>
  <c r="H403" i="1" s="1"/>
  <c r="BX408" i="1"/>
  <c r="CB408" i="1"/>
  <c r="CF408" i="1"/>
  <c r="CE409" i="1"/>
  <c r="W406" i="1"/>
  <c r="AE406" i="1"/>
  <c r="AM406" i="1"/>
  <c r="AU406" i="1"/>
  <c r="BC406" i="1"/>
  <c r="AG409" i="1"/>
  <c r="AK409" i="1"/>
  <c r="AO409" i="1"/>
  <c r="AS409" i="1"/>
  <c r="AW409" i="1"/>
  <c r="BA409" i="1"/>
  <c r="AH415" i="1"/>
  <c r="AI415" i="1" s="1"/>
  <c r="AL415" i="1"/>
  <c r="AM415" i="1" s="1"/>
  <c r="AP415" i="1"/>
  <c r="AQ415" i="1" s="1"/>
  <c r="AT415" i="1"/>
  <c r="AX415" i="1"/>
  <c r="BB415" i="1"/>
  <c r="AI420" i="1"/>
  <c r="AU420" i="1"/>
  <c r="BV420" i="1"/>
  <c r="BZ420" i="1"/>
  <c r="CH420" i="1"/>
  <c r="AD421" i="1"/>
  <c r="AH421" i="1"/>
  <c r="AT421" i="1"/>
  <c r="AU421" i="1" s="1"/>
  <c r="BB421" i="1"/>
  <c r="CG421" i="1"/>
  <c r="CH421" i="1" s="1"/>
  <c r="CC426" i="1"/>
  <c r="BF432" i="1"/>
  <c r="BJ434" i="1"/>
  <c r="BE434" i="1"/>
  <c r="CG432" i="1"/>
  <c r="AY439" i="1"/>
  <c r="BE439" i="1"/>
  <c r="D654" i="1"/>
  <c r="D631" i="1"/>
  <c r="D633" i="1" s="1"/>
  <c r="AC442" i="1"/>
  <c r="AK442" i="1"/>
  <c r="AU442" i="1"/>
  <c r="CE442" i="1"/>
  <c r="D443" i="1"/>
  <c r="D670" i="1" s="1"/>
  <c r="BS443" i="1"/>
  <c r="BS670" i="1" s="1"/>
  <c r="BS943" i="1" s="1"/>
  <c r="BH451" i="1"/>
  <c r="BI451" i="1" s="1"/>
  <c r="BX461" i="1"/>
  <c r="CB461" i="1"/>
  <c r="CF461" i="1"/>
  <c r="CJ461" i="1"/>
  <c r="BX462" i="1"/>
  <c r="CB462" i="1"/>
  <c r="CF462" i="1"/>
  <c r="CS462" i="1"/>
  <c r="K463" i="1"/>
  <c r="O463" i="1"/>
  <c r="S463" i="1"/>
  <c r="W463" i="1"/>
  <c r="AA463" i="1"/>
  <c r="AE463" i="1"/>
  <c r="AI463" i="1"/>
  <c r="AM463" i="1"/>
  <c r="AQ463" i="1"/>
  <c r="AU463" i="1"/>
  <c r="AY463" i="1"/>
  <c r="BC463" i="1"/>
  <c r="B464" i="1"/>
  <c r="K464" i="1" s="1"/>
  <c r="M466" i="1"/>
  <c r="Q466" i="1"/>
  <c r="U466" i="1"/>
  <c r="Y466" i="1"/>
  <c r="AC466" i="1"/>
  <c r="AG466" i="1"/>
  <c r="AK466" i="1"/>
  <c r="AO466" i="1"/>
  <c r="AS466" i="1"/>
  <c r="AW466" i="1"/>
  <c r="BA466" i="1"/>
  <c r="BE466" i="1"/>
  <c r="BE467" i="1"/>
  <c r="BF475" i="1"/>
  <c r="BY475" i="1"/>
  <c r="BZ475" i="1" s="1"/>
  <c r="CC475" i="1"/>
  <c r="CG475" i="1"/>
  <c r="BU476" i="1"/>
  <c r="BY476" i="1"/>
  <c r="CC476" i="1"/>
  <c r="CG476" i="1"/>
  <c r="Y475" i="1"/>
  <c r="AC475" i="1"/>
  <c r="AG475" i="1"/>
  <c r="AK475" i="1"/>
  <c r="AO475" i="1"/>
  <c r="AS475" i="1"/>
  <c r="AW475" i="1"/>
  <c r="BA475" i="1"/>
  <c r="D685" i="1"/>
  <c r="D500" i="1"/>
  <c r="D497" i="1"/>
  <c r="K476" i="1"/>
  <c r="O476" i="1"/>
  <c r="S476" i="1"/>
  <c r="F479" i="1"/>
  <c r="L479" i="1"/>
  <c r="P479" i="1"/>
  <c r="T479" i="1"/>
  <c r="X479" i="1"/>
  <c r="AB479" i="1"/>
  <c r="AC479" i="1" s="1"/>
  <c r="AF479" i="1"/>
  <c r="AJ479" i="1"/>
  <c r="AN479" i="1"/>
  <c r="AR479" i="1"/>
  <c r="AS479" i="1" s="1"/>
  <c r="AV479" i="1"/>
  <c r="AZ479" i="1"/>
  <c r="BD479" i="1"/>
  <c r="BS479" i="1"/>
  <c r="BZ486" i="1"/>
  <c r="CE492" i="1"/>
  <c r="BY493" i="1"/>
  <c r="BZ487" i="1"/>
  <c r="CE493" i="1"/>
  <c r="BY494" i="1"/>
  <c r="BZ488" i="1"/>
  <c r="CE494" i="1"/>
  <c r="BY489" i="1"/>
  <c r="CE489" i="1"/>
  <c r="AY492" i="1"/>
  <c r="M514" i="1"/>
  <c r="N510" i="1"/>
  <c r="L515" i="1"/>
  <c r="M515" i="1" s="1"/>
  <c r="J541" i="1"/>
  <c r="K530" i="1"/>
  <c r="J562" i="1"/>
  <c r="J531" i="1"/>
  <c r="Q548" i="1"/>
  <c r="P551" i="1"/>
  <c r="CB546" i="1"/>
  <c r="CD546" i="1"/>
  <c r="CF546" i="1"/>
  <c r="CH546" i="1"/>
  <c r="AP553" i="1"/>
  <c r="BV565" i="1"/>
  <c r="CD565" i="1"/>
  <c r="H576" i="1"/>
  <c r="H573" i="1"/>
  <c r="H572" i="1"/>
  <c r="Q569" i="1"/>
  <c r="P335" i="1"/>
  <c r="Q335" i="1" s="1"/>
  <c r="X335" i="1"/>
  <c r="Y335" i="1" s="1"/>
  <c r="AF335" i="1"/>
  <c r="AN335" i="1"/>
  <c r="AV335" i="1"/>
  <c r="AW335" i="1" s="1"/>
  <c r="BD335" i="1"/>
  <c r="BE335" i="1" s="1"/>
  <c r="L340" i="1"/>
  <c r="M340" i="1" s="1"/>
  <c r="P340" i="1"/>
  <c r="Q340" i="1" s="1"/>
  <c r="T340" i="1"/>
  <c r="X340" i="1"/>
  <c r="Y340" i="1" s="1"/>
  <c r="AB340" i="1"/>
  <c r="AF340" i="1"/>
  <c r="AJ340" i="1"/>
  <c r="AN340" i="1"/>
  <c r="AO340" i="1" s="1"/>
  <c r="AR340" i="1"/>
  <c r="AV340" i="1"/>
  <c r="AZ340" i="1"/>
  <c r="BD340" i="1"/>
  <c r="BE340" i="1" s="1"/>
  <c r="BW348" i="1"/>
  <c r="BX348" i="1" s="1"/>
  <c r="CA348" i="1"/>
  <c r="CI348" i="1"/>
  <c r="AF348" i="1"/>
  <c r="AG348" i="1" s="1"/>
  <c r="J363" i="1"/>
  <c r="K363" i="1" s="1"/>
  <c r="N363" i="1"/>
  <c r="O363" i="1" s="1"/>
  <c r="R363" i="1"/>
  <c r="V363" i="1"/>
  <c r="W363" i="1" s="1"/>
  <c r="Z363" i="1"/>
  <c r="AD363" i="1"/>
  <c r="AH363" i="1"/>
  <c r="AL363" i="1"/>
  <c r="AM363" i="1" s="1"/>
  <c r="AP363" i="1"/>
  <c r="AT363" i="1"/>
  <c r="AX363" i="1"/>
  <c r="BB363" i="1"/>
  <c r="BC363" i="1" s="1"/>
  <c r="BF363" i="1"/>
  <c r="BJ366" i="1"/>
  <c r="BK366" i="1" s="1"/>
  <c r="BY365" i="1"/>
  <c r="BZ365" i="1" s="1"/>
  <c r="CC365" i="1"/>
  <c r="CD365" i="1" s="1"/>
  <c r="CG365" i="1"/>
  <c r="CH365" i="1" s="1"/>
  <c r="BU374" i="1"/>
  <c r="BV374" i="1" s="1"/>
  <c r="BY374" i="1"/>
  <c r="BZ374" i="1" s="1"/>
  <c r="CC374" i="1"/>
  <c r="CD374" i="1" s="1"/>
  <c r="CG374" i="1"/>
  <c r="CH374" i="1" s="1"/>
  <c r="BG377" i="1"/>
  <c r="BG381" i="1"/>
  <c r="BM377" i="1"/>
  <c r="S387" i="1"/>
  <c r="CB393" i="1"/>
  <c r="P395" i="1"/>
  <c r="P396" i="1" s="1"/>
  <c r="O394" i="1"/>
  <c r="J401" i="1"/>
  <c r="N401" i="1"/>
  <c r="BU402" i="1"/>
  <c r="BV402" i="1" s="1"/>
  <c r="BY402" i="1"/>
  <c r="BZ402" i="1" s="1"/>
  <c r="F401" i="1"/>
  <c r="F403" i="1" s="1"/>
  <c r="BW406" i="1"/>
  <c r="CA406" i="1"/>
  <c r="CD406" i="1" s="1"/>
  <c r="CE406" i="1"/>
  <c r="CE439" i="1"/>
  <c r="CF439" i="1" s="1"/>
  <c r="CI439" i="1"/>
  <c r="F654" i="1"/>
  <c r="F631" i="1"/>
  <c r="F633" i="1" s="1"/>
  <c r="L654" i="1"/>
  <c r="L631" i="1"/>
  <c r="M631" i="1" s="1"/>
  <c r="P654" i="1"/>
  <c r="P631" i="1"/>
  <c r="T654" i="1"/>
  <c r="T631" i="1"/>
  <c r="U631" i="1" s="1"/>
  <c r="X654" i="1"/>
  <c r="X631" i="1"/>
  <c r="Y631" i="1" s="1"/>
  <c r="AB654" i="1"/>
  <c r="AB631" i="1"/>
  <c r="AC631" i="1" s="1"/>
  <c r="AF654" i="1"/>
  <c r="AF631" i="1"/>
  <c r="AG631" i="1" s="1"/>
  <c r="AJ440" i="1"/>
  <c r="AN654" i="1"/>
  <c r="AN631" i="1"/>
  <c r="AR654" i="1"/>
  <c r="AR631" i="1"/>
  <c r="AV654" i="1"/>
  <c r="AV631" i="1"/>
  <c r="AW631" i="1" s="1"/>
  <c r="AZ654" i="1"/>
  <c r="AZ631" i="1"/>
  <c r="BA631" i="1" s="1"/>
  <c r="BD440" i="1"/>
  <c r="BU654" i="1"/>
  <c r="BU631" i="1"/>
  <c r="BV631" i="1" s="1"/>
  <c r="BY654" i="1"/>
  <c r="BY631" i="1"/>
  <c r="CC440" i="1"/>
  <c r="F443" i="1"/>
  <c r="F670" i="1" s="1"/>
  <c r="L443" i="1"/>
  <c r="P443" i="1"/>
  <c r="T443" i="1"/>
  <c r="X443" i="1"/>
  <c r="AB443" i="1"/>
  <c r="AF443" i="1"/>
  <c r="AN443" i="1"/>
  <c r="AR443" i="1"/>
  <c r="AV443" i="1"/>
  <c r="AZ443" i="1"/>
  <c r="BU463" i="1"/>
  <c r="BX463" i="1" s="1"/>
  <c r="BY463" i="1"/>
  <c r="CC463" i="1"/>
  <c r="CF463" i="1" s="1"/>
  <c r="CG463" i="1"/>
  <c r="CJ463" i="1" s="1"/>
  <c r="L464" i="1"/>
  <c r="BM463" i="1"/>
  <c r="BF467" i="1"/>
  <c r="BG467" i="1" s="1"/>
  <c r="BU466" i="1"/>
  <c r="BV466" i="1" s="1"/>
  <c r="BY466" i="1"/>
  <c r="BZ466" i="1" s="1"/>
  <c r="CC466" i="1"/>
  <c r="CD466" i="1" s="1"/>
  <c r="CG466" i="1"/>
  <c r="CJ466" i="1" s="1"/>
  <c r="BU467" i="1"/>
  <c r="BV467" i="1" s="1"/>
  <c r="BM466" i="1"/>
  <c r="F685" i="1"/>
  <c r="F500" i="1"/>
  <c r="F497" i="1"/>
  <c r="L685" i="1"/>
  <c r="L500" i="1"/>
  <c r="M500" i="1" s="1"/>
  <c r="M496" i="1"/>
  <c r="L497" i="1"/>
  <c r="P685" i="1"/>
  <c r="P500" i="1"/>
  <c r="P497" i="1"/>
  <c r="Q496" i="1"/>
  <c r="T685" i="1"/>
  <c r="T500" i="1"/>
  <c r="U500" i="1" s="1"/>
  <c r="U496" i="1"/>
  <c r="T497" i="1"/>
  <c r="AZ476" i="1"/>
  <c r="BM496" i="1"/>
  <c r="BD500" i="1"/>
  <c r="BD497" i="1"/>
  <c r="BS500" i="1"/>
  <c r="BS497" i="1"/>
  <c r="H479" i="1"/>
  <c r="BU492" i="1"/>
  <c r="BV492" i="1" s="1"/>
  <c r="BV486" i="1"/>
  <c r="CA492" i="1"/>
  <c r="BU493" i="1"/>
  <c r="BV493" i="1" s="1"/>
  <c r="BV487" i="1"/>
  <c r="CA493" i="1"/>
  <c r="CB493" i="1" s="1"/>
  <c r="BU494" i="1"/>
  <c r="BV494" i="1" s="1"/>
  <c r="BV488" i="1"/>
  <c r="CA494" i="1"/>
  <c r="CB494" i="1" s="1"/>
  <c r="BU489" i="1"/>
  <c r="BV489" i="1" s="1"/>
  <c r="CA489" i="1"/>
  <c r="BA492" i="1"/>
  <c r="BY533" i="1"/>
  <c r="BW548" i="1"/>
  <c r="BX546" i="1"/>
  <c r="T551" i="1"/>
  <c r="U548" i="1"/>
  <c r="AB551" i="1"/>
  <c r="AC548" i="1"/>
  <c r="AJ551" i="1"/>
  <c r="AK548" i="1"/>
  <c r="AR551" i="1"/>
  <c r="AS548" i="1"/>
  <c r="AZ551" i="1"/>
  <c r="BA548" i="1"/>
  <c r="J553" i="1"/>
  <c r="K551" i="1"/>
  <c r="R553" i="1"/>
  <c r="S551" i="1"/>
  <c r="CG548" i="1"/>
  <c r="BX565" i="1"/>
  <c r="CF565" i="1"/>
  <c r="B576" i="1"/>
  <c r="B573" i="1"/>
  <c r="B572" i="1"/>
  <c r="CG333" i="1"/>
  <c r="U334" i="1"/>
  <c r="AK334" i="1"/>
  <c r="BA334" i="1"/>
  <c r="BV345" i="1"/>
  <c r="CR348" i="1"/>
  <c r="CG353" i="1"/>
  <c r="CH353" i="1" s="1"/>
  <c r="CF354" i="1"/>
  <c r="BH353" i="1"/>
  <c r="BM361" i="1"/>
  <c r="BX360" i="1"/>
  <c r="CB360" i="1"/>
  <c r="CF360" i="1"/>
  <c r="BV362" i="1"/>
  <c r="K362" i="1"/>
  <c r="O362" i="1"/>
  <c r="S362" i="1"/>
  <c r="W362" i="1"/>
  <c r="AA362" i="1"/>
  <c r="AE362" i="1"/>
  <c r="AI362" i="1"/>
  <c r="AM362" i="1"/>
  <c r="AQ362" i="1"/>
  <c r="AU362" i="1"/>
  <c r="AY362" i="1"/>
  <c r="BC362" i="1"/>
  <c r="BG362" i="1"/>
  <c r="K365" i="1"/>
  <c r="O365" i="1"/>
  <c r="S365" i="1"/>
  <c r="W365" i="1"/>
  <c r="AA365" i="1"/>
  <c r="AE365" i="1"/>
  <c r="AI365" i="1"/>
  <c r="AM365" i="1"/>
  <c r="AQ365" i="1"/>
  <c r="AU365" i="1"/>
  <c r="AY365" i="1"/>
  <c r="BC365" i="1"/>
  <c r="BG365" i="1"/>
  <c r="CL370" i="1"/>
  <c r="BW373" i="1"/>
  <c r="CA373" i="1"/>
  <c r="CB373" i="1" s="1"/>
  <c r="CE373" i="1"/>
  <c r="CF373" i="1" s="1"/>
  <c r="M373" i="1"/>
  <c r="BH372" i="1"/>
  <c r="BH373" i="1" s="1"/>
  <c r="BI371" i="1"/>
  <c r="BK378" i="1"/>
  <c r="BX378" i="1"/>
  <c r="CB378" i="1"/>
  <c r="CF378" i="1"/>
  <c r="O387" i="1"/>
  <c r="CI387" i="1"/>
  <c r="BU388" i="1"/>
  <c r="BV388" i="1" s="1"/>
  <c r="BW392" i="1"/>
  <c r="BX392" i="1" s="1"/>
  <c r="BF397" i="1"/>
  <c r="BV397" i="1"/>
  <c r="BZ397" i="1"/>
  <c r="CD397" i="1"/>
  <c r="CH397" i="1"/>
  <c r="D401" i="1"/>
  <c r="D403" i="1" s="1"/>
  <c r="BE409" i="1"/>
  <c r="BV408" i="1"/>
  <c r="BZ408" i="1"/>
  <c r="CD408" i="1"/>
  <c r="CH408" i="1"/>
  <c r="CC409" i="1"/>
  <c r="CG409" i="1"/>
  <c r="AA406" i="1"/>
  <c r="AI406" i="1"/>
  <c r="AQ406" i="1"/>
  <c r="AY406" i="1"/>
  <c r="AK420" i="1"/>
  <c r="AS420" i="1"/>
  <c r="BX420" i="1"/>
  <c r="CB420" i="1"/>
  <c r="CJ420" i="1"/>
  <c r="X421" i="1"/>
  <c r="AJ421" i="1"/>
  <c r="CI421" i="1"/>
  <c r="BF434" i="1"/>
  <c r="AK439" i="1"/>
  <c r="AQ439" i="1"/>
  <c r="AU439" i="1"/>
  <c r="BC439" i="1"/>
  <c r="BX439" i="1"/>
  <c r="CB439" i="1"/>
  <c r="H631" i="1"/>
  <c r="H654" i="1"/>
  <c r="M440" i="1"/>
  <c r="Q440" i="1"/>
  <c r="U440" i="1"/>
  <c r="Y440" i="1"/>
  <c r="AC440" i="1"/>
  <c r="AG440" i="1"/>
  <c r="AO440" i="1"/>
  <c r="AS440" i="1"/>
  <c r="AW440" i="1"/>
  <c r="BA440" i="1"/>
  <c r="BV440" i="1"/>
  <c r="BZ440" i="1"/>
  <c r="AI442" i="1"/>
  <c r="AQ442" i="1"/>
  <c r="H443" i="1"/>
  <c r="H670" i="1" s="1"/>
  <c r="BG450" i="1"/>
  <c r="F452" i="1"/>
  <c r="T452" i="1"/>
  <c r="BE458" i="1"/>
  <c r="CH458" i="1"/>
  <c r="BG462" i="1"/>
  <c r="BV461" i="1"/>
  <c r="BZ461" i="1"/>
  <c r="CD461" i="1"/>
  <c r="CH461" i="1"/>
  <c r="BV462" i="1"/>
  <c r="BZ462" i="1"/>
  <c r="CD462" i="1"/>
  <c r="CH462" i="1"/>
  <c r="CS461" i="1"/>
  <c r="M463" i="1"/>
  <c r="Q463" i="1"/>
  <c r="U463" i="1"/>
  <c r="Y463" i="1"/>
  <c r="AC463" i="1"/>
  <c r="AG463" i="1"/>
  <c r="AK463" i="1"/>
  <c r="AO463" i="1"/>
  <c r="AS463" i="1"/>
  <c r="AW463" i="1"/>
  <c r="BA463" i="1"/>
  <c r="BE463" i="1"/>
  <c r="K466" i="1"/>
  <c r="O466" i="1"/>
  <c r="S466" i="1"/>
  <c r="W466" i="1"/>
  <c r="AA466" i="1"/>
  <c r="AE466" i="1"/>
  <c r="AI466" i="1"/>
  <c r="AM466" i="1"/>
  <c r="AQ466" i="1"/>
  <c r="AU466" i="1"/>
  <c r="AY466" i="1"/>
  <c r="BC466" i="1"/>
  <c r="CA475" i="1"/>
  <c r="CB475" i="1" s="1"/>
  <c r="CE475" i="1"/>
  <c r="CF475" i="1" s="1"/>
  <c r="BW476" i="1"/>
  <c r="CE476" i="1"/>
  <c r="W475" i="1"/>
  <c r="AA475" i="1"/>
  <c r="AE475" i="1"/>
  <c r="AI475" i="1"/>
  <c r="AM475" i="1"/>
  <c r="AQ475" i="1"/>
  <c r="AU475" i="1"/>
  <c r="AY475" i="1"/>
  <c r="BC475" i="1"/>
  <c r="H685" i="1"/>
  <c r="H500" i="1"/>
  <c r="H497" i="1"/>
  <c r="M476" i="1"/>
  <c r="Q476" i="1"/>
  <c r="U476" i="1"/>
  <c r="BE476" i="1"/>
  <c r="B479" i="1"/>
  <c r="J479" i="1"/>
  <c r="N479" i="1"/>
  <c r="O479" i="1" s="1"/>
  <c r="R479" i="1"/>
  <c r="S479" i="1" s="1"/>
  <c r="V479" i="1"/>
  <c r="Z479" i="1"/>
  <c r="AD479" i="1"/>
  <c r="AH479" i="1"/>
  <c r="AI479" i="1" s="1"/>
  <c r="AL479" i="1"/>
  <c r="AP479" i="1"/>
  <c r="AT479" i="1"/>
  <c r="AX479" i="1"/>
  <c r="AY479" i="1" s="1"/>
  <c r="BB479" i="1"/>
  <c r="BW492" i="1"/>
  <c r="BX492" i="1" s="1"/>
  <c r="CB486" i="1"/>
  <c r="CG492" i="1"/>
  <c r="CS486" i="1"/>
  <c r="CH486" i="1"/>
  <c r="BW493" i="1"/>
  <c r="BX493" i="1" s="1"/>
  <c r="CB487" i="1"/>
  <c r="CG493" i="1"/>
  <c r="CH487" i="1"/>
  <c r="BW494" i="1"/>
  <c r="BX494" i="1" s="1"/>
  <c r="CB488" i="1"/>
  <c r="CG494" i="1"/>
  <c r="CS488" i="1"/>
  <c r="CH488" i="1"/>
  <c r="BW489" i="1"/>
  <c r="BX489" i="1" s="1"/>
  <c r="CG489" i="1"/>
  <c r="CD527" i="1"/>
  <c r="CS527" i="1"/>
  <c r="J538" i="1"/>
  <c r="K538" i="1" s="1"/>
  <c r="K537" i="1"/>
  <c r="BU541" i="1"/>
  <c r="BU531" i="1"/>
  <c r="BV531" i="1" s="1"/>
  <c r="BW526" i="1"/>
  <c r="BV530" i="1"/>
  <c r="B542" i="1"/>
  <c r="L551" i="1"/>
  <c r="M548" i="1"/>
  <c r="V551" i="1"/>
  <c r="W548" i="1"/>
  <c r="AD551" i="1"/>
  <c r="AE548" i="1"/>
  <c r="AL551" i="1"/>
  <c r="AM548" i="1"/>
  <c r="AU548" i="1"/>
  <c r="AT551" i="1"/>
  <c r="BC548" i="1"/>
  <c r="BB551" i="1"/>
  <c r="N553" i="1"/>
  <c r="O551" i="1"/>
  <c r="Z553" i="1"/>
  <c r="AA551" i="1"/>
  <c r="BU556" i="1"/>
  <c r="BZ565" i="1"/>
  <c r="D576" i="1"/>
  <c r="D572" i="1"/>
  <c r="D573" i="1"/>
  <c r="BC331" i="1"/>
  <c r="BE333" i="1"/>
  <c r="O331" i="1"/>
  <c r="W331" i="1"/>
  <c r="AE331" i="1"/>
  <c r="AM331" i="1"/>
  <c r="AU331" i="1"/>
  <c r="U345" i="1"/>
  <c r="BE374" i="1"/>
  <c r="BI377" i="1"/>
  <c r="K406" i="1"/>
  <c r="O406" i="1"/>
  <c r="S406" i="1"/>
  <c r="CC420" i="1"/>
  <c r="CC701" i="1" s="1"/>
  <c r="CC702" i="1" s="1"/>
  <c r="CD433" i="1"/>
  <c r="CH433" i="1"/>
  <c r="B631" i="1"/>
  <c r="B633" i="1" s="1"/>
  <c r="B654" i="1"/>
  <c r="J631" i="1"/>
  <c r="J654" i="1"/>
  <c r="N631" i="1"/>
  <c r="O631" i="1" s="1"/>
  <c r="N654" i="1"/>
  <c r="R631" i="1"/>
  <c r="S631" i="1" s="1"/>
  <c r="R654" i="1"/>
  <c r="V631" i="1"/>
  <c r="W631" i="1" s="1"/>
  <c r="V654" i="1"/>
  <c r="Z631" i="1"/>
  <c r="AA631" i="1" s="1"/>
  <c r="Z654" i="1"/>
  <c r="AD631" i="1"/>
  <c r="AE631" i="1" s="1"/>
  <c r="AD654" i="1"/>
  <c r="AH631" i="1"/>
  <c r="AI631" i="1" s="1"/>
  <c r="AH654" i="1"/>
  <c r="AL631" i="1"/>
  <c r="AM631" i="1" s="1"/>
  <c r="AL654" i="1"/>
  <c r="AX654" i="1"/>
  <c r="AX631" i="1"/>
  <c r="AY631" i="1" s="1"/>
  <c r="BB654" i="1"/>
  <c r="BB631" i="1"/>
  <c r="BC631" i="1" s="1"/>
  <c r="BU443" i="1"/>
  <c r="BY443" i="1"/>
  <c r="B443" i="1"/>
  <c r="B670" i="1" s="1"/>
  <c r="J443" i="1"/>
  <c r="N443" i="1"/>
  <c r="R443" i="1"/>
  <c r="V443" i="1"/>
  <c r="Z443" i="1"/>
  <c r="AD443" i="1"/>
  <c r="AH443" i="1"/>
  <c r="AL443" i="1"/>
  <c r="AX443" i="1"/>
  <c r="BB443" i="1"/>
  <c r="BQ443" i="1"/>
  <c r="BQ670" i="1" s="1"/>
  <c r="BQ943" i="1" s="1"/>
  <c r="BH450" i="1"/>
  <c r="CI450" i="1" s="1"/>
  <c r="BH462" i="1"/>
  <c r="BI462" i="1" s="1"/>
  <c r="BF463" i="1"/>
  <c r="BF464" i="1" s="1"/>
  <c r="B685" i="1"/>
  <c r="B497" i="1"/>
  <c r="B500" i="1"/>
  <c r="J685" i="1"/>
  <c r="J497" i="1"/>
  <c r="K496" i="1"/>
  <c r="J500" i="1"/>
  <c r="K500" i="1" s="1"/>
  <c r="N685" i="1"/>
  <c r="O496" i="1"/>
  <c r="N497" i="1"/>
  <c r="N500" i="1"/>
  <c r="O500" i="1" s="1"/>
  <c r="R685" i="1"/>
  <c r="R497" i="1"/>
  <c r="S496" i="1"/>
  <c r="R500" i="1"/>
  <c r="S500" i="1" s="1"/>
  <c r="BM476" i="1"/>
  <c r="D479" i="1"/>
  <c r="CC492" i="1"/>
  <c r="CD492" i="1" s="1"/>
  <c r="CD486" i="1"/>
  <c r="CC493" i="1"/>
  <c r="CD487" i="1"/>
  <c r="CC494" i="1"/>
  <c r="CD494" i="1" s="1"/>
  <c r="CD488" i="1"/>
  <c r="CC489" i="1"/>
  <c r="CD489" i="1" s="1"/>
  <c r="BE492" i="1"/>
  <c r="AU504" i="1"/>
  <c r="AU503" i="1"/>
  <c r="CA533" i="1"/>
  <c r="CB533" i="1" s="1"/>
  <c r="CB527" i="1"/>
  <c r="CB528" i="1"/>
  <c r="CB529" i="1"/>
  <c r="Y548" i="1"/>
  <c r="X551" i="1"/>
  <c r="AG548" i="1"/>
  <c r="AF551" i="1"/>
  <c r="AO548" i="1"/>
  <c r="AN551" i="1"/>
  <c r="AW548" i="1"/>
  <c r="BE548" i="1"/>
  <c r="AV551" i="1"/>
  <c r="BY548" i="1"/>
  <c r="BZ546" i="1"/>
  <c r="CC548" i="1"/>
  <c r="CB565" i="1"/>
  <c r="F576" i="1"/>
  <c r="F573" i="1"/>
  <c r="F572" i="1"/>
  <c r="O569" i="1"/>
  <c r="W569" i="1"/>
  <c r="AE569" i="1"/>
  <c r="AM569" i="1"/>
  <c r="AU569" i="1"/>
  <c r="BC569" i="1"/>
  <c r="M569" i="1"/>
  <c r="CS504" i="1"/>
  <c r="CH503" i="1"/>
  <c r="CH505" i="1"/>
  <c r="AS503" i="1"/>
  <c r="M510" i="1"/>
  <c r="J523" i="1"/>
  <c r="K523" i="1" s="1"/>
  <c r="M527" i="1"/>
  <c r="Q527" i="1"/>
  <c r="U527" i="1"/>
  <c r="Y527" i="1"/>
  <c r="AC527" i="1"/>
  <c r="AG527" i="1"/>
  <c r="AK527" i="1"/>
  <c r="AO527" i="1"/>
  <c r="AS527" i="1"/>
  <c r="AW527" i="1"/>
  <c r="BA527" i="1"/>
  <c r="BE527" i="1"/>
  <c r="K529" i="1"/>
  <c r="O529" i="1"/>
  <c r="S529" i="1"/>
  <c r="W529" i="1"/>
  <c r="AA529" i="1"/>
  <c r="AE529" i="1"/>
  <c r="AI529" i="1"/>
  <c r="AM529" i="1"/>
  <c r="AQ529" i="1"/>
  <c r="AU529" i="1"/>
  <c r="AY529" i="1"/>
  <c r="BC529" i="1"/>
  <c r="BV527" i="1"/>
  <c r="BW528" i="1"/>
  <c r="CE528" i="1"/>
  <c r="D530" i="1"/>
  <c r="BM528" i="1"/>
  <c r="J533" i="1"/>
  <c r="K533" i="1" s="1"/>
  <c r="N533" i="1"/>
  <c r="O533" i="1" s="1"/>
  <c r="R533" i="1"/>
  <c r="V533" i="1"/>
  <c r="Z533" i="1"/>
  <c r="AA533" i="1" s="1"/>
  <c r="AD533" i="1"/>
  <c r="AH533" i="1"/>
  <c r="AL533" i="1"/>
  <c r="AP533" i="1"/>
  <c r="AQ533" i="1" s="1"/>
  <c r="AT533" i="1"/>
  <c r="AX533" i="1"/>
  <c r="BB533" i="1"/>
  <c r="BU533" i="1"/>
  <c r="BV533" i="1" s="1"/>
  <c r="BV548" i="1"/>
  <c r="BX550" i="1"/>
  <c r="CB550" i="1"/>
  <c r="CF550" i="1"/>
  <c r="BU551" i="1"/>
  <c r="BV552" i="1"/>
  <c r="BZ552" i="1"/>
  <c r="CD552" i="1"/>
  <c r="CH552" i="1"/>
  <c r="CS549" i="1"/>
  <c r="K548" i="1"/>
  <c r="S548" i="1"/>
  <c r="AA548" i="1"/>
  <c r="AI548" i="1"/>
  <c r="AQ548" i="1"/>
  <c r="AY548" i="1"/>
  <c r="J556" i="1"/>
  <c r="BU557" i="1"/>
  <c r="BV557" i="1" s="1"/>
  <c r="B556" i="1"/>
  <c r="BU562" i="1"/>
  <c r="BV562" i="1" s="1"/>
  <c r="B562" i="1"/>
  <c r="BV567" i="1"/>
  <c r="BZ567" i="1"/>
  <c r="CD567" i="1"/>
  <c r="CH567" i="1"/>
  <c r="BW568" i="1"/>
  <c r="CA568" i="1"/>
  <c r="CA569" i="1" s="1"/>
  <c r="CE568" i="1"/>
  <c r="O565" i="1"/>
  <c r="W565" i="1"/>
  <c r="AE565" i="1"/>
  <c r="AM565" i="1"/>
  <c r="AU565" i="1"/>
  <c r="BC565" i="1"/>
  <c r="K568" i="1"/>
  <c r="O568" i="1"/>
  <c r="S568" i="1"/>
  <c r="W568" i="1"/>
  <c r="AA568" i="1"/>
  <c r="AE568" i="1"/>
  <c r="AI568" i="1"/>
  <c r="AM568" i="1"/>
  <c r="AQ568" i="1"/>
  <c r="AU568" i="1"/>
  <c r="AY568" i="1"/>
  <c r="BC568" i="1"/>
  <c r="BE569" i="1"/>
  <c r="BS569" i="1"/>
  <c r="BS576" i="1" s="1"/>
  <c r="BS583" i="1" s="1"/>
  <c r="AY574" i="1"/>
  <c r="BX582" i="1"/>
  <c r="AA582" i="1"/>
  <c r="S582" i="1"/>
  <c r="L608" i="1"/>
  <c r="M608" i="1" s="1"/>
  <c r="L623" i="1"/>
  <c r="W599" i="1"/>
  <c r="Z623" i="1"/>
  <c r="Z608" i="1"/>
  <c r="AA604" i="1"/>
  <c r="AD623" i="1"/>
  <c r="AD608" i="1"/>
  <c r="AE604" i="1"/>
  <c r="AW604" i="1"/>
  <c r="AN608" i="1"/>
  <c r="AN623" i="1"/>
  <c r="AO604" i="1"/>
  <c r="AT601" i="1"/>
  <c r="AU599" i="1"/>
  <c r="D613" i="1"/>
  <c r="D671" i="1" s="1"/>
  <c r="D655" i="1"/>
  <c r="S628" i="1"/>
  <c r="AA628" i="1"/>
  <c r="AQ628" i="1"/>
  <c r="AI628" i="1"/>
  <c r="BA620" i="1"/>
  <c r="AX633" i="1"/>
  <c r="H633" i="1"/>
  <c r="CM642" i="1"/>
  <c r="CL642" i="1"/>
  <c r="BW527" i="1"/>
  <c r="BZ527" i="1" s="1"/>
  <c r="CE527" i="1"/>
  <c r="CC529" i="1"/>
  <c r="CG529" i="1"/>
  <c r="BM529" i="1"/>
  <c r="J535" i="1"/>
  <c r="K535" i="1" s="1"/>
  <c r="D535" i="1"/>
  <c r="CH547" i="1"/>
  <c r="CA548" i="1"/>
  <c r="CE548" i="1"/>
  <c r="AH551" i="1"/>
  <c r="BD553" i="1"/>
  <c r="B557" i="1"/>
  <c r="CG565" i="1"/>
  <c r="CH566" i="1"/>
  <c r="CS567" i="1"/>
  <c r="J569" i="1"/>
  <c r="K569" i="1" s="1"/>
  <c r="R569" i="1"/>
  <c r="Z569" i="1"/>
  <c r="AH569" i="1"/>
  <c r="AI569" i="1" s="1"/>
  <c r="AP569" i="1"/>
  <c r="AQ569" i="1" s="1"/>
  <c r="AX569" i="1"/>
  <c r="D574" i="1"/>
  <c r="M574" i="1" s="1"/>
  <c r="V581" i="1"/>
  <c r="V582" i="1" s="1"/>
  <c r="AE579" i="1"/>
  <c r="W579" i="1"/>
  <c r="BH587" i="1"/>
  <c r="BH588" i="1" s="1"/>
  <c r="BH589" i="1" s="1"/>
  <c r="BF589" i="1"/>
  <c r="P608" i="1"/>
  <c r="Q608" i="1" s="1"/>
  <c r="P623" i="1"/>
  <c r="T608" i="1"/>
  <c r="U608" i="1" s="1"/>
  <c r="T623" i="1"/>
  <c r="U604" i="1"/>
  <c r="AE599" i="1"/>
  <c r="AH623" i="1"/>
  <c r="AH608" i="1"/>
  <c r="AI608" i="1" s="1"/>
  <c r="AI604" i="1"/>
  <c r="AL623" i="1"/>
  <c r="AL608" i="1"/>
  <c r="AM604" i="1"/>
  <c r="AP599" i="1"/>
  <c r="U620" i="1"/>
  <c r="AC620" i="1"/>
  <c r="AG620" i="1"/>
  <c r="AK620" i="1"/>
  <c r="AS620" i="1"/>
  <c r="F655" i="1"/>
  <c r="F613" i="1"/>
  <c r="F671" i="1" s="1"/>
  <c r="AT627" i="1"/>
  <c r="BC627" i="1" s="1"/>
  <c r="BC623" i="1"/>
  <c r="AU623" i="1"/>
  <c r="BC620" i="1"/>
  <c r="AZ633" i="1"/>
  <c r="BV657" i="1"/>
  <c r="BD637" i="1"/>
  <c r="BE637" i="1" s="1"/>
  <c r="BC637" i="1"/>
  <c r="CK643" i="1"/>
  <c r="CJ643" i="1"/>
  <c r="L518" i="1"/>
  <c r="L526" i="1" s="1"/>
  <c r="AI527" i="1"/>
  <c r="AY527" i="1"/>
  <c r="CC528" i="1"/>
  <c r="CG528" i="1"/>
  <c r="BV529" i="1"/>
  <c r="L533" i="1"/>
  <c r="M533" i="1" s="1"/>
  <c r="P533" i="1"/>
  <c r="Q533" i="1" s="1"/>
  <c r="T533" i="1"/>
  <c r="X533" i="1"/>
  <c r="Y533" i="1" s="1"/>
  <c r="AB533" i="1"/>
  <c r="AC533" i="1" s="1"/>
  <c r="AF533" i="1"/>
  <c r="AJ533" i="1"/>
  <c r="AN533" i="1"/>
  <c r="AO533" i="1" s="1"/>
  <c r="AR533" i="1"/>
  <c r="AS533" i="1" s="1"/>
  <c r="AV533" i="1"/>
  <c r="AZ533" i="1"/>
  <c r="BD533" i="1"/>
  <c r="D536" i="1"/>
  <c r="BG540" i="1"/>
  <c r="CH550" i="1"/>
  <c r="BX552" i="1"/>
  <c r="CB552" i="1"/>
  <c r="CF552" i="1"/>
  <c r="AX551" i="1"/>
  <c r="O548" i="1"/>
  <c r="BM548" i="1"/>
  <c r="BX567" i="1"/>
  <c r="CB567" i="1"/>
  <c r="CF567" i="1"/>
  <c r="BU568" i="1"/>
  <c r="BY568" i="1"/>
  <c r="CC568" i="1"/>
  <c r="CG568" i="1"/>
  <c r="Q568" i="1"/>
  <c r="AU582" i="1"/>
  <c r="AM582" i="1"/>
  <c r="J623" i="1"/>
  <c r="J608" i="1"/>
  <c r="K608" i="1" s="1"/>
  <c r="N623" i="1"/>
  <c r="N608" i="1"/>
  <c r="O608" i="1" s="1"/>
  <c r="X608" i="1"/>
  <c r="X623" i="1"/>
  <c r="Y604" i="1"/>
  <c r="AB608" i="1"/>
  <c r="AC608" i="1" s="1"/>
  <c r="AB623" i="1"/>
  <c r="AC604" i="1"/>
  <c r="AM599" i="1"/>
  <c r="AP623" i="1"/>
  <c r="AP608" i="1"/>
  <c r="AQ608" i="1" s="1"/>
  <c r="AQ604" i="1"/>
  <c r="H655" i="1"/>
  <c r="H613" i="1"/>
  <c r="H671" i="1" s="1"/>
  <c r="BU610" i="1"/>
  <c r="BV601" i="1"/>
  <c r="W628" i="1"/>
  <c r="AE628" i="1"/>
  <c r="AW620" i="1"/>
  <c r="BB633" i="1"/>
  <c r="BW529" i="1"/>
  <c r="CE529" i="1"/>
  <c r="BM527" i="1"/>
  <c r="O599" i="1"/>
  <c r="R623" i="1"/>
  <c r="R608" i="1"/>
  <c r="S608" i="1" s="1"/>
  <c r="V623" i="1"/>
  <c r="V608" i="1"/>
  <c r="W604" i="1"/>
  <c r="AF608" i="1"/>
  <c r="AF623" i="1"/>
  <c r="AG604" i="1"/>
  <c r="AJ608" i="1"/>
  <c r="AS608" i="1" s="1"/>
  <c r="AJ623" i="1"/>
  <c r="AK604" i="1"/>
  <c r="AW596" i="1"/>
  <c r="AN599" i="1"/>
  <c r="AR601" i="1"/>
  <c r="AA620" i="1"/>
  <c r="AE620" i="1"/>
  <c r="AI620" i="1"/>
  <c r="AM620" i="1"/>
  <c r="AQ620" i="1"/>
  <c r="AU620" i="1"/>
  <c r="B655" i="1"/>
  <c r="B613" i="1"/>
  <c r="B671" i="1" s="1"/>
  <c r="AY620" i="1"/>
  <c r="AV633" i="1"/>
  <c r="BE627" i="1"/>
  <c r="BX657" i="1"/>
  <c r="CM641" i="1"/>
  <c r="CL641" i="1"/>
  <c r="CE582" i="1"/>
  <c r="AW605" i="1"/>
  <c r="AY623" i="1"/>
  <c r="L628" i="1"/>
  <c r="M628" i="1" s="1"/>
  <c r="P628" i="1"/>
  <c r="Q628" i="1" s="1"/>
  <c r="T628" i="1"/>
  <c r="X628" i="1"/>
  <c r="AB628" i="1"/>
  <c r="AF628" i="1"/>
  <c r="AJ628" i="1"/>
  <c r="AN628" i="1"/>
  <c r="BK637" i="1"/>
  <c r="BA637" i="1"/>
  <c r="CJ641" i="1"/>
  <c r="CR649" i="1"/>
  <c r="K657" i="1"/>
  <c r="O657" i="1"/>
  <c r="S657" i="1"/>
  <c r="Q657" i="1"/>
  <c r="BL692" i="1"/>
  <c r="BY579" i="1"/>
  <c r="CF579" i="1"/>
  <c r="T582" i="1"/>
  <c r="K594" i="1"/>
  <c r="S594" i="1"/>
  <c r="BY595" i="1"/>
  <c r="BY596" i="1" s="1"/>
  <c r="CC595" i="1"/>
  <c r="CC596" i="1" s="1"/>
  <c r="L596" i="1"/>
  <c r="T596" i="1"/>
  <c r="AB596" i="1"/>
  <c r="AJ596" i="1"/>
  <c r="AS596" i="1" s="1"/>
  <c r="J600" i="1"/>
  <c r="K600" i="1" s="1"/>
  <c r="N600" i="1"/>
  <c r="O600" i="1" s="1"/>
  <c r="R600" i="1"/>
  <c r="S600" i="1" s="1"/>
  <c r="V600" i="1"/>
  <c r="Z600" i="1"/>
  <c r="AD600" i="1"/>
  <c r="AE600" i="1" s="1"/>
  <c r="AH600" i="1"/>
  <c r="AI600" i="1" s="1"/>
  <c r="AL600" i="1"/>
  <c r="AP600" i="1"/>
  <c r="K605" i="1"/>
  <c r="O605" i="1"/>
  <c r="S605" i="1"/>
  <c r="AS604" i="1"/>
  <c r="AU604" i="1"/>
  <c r="AT608" i="1"/>
  <c r="AU608" i="1" s="1"/>
  <c r="AR623" i="1"/>
  <c r="AO629" i="1"/>
  <c r="AS629" i="1"/>
  <c r="BA649" i="1"/>
  <c r="BE649" i="1"/>
  <c r="CL687" i="1"/>
  <c r="CM687" i="1"/>
  <c r="CC581" i="1"/>
  <c r="CC582" i="1" s="1"/>
  <c r="CD582" i="1" s="1"/>
  <c r="CG582" i="1"/>
  <c r="CA587" i="1"/>
  <c r="CB587" i="1" s="1"/>
  <c r="AA594" i="1"/>
  <c r="BW594" i="1"/>
  <c r="BW948" i="1" s="1"/>
  <c r="CA594" i="1"/>
  <c r="CE594" i="1"/>
  <c r="CE596" i="1" s="1"/>
  <c r="CE599" i="1" s="1"/>
  <c r="CE601" i="1" s="1"/>
  <c r="CE610" i="1" s="1"/>
  <c r="J596" i="1"/>
  <c r="J618" i="1" s="1"/>
  <c r="R596" i="1"/>
  <c r="Z596" i="1"/>
  <c r="AH596" i="1"/>
  <c r="AQ596" i="1" s="1"/>
  <c r="CA605" i="1"/>
  <c r="CB605" i="1" s="1"/>
  <c r="W605" i="1"/>
  <c r="AA605" i="1"/>
  <c r="AE605" i="1"/>
  <c r="AI605" i="1"/>
  <c r="AK605" i="1"/>
  <c r="AM605" i="1"/>
  <c r="AQ605" i="1"/>
  <c r="BW605" i="1"/>
  <c r="BX605" i="1" s="1"/>
  <c r="CL649" i="1"/>
  <c r="CP649" i="1"/>
  <c r="CJ655" i="1"/>
  <c r="CN655" i="1"/>
  <c r="CR655" i="1"/>
  <c r="U579" i="1"/>
  <c r="O594" i="1"/>
  <c r="BW595" i="1"/>
  <c r="CA595" i="1"/>
  <c r="P596" i="1"/>
  <c r="X596" i="1"/>
  <c r="AF596" i="1"/>
  <c r="AF618" i="1" s="1"/>
  <c r="BV599" i="1"/>
  <c r="O596" i="1"/>
  <c r="W596" i="1"/>
  <c r="AE596" i="1"/>
  <c r="AM596" i="1"/>
  <c r="AU596" i="1"/>
  <c r="L600" i="1"/>
  <c r="M600" i="1" s="1"/>
  <c r="P600" i="1"/>
  <c r="Q600" i="1" s="1"/>
  <c r="T600" i="1"/>
  <c r="U600" i="1" s="1"/>
  <c r="X600" i="1"/>
  <c r="AB600" i="1"/>
  <c r="AF600" i="1"/>
  <c r="AJ600" i="1"/>
  <c r="AN600" i="1"/>
  <c r="AY649" i="1"/>
  <c r="BC649" i="1"/>
  <c r="BG649" i="1"/>
  <c r="CN688" i="1"/>
  <c r="CO688" i="1"/>
  <c r="BG671" i="1"/>
  <c r="AY688" i="1"/>
  <c r="BC688" i="1"/>
  <c r="CL688" i="1"/>
  <c r="X702" i="1"/>
  <c r="AJ702" i="1"/>
  <c r="O740" i="1"/>
  <c r="CF742" i="1"/>
  <c r="BZ754" i="1"/>
  <c r="BK649" i="1"/>
  <c r="BA665" i="1"/>
  <c r="BI665" i="1"/>
  <c r="BV686" i="1"/>
  <c r="BZ686" i="1"/>
  <c r="CD686" i="1"/>
  <c r="CH686" i="1"/>
  <c r="CS701" i="1"/>
  <c r="CH734" i="1"/>
  <c r="Q740" i="1"/>
  <c r="BE740" i="1"/>
  <c r="CL737" i="1"/>
  <c r="CM737" i="1"/>
  <c r="BM649" i="1"/>
  <c r="AY665" i="1"/>
  <c r="BG665" i="1"/>
  <c r="BK671" i="1"/>
  <c r="BA688" i="1"/>
  <c r="BE688" i="1"/>
  <c r="J702" i="1"/>
  <c r="N702" i="1"/>
  <c r="R702" i="1"/>
  <c r="Z702" i="1"/>
  <c r="AD702" i="1"/>
  <c r="AH702" i="1"/>
  <c r="AL702" i="1"/>
  <c r="AP702" i="1"/>
  <c r="AT702" i="1"/>
  <c r="AX702" i="1"/>
  <c r="BF702" i="1"/>
  <c r="BJ702" i="1"/>
  <c r="CK702" i="1"/>
  <c r="CO702" i="1"/>
  <c r="K740" i="1"/>
  <c r="AK740" i="1"/>
  <c r="AO740" i="1"/>
  <c r="AS740" i="1"/>
  <c r="AW740" i="1"/>
  <c r="BA740" i="1"/>
  <c r="BK655" i="1"/>
  <c r="CS665" i="1"/>
  <c r="BE665" i="1"/>
  <c r="BI671" i="1"/>
  <c r="BM665" i="1"/>
  <c r="BX740" i="1"/>
  <c r="BW755" i="1"/>
  <c r="BX754" i="1"/>
  <c r="BJ732" i="1"/>
  <c r="BW734" i="1"/>
  <c r="CA734" i="1"/>
  <c r="CE734" i="1"/>
  <c r="AG737" i="1"/>
  <c r="AO737" i="1"/>
  <c r="AW737" i="1"/>
  <c r="BE737" i="1"/>
  <c r="BM737" i="1"/>
  <c r="R740" i="1"/>
  <c r="S740" i="1" s="1"/>
  <c r="V740" i="1"/>
  <c r="W740" i="1" s="1"/>
  <c r="AD740" i="1"/>
  <c r="AE740" i="1" s="1"/>
  <c r="AL740" i="1"/>
  <c r="AP740" i="1"/>
  <c r="AT740" i="1"/>
  <c r="AX740" i="1"/>
  <c r="BU740" i="1"/>
  <c r="BV740" i="1" s="1"/>
  <c r="CQ745" i="1"/>
  <c r="AE755" i="1"/>
  <c r="AM755" i="1"/>
  <c r="AU755" i="1"/>
  <c r="BC755" i="1"/>
  <c r="S777" i="1"/>
  <c r="W777" i="1"/>
  <c r="AA777" i="1"/>
  <c r="AE777" i="1"/>
  <c r="AI777" i="1"/>
  <c r="AM777" i="1"/>
  <c r="AQ777" i="1"/>
  <c r="AT781" i="1"/>
  <c r="AU777" i="1"/>
  <c r="AX781" i="1"/>
  <c r="AY777" i="1"/>
  <c r="BB781" i="1"/>
  <c r="BC781" i="1" s="1"/>
  <c r="BC777" i="1"/>
  <c r="BU777" i="1"/>
  <c r="BV777" i="1" s="1"/>
  <c r="CG777" i="1"/>
  <c r="BG732" i="1"/>
  <c r="BV732" i="1"/>
  <c r="BZ732" i="1"/>
  <c r="CD732" i="1"/>
  <c r="CH732" i="1"/>
  <c r="CA737" i="1"/>
  <c r="CE737" i="1"/>
  <c r="Q738" i="1"/>
  <c r="BC737" i="1"/>
  <c r="Z743" i="1"/>
  <c r="CA742" i="1"/>
  <c r="CB742" i="1" s="1"/>
  <c r="F751" i="1"/>
  <c r="BV753" i="1"/>
  <c r="BZ756" i="1"/>
  <c r="CD756" i="1"/>
  <c r="CH756" i="1"/>
  <c r="Q756" i="1"/>
  <c r="BA805" i="1"/>
  <c r="AZ806" i="1"/>
  <c r="AK737" i="1"/>
  <c r="AS737" i="1"/>
  <c r="BA737" i="1"/>
  <c r="BI737" i="1"/>
  <c r="BX737" i="1"/>
  <c r="L740" i="1"/>
  <c r="M740" i="1" s="1"/>
  <c r="AI742" i="1"/>
  <c r="AQ742" i="1"/>
  <c r="AI755" i="1"/>
  <c r="AQ755" i="1"/>
  <c r="AY755" i="1"/>
  <c r="BU756" i="1"/>
  <c r="B759" i="1"/>
  <c r="AA756" i="1"/>
  <c r="U777" i="1"/>
  <c r="Y777" i="1"/>
  <c r="AC777" i="1"/>
  <c r="AG777" i="1"/>
  <c r="AK777" i="1"/>
  <c r="AO777" i="1"/>
  <c r="AS777" i="1"/>
  <c r="AR781" i="1"/>
  <c r="AW777" i="1"/>
  <c r="AV781" i="1"/>
  <c r="BA777" i="1"/>
  <c r="AZ781" i="1"/>
  <c r="BA781" i="1" s="1"/>
  <c r="BE777" i="1"/>
  <c r="BD781" i="1"/>
  <c r="BE781" i="1" s="1"/>
  <c r="BY777" i="1"/>
  <c r="BX732" i="1"/>
  <c r="CB732" i="1"/>
  <c r="CF732" i="1"/>
  <c r="BY737" i="1"/>
  <c r="CC737" i="1"/>
  <c r="CG737" i="1"/>
  <c r="AY737" i="1"/>
  <c r="AH743" i="1"/>
  <c r="BB743" i="1"/>
  <c r="CG743" i="1" s="1"/>
  <c r="AK743" i="1"/>
  <c r="AO743" i="1"/>
  <c r="BH874" i="1"/>
  <c r="BG874" i="1"/>
  <c r="CI745" i="1"/>
  <c r="AK755" i="1"/>
  <c r="AS755" i="1"/>
  <c r="BA755" i="1"/>
  <c r="K756" i="1"/>
  <c r="BC754" i="1"/>
  <c r="CC777" i="1"/>
  <c r="K785" i="1"/>
  <c r="O785" i="1"/>
  <c r="BV785" i="1"/>
  <c r="H787" i="1"/>
  <c r="H795" i="1" s="1"/>
  <c r="H794" i="1" s="1"/>
  <c r="J821" i="1"/>
  <c r="K793" i="1"/>
  <c r="L793" i="1"/>
  <c r="S793" i="1"/>
  <c r="T807" i="1"/>
  <c r="U807" i="1" s="1"/>
  <c r="U806" i="1"/>
  <c r="AB807" i="1"/>
  <c r="AC806" i="1"/>
  <c r="AS805" i="1"/>
  <c r="AR806" i="1"/>
  <c r="AJ806" i="1"/>
  <c r="AK806" i="1" s="1"/>
  <c r="AK805" i="1"/>
  <c r="L773" i="1"/>
  <c r="P773" i="1"/>
  <c r="T773" i="1"/>
  <c r="X773" i="1"/>
  <c r="AB773" i="1"/>
  <c r="AF773" i="1"/>
  <c r="AJ773" i="1"/>
  <c r="AN773" i="1"/>
  <c r="AR773" i="1"/>
  <c r="AS773" i="1" s="1"/>
  <c r="AV773" i="1"/>
  <c r="AZ773" i="1"/>
  <c r="BD773" i="1"/>
  <c r="BE773" i="1" s="1"/>
  <c r="D773" i="1"/>
  <c r="D781" i="1" s="1"/>
  <c r="H773" i="1"/>
  <c r="H781" i="1" s="1"/>
  <c r="BZ810" i="1"/>
  <c r="BY812" i="1"/>
  <c r="BZ812" i="1" s="1"/>
  <c r="CD810" i="1"/>
  <c r="CC812" i="1"/>
  <c r="AT806" i="1"/>
  <c r="AL806" i="1"/>
  <c r="AM806" i="1" s="1"/>
  <c r="H774" i="1"/>
  <c r="H778" i="1"/>
  <c r="M785" i="1"/>
  <c r="BX785" i="1"/>
  <c r="H788" i="1"/>
  <c r="R807" i="1"/>
  <c r="S807" i="1" s="1"/>
  <c r="S806" i="1"/>
  <c r="Y805" i="1"/>
  <c r="X807" i="1"/>
  <c r="Y806" i="1"/>
  <c r="BY806" i="1"/>
  <c r="BZ806" i="1" s="1"/>
  <c r="AO805" i="1"/>
  <c r="AN806" i="1"/>
  <c r="AW805" i="1"/>
  <c r="AV806" i="1"/>
  <c r="AF806" i="1"/>
  <c r="AG805" i="1"/>
  <c r="BX806" i="1"/>
  <c r="BW807" i="1"/>
  <c r="BX807" i="1" s="1"/>
  <c r="J773" i="1"/>
  <c r="N773" i="1"/>
  <c r="R773" i="1"/>
  <c r="V773" i="1"/>
  <c r="Z773" i="1"/>
  <c r="AD773" i="1"/>
  <c r="AH773" i="1"/>
  <c r="AL773" i="1"/>
  <c r="AP773" i="1"/>
  <c r="AT773" i="1"/>
  <c r="AU773" i="1" s="1"/>
  <c r="AX773" i="1"/>
  <c r="BB773" i="1"/>
  <c r="BU773" i="1"/>
  <c r="BY773" i="1"/>
  <c r="CC773" i="1"/>
  <c r="CG773" i="1"/>
  <c r="B773" i="1"/>
  <c r="B781" i="1" s="1"/>
  <c r="F773" i="1"/>
  <c r="F781" i="1" s="1"/>
  <c r="D821" i="1"/>
  <c r="D827" i="1" s="1"/>
  <c r="F793" i="1"/>
  <c r="F821" i="1" s="1"/>
  <c r="AZ810" i="1"/>
  <c r="BA792" i="1"/>
  <c r="BB792" i="1"/>
  <c r="CA812" i="1"/>
  <c r="CB810" i="1"/>
  <c r="CE812" i="1"/>
  <c r="CF812" i="1" s="1"/>
  <c r="CF810" i="1"/>
  <c r="AI807" i="1"/>
  <c r="AP806" i="1"/>
  <c r="AX806" i="1"/>
  <c r="V807" i="1"/>
  <c r="Y810" i="1"/>
  <c r="R811" i="1"/>
  <c r="S811" i="1" s="1"/>
  <c r="Q821" i="1"/>
  <c r="BX821" i="1"/>
  <c r="AE827" i="1"/>
  <c r="AM827" i="1"/>
  <c r="AU827" i="1"/>
  <c r="BF846" i="1"/>
  <c r="BM840" i="1"/>
  <c r="BH843" i="1"/>
  <c r="BG843" i="1"/>
  <c r="BL845" i="1"/>
  <c r="BK845" i="1"/>
  <c r="AL849" i="1"/>
  <c r="BB864" i="1"/>
  <c r="BA864" i="1"/>
  <c r="AB903" i="1"/>
  <c r="AB904" i="1"/>
  <c r="AC870" i="1"/>
  <c r="AJ904" i="1"/>
  <c r="AJ903" i="1"/>
  <c r="AK903" i="1" s="1"/>
  <c r="AK870" i="1"/>
  <c r="AR903" i="1"/>
  <c r="AS903" i="1" s="1"/>
  <c r="AR904" i="1"/>
  <c r="AS904" i="1" s="1"/>
  <c r="AS870" i="1"/>
  <c r="AZ904" i="1"/>
  <c r="AZ903" i="1"/>
  <c r="BA903" i="1" s="1"/>
  <c r="BA870" i="1"/>
  <c r="AA806" i="1"/>
  <c r="AM805" i="1"/>
  <c r="AQ805" i="1"/>
  <c r="AU805" i="1"/>
  <c r="AY805" i="1"/>
  <c r="AH806" i="1"/>
  <c r="AI806" i="1" s="1"/>
  <c r="AC811" i="1"/>
  <c r="AG827" i="1"/>
  <c r="AO827" i="1"/>
  <c r="AW827" i="1"/>
  <c r="CE827" i="1"/>
  <c r="CK840" i="1"/>
  <c r="CJ840" i="1"/>
  <c r="BI844" i="1"/>
  <c r="BJ844" i="1"/>
  <c r="K846" i="1"/>
  <c r="J848" i="1"/>
  <c r="S846" i="1"/>
  <c r="R848" i="1"/>
  <c r="AA846" i="1"/>
  <c r="Z848" i="1"/>
  <c r="AI846" i="1"/>
  <c r="AH848" i="1"/>
  <c r="AQ846" i="1"/>
  <c r="AP848" i="1"/>
  <c r="BB848" i="1"/>
  <c r="CG846" i="1"/>
  <c r="CG905" i="1" s="1"/>
  <c r="AE811" i="1"/>
  <c r="AA827" i="1"/>
  <c r="AI827" i="1"/>
  <c r="AQ827" i="1"/>
  <c r="AY827" i="1"/>
  <c r="BY827" i="1"/>
  <c r="BZ827" i="1" s="1"/>
  <c r="BL836" i="1"/>
  <c r="AY843" i="1"/>
  <c r="AX846" i="1"/>
  <c r="BH861" i="1"/>
  <c r="BG861" i="1"/>
  <c r="BB793" i="1"/>
  <c r="AN811" i="1"/>
  <c r="AW811" i="1" s="1"/>
  <c r="AT811" i="1"/>
  <c r="AU811" i="1" s="1"/>
  <c r="BX810" i="1"/>
  <c r="X811" i="1"/>
  <c r="BA821" i="1"/>
  <c r="AC827" i="1"/>
  <c r="AK827" i="1"/>
  <c r="AS827" i="1"/>
  <c r="CA827" i="1"/>
  <c r="BH839" i="1"/>
  <c r="BK840" i="1"/>
  <c r="BH841" i="1"/>
  <c r="V849" i="1"/>
  <c r="BJ860" i="1"/>
  <c r="BI860" i="1"/>
  <c r="BX858" i="1"/>
  <c r="V883" i="1"/>
  <c r="AL883" i="1"/>
  <c r="AM868" i="1"/>
  <c r="BU906" i="1"/>
  <c r="BV906" i="1" s="1"/>
  <c r="BU902" i="1"/>
  <c r="BV902" i="1" s="1"/>
  <c r="BU905" i="1"/>
  <c r="BV905" i="1" s="1"/>
  <c r="BU908" i="1"/>
  <c r="BV908" i="1" s="1"/>
  <c r="BU881" i="1"/>
  <c r="BV881" i="1" s="1"/>
  <c r="BU880" i="1"/>
  <c r="BV877" i="1"/>
  <c r="BH838" i="1"/>
  <c r="BX859" i="1"/>
  <c r="BW868" i="1"/>
  <c r="CB859" i="1"/>
  <c r="CA868" i="1"/>
  <c r="BA846" i="1"/>
  <c r="AZ848" i="1"/>
  <c r="CF838" i="1"/>
  <c r="CE859" i="1"/>
  <c r="W847" i="1"/>
  <c r="AE847" i="1"/>
  <c r="AM847" i="1"/>
  <c r="AU847" i="1"/>
  <c r="BC847" i="1"/>
  <c r="BU848" i="1"/>
  <c r="BV846" i="1"/>
  <c r="BU858" i="1"/>
  <c r="BV858" i="1" s="1"/>
  <c r="BV857" i="1"/>
  <c r="BL862" i="1"/>
  <c r="BK862" i="1"/>
  <c r="BZ858" i="1"/>
  <c r="CH858" i="1"/>
  <c r="BX864" i="1"/>
  <c r="CF864" i="1"/>
  <c r="L868" i="1"/>
  <c r="M859" i="1"/>
  <c r="P868" i="1"/>
  <c r="Q859" i="1"/>
  <c r="Y859" i="1"/>
  <c r="X868" i="1"/>
  <c r="AG859" i="1"/>
  <c r="AF868" i="1"/>
  <c r="AO859" i="1"/>
  <c r="AN868" i="1"/>
  <c r="AW859" i="1"/>
  <c r="AV868" i="1"/>
  <c r="BE859" i="1"/>
  <c r="CD867" i="1"/>
  <c r="Z883" i="1"/>
  <c r="AA868" i="1"/>
  <c r="AP883" i="1"/>
  <c r="AQ868" i="1"/>
  <c r="BH873" i="1"/>
  <c r="BG873" i="1"/>
  <c r="CD873" i="1"/>
  <c r="BY906" i="1"/>
  <c r="BY905" i="1"/>
  <c r="BY908" i="1"/>
  <c r="BY880" i="1"/>
  <c r="BW847" i="1"/>
  <c r="BW877" i="1"/>
  <c r="BW881" i="1" s="1"/>
  <c r="BX879" i="1"/>
  <c r="CE847" i="1"/>
  <c r="CE877" i="1"/>
  <c r="CE904" i="1" s="1"/>
  <c r="CF879" i="1"/>
  <c r="F905" i="1"/>
  <c r="F908" i="1"/>
  <c r="F904" i="1"/>
  <c r="F903" i="1"/>
  <c r="F906" i="1"/>
  <c r="F902" i="1"/>
  <c r="H881" i="1"/>
  <c r="H889" i="1" s="1"/>
  <c r="F880" i="1"/>
  <c r="N908" i="1"/>
  <c r="N906" i="1"/>
  <c r="N904" i="1"/>
  <c r="O904" i="1" s="1"/>
  <c r="N902" i="1"/>
  <c r="N905" i="1"/>
  <c r="O905" i="1" s="1"/>
  <c r="N903" i="1"/>
  <c r="P881" i="1"/>
  <c r="Q881" i="1" s="1"/>
  <c r="N880" i="1"/>
  <c r="O877" i="1"/>
  <c r="V908" i="1"/>
  <c r="V906" i="1"/>
  <c r="W906" i="1" s="1"/>
  <c r="V905" i="1"/>
  <c r="V902" i="1"/>
  <c r="X881" i="1"/>
  <c r="V880" i="1"/>
  <c r="V893" i="1" s="1"/>
  <c r="W877" i="1"/>
  <c r="AD908" i="1"/>
  <c r="AD906" i="1"/>
  <c r="AD905" i="1"/>
  <c r="AD902" i="1"/>
  <c r="AF881" i="1"/>
  <c r="AE877" i="1"/>
  <c r="AD880" i="1"/>
  <c r="AD895" i="1" s="1"/>
  <c r="AL908" i="1"/>
  <c r="AL906" i="1"/>
  <c r="AL905" i="1"/>
  <c r="AL902" i="1"/>
  <c r="AN881" i="1"/>
  <c r="AM877" i="1"/>
  <c r="AL880" i="1"/>
  <c r="AT908" i="1"/>
  <c r="AT906" i="1"/>
  <c r="AT905" i="1"/>
  <c r="AT902" i="1"/>
  <c r="AV881" i="1"/>
  <c r="AU877" i="1"/>
  <c r="AT880" i="1"/>
  <c r="BB908" i="1"/>
  <c r="BB906" i="1"/>
  <c r="BB905" i="1"/>
  <c r="BC905" i="1" s="1"/>
  <c r="BB902" i="1"/>
  <c r="BD881" i="1"/>
  <c r="BC877" i="1"/>
  <c r="BB880" i="1"/>
  <c r="W846" i="1"/>
  <c r="AE846" i="1"/>
  <c r="AM846" i="1"/>
  <c r="AU846" i="1"/>
  <c r="N848" i="1"/>
  <c r="AD848" i="1"/>
  <c r="AM848" i="1" s="1"/>
  <c r="AT848" i="1"/>
  <c r="BY848" i="1"/>
  <c r="BZ846" i="1"/>
  <c r="BL858" i="1"/>
  <c r="BK858" i="1"/>
  <c r="BJ863" i="1"/>
  <c r="BI863" i="1"/>
  <c r="BZ859" i="1"/>
  <c r="J883" i="1"/>
  <c r="K883" i="1" s="1"/>
  <c r="K868" i="1"/>
  <c r="AD883" i="1"/>
  <c r="AE883" i="1" s="1"/>
  <c r="AE868" i="1"/>
  <c r="AT883" i="1"/>
  <c r="AU883" i="1" s="1"/>
  <c r="AU868" i="1"/>
  <c r="X903" i="1"/>
  <c r="X904" i="1"/>
  <c r="BY870" i="1"/>
  <c r="Y870" i="1"/>
  <c r="AF904" i="1"/>
  <c r="AF903" i="1"/>
  <c r="AG903" i="1" s="1"/>
  <c r="AG870" i="1"/>
  <c r="AN903" i="1"/>
  <c r="AN904" i="1"/>
  <c r="AO904" i="1" s="1"/>
  <c r="CC870" i="1"/>
  <c r="CF870" i="1" s="1"/>
  <c r="AO870" i="1"/>
  <c r="AV904" i="1"/>
  <c r="AW904" i="1" s="1"/>
  <c r="AV903" i="1"/>
  <c r="AW903" i="1" s="1"/>
  <c r="AW870" i="1"/>
  <c r="BD903" i="1"/>
  <c r="BE903" i="1" s="1"/>
  <c r="BD904" i="1"/>
  <c r="BE904" i="1" s="1"/>
  <c r="CG870" i="1"/>
  <c r="BE870" i="1"/>
  <c r="BW904" i="1"/>
  <c r="BW903" i="1"/>
  <c r="BX870" i="1"/>
  <c r="BL878" i="1"/>
  <c r="BK878" i="1"/>
  <c r="CC906" i="1"/>
  <c r="CC905" i="1"/>
  <c r="CC908" i="1"/>
  <c r="BZ879" i="1"/>
  <c r="CH879" i="1"/>
  <c r="BH846" i="1"/>
  <c r="BU868" i="1"/>
  <c r="CC868" i="1"/>
  <c r="AW846" i="1"/>
  <c r="AV848" i="1"/>
  <c r="BE846" i="1"/>
  <c r="BD848" i="1"/>
  <c r="S847" i="1"/>
  <c r="AA847" i="1"/>
  <c r="AI847" i="1"/>
  <c r="AQ847" i="1"/>
  <c r="AY847" i="1"/>
  <c r="BG847" i="1"/>
  <c r="CC848" i="1"/>
  <c r="CD846" i="1"/>
  <c r="CD858" i="1"/>
  <c r="CD859" i="1"/>
  <c r="CB864" i="1"/>
  <c r="T883" i="1"/>
  <c r="U868" i="1"/>
  <c r="BJ867" i="1"/>
  <c r="BI867" i="1"/>
  <c r="BZ867" i="1"/>
  <c r="CH867" i="1"/>
  <c r="R883" i="1"/>
  <c r="S883" i="1" s="1"/>
  <c r="S868" i="1"/>
  <c r="AH883" i="1"/>
  <c r="AI883" i="1" s="1"/>
  <c r="AI868" i="1"/>
  <c r="AX868" i="1"/>
  <c r="BH870" i="1"/>
  <c r="CA870" i="1"/>
  <c r="BJ879" i="1"/>
  <c r="BH847" i="1"/>
  <c r="BI847" i="1" s="1"/>
  <c r="BI879" i="1"/>
  <c r="BZ873" i="1"/>
  <c r="CH873" i="1"/>
  <c r="CG906" i="1"/>
  <c r="CG902" i="1"/>
  <c r="CG908" i="1"/>
  <c r="CG880" i="1"/>
  <c r="CA847" i="1"/>
  <c r="CA877" i="1"/>
  <c r="CB879" i="1"/>
  <c r="CC880" i="1"/>
  <c r="CF836" i="1"/>
  <c r="CE843" i="1"/>
  <c r="CF843" i="1" s="1"/>
  <c r="U859" i="1"/>
  <c r="H897" i="1"/>
  <c r="H893" i="1"/>
  <c r="H895" i="1"/>
  <c r="H899" i="1"/>
  <c r="H892" i="1"/>
  <c r="H896" i="1"/>
  <c r="R881" i="1"/>
  <c r="Z881" i="1"/>
  <c r="AH881" i="1"/>
  <c r="AP881" i="1"/>
  <c r="AX881" i="1"/>
  <c r="L848" i="1"/>
  <c r="P848" i="1"/>
  <c r="T848" i="1"/>
  <c r="X848" i="1"/>
  <c r="AB848" i="1"/>
  <c r="AF848" i="1"/>
  <c r="AJ848" i="1"/>
  <c r="AN848" i="1"/>
  <c r="AR848" i="1"/>
  <c r="N868" i="1"/>
  <c r="W868" i="1" s="1"/>
  <c r="AB868" i="1"/>
  <c r="AJ868" i="1"/>
  <c r="AR868" i="1"/>
  <c r="AZ868" i="1"/>
  <c r="V903" i="1"/>
  <c r="W903" i="1" s="1"/>
  <c r="V904" i="1"/>
  <c r="W904" i="1" s="1"/>
  <c r="Z904" i="1"/>
  <c r="Z903" i="1"/>
  <c r="AD904" i="1"/>
  <c r="AE904" i="1" s="1"/>
  <c r="AD903" i="1"/>
  <c r="AE903" i="1" s="1"/>
  <c r="AH903" i="1"/>
  <c r="AI903" i="1" s="1"/>
  <c r="AH904" i="1"/>
  <c r="AI904" i="1" s="1"/>
  <c r="AL903" i="1"/>
  <c r="AM903" i="1" s="1"/>
  <c r="AL895" i="1"/>
  <c r="AL893" i="1"/>
  <c r="AL904" i="1"/>
  <c r="AP904" i="1"/>
  <c r="AQ904" i="1" s="1"/>
  <c r="AP903" i="1"/>
  <c r="AT904" i="1"/>
  <c r="AU904" i="1" s="1"/>
  <c r="AT895" i="1"/>
  <c r="AT893" i="1"/>
  <c r="AT903" i="1"/>
  <c r="AU903" i="1" s="1"/>
  <c r="AX903" i="1"/>
  <c r="AY903" i="1" s="1"/>
  <c r="AX904" i="1"/>
  <c r="AY904" i="1" s="1"/>
  <c r="BB903" i="1"/>
  <c r="BB895" i="1"/>
  <c r="BC895" i="1" s="1"/>
  <c r="BB893" i="1"/>
  <c r="BC893" i="1" s="1"/>
  <c r="BB904" i="1"/>
  <c r="BF870" i="1"/>
  <c r="BU904" i="1"/>
  <c r="BV904" i="1" s="1"/>
  <c r="BU903" i="1"/>
  <c r="BV903" i="1" s="1"/>
  <c r="BU895" i="1"/>
  <c r="BV895" i="1" s="1"/>
  <c r="BU893" i="1"/>
  <c r="BV893" i="1" s="1"/>
  <c r="B903" i="1"/>
  <c r="B906" i="1"/>
  <c r="B902" i="1"/>
  <c r="B905" i="1"/>
  <c r="B908" i="1"/>
  <c r="B904" i="1"/>
  <c r="D881" i="1"/>
  <c r="D889" i="1" s="1"/>
  <c r="B881" i="1"/>
  <c r="B889" i="1" s="1"/>
  <c r="B880" i="1"/>
  <c r="J908" i="1"/>
  <c r="K908" i="1" s="1"/>
  <c r="J906" i="1"/>
  <c r="J904" i="1"/>
  <c r="J902" i="1"/>
  <c r="K902" i="1" s="1"/>
  <c r="J905" i="1"/>
  <c r="K905" i="1" s="1"/>
  <c r="J903" i="1"/>
  <c r="L881" i="1"/>
  <c r="M881" i="1" s="1"/>
  <c r="J880" i="1"/>
  <c r="J882" i="1" s="1"/>
  <c r="R908" i="1"/>
  <c r="S908" i="1" s="1"/>
  <c r="R906" i="1"/>
  <c r="S906" i="1" s="1"/>
  <c r="R905" i="1"/>
  <c r="R903" i="1"/>
  <c r="S903" i="1" s="1"/>
  <c r="R904" i="1"/>
  <c r="S904" i="1" s="1"/>
  <c r="R902" i="1"/>
  <c r="T881" i="1"/>
  <c r="U881" i="1" s="1"/>
  <c r="R880" i="1"/>
  <c r="Z908" i="1"/>
  <c r="AA908" i="1" s="1"/>
  <c r="Z906" i="1"/>
  <c r="AA906" i="1" s="1"/>
  <c r="Z902" i="1"/>
  <c r="AA902" i="1" s="1"/>
  <c r="Z905" i="1"/>
  <c r="AA905" i="1" s="1"/>
  <c r="AB881" i="1"/>
  <c r="AC881" i="1" s="1"/>
  <c r="Z880" i="1"/>
  <c r="Z893" i="1" s="1"/>
  <c r="AH908" i="1"/>
  <c r="AH906" i="1"/>
  <c r="AH905" i="1"/>
  <c r="AI905" i="1" s="1"/>
  <c r="AH902" i="1"/>
  <c r="AI902" i="1" s="1"/>
  <c r="AJ881" i="1"/>
  <c r="AH880" i="1"/>
  <c r="AH893" i="1" s="1"/>
  <c r="AP908" i="1"/>
  <c r="AQ908" i="1" s="1"/>
  <c r="AP906" i="1"/>
  <c r="AP905" i="1"/>
  <c r="AP902" i="1"/>
  <c r="AR881" i="1"/>
  <c r="AS881" i="1" s="1"/>
  <c r="AP880" i="1"/>
  <c r="AX908" i="1"/>
  <c r="AX906" i="1"/>
  <c r="AX905" i="1"/>
  <c r="AY905" i="1" s="1"/>
  <c r="AX902" i="1"/>
  <c r="AZ881" i="1"/>
  <c r="AX880" i="1"/>
  <c r="AX895" i="1" s="1"/>
  <c r="S877" i="1"/>
  <c r="AA877" i="1"/>
  <c r="W870" i="1"/>
  <c r="AA870" i="1"/>
  <c r="AE870" i="1"/>
  <c r="AI870" i="1"/>
  <c r="AM870" i="1"/>
  <c r="AQ870" i="1"/>
  <c r="AU870" i="1"/>
  <c r="AY870" i="1"/>
  <c r="BC870" i="1"/>
  <c r="BV870" i="1"/>
  <c r="AI877" i="1"/>
  <c r="D908" i="1"/>
  <c r="D904" i="1"/>
  <c r="D903" i="1"/>
  <c r="D906" i="1"/>
  <c r="D902" i="1"/>
  <c r="D905" i="1"/>
  <c r="L908" i="1"/>
  <c r="M908" i="1" s="1"/>
  <c r="L906" i="1"/>
  <c r="M906" i="1" s="1"/>
  <c r="L905" i="1"/>
  <c r="L903" i="1"/>
  <c r="L904" i="1"/>
  <c r="L902" i="1"/>
  <c r="M902" i="1" s="1"/>
  <c r="T908" i="1"/>
  <c r="T906" i="1"/>
  <c r="T904" i="1"/>
  <c r="U904" i="1" s="1"/>
  <c r="T902" i="1"/>
  <c r="U902" i="1" s="1"/>
  <c r="T905" i="1"/>
  <c r="U905" i="1" s="1"/>
  <c r="T903" i="1"/>
  <c r="U903" i="1" s="1"/>
  <c r="AB908" i="1"/>
  <c r="AC908" i="1" s="1"/>
  <c r="AB906" i="1"/>
  <c r="AB905" i="1"/>
  <c r="AC905" i="1" s="1"/>
  <c r="AB902" i="1"/>
  <c r="AJ908" i="1"/>
  <c r="AK908" i="1" s="1"/>
  <c r="AJ906" i="1"/>
  <c r="AK906" i="1" s="1"/>
  <c r="AJ905" i="1"/>
  <c r="AK905" i="1" s="1"/>
  <c r="AJ902" i="1"/>
  <c r="AK902" i="1" s="1"/>
  <c r="AR908" i="1"/>
  <c r="AS908" i="1" s="1"/>
  <c r="AR906" i="1"/>
  <c r="AS906" i="1" s="1"/>
  <c r="AR905" i="1"/>
  <c r="AS905" i="1" s="1"/>
  <c r="AR902" i="1"/>
  <c r="AS902" i="1" s="1"/>
  <c r="AZ908" i="1"/>
  <c r="BA908" i="1" s="1"/>
  <c r="AZ906" i="1"/>
  <c r="BA906" i="1" s="1"/>
  <c r="AZ905" i="1"/>
  <c r="BA905" i="1" s="1"/>
  <c r="AZ902" i="1"/>
  <c r="BA902" i="1" s="1"/>
  <c r="Q877" i="1"/>
  <c r="Y877" i="1"/>
  <c r="AG877" i="1"/>
  <c r="AO877" i="1"/>
  <c r="AW877" i="1"/>
  <c r="J881" i="1"/>
  <c r="K881" i="1" s="1"/>
  <c r="N881" i="1"/>
  <c r="V881" i="1"/>
  <c r="AD881" i="1"/>
  <c r="AL881" i="1"/>
  <c r="AT881" i="1"/>
  <c r="BB881" i="1"/>
  <c r="BC881" i="1" s="1"/>
  <c r="D880" i="1"/>
  <c r="F881" i="1"/>
  <c r="F889" i="1" s="1"/>
  <c r="H906" i="1"/>
  <c r="H902" i="1"/>
  <c r="H905" i="1"/>
  <c r="H908" i="1"/>
  <c r="H904" i="1"/>
  <c r="H903" i="1"/>
  <c r="P908" i="1"/>
  <c r="P904" i="1"/>
  <c r="Q904" i="1" s="1"/>
  <c r="P902" i="1"/>
  <c r="P905" i="1"/>
  <c r="P903" i="1"/>
  <c r="P906" i="1"/>
  <c r="Q906" i="1" s="1"/>
  <c r="X908" i="1"/>
  <c r="X905" i="1"/>
  <c r="X902" i="1"/>
  <c r="Y902" i="1" s="1"/>
  <c r="X906" i="1"/>
  <c r="Y906" i="1" s="1"/>
  <c r="AF908" i="1"/>
  <c r="AG908" i="1" s="1"/>
  <c r="AF902" i="1"/>
  <c r="AF906" i="1"/>
  <c r="AF905" i="1"/>
  <c r="AN908" i="1"/>
  <c r="AO908" i="1" s="1"/>
  <c r="AN902" i="1"/>
  <c r="AO902" i="1" s="1"/>
  <c r="AN906" i="1"/>
  <c r="AO906" i="1" s="1"/>
  <c r="AN905" i="1"/>
  <c r="AO905" i="1" s="1"/>
  <c r="AV908" i="1"/>
  <c r="AW908" i="1" s="1"/>
  <c r="AV902" i="1"/>
  <c r="AW902" i="1" s="1"/>
  <c r="AV906" i="1"/>
  <c r="AW906" i="1" s="1"/>
  <c r="AV905" i="1"/>
  <c r="AW905" i="1" s="1"/>
  <c r="BD908" i="1"/>
  <c r="BE908" i="1" s="1"/>
  <c r="BD902" i="1"/>
  <c r="BE902" i="1" s="1"/>
  <c r="BD906" i="1"/>
  <c r="BE906" i="1" s="1"/>
  <c r="BD905" i="1"/>
  <c r="BE905" i="1" s="1"/>
  <c r="M877" i="1"/>
  <c r="U877" i="1"/>
  <c r="AC877" i="1"/>
  <c r="AK877" i="1"/>
  <c r="AS877" i="1"/>
  <c r="BA877" i="1"/>
  <c r="L880" i="1"/>
  <c r="P880" i="1"/>
  <c r="T880" i="1"/>
  <c r="X880" i="1"/>
  <c r="X895" i="1" s="1"/>
  <c r="AB880" i="1"/>
  <c r="AF880" i="1"/>
  <c r="AJ880" i="1"/>
  <c r="AN880" i="1"/>
  <c r="AN895" i="1" s="1"/>
  <c r="AR880" i="1"/>
  <c r="AR893" i="1" s="1"/>
  <c r="AV880" i="1"/>
  <c r="AZ880" i="1"/>
  <c r="BD880" i="1"/>
  <c r="B15" i="23" l="1"/>
  <c r="B13" i="23"/>
  <c r="D9" i="23"/>
  <c r="E4" i="23"/>
  <c r="CF827" i="1"/>
  <c r="BI837" i="1"/>
  <c r="BJ837" i="1"/>
  <c r="BZ821" i="1"/>
  <c r="AG906" i="1"/>
  <c r="Q908" i="1"/>
  <c r="AQ903" i="1"/>
  <c r="AM895" i="1"/>
  <c r="AD893" i="1"/>
  <c r="AE893" i="1" s="1"/>
  <c r="V895" i="1"/>
  <c r="BE881" i="1"/>
  <c r="BC908" i="1"/>
  <c r="AU902" i="1"/>
  <c r="AM905" i="1"/>
  <c r="AE906" i="1"/>
  <c r="Y881" i="1"/>
  <c r="Y608" i="1"/>
  <c r="AO631" i="1"/>
  <c r="AK482" i="1"/>
  <c r="AQ464" i="1"/>
  <c r="AH483" i="1"/>
  <c r="AI483" i="1" s="1"/>
  <c r="AA482" i="1"/>
  <c r="AW482" i="1"/>
  <c r="AG483" i="1"/>
  <c r="Q482" i="1"/>
  <c r="AZ241" i="1"/>
  <c r="CC300" i="1"/>
  <c r="CC328" i="1" s="1"/>
  <c r="BW187" i="1"/>
  <c r="CC76" i="1"/>
  <c r="BV45" i="1"/>
  <c r="CA811" i="1"/>
  <c r="AY811" i="1"/>
  <c r="AG569" i="1"/>
  <c r="AK569" i="1"/>
  <c r="BU401" i="1"/>
  <c r="BV401" i="1" s="1"/>
  <c r="BX380" i="1"/>
  <c r="BZ12" i="1"/>
  <c r="BX12" i="1"/>
  <c r="AI8" i="1"/>
  <c r="AA8" i="1"/>
  <c r="AM893" i="1"/>
  <c r="AG902" i="1"/>
  <c r="Q905" i="1"/>
  <c r="W881" i="1"/>
  <c r="AC902" i="1"/>
  <c r="U906" i="1"/>
  <c r="M903" i="1"/>
  <c r="BC903" i="1"/>
  <c r="CC902" i="1"/>
  <c r="AG904" i="1"/>
  <c r="BC902" i="1"/>
  <c r="AU905" i="1"/>
  <c r="AM906" i="1"/>
  <c r="AG881" i="1"/>
  <c r="AE908" i="1"/>
  <c r="O908" i="1"/>
  <c r="AY740" i="1"/>
  <c r="AC628" i="1"/>
  <c r="AM608" i="1"/>
  <c r="CD493" i="1"/>
  <c r="K631" i="1"/>
  <c r="BZ631" i="1"/>
  <c r="AO479" i="1"/>
  <c r="Y479" i="1"/>
  <c r="BC482" i="1"/>
  <c r="AE483" i="1"/>
  <c r="W482" i="1"/>
  <c r="AS482" i="1"/>
  <c r="AC483" i="1"/>
  <c r="AI271" i="1"/>
  <c r="AQ483" i="1"/>
  <c r="V174" i="1"/>
  <c r="AO483" i="1"/>
  <c r="Y482" i="1"/>
  <c r="CF300" i="1"/>
  <c r="BA328" i="1"/>
  <c r="AK328" i="1"/>
  <c r="U328" i="1"/>
  <c r="BH248" i="1"/>
  <c r="BI248" i="1" s="1"/>
  <c r="BU221" i="1"/>
  <c r="BU258" i="1" s="1"/>
  <c r="BV258" i="1" s="1"/>
  <c r="AU81" i="1"/>
  <c r="AE81" i="1"/>
  <c r="O81" i="1"/>
  <c r="AK811" i="1"/>
  <c r="BK842" i="1"/>
  <c r="BL842" i="1"/>
  <c r="CB821" i="1"/>
  <c r="BX458" i="1"/>
  <c r="BZ458" i="1"/>
  <c r="AY902" i="1"/>
  <c r="AQ906" i="1"/>
  <c r="S902" i="1"/>
  <c r="K903" i="1"/>
  <c r="AU895" i="1"/>
  <c r="AM904" i="1"/>
  <c r="AI881" i="1"/>
  <c r="CH877" i="1"/>
  <c r="CE881" i="1"/>
  <c r="AU906" i="1"/>
  <c r="AO881" i="1"/>
  <c r="AM908" i="1"/>
  <c r="AE902" i="1"/>
  <c r="W905" i="1"/>
  <c r="O902" i="1"/>
  <c r="BX881" i="1"/>
  <c r="CB827" i="1"/>
  <c r="AU740" i="1"/>
  <c r="Y600" i="1"/>
  <c r="AO628" i="1"/>
  <c r="Y628" i="1"/>
  <c r="AU533" i="1"/>
  <c r="AE533" i="1"/>
  <c r="BC479" i="1"/>
  <c r="AM479" i="1"/>
  <c r="W479" i="1"/>
  <c r="BG363" i="1"/>
  <c r="AQ363" i="1"/>
  <c r="AA363" i="1"/>
  <c r="AS340" i="1"/>
  <c r="AC340" i="1"/>
  <c r="AU415" i="1"/>
  <c r="CF363" i="1"/>
  <c r="AM483" i="1"/>
  <c r="AE482" i="1"/>
  <c r="BA335" i="1"/>
  <c r="AK335" i="1"/>
  <c r="U335" i="1"/>
  <c r="BU324" i="1"/>
  <c r="BV324" i="1" s="1"/>
  <c r="AK483" i="1"/>
  <c r="AU271" i="1"/>
  <c r="AE271" i="1"/>
  <c r="CF240" i="1"/>
  <c r="AQ482" i="1"/>
  <c r="W213" i="1"/>
  <c r="CD174" i="1"/>
  <c r="CA300" i="1"/>
  <c r="CB300" i="1" s="1"/>
  <c r="AS271" i="1"/>
  <c r="BC76" i="1"/>
  <c r="W76" i="1"/>
  <c r="AQ38" i="1"/>
  <c r="AG125" i="1"/>
  <c r="AA492" i="1"/>
  <c r="CD503" i="1"/>
  <c r="CB467" i="1"/>
  <c r="BX365" i="1"/>
  <c r="CI371" i="1"/>
  <c r="AC348" i="1"/>
  <c r="D123" i="1"/>
  <c r="F118" i="1"/>
  <c r="BX415" i="1"/>
  <c r="AY8" i="1"/>
  <c r="AQ8" i="1"/>
  <c r="AI893" i="1"/>
  <c r="BY599" i="1"/>
  <c r="AF622" i="1"/>
  <c r="K618" i="1"/>
  <c r="AE582" i="1"/>
  <c r="W582" i="1"/>
  <c r="BH395" i="1"/>
  <c r="BI395" i="1" s="1"/>
  <c r="BI373" i="1"/>
  <c r="P398" i="1"/>
  <c r="Q396" i="1"/>
  <c r="M526" i="1"/>
  <c r="L530" i="1"/>
  <c r="L535" i="1"/>
  <c r="M535" i="1" s="1"/>
  <c r="L536" i="1"/>
  <c r="M536" i="1" s="1"/>
  <c r="L537" i="1"/>
  <c r="BF473" i="1"/>
  <c r="BG464" i="1"/>
  <c r="W619" i="1"/>
  <c r="CH743" i="1"/>
  <c r="CG738" i="1"/>
  <c r="CH738" i="1" s="1"/>
  <c r="CC599" i="1"/>
  <c r="BY401" i="1"/>
  <c r="BY396" i="1"/>
  <c r="S619" i="1"/>
  <c r="CA251" i="1"/>
  <c r="CJ450" i="1"/>
  <c r="CI458" i="1"/>
  <c r="CJ458" i="1" s="1"/>
  <c r="AB899" i="1"/>
  <c r="AB897" i="1"/>
  <c r="AB892" i="1"/>
  <c r="AD882" i="1"/>
  <c r="AC880" i="1"/>
  <c r="AB770" i="1"/>
  <c r="BD899" i="1"/>
  <c r="BD897" i="1"/>
  <c r="BD892" i="1"/>
  <c r="BE892" i="1" s="1"/>
  <c r="BE880" i="1"/>
  <c r="BD770" i="1"/>
  <c r="Y905" i="1"/>
  <c r="AZ892" i="1"/>
  <c r="AZ899" i="1"/>
  <c r="AZ897" i="1"/>
  <c r="BB882" i="1"/>
  <c r="BA880" i="1"/>
  <c r="AZ770" i="1"/>
  <c r="AJ892" i="1"/>
  <c r="AK892" i="1" s="1"/>
  <c r="AJ899" i="1"/>
  <c r="AJ897" i="1"/>
  <c r="AK897" i="1" s="1"/>
  <c r="AL882" i="1"/>
  <c r="AM882" i="1" s="1"/>
  <c r="AK880" i="1"/>
  <c r="AJ770" i="1"/>
  <c r="T893" i="1"/>
  <c r="T899" i="1"/>
  <c r="T897" i="1"/>
  <c r="T895" i="1"/>
  <c r="T892" i="1"/>
  <c r="V882" i="1"/>
  <c r="U880" i="1"/>
  <c r="T770" i="1"/>
  <c r="AV899" i="1"/>
  <c r="AV897" i="1"/>
  <c r="AV892" i="1"/>
  <c r="AX882" i="1"/>
  <c r="AW880" i="1"/>
  <c r="AV770" i="1"/>
  <c r="AF899" i="1"/>
  <c r="AF897" i="1"/>
  <c r="AF892" i="1"/>
  <c r="AH882" i="1"/>
  <c r="AG880" i="1"/>
  <c r="AF770" i="1"/>
  <c r="P899" i="1"/>
  <c r="Q899" i="1" s="1"/>
  <c r="P897" i="1"/>
  <c r="Q897" i="1" s="1"/>
  <c r="P895" i="1"/>
  <c r="Q895" i="1" s="1"/>
  <c r="P892" i="1"/>
  <c r="Q892" i="1" s="1"/>
  <c r="P893" i="1"/>
  <c r="Q893" i="1" s="1"/>
  <c r="R882" i="1"/>
  <c r="S882" i="1" s="1"/>
  <c r="Q880" i="1"/>
  <c r="P770" i="1"/>
  <c r="AG905" i="1"/>
  <c r="AM881" i="1"/>
  <c r="AC906" i="1"/>
  <c r="BA881" i="1"/>
  <c r="AY908" i="1"/>
  <c r="AQ905" i="1"/>
  <c r="AK881" i="1"/>
  <c r="AI908" i="1"/>
  <c r="S905" i="1"/>
  <c r="K904" i="1"/>
  <c r="BG870" i="1"/>
  <c r="BF785" i="1"/>
  <c r="AU893" i="1"/>
  <c r="AH895" i="1"/>
  <c r="AE895" i="1"/>
  <c r="AB883" i="1"/>
  <c r="AC883" i="1" s="1"/>
  <c r="AC868" i="1"/>
  <c r="AK848" i="1"/>
  <c r="AJ849" i="1"/>
  <c r="U848" i="1"/>
  <c r="T849" i="1"/>
  <c r="AY881" i="1"/>
  <c r="S881" i="1"/>
  <c r="CG897" i="1"/>
  <c r="CG899" i="1"/>
  <c r="CG892" i="1"/>
  <c r="CG770" i="1"/>
  <c r="BI870" i="1"/>
  <c r="BH785" i="1"/>
  <c r="CC849" i="1"/>
  <c r="BE848" i="1"/>
  <c r="BD849" i="1"/>
  <c r="BD896" i="1" s="1"/>
  <c r="AV893" i="1"/>
  <c r="BY904" i="1"/>
  <c r="BZ904" i="1" s="1"/>
  <c r="BY903" i="1"/>
  <c r="BZ903" i="1" s="1"/>
  <c r="BY895" i="1"/>
  <c r="BY893" i="1"/>
  <c r="BZ870" i="1"/>
  <c r="BY785" i="1"/>
  <c r="Y903" i="1"/>
  <c r="O848" i="1"/>
  <c r="N849" i="1"/>
  <c r="O849" i="1" s="1"/>
  <c r="W865" i="1"/>
  <c r="AL899" i="1"/>
  <c r="AL897" i="1"/>
  <c r="AL896" i="1"/>
  <c r="AN882" i="1"/>
  <c r="AM880" i="1"/>
  <c r="AL892" i="1"/>
  <c r="AL770" i="1"/>
  <c r="W908" i="1"/>
  <c r="O903" i="1"/>
  <c r="O906" i="1"/>
  <c r="CH847" i="1"/>
  <c r="CF847" i="1"/>
  <c r="BZ877" i="1"/>
  <c r="AQ883" i="1"/>
  <c r="AN883" i="1"/>
  <c r="AO868" i="1"/>
  <c r="X883" i="1"/>
  <c r="Y868" i="1"/>
  <c r="BL860" i="1"/>
  <c r="BK860" i="1"/>
  <c r="Y811" i="1"/>
  <c r="AG811" i="1"/>
  <c r="BY811" i="1"/>
  <c r="BB821" i="1"/>
  <c r="BD793" i="1"/>
  <c r="BC793" i="1"/>
  <c r="BI861" i="1"/>
  <c r="BJ861" i="1"/>
  <c r="CI836" i="1"/>
  <c r="BM836" i="1"/>
  <c r="CM840" i="1"/>
  <c r="CL840" i="1"/>
  <c r="AB893" i="1"/>
  <c r="AC893" i="1" s="1"/>
  <c r="BJ843" i="1"/>
  <c r="BI843" i="1"/>
  <c r="AE807" i="1"/>
  <c r="W807" i="1"/>
  <c r="CB812" i="1"/>
  <c r="F827" i="1"/>
  <c r="AY773" i="1"/>
  <c r="AH781" i="1"/>
  <c r="AI773" i="1"/>
  <c r="R781" i="1"/>
  <c r="S773" i="1"/>
  <c r="H827" i="1"/>
  <c r="AG806" i="1"/>
  <c r="CA806" i="1"/>
  <c r="CB806" i="1" s="1"/>
  <c r="CD812" i="1"/>
  <c r="AW773" i="1"/>
  <c r="AG773" i="1"/>
  <c r="AF781" i="1"/>
  <c r="Q773" i="1"/>
  <c r="P781" i="1"/>
  <c r="Q781" i="1" s="1"/>
  <c r="AR807" i="1"/>
  <c r="AS807" i="1" s="1"/>
  <c r="AS806" i="1"/>
  <c r="CC781" i="1"/>
  <c r="BJ874" i="1"/>
  <c r="BI874" i="1"/>
  <c r="AI743" i="1"/>
  <c r="CC743" i="1"/>
  <c r="AH738" i="1"/>
  <c r="BZ737" i="1"/>
  <c r="BY740" i="1"/>
  <c r="BZ740" i="1" s="1"/>
  <c r="BV756" i="1"/>
  <c r="BU755" i="1"/>
  <c r="BV755" i="1" s="1"/>
  <c r="AZ807" i="1"/>
  <c r="BA807" i="1" s="1"/>
  <c r="BA806" i="1"/>
  <c r="AM740" i="1"/>
  <c r="CF734" i="1"/>
  <c r="CQ688" i="1"/>
  <c r="CP688" i="1"/>
  <c r="AC600" i="1"/>
  <c r="X599" i="1"/>
  <c r="Y596" i="1"/>
  <c r="Z599" i="1"/>
  <c r="AA596" i="1"/>
  <c r="CB594" i="1"/>
  <c r="CA596" i="1"/>
  <c r="CH582" i="1"/>
  <c r="CS582" i="1"/>
  <c r="CO687" i="1"/>
  <c r="CN687" i="1"/>
  <c r="BA623" i="1"/>
  <c r="AS623" i="1"/>
  <c r="AR627" i="1"/>
  <c r="AU600" i="1"/>
  <c r="AM600" i="1"/>
  <c r="W600" i="1"/>
  <c r="L599" i="1"/>
  <c r="M596" i="1"/>
  <c r="AG628" i="1"/>
  <c r="AN601" i="1"/>
  <c r="AW599" i="1"/>
  <c r="AK608" i="1"/>
  <c r="R627" i="1"/>
  <c r="S623" i="1"/>
  <c r="BW537" i="1"/>
  <c r="BX537" i="1" s="1"/>
  <c r="BX529" i="1"/>
  <c r="BU655" i="1"/>
  <c r="BU613" i="1"/>
  <c r="BV610" i="1"/>
  <c r="BU13" i="1"/>
  <c r="BV13" i="1" s="1"/>
  <c r="Y623" i="1"/>
  <c r="X627" i="1"/>
  <c r="CD568" i="1"/>
  <c r="CC574" i="1"/>
  <c r="AW533" i="1"/>
  <c r="AG533" i="1"/>
  <c r="CD528" i="1"/>
  <c r="AT633" i="1"/>
  <c r="AH627" i="1"/>
  <c r="AI623" i="1"/>
  <c r="U623" i="1"/>
  <c r="T627" i="1"/>
  <c r="AA569" i="1"/>
  <c r="AH553" i="1"/>
  <c r="AI551" i="1"/>
  <c r="CE533" i="1"/>
  <c r="CF527" i="1"/>
  <c r="AW628" i="1"/>
  <c r="AW623" i="1"/>
  <c r="AO623" i="1"/>
  <c r="AN627" i="1"/>
  <c r="AE608" i="1"/>
  <c r="Z627" i="1"/>
  <c r="AA623" i="1"/>
  <c r="AY533" i="1"/>
  <c r="AI533" i="1"/>
  <c r="S533" i="1"/>
  <c r="D541" i="1"/>
  <c r="D562" i="1"/>
  <c r="D531" i="1"/>
  <c r="F526" i="1"/>
  <c r="BU561" i="1"/>
  <c r="BV561" i="1" s="1"/>
  <c r="BE551" i="1"/>
  <c r="AW551" i="1"/>
  <c r="AV553" i="1"/>
  <c r="AO551" i="1"/>
  <c r="AN553" i="1"/>
  <c r="AH670" i="1"/>
  <c r="AI443" i="1"/>
  <c r="R670" i="1"/>
  <c r="S443" i="1"/>
  <c r="BY670" i="1"/>
  <c r="BZ443" i="1"/>
  <c r="AI654" i="1"/>
  <c r="AA654" i="1"/>
  <c r="S654" i="1"/>
  <c r="K654" i="1"/>
  <c r="BB553" i="1"/>
  <c r="BC551" i="1"/>
  <c r="AL553" i="1"/>
  <c r="AM551" i="1"/>
  <c r="L553" i="1"/>
  <c r="M551" i="1"/>
  <c r="AQ479" i="1"/>
  <c r="AA479" i="1"/>
  <c r="K479" i="1"/>
  <c r="BW496" i="1"/>
  <c r="BX476" i="1"/>
  <c r="H448" i="1"/>
  <c r="AG421" i="1"/>
  <c r="Y421" i="1"/>
  <c r="CG415" i="1"/>
  <c r="CH409" i="1"/>
  <c r="BG397" i="1"/>
  <c r="BF406" i="1"/>
  <c r="BW551" i="1"/>
  <c r="BX548" i="1"/>
  <c r="BZ529" i="1"/>
  <c r="CB489" i="1"/>
  <c r="BM500" i="1"/>
  <c r="CA464" i="1"/>
  <c r="BZ463" i="1"/>
  <c r="AR670" i="1"/>
  <c r="X670" i="1"/>
  <c r="Y443" i="1"/>
  <c r="BA654" i="1"/>
  <c r="Q631" i="1"/>
  <c r="CF406" i="1"/>
  <c r="CE410" i="1"/>
  <c r="CG402" i="1"/>
  <c r="CH402" i="1" s="1"/>
  <c r="N403" i="1"/>
  <c r="O403" i="1" s="1"/>
  <c r="O401" i="1"/>
  <c r="AU363" i="1"/>
  <c r="AE363" i="1"/>
  <c r="AW340" i="1"/>
  <c r="AG340" i="1"/>
  <c r="AO335" i="1"/>
  <c r="CC569" i="1"/>
  <c r="CD569" i="1" s="1"/>
  <c r="K541" i="1"/>
  <c r="BZ493" i="1"/>
  <c r="BF486" i="1"/>
  <c r="AW479" i="1"/>
  <c r="AG479" i="1"/>
  <c r="Q479" i="1"/>
  <c r="BU496" i="1"/>
  <c r="BV476" i="1"/>
  <c r="CI475" i="1"/>
  <c r="CJ475" i="1" s="1"/>
  <c r="BG475" i="1"/>
  <c r="CH442" i="1"/>
  <c r="CF442" i="1"/>
  <c r="CH432" i="1"/>
  <c r="CG440" i="1"/>
  <c r="CF426" i="1"/>
  <c r="CD426" i="1"/>
  <c r="AQ421" i="1"/>
  <c r="AI421" i="1"/>
  <c r="AY415" i="1"/>
  <c r="BF415" i="1"/>
  <c r="BG415" i="1" s="1"/>
  <c r="CE415" i="1"/>
  <c r="CF409" i="1"/>
  <c r="BU395" i="1"/>
  <c r="BV373" i="1"/>
  <c r="CJ353" i="1"/>
  <c r="AN685" i="1"/>
  <c r="AN500" i="1"/>
  <c r="AN497" i="1"/>
  <c r="AO496" i="1"/>
  <c r="X685" i="1"/>
  <c r="X500" i="1"/>
  <c r="Y500" i="1" s="1"/>
  <c r="X497" i="1"/>
  <c r="Y496" i="1"/>
  <c r="BH467" i="1"/>
  <c r="BI467" i="1" s="1"/>
  <c r="CH439" i="1"/>
  <c r="AZ398" i="1"/>
  <c r="BA396" i="1"/>
  <c r="AJ403" i="1"/>
  <c r="AK401" i="1"/>
  <c r="T398" i="1"/>
  <c r="U396" i="1"/>
  <c r="B403" i="1"/>
  <c r="CE355" i="1"/>
  <c r="CF355" i="1" s="1"/>
  <c r="AS335" i="1"/>
  <c r="AC335" i="1"/>
  <c r="BH483" i="1"/>
  <c r="BI483" i="1" s="1"/>
  <c r="BA483" i="1"/>
  <c r="AP670" i="1"/>
  <c r="AQ443" i="1"/>
  <c r="CJ427" i="1"/>
  <c r="CK426" i="1"/>
  <c r="CB402" i="1"/>
  <c r="CH394" i="1"/>
  <c r="CG401" i="1"/>
  <c r="CG396" i="1"/>
  <c r="AP403" i="1"/>
  <c r="AQ401" i="1"/>
  <c r="CD394" i="1"/>
  <c r="CC401" i="1"/>
  <c r="CC396" i="1"/>
  <c r="Z403" i="1"/>
  <c r="AA401" i="1"/>
  <c r="S396" i="1"/>
  <c r="R398" i="1"/>
  <c r="AO348" i="1"/>
  <c r="BJ340" i="1"/>
  <c r="BL340" i="1" s="1"/>
  <c r="BH340" i="1"/>
  <c r="BI340" i="1" s="1"/>
  <c r="BG340" i="1"/>
  <c r="BL328" i="1"/>
  <c r="AZ320" i="1"/>
  <c r="BA318" i="1"/>
  <c r="CE323" i="1"/>
  <c r="CF309" i="1"/>
  <c r="CE318" i="1"/>
  <c r="AA278" i="1"/>
  <c r="S278" i="1"/>
  <c r="BC271" i="1"/>
  <c r="BK271" i="1"/>
  <c r="AM271" i="1"/>
  <c r="H252" i="1"/>
  <c r="AN241" i="1"/>
  <c r="AR500" i="1"/>
  <c r="AS496" i="1"/>
  <c r="AR497" i="1"/>
  <c r="AB685" i="1"/>
  <c r="AB500" i="1"/>
  <c r="AC500" i="1" s="1"/>
  <c r="AC496" i="1"/>
  <c r="AB497" i="1"/>
  <c r="CG479" i="1"/>
  <c r="AN398" i="1"/>
  <c r="AO396" i="1"/>
  <c r="AF403" i="1"/>
  <c r="AG401" i="1"/>
  <c r="AP320" i="1"/>
  <c r="AQ318" i="1"/>
  <c r="CF331" i="1"/>
  <c r="CE335" i="1"/>
  <c r="BX331" i="1"/>
  <c r="BW335" i="1"/>
  <c r="X325" i="1"/>
  <c r="Y323" i="1"/>
  <c r="D325" i="1"/>
  <c r="BB328" i="1"/>
  <c r="BK328" i="1" s="1"/>
  <c r="BC300" i="1"/>
  <c r="AL328" i="1"/>
  <c r="AM300" i="1"/>
  <c r="V328" i="1"/>
  <c r="W300" i="1"/>
  <c r="BG299" i="1"/>
  <c r="BF300" i="1"/>
  <c r="CJ293" i="1"/>
  <c r="CL293" i="1"/>
  <c r="BH285" i="1"/>
  <c r="BJ284" i="1"/>
  <c r="BJ283" i="1"/>
  <c r="AV650" i="1"/>
  <c r="AW273" i="1"/>
  <c r="AV274" i="1"/>
  <c r="AV279" i="1"/>
  <c r="AV8" i="1"/>
  <c r="AF650" i="1"/>
  <c r="AG273" i="1"/>
  <c r="AF274" i="1"/>
  <c r="AF279" i="1"/>
  <c r="AF8" i="1"/>
  <c r="BC213" i="1"/>
  <c r="AA213" i="1"/>
  <c r="K213" i="1"/>
  <c r="CF174" i="1"/>
  <c r="CH174" i="1"/>
  <c r="AP497" i="1"/>
  <c r="AQ496" i="1"/>
  <c r="AP500" i="1"/>
  <c r="Z685" i="1"/>
  <c r="Z497" i="1"/>
  <c r="AA496" i="1"/>
  <c r="Z500" i="1"/>
  <c r="AA500" i="1" s="1"/>
  <c r="BM483" i="1"/>
  <c r="BE483" i="1"/>
  <c r="BH463" i="1"/>
  <c r="BI463" i="1" s="1"/>
  <c r="AU654" i="1"/>
  <c r="BB403" i="1"/>
  <c r="BC401" i="1"/>
  <c r="AM396" i="1"/>
  <c r="AL398" i="1"/>
  <c r="V403" i="1"/>
  <c r="W403" i="1" s="1"/>
  <c r="W401" i="1"/>
  <c r="CH381" i="1"/>
  <c r="H652" i="1"/>
  <c r="H418" i="1"/>
  <c r="H922" i="1" s="1"/>
  <c r="H422" i="1"/>
  <c r="H10" i="1"/>
  <c r="K396" i="1"/>
  <c r="J398" i="1"/>
  <c r="CB374" i="1"/>
  <c r="CG355" i="1"/>
  <c r="CH355" i="1" s="1"/>
  <c r="CD348" i="1"/>
  <c r="BZ340" i="1"/>
  <c r="BH299" i="1"/>
  <c r="BH300" i="1" s="1"/>
  <c r="BJ297" i="1"/>
  <c r="BJ302" i="1" s="1"/>
  <c r="BI297" i="1"/>
  <c r="AI294" i="1"/>
  <c r="AA294" i="1"/>
  <c r="BH294" i="1"/>
  <c r="BI294" i="1" s="1"/>
  <c r="BI290" i="1"/>
  <c r="AW271" i="1"/>
  <c r="AG271" i="1"/>
  <c r="F252" i="1"/>
  <c r="BA250" i="1"/>
  <c r="AG238" i="1"/>
  <c r="AF240" i="1"/>
  <c r="T240" i="1"/>
  <c r="AC238" i="1"/>
  <c r="U238" i="1"/>
  <c r="CD240" i="1"/>
  <c r="BL215" i="1"/>
  <c r="BD320" i="1"/>
  <c r="BE318" i="1"/>
  <c r="AU318" i="1"/>
  <c r="AT320" i="1"/>
  <c r="BW323" i="1"/>
  <c r="BX309" i="1"/>
  <c r="AT666" i="1"/>
  <c r="AU279" i="1"/>
  <c r="AT280" i="1"/>
  <c r="AD666" i="1"/>
  <c r="AE279" i="1"/>
  <c r="AD280" i="1"/>
  <c r="M240" i="1"/>
  <c r="CG700" i="1"/>
  <c r="CG89" i="1"/>
  <c r="CJ86" i="1"/>
  <c r="CS86" i="1"/>
  <c r="CH86" i="1"/>
  <c r="CG630" i="1"/>
  <c r="CG81" i="1"/>
  <c r="CH75" i="1"/>
  <c r="CA628" i="1"/>
  <c r="CB628" i="1" s="1"/>
  <c r="D328" i="1"/>
  <c r="AR325" i="1"/>
  <c r="AS323" i="1"/>
  <c r="AB320" i="1"/>
  <c r="AC318" i="1"/>
  <c r="T320" i="1"/>
  <c r="U318" i="1"/>
  <c r="L325" i="1"/>
  <c r="M325" i="1" s="1"/>
  <c r="M323" i="1"/>
  <c r="CI298" i="1"/>
  <c r="BM298" i="1"/>
  <c r="CI290" i="1"/>
  <c r="AX920" i="1"/>
  <c r="AY274" i="1"/>
  <c r="AH920" i="1"/>
  <c r="AI274" i="1"/>
  <c r="V666" i="1"/>
  <c r="V280" i="1"/>
  <c r="CD261" i="1"/>
  <c r="CB196" i="1"/>
  <c r="BU223" i="1"/>
  <c r="BV221" i="1"/>
  <c r="BX119" i="1"/>
  <c r="BW125" i="1"/>
  <c r="BX125" i="1" s="1"/>
  <c r="BA81" i="1"/>
  <c r="BI81" i="1"/>
  <c r="AK81" i="1"/>
  <c r="U81" i="1"/>
  <c r="AU76" i="1"/>
  <c r="O76" i="1"/>
  <c r="BU619" i="1"/>
  <c r="BV56" i="1"/>
  <c r="AH342" i="1"/>
  <c r="AH339" i="1"/>
  <c r="AH338" i="1"/>
  <c r="BQ666" i="1"/>
  <c r="BQ939" i="1" s="1"/>
  <c r="BQ280" i="1"/>
  <c r="BB920" i="1"/>
  <c r="BC274" i="1"/>
  <c r="AL920" i="1"/>
  <c r="AM274" i="1"/>
  <c r="R920" i="1"/>
  <c r="CG250" i="1"/>
  <c r="CL89" i="1"/>
  <c r="CE630" i="1"/>
  <c r="CF75" i="1"/>
  <c r="CE81" i="1"/>
  <c r="F83" i="1"/>
  <c r="F80" i="1"/>
  <c r="F79" i="1"/>
  <c r="AI38" i="1"/>
  <c r="B36" i="1"/>
  <c r="B41" i="1"/>
  <c r="D28" i="1"/>
  <c r="AY323" i="1"/>
  <c r="AX325" i="1"/>
  <c r="AY325" i="1" s="1"/>
  <c r="AM324" i="1"/>
  <c r="CH300" i="1"/>
  <c r="AG294" i="1"/>
  <c r="BM271" i="1"/>
  <c r="AQ650" i="1"/>
  <c r="AA650" i="1"/>
  <c r="CF263" i="1"/>
  <c r="BX213" i="1"/>
  <c r="CF196" i="1"/>
  <c r="D258" i="1"/>
  <c r="O143" i="1"/>
  <c r="N145" i="1"/>
  <c r="AK125" i="1"/>
  <c r="U125" i="1"/>
  <c r="BW118" i="1"/>
  <c r="BW127" i="1" s="1"/>
  <c r="BX127" i="1" s="1"/>
  <c r="BV122" i="1"/>
  <c r="BU123" i="1"/>
  <c r="BZ120" i="1"/>
  <c r="BK89" i="1"/>
  <c r="BC89" i="1"/>
  <c r="BC81" i="1"/>
  <c r="AM81" i="1"/>
  <c r="W81" i="1"/>
  <c r="AG76" i="1"/>
  <c r="CH72" i="1"/>
  <c r="CG76" i="1"/>
  <c r="D79" i="1"/>
  <c r="D83" i="1"/>
  <c r="D80" i="1"/>
  <c r="BW619" i="1"/>
  <c r="BX619" i="1" s="1"/>
  <c r="BX56" i="1"/>
  <c r="T618" i="1"/>
  <c r="U53" i="1"/>
  <c r="T58" i="1"/>
  <c r="AF145" i="1"/>
  <c r="AG143" i="1"/>
  <c r="BS69" i="1"/>
  <c r="BS68" i="1"/>
  <c r="W143" i="1"/>
  <c r="V145" i="1"/>
  <c r="AO76" i="1"/>
  <c r="AC53" i="1"/>
  <c r="BY618" i="1"/>
  <c r="BY58" i="1"/>
  <c r="AX60" i="1"/>
  <c r="AY58" i="1"/>
  <c r="Z618" i="1"/>
  <c r="BE76" i="1"/>
  <c r="BQ653" i="1"/>
  <c r="BQ656" i="1" s="1"/>
  <c r="BQ659" i="1" s="1"/>
  <c r="BQ661" i="1" s="1"/>
  <c r="BD60" i="1"/>
  <c r="BE58" i="1"/>
  <c r="AR892" i="1"/>
  <c r="AS892" i="1" s="1"/>
  <c r="AR899" i="1"/>
  <c r="AS899" i="1" s="1"/>
  <c r="AR897" i="1"/>
  <c r="AS897" i="1" s="1"/>
  <c r="AT882" i="1"/>
  <c r="AU882" i="1" s="1"/>
  <c r="AS880" i="1"/>
  <c r="AR770" i="1"/>
  <c r="Q903" i="1"/>
  <c r="D897" i="1"/>
  <c r="D893" i="1"/>
  <c r="D895" i="1"/>
  <c r="D899" i="1"/>
  <c r="D892" i="1"/>
  <c r="D896" i="1"/>
  <c r="F882" i="1"/>
  <c r="F888" i="1" s="1"/>
  <c r="D770" i="1"/>
  <c r="AE881" i="1"/>
  <c r="M904" i="1"/>
  <c r="AP892" i="1"/>
  <c r="AP899" i="1"/>
  <c r="AP897" i="1"/>
  <c r="AR882" i="1"/>
  <c r="AQ880" i="1"/>
  <c r="AP770" i="1"/>
  <c r="Z892" i="1"/>
  <c r="Z899" i="1"/>
  <c r="Z897" i="1"/>
  <c r="AB882" i="1"/>
  <c r="AA880" i="1"/>
  <c r="Z770" i="1"/>
  <c r="K906" i="1"/>
  <c r="BC904" i="1"/>
  <c r="AP893" i="1"/>
  <c r="AQ893" i="1" s="1"/>
  <c r="AA903" i="1"/>
  <c r="AZ883" i="1"/>
  <c r="BA868" i="1"/>
  <c r="N883" i="1"/>
  <c r="O883" i="1" s="1"/>
  <c r="O868" i="1"/>
  <c r="AG848" i="1"/>
  <c r="AF849" i="1"/>
  <c r="AF896" i="1" s="1"/>
  <c r="Q848" i="1"/>
  <c r="P849" i="1"/>
  <c r="Q849" i="1" s="1"/>
  <c r="AQ881" i="1"/>
  <c r="CA908" i="1"/>
  <c r="CB908" i="1" s="1"/>
  <c r="CA906" i="1"/>
  <c r="CB906" i="1" s="1"/>
  <c r="CA902" i="1"/>
  <c r="CA905" i="1"/>
  <c r="CB905" i="1" s="1"/>
  <c r="CC881" i="1"/>
  <c r="CA880" i="1"/>
  <c r="CB877" i="1"/>
  <c r="CA769" i="1"/>
  <c r="AX883" i="1"/>
  <c r="AY883" i="1" s="1"/>
  <c r="AY868" i="1"/>
  <c r="BK867" i="1"/>
  <c r="BL867" i="1"/>
  <c r="CC883" i="1"/>
  <c r="CD868" i="1"/>
  <c r="CI878" i="1"/>
  <c r="BM878" i="1"/>
  <c r="BD893" i="1"/>
  <c r="BE893" i="1" s="1"/>
  <c r="AV895" i="1"/>
  <c r="AW895" i="1" s="1"/>
  <c r="AF893" i="1"/>
  <c r="BK863" i="1"/>
  <c r="BJ870" i="1"/>
  <c r="BL863" i="1"/>
  <c r="BY849" i="1"/>
  <c r="BY896" i="1" s="1"/>
  <c r="CH843" i="1"/>
  <c r="AT899" i="1"/>
  <c r="AU899" i="1" s="1"/>
  <c r="AT897" i="1"/>
  <c r="AU897" i="1" s="1"/>
  <c r="AV882" i="1"/>
  <c r="AW882" i="1" s="1"/>
  <c r="AU880" i="1"/>
  <c r="AT892" i="1"/>
  <c r="AU892" i="1" s="1"/>
  <c r="AT770" i="1"/>
  <c r="W902" i="1"/>
  <c r="BY897" i="1"/>
  <c r="BY899" i="1"/>
  <c r="BY892" i="1"/>
  <c r="CA882" i="1"/>
  <c r="BY770" i="1"/>
  <c r="BY902" i="1"/>
  <c r="BI873" i="1"/>
  <c r="BJ873" i="1"/>
  <c r="L883" i="1"/>
  <c r="M883" i="1" s="1"/>
  <c r="M868" i="1"/>
  <c r="CF859" i="1"/>
  <c r="CE868" i="1"/>
  <c r="CH859" i="1"/>
  <c r="CA883" i="1"/>
  <c r="CB883" i="1" s="1"/>
  <c r="CB868" i="1"/>
  <c r="BJ838" i="1"/>
  <c r="BH859" i="1"/>
  <c r="BI838" i="1"/>
  <c r="W849" i="1"/>
  <c r="BI839" i="1"/>
  <c r="BJ839" i="1"/>
  <c r="CE903" i="1"/>
  <c r="AY846" i="1"/>
  <c r="AX848" i="1"/>
  <c r="CG848" i="1"/>
  <c r="AI848" i="1"/>
  <c r="AH849" i="1"/>
  <c r="S848" i="1"/>
  <c r="R849" i="1"/>
  <c r="BK844" i="1"/>
  <c r="BL844" i="1"/>
  <c r="BA904" i="1"/>
  <c r="AR895" i="1"/>
  <c r="AK904" i="1"/>
  <c r="AB895" i="1"/>
  <c r="AC895" i="1" s="1"/>
  <c r="AA811" i="1"/>
  <c r="AY806" i="1"/>
  <c r="AX807" i="1"/>
  <c r="BB810" i="1"/>
  <c r="BC792" i="1"/>
  <c r="BB805" i="1"/>
  <c r="BD792" i="1"/>
  <c r="AD781" i="1"/>
  <c r="AE773" i="1"/>
  <c r="N781" i="1"/>
  <c r="O781" i="1" s="1"/>
  <c r="O773" i="1"/>
  <c r="AV807" i="1"/>
  <c r="AW806" i="1"/>
  <c r="CE806" i="1"/>
  <c r="H820" i="1"/>
  <c r="H782" i="1"/>
  <c r="AC773" i="1"/>
  <c r="AB781" i="1"/>
  <c r="M773" i="1"/>
  <c r="L781" i="1"/>
  <c r="M781" i="1" s="1"/>
  <c r="J827" i="1"/>
  <c r="S827" i="1" s="1"/>
  <c r="S821" i="1"/>
  <c r="K821" i="1"/>
  <c r="CE740" i="1"/>
  <c r="CF737" i="1"/>
  <c r="CS745" i="1"/>
  <c r="CR745" i="1"/>
  <c r="CB734" i="1"/>
  <c r="BX755" i="1"/>
  <c r="CD734" i="1"/>
  <c r="BZ755" i="1"/>
  <c r="CD742" i="1"/>
  <c r="AW600" i="1"/>
  <c r="AO600" i="1"/>
  <c r="P599" i="1"/>
  <c r="Q596" i="1"/>
  <c r="R599" i="1"/>
  <c r="S596" i="1"/>
  <c r="BX594" i="1"/>
  <c r="BW596" i="1"/>
  <c r="AJ599" i="1"/>
  <c r="AK596" i="1"/>
  <c r="CD595" i="1"/>
  <c r="CC604" i="1"/>
  <c r="CC600" i="1"/>
  <c r="AC582" i="1"/>
  <c r="U582" i="1"/>
  <c r="CO641" i="1"/>
  <c r="CN641" i="1"/>
  <c r="AR610" i="1"/>
  <c r="W608" i="1"/>
  <c r="BC633" i="1"/>
  <c r="AP627" i="1"/>
  <c r="AQ623" i="1"/>
  <c r="AC623" i="1"/>
  <c r="AB627" i="1"/>
  <c r="J627" i="1"/>
  <c r="K623" i="1"/>
  <c r="BZ568" i="1"/>
  <c r="BY574" i="1"/>
  <c r="CM643" i="1"/>
  <c r="CL643" i="1"/>
  <c r="AL627" i="1"/>
  <c r="AM623" i="1"/>
  <c r="AY569" i="1"/>
  <c r="S569" i="1"/>
  <c r="CH565" i="1"/>
  <c r="CS565" i="1"/>
  <c r="CG569" i="1"/>
  <c r="CE551" i="1"/>
  <c r="CF548" i="1"/>
  <c r="BW535" i="1"/>
  <c r="BX535" i="1" s="1"/>
  <c r="BW533" i="1"/>
  <c r="BX533" i="1" s="1"/>
  <c r="BX527" i="1"/>
  <c r="AW608" i="1"/>
  <c r="AO608" i="1"/>
  <c r="AD627" i="1"/>
  <c r="AE623" i="1"/>
  <c r="CE574" i="1"/>
  <c r="CF574" i="1" s="1"/>
  <c r="CF568" i="1"/>
  <c r="K556" i="1"/>
  <c r="BU553" i="1"/>
  <c r="BV551" i="1"/>
  <c r="CF528" i="1"/>
  <c r="CC551" i="1"/>
  <c r="CD548" i="1"/>
  <c r="R691" i="1"/>
  <c r="S685" i="1"/>
  <c r="N691" i="1"/>
  <c r="O685" i="1"/>
  <c r="J691" i="1"/>
  <c r="K685" i="1"/>
  <c r="BH464" i="1"/>
  <c r="BG463" i="1"/>
  <c r="BB670" i="1"/>
  <c r="BC443" i="1"/>
  <c r="AD670" i="1"/>
  <c r="AE443" i="1"/>
  <c r="N670" i="1"/>
  <c r="O443" i="1"/>
  <c r="BU670" i="1"/>
  <c r="BV443" i="1"/>
  <c r="AY654" i="1"/>
  <c r="D583" i="1"/>
  <c r="D584" i="1" s="1"/>
  <c r="D577" i="1"/>
  <c r="Z576" i="1"/>
  <c r="Z573" i="1"/>
  <c r="Z572" i="1"/>
  <c r="AA553" i="1"/>
  <c r="BX526" i="1"/>
  <c r="BW530" i="1"/>
  <c r="CH489" i="1"/>
  <c r="CS489" i="1"/>
  <c r="CS494" i="1"/>
  <c r="CH494" i="1"/>
  <c r="CS493" i="1"/>
  <c r="CH493" i="1"/>
  <c r="BG434" i="1"/>
  <c r="CC415" i="1"/>
  <c r="CD415" i="1" s="1"/>
  <c r="CD409" i="1"/>
  <c r="CH333" i="1"/>
  <c r="CE569" i="1"/>
  <c r="CF569" i="1" s="1"/>
  <c r="R576" i="1"/>
  <c r="R573" i="1"/>
  <c r="R572" i="1"/>
  <c r="S553" i="1"/>
  <c r="AR553" i="1"/>
  <c r="AS551" i="1"/>
  <c r="T553" i="1"/>
  <c r="U551" i="1"/>
  <c r="L483" i="1"/>
  <c r="M483" i="1" s="1"/>
  <c r="M464" i="1"/>
  <c r="L482" i="1"/>
  <c r="M482" i="1" s="1"/>
  <c r="BW464" i="1"/>
  <c r="BV463" i="1"/>
  <c r="BU464" i="1"/>
  <c r="AN670" i="1"/>
  <c r="AO443" i="1"/>
  <c r="T670" i="1"/>
  <c r="U443" i="1"/>
  <c r="CC654" i="1"/>
  <c r="CC631" i="1"/>
  <c r="CD631" i="1" s="1"/>
  <c r="CC443" i="1"/>
  <c r="CC670" i="1" s="1"/>
  <c r="CD440" i="1"/>
  <c r="CC12" i="1"/>
  <c r="CD12" i="1" s="1"/>
  <c r="BV654" i="1"/>
  <c r="AG654" i="1"/>
  <c r="Y654" i="1"/>
  <c r="Q654" i="1"/>
  <c r="CB406" i="1"/>
  <c r="CA410" i="1"/>
  <c r="CB410" i="1" s="1"/>
  <c r="CC402" i="1"/>
  <c r="CD402" i="1" s="1"/>
  <c r="J403" i="1"/>
  <c r="K403" i="1" s="1"/>
  <c r="K401" i="1"/>
  <c r="AG335" i="1"/>
  <c r="AQ551" i="1"/>
  <c r="J561" i="1"/>
  <c r="K561" i="1" s="1"/>
  <c r="J557" i="1"/>
  <c r="K557" i="1" s="1"/>
  <c r="K531" i="1"/>
  <c r="CF489" i="1"/>
  <c r="BZ494" i="1"/>
  <c r="CF492" i="1"/>
  <c r="M479" i="1"/>
  <c r="CG496" i="1"/>
  <c r="CS476" i="1"/>
  <c r="CH476" i="1"/>
  <c r="CS475" i="1"/>
  <c r="CH475" i="1"/>
  <c r="AM421" i="1"/>
  <c r="AE421" i="1"/>
  <c r="CH373" i="1"/>
  <c r="BH362" i="1"/>
  <c r="BJ360" i="1"/>
  <c r="BJ365" i="1"/>
  <c r="BI360" i="1"/>
  <c r="BZ448" i="1"/>
  <c r="BX448" i="1"/>
  <c r="BW452" i="1"/>
  <c r="CA670" i="1"/>
  <c r="CB443" i="1"/>
  <c r="CC410" i="1"/>
  <c r="CD410" i="1" s="1"/>
  <c r="AR403" i="1"/>
  <c r="AS403" i="1" s="1"/>
  <c r="AS401" i="1"/>
  <c r="AB398" i="1"/>
  <c r="AC396" i="1"/>
  <c r="L403" i="1"/>
  <c r="M403" i="1" s="1"/>
  <c r="M401" i="1"/>
  <c r="CD363" i="1"/>
  <c r="BH324" i="1"/>
  <c r="BG324" i="1"/>
  <c r="BC318" i="1"/>
  <c r="BB320" i="1"/>
  <c r="CC335" i="1"/>
  <c r="CD331" i="1"/>
  <c r="BU335" i="1"/>
  <c r="BV335" i="1" s="1"/>
  <c r="BV331" i="1"/>
  <c r="BY174" i="1"/>
  <c r="BZ174" i="1" s="1"/>
  <c r="BZ171" i="1"/>
  <c r="AU496" i="1"/>
  <c r="AT497" i="1"/>
  <c r="AT500" i="1"/>
  <c r="AD685" i="1"/>
  <c r="AE496" i="1"/>
  <c r="AD497" i="1"/>
  <c r="AD500" i="1"/>
  <c r="AQ631" i="1"/>
  <c r="AY396" i="1"/>
  <c r="AX398" i="1"/>
  <c r="AQ396" i="1"/>
  <c r="AP398" i="1"/>
  <c r="AI396" i="1"/>
  <c r="AH398" i="1"/>
  <c r="AA396" i="1"/>
  <c r="Z398" i="1"/>
  <c r="BW394" i="1"/>
  <c r="F652" i="1"/>
  <c r="F422" i="1"/>
  <c r="F418" i="1"/>
  <c r="F922" i="1" s="1"/>
  <c r="F10" i="1"/>
  <c r="B652" i="1"/>
  <c r="B418" i="1"/>
  <c r="B922" i="1" s="1"/>
  <c r="B422" i="1"/>
  <c r="B10" i="1"/>
  <c r="CF374" i="1"/>
  <c r="CA323" i="1"/>
  <c r="CB309" i="1"/>
  <c r="CA318" i="1"/>
  <c r="AY271" i="1"/>
  <c r="BG271" i="1"/>
  <c r="D252" i="1"/>
  <c r="M251" i="1"/>
  <c r="L252" i="1"/>
  <c r="X241" i="1"/>
  <c r="Y240" i="1"/>
  <c r="CC479" i="1"/>
  <c r="CD479" i="1" s="1"/>
  <c r="BY464" i="1"/>
  <c r="BW670" i="1"/>
  <c r="BX443" i="1"/>
  <c r="BM401" i="1"/>
  <c r="CH406" i="1"/>
  <c r="AV398" i="1"/>
  <c r="AW396" i="1"/>
  <c r="AN403" i="1"/>
  <c r="AO403" i="1" s="1"/>
  <c r="AO401" i="1"/>
  <c r="BZ366" i="1"/>
  <c r="BZ363" i="1"/>
  <c r="K323" i="1"/>
  <c r="J325" i="1"/>
  <c r="K325" i="1" s="1"/>
  <c r="Z320" i="1"/>
  <c r="AA318" i="1"/>
  <c r="CB324" i="1"/>
  <c r="AZ325" i="1"/>
  <c r="BA325" i="1" s="1"/>
  <c r="BA323" i="1"/>
  <c r="P325" i="1"/>
  <c r="Q325" i="1" s="1"/>
  <c r="Q323" i="1"/>
  <c r="AX328" i="1"/>
  <c r="AY300" i="1"/>
  <c r="AH328" i="1"/>
  <c r="AI300" i="1"/>
  <c r="R328" i="1"/>
  <c r="S300" i="1"/>
  <c r="CL291" i="1"/>
  <c r="CJ291" i="1"/>
  <c r="AR650" i="1"/>
  <c r="AS273" i="1"/>
  <c r="AR274" i="1"/>
  <c r="AR279" i="1"/>
  <c r="AR8" i="1"/>
  <c r="AB650" i="1"/>
  <c r="AB274" i="1"/>
  <c r="AB279" i="1"/>
  <c r="AB8" i="1"/>
  <c r="S250" i="1"/>
  <c r="BY250" i="1"/>
  <c r="CB250" i="1" s="1"/>
  <c r="BX251" i="1"/>
  <c r="AU213" i="1"/>
  <c r="CB174" i="1"/>
  <c r="BE482" i="1"/>
  <c r="BM482" i="1"/>
  <c r="BX467" i="1"/>
  <c r="AU631" i="1"/>
  <c r="BU403" i="1"/>
  <c r="BV403" i="1" s="1"/>
  <c r="AU396" i="1"/>
  <c r="AT398" i="1"/>
  <c r="AD403" i="1"/>
  <c r="AE403" i="1" s="1"/>
  <c r="AE401" i="1"/>
  <c r="BZ381" i="1"/>
  <c r="BF395" i="1"/>
  <c r="CD340" i="1"/>
  <c r="CF340" i="1"/>
  <c r="AF320" i="1"/>
  <c r="AG318" i="1"/>
  <c r="CC318" i="1"/>
  <c r="CC323" i="1"/>
  <c r="CD309" i="1"/>
  <c r="B252" i="1"/>
  <c r="AS250" i="1"/>
  <c r="BB240" i="1"/>
  <c r="BC238" i="1"/>
  <c r="AD240" i="1"/>
  <c r="AE238" i="1"/>
  <c r="R240" i="1"/>
  <c r="S238" i="1"/>
  <c r="BZ240" i="1"/>
  <c r="AE323" i="1"/>
  <c r="AD325" i="1"/>
  <c r="V325" i="1"/>
  <c r="CF302" i="1"/>
  <c r="CS294" i="1"/>
  <c r="AT920" i="1"/>
  <c r="AU274" i="1"/>
  <c r="AD920" i="1"/>
  <c r="AE274" i="1"/>
  <c r="CO209" i="1"/>
  <c r="CN209" i="1"/>
  <c r="U213" i="1"/>
  <c r="CB171" i="1"/>
  <c r="CF89" i="1"/>
  <c r="CC630" i="1"/>
  <c r="CC81" i="1"/>
  <c r="CD75" i="1"/>
  <c r="BW628" i="1"/>
  <c r="R60" i="1"/>
  <c r="S58" i="1"/>
  <c r="J620" i="1"/>
  <c r="J622" i="1" s="1"/>
  <c r="J328" i="1"/>
  <c r="K328" i="1" s="1"/>
  <c r="S317" i="1"/>
  <c r="K317" i="1"/>
  <c r="X342" i="1"/>
  <c r="X339" i="1"/>
  <c r="X338" i="1"/>
  <c r="AJ320" i="1"/>
  <c r="AK318" i="1"/>
  <c r="T325" i="1"/>
  <c r="U325" i="1" s="1"/>
  <c r="U323" i="1"/>
  <c r="AQ324" i="1"/>
  <c r="BS650" i="1"/>
  <c r="BS279" i="1"/>
  <c r="BS274" i="1"/>
  <c r="AY650" i="1"/>
  <c r="AI650" i="1"/>
  <c r="V920" i="1"/>
  <c r="R145" i="1"/>
  <c r="S143" i="1"/>
  <c r="Q81" i="1"/>
  <c r="AM76" i="1"/>
  <c r="H80" i="1"/>
  <c r="H83" i="1"/>
  <c r="H79" i="1"/>
  <c r="AI318" i="1"/>
  <c r="CB302" i="1"/>
  <c r="CD294" i="1"/>
  <c r="BC650" i="1"/>
  <c r="AM650" i="1"/>
  <c r="AA250" i="1"/>
  <c r="BX204" i="1"/>
  <c r="BW210" i="1"/>
  <c r="B149" i="1"/>
  <c r="B153" i="1"/>
  <c r="B148" i="1"/>
  <c r="M114" i="1"/>
  <c r="N110" i="1"/>
  <c r="L115" i="1"/>
  <c r="M115" i="1" s="1"/>
  <c r="CA630" i="1"/>
  <c r="CB75" i="1"/>
  <c r="CA81" i="1"/>
  <c r="AA38" i="1"/>
  <c r="M328" i="1"/>
  <c r="AV325" i="1"/>
  <c r="AW323" i="1"/>
  <c r="BX263" i="1"/>
  <c r="BX196" i="1"/>
  <c r="AW161" i="1"/>
  <c r="AO161" i="1"/>
  <c r="CH161" i="1"/>
  <c r="CF161" i="1"/>
  <c r="CD121" i="1"/>
  <c r="CC125" i="1"/>
  <c r="CD125" i="1" s="1"/>
  <c r="CD119" i="1"/>
  <c r="CD89" i="1"/>
  <c r="BG81" i="1"/>
  <c r="AY81" i="1"/>
  <c r="Y76" i="1"/>
  <c r="BV72" i="1"/>
  <c r="BU76" i="1"/>
  <c r="BV76" i="1" s="1"/>
  <c r="BU58" i="1"/>
  <c r="T619" i="1"/>
  <c r="U56" i="1"/>
  <c r="H649" i="1"/>
  <c r="H175" i="1"/>
  <c r="H169" i="1"/>
  <c r="H919" i="1" s="1"/>
  <c r="H7" i="1"/>
  <c r="AN145" i="1"/>
  <c r="AO143" i="1"/>
  <c r="AW143" i="1"/>
  <c r="BU35" i="1"/>
  <c r="BV28" i="1"/>
  <c r="L168" i="1"/>
  <c r="L165" i="1"/>
  <c r="M165" i="1" s="1"/>
  <c r="L164" i="1"/>
  <c r="M164" i="1" s="1"/>
  <c r="M145" i="1"/>
  <c r="AE143" i="1"/>
  <c r="AD145" i="1"/>
  <c r="BK81" i="1"/>
  <c r="L618" i="1"/>
  <c r="T145" i="1"/>
  <c r="U143" i="1"/>
  <c r="BX143" i="1"/>
  <c r="BW145" i="1"/>
  <c r="CH56" i="1"/>
  <c r="CG618" i="1"/>
  <c r="CH53" i="1"/>
  <c r="CG58" i="1"/>
  <c r="AX622" i="1"/>
  <c r="AY618" i="1"/>
  <c r="AP60" i="1"/>
  <c r="AQ58" i="1"/>
  <c r="CC618" i="1"/>
  <c r="CD53" i="1"/>
  <c r="CC58" i="1"/>
  <c r="CA618" i="1"/>
  <c r="CA58" i="1"/>
  <c r="CB53" i="1"/>
  <c r="B649" i="1"/>
  <c r="B175" i="1"/>
  <c r="B7" i="1"/>
  <c r="B169" i="1"/>
  <c r="B919" i="1" s="1"/>
  <c r="CB140" i="1"/>
  <c r="CA143" i="1"/>
  <c r="CB120" i="1"/>
  <c r="CA76" i="1"/>
  <c r="BE618" i="1"/>
  <c r="BD622" i="1"/>
  <c r="AW618" i="1"/>
  <c r="AV622" i="1"/>
  <c r="AO618" i="1"/>
  <c r="AN622" i="1"/>
  <c r="X618" i="1"/>
  <c r="P618" i="1"/>
  <c r="L893" i="1"/>
  <c r="M893" i="1" s="1"/>
  <c r="L899" i="1"/>
  <c r="M899" i="1" s="1"/>
  <c r="L897" i="1"/>
  <c r="M897" i="1" s="1"/>
  <c r="L896" i="1"/>
  <c r="M896" i="1" s="1"/>
  <c r="L895" i="1"/>
  <c r="M895" i="1" s="1"/>
  <c r="L892" i="1"/>
  <c r="M892" i="1" s="1"/>
  <c r="N882" i="1"/>
  <c r="O882" i="1" s="1"/>
  <c r="M880" i="1"/>
  <c r="L770" i="1"/>
  <c r="Z895" i="1"/>
  <c r="AR883" i="1"/>
  <c r="AS868" i="1"/>
  <c r="AS848" i="1"/>
  <c r="AR849" i="1"/>
  <c r="AS849" i="1" s="1"/>
  <c r="AC848" i="1"/>
  <c r="AB849" i="1"/>
  <c r="AC849" i="1" s="1"/>
  <c r="M848" i="1"/>
  <c r="L849" i="1"/>
  <c r="M849" i="1" s="1"/>
  <c r="CD847" i="1"/>
  <c r="CA848" i="1"/>
  <c r="CD848" i="1" s="1"/>
  <c r="CB847" i="1"/>
  <c r="BK879" i="1"/>
  <c r="BJ847" i="1"/>
  <c r="BK847" i="1" s="1"/>
  <c r="BL879" i="1"/>
  <c r="AW848" i="1"/>
  <c r="AV849" i="1"/>
  <c r="BU883" i="1"/>
  <c r="BV883" i="1" s="1"/>
  <c r="BV868" i="1"/>
  <c r="CD877" i="1"/>
  <c r="CD902" i="1"/>
  <c r="BX903" i="1"/>
  <c r="CG904" i="1"/>
  <c r="CH904" i="1" s="1"/>
  <c r="CG903" i="1"/>
  <c r="CH903" i="1" s="1"/>
  <c r="CG895" i="1"/>
  <c r="CG893" i="1"/>
  <c r="CH870" i="1"/>
  <c r="CG785" i="1"/>
  <c r="CC904" i="1"/>
  <c r="CC903" i="1"/>
  <c r="CC895" i="1"/>
  <c r="CC893" i="1"/>
  <c r="CD870" i="1"/>
  <c r="CC785" i="1"/>
  <c r="AU848" i="1"/>
  <c r="AT849" i="1"/>
  <c r="AU849" i="1" s="1"/>
  <c r="BB899" i="1"/>
  <c r="BC899" i="1" s="1"/>
  <c r="BB897" i="1"/>
  <c r="BC897" i="1" s="1"/>
  <c r="BB892" i="1"/>
  <c r="BC892" i="1" s="1"/>
  <c r="BD882" i="1"/>
  <c r="BE882" i="1" s="1"/>
  <c r="BC880" i="1"/>
  <c r="BB770" i="1"/>
  <c r="N899" i="1"/>
  <c r="O899" i="1" s="1"/>
  <c r="N897" i="1"/>
  <c r="N896" i="1"/>
  <c r="N895" i="1"/>
  <c r="W895" i="1" s="1"/>
  <c r="P882" i="1"/>
  <c r="Q882" i="1" s="1"/>
  <c r="O880" i="1"/>
  <c r="N893" i="1"/>
  <c r="N892" i="1"/>
  <c r="N770" i="1"/>
  <c r="F897" i="1"/>
  <c r="F893" i="1"/>
  <c r="F892" i="1"/>
  <c r="F896" i="1"/>
  <c r="F895" i="1"/>
  <c r="F899" i="1"/>
  <c r="H882" i="1"/>
  <c r="H888" i="1" s="1"/>
  <c r="F770" i="1"/>
  <c r="BW908" i="1"/>
  <c r="BX908" i="1" s="1"/>
  <c r="BW906" i="1"/>
  <c r="BX906" i="1" s="1"/>
  <c r="BW902" i="1"/>
  <c r="BX902" i="1" s="1"/>
  <c r="BW905" i="1"/>
  <c r="BX905" i="1" s="1"/>
  <c r="BY881" i="1"/>
  <c r="BZ881" i="1" s="1"/>
  <c r="BX877" i="1"/>
  <c r="BW880" i="1"/>
  <c r="BZ880" i="1" s="1"/>
  <c r="BW769" i="1"/>
  <c r="CA881" i="1"/>
  <c r="BZ906" i="1"/>
  <c r="AA883" i="1"/>
  <c r="AV883" i="1"/>
  <c r="AW883" i="1" s="1"/>
  <c r="AW868" i="1"/>
  <c r="AF883" i="1"/>
  <c r="AG883" i="1" s="1"/>
  <c r="AG868" i="1"/>
  <c r="W848" i="1"/>
  <c r="BC848" i="1"/>
  <c r="BB849" i="1"/>
  <c r="BC849" i="1" s="1"/>
  <c r="AZ893" i="1"/>
  <c r="BA893" i="1" s="1"/>
  <c r="AJ893" i="1"/>
  <c r="AK893" i="1" s="1"/>
  <c r="AC904" i="1"/>
  <c r="BC864" i="1"/>
  <c r="BD864" i="1"/>
  <c r="BB868" i="1"/>
  <c r="CI845" i="1"/>
  <c r="BM845" i="1"/>
  <c r="BG846" i="1"/>
  <c r="BF848" i="1"/>
  <c r="AQ806" i="1"/>
  <c r="AP807" i="1"/>
  <c r="AQ807" i="1" s="1"/>
  <c r="BU781" i="1"/>
  <c r="BV781" i="1" s="1"/>
  <c r="BV773" i="1"/>
  <c r="AP781" i="1"/>
  <c r="AQ781" i="1" s="1"/>
  <c r="AQ773" i="1"/>
  <c r="Z781" i="1"/>
  <c r="AA781" i="1" s="1"/>
  <c r="AA773" i="1"/>
  <c r="J781" i="1"/>
  <c r="K781" i="1" s="1"/>
  <c r="K773" i="1"/>
  <c r="AO773" i="1"/>
  <c r="AN781" i="1"/>
  <c r="AO781" i="1" s="1"/>
  <c r="Y773" i="1"/>
  <c r="X781" i="1"/>
  <c r="Y781" i="1" s="1"/>
  <c r="CL745" i="1"/>
  <c r="CJ745" i="1"/>
  <c r="CH737" i="1"/>
  <c r="CG740" i="1"/>
  <c r="CH740" i="1" s="1"/>
  <c r="H789" i="1"/>
  <c r="AA743" i="1"/>
  <c r="CA743" i="1"/>
  <c r="Z738" i="1"/>
  <c r="CB737" i="1"/>
  <c r="CJ737" i="1"/>
  <c r="BZ734" i="1"/>
  <c r="AS600" i="1"/>
  <c r="AK600" i="1"/>
  <c r="CA604" i="1"/>
  <c r="CA600" i="1"/>
  <c r="CB595" i="1"/>
  <c r="J599" i="1"/>
  <c r="K596" i="1"/>
  <c r="AB599" i="1"/>
  <c r="AC596" i="1"/>
  <c r="BZ595" i="1"/>
  <c r="BY604" i="1"/>
  <c r="BY600" i="1"/>
  <c r="CF582" i="1"/>
  <c r="CD605" i="1"/>
  <c r="AG623" i="1"/>
  <c r="AF627" i="1"/>
  <c r="V627" i="1"/>
  <c r="W623" i="1"/>
  <c r="N601" i="1"/>
  <c r="BZ605" i="1"/>
  <c r="BZ594" i="1"/>
  <c r="BV568" i="1"/>
  <c r="BU574" i="1"/>
  <c r="BV574" i="1" s="1"/>
  <c r="BM533" i="1"/>
  <c r="BE533" i="1"/>
  <c r="AP601" i="1"/>
  <c r="AD601" i="1"/>
  <c r="Q623" i="1"/>
  <c r="P627" i="1"/>
  <c r="CA551" i="1"/>
  <c r="CB548" i="1"/>
  <c r="CH529" i="1"/>
  <c r="CS529" i="1"/>
  <c r="CN642" i="1"/>
  <c r="CO642" i="1"/>
  <c r="AT610" i="1"/>
  <c r="V601" i="1"/>
  <c r="CA574" i="1"/>
  <c r="CB574" i="1" s="1"/>
  <c r="CB568" i="1"/>
  <c r="B558" i="1"/>
  <c r="BW536" i="1"/>
  <c r="BX536" i="1" s="1"/>
  <c r="BX528" i="1"/>
  <c r="F577" i="1"/>
  <c r="F583" i="1"/>
  <c r="F584" i="1" s="1"/>
  <c r="Y551" i="1"/>
  <c r="X553" i="1"/>
  <c r="AX670" i="1"/>
  <c r="AY443" i="1"/>
  <c r="Z670" i="1"/>
  <c r="AA443" i="1"/>
  <c r="J670" i="1"/>
  <c r="K443" i="1"/>
  <c r="AM654" i="1"/>
  <c r="AE654" i="1"/>
  <c r="W654" i="1"/>
  <c r="O654" i="1"/>
  <c r="CC421" i="1"/>
  <c r="CD420" i="1"/>
  <c r="BY569" i="1"/>
  <c r="CB569" i="1" s="1"/>
  <c r="BU558" i="1"/>
  <c r="BV558" i="1" s="1"/>
  <c r="BV556" i="1"/>
  <c r="V553" i="1"/>
  <c r="W551" i="1"/>
  <c r="CH527" i="1"/>
  <c r="CS492" i="1"/>
  <c r="CH492" i="1"/>
  <c r="CE496" i="1"/>
  <c r="CF476" i="1"/>
  <c r="CJ421" i="1"/>
  <c r="CL421" i="1"/>
  <c r="CF420" i="1"/>
  <c r="AZ553" i="1"/>
  <c r="BA551" i="1"/>
  <c r="AB553" i="1"/>
  <c r="AC551" i="1"/>
  <c r="Q500" i="1"/>
  <c r="CI464" i="1"/>
  <c r="CS463" i="1"/>
  <c r="CH463" i="1"/>
  <c r="AZ670" i="1"/>
  <c r="BA443" i="1"/>
  <c r="AF670" i="1"/>
  <c r="AG443" i="1"/>
  <c r="P670" i="1"/>
  <c r="Q443" i="1"/>
  <c r="BD654" i="1"/>
  <c r="BD631" i="1"/>
  <c r="BE440" i="1"/>
  <c r="BD443" i="1"/>
  <c r="BD12" i="1"/>
  <c r="BE12" i="1" s="1"/>
  <c r="AW654" i="1"/>
  <c r="AO654" i="1"/>
  <c r="CL439" i="1"/>
  <c r="CJ439" i="1"/>
  <c r="BX406" i="1"/>
  <c r="BW410" i="1"/>
  <c r="BX410" i="1" s="1"/>
  <c r="BU569" i="1"/>
  <c r="BV569" i="1" s="1"/>
  <c r="AP576" i="1"/>
  <c r="AP573" i="1"/>
  <c r="AP572" i="1"/>
  <c r="AQ553" i="1"/>
  <c r="K562" i="1"/>
  <c r="N514" i="1"/>
  <c r="O510" i="1"/>
  <c r="BZ489" i="1"/>
  <c r="CF493" i="1"/>
  <c r="BM479" i="1"/>
  <c r="BF479" i="1"/>
  <c r="BE479" i="1"/>
  <c r="CC496" i="1"/>
  <c r="CD475" i="1"/>
  <c r="B483" i="1"/>
  <c r="B482" i="1"/>
  <c r="BL434" i="1"/>
  <c r="BM434" i="1" s="1"/>
  <c r="BK434" i="1"/>
  <c r="BK421" i="1"/>
  <c r="BC421" i="1"/>
  <c r="BZ392" i="1"/>
  <c r="CB392" i="1"/>
  <c r="CK377" i="1"/>
  <c r="CJ377" i="1"/>
  <c r="CD373" i="1"/>
  <c r="AV500" i="1"/>
  <c r="AW500" i="1" s="1"/>
  <c r="AV497" i="1"/>
  <c r="AW496" i="1"/>
  <c r="AF685" i="1"/>
  <c r="AF500" i="1"/>
  <c r="AG500" i="1" s="1"/>
  <c r="AF497" i="1"/>
  <c r="AG496" i="1"/>
  <c r="CB463" i="1"/>
  <c r="CB631" i="1"/>
  <c r="CL428" i="1"/>
  <c r="CM428" i="1"/>
  <c r="BI401" i="1"/>
  <c r="AZ403" i="1"/>
  <c r="BA403" i="1" s="1"/>
  <c r="BA401" i="1"/>
  <c r="AJ398" i="1"/>
  <c r="AK396" i="1"/>
  <c r="T403" i="1"/>
  <c r="U403" i="1" s="1"/>
  <c r="U401" i="1"/>
  <c r="CJ378" i="1"/>
  <c r="CI381" i="1"/>
  <c r="BF403" i="1"/>
  <c r="BH402" i="1"/>
  <c r="BG402" i="1"/>
  <c r="CM361" i="1"/>
  <c r="CM366" i="1" s="1"/>
  <c r="CL361" i="1"/>
  <c r="AI323" i="1"/>
  <c r="AH325" i="1"/>
  <c r="AI325" i="1" s="1"/>
  <c r="P620" i="1"/>
  <c r="P328" i="1"/>
  <c r="Q328" i="1" s="1"/>
  <c r="Y317" i="1"/>
  <c r="Q317" i="1"/>
  <c r="BL226" i="1"/>
  <c r="BK226" i="1"/>
  <c r="BA482" i="1"/>
  <c r="BI482" i="1"/>
  <c r="U482" i="1"/>
  <c r="K483" i="1"/>
  <c r="CB466" i="1"/>
  <c r="BW469" i="1"/>
  <c r="AQ654" i="1"/>
  <c r="CE401" i="1"/>
  <c r="CE396" i="1"/>
  <c r="CF394" i="1"/>
  <c r="CA401" i="1"/>
  <c r="CA396" i="1"/>
  <c r="CB394" i="1"/>
  <c r="CD381" i="1"/>
  <c r="BX374" i="1"/>
  <c r="CG348" i="1"/>
  <c r="BV313" i="1"/>
  <c r="BU317" i="1"/>
  <c r="U252" i="1"/>
  <c r="T273" i="1"/>
  <c r="AC273" i="1" s="1"/>
  <c r="T271" i="1"/>
  <c r="AJ685" i="1"/>
  <c r="AJ500" i="1"/>
  <c r="AK500" i="1" s="1"/>
  <c r="AK496" i="1"/>
  <c r="AJ497" i="1"/>
  <c r="BY479" i="1"/>
  <c r="BZ479" i="1" s="1"/>
  <c r="AY483" i="1"/>
  <c r="BF483" i="1"/>
  <c r="BG483" i="1" s="1"/>
  <c r="S483" i="1"/>
  <c r="CI451" i="1"/>
  <c r="CJ451" i="1" s="1"/>
  <c r="BX631" i="1"/>
  <c r="CG410" i="1"/>
  <c r="CH410" i="1" s="1"/>
  <c r="BD398" i="1"/>
  <c r="BE396" i="1"/>
  <c r="AV403" i="1"/>
  <c r="AW403" i="1" s="1"/>
  <c r="AW401" i="1"/>
  <c r="X398" i="1"/>
  <c r="Y396" i="1"/>
  <c r="P403" i="1"/>
  <c r="Q403" i="1" s="1"/>
  <c r="Q401" i="1"/>
  <c r="CQ370" i="1"/>
  <c r="CP370" i="1"/>
  <c r="BH365" i="1"/>
  <c r="R320" i="1"/>
  <c r="S318" i="1"/>
  <c r="CB331" i="1"/>
  <c r="CA335" i="1"/>
  <c r="AN325" i="1"/>
  <c r="AO323" i="1"/>
  <c r="AT328" i="1"/>
  <c r="AU328" i="1" s="1"/>
  <c r="AU300" i="1"/>
  <c r="AD328" i="1"/>
  <c r="AE328" i="1" s="1"/>
  <c r="AE300" i="1"/>
  <c r="CF290" i="1"/>
  <c r="CE294" i="1"/>
  <c r="CF294" i="1" s="1"/>
  <c r="BD650" i="1"/>
  <c r="BE273" i="1"/>
  <c r="BD274" i="1"/>
  <c r="BD279" i="1"/>
  <c r="BD8" i="1"/>
  <c r="BE8" i="1" s="1"/>
  <c r="AN650" i="1"/>
  <c r="AO273" i="1"/>
  <c r="AN274" i="1"/>
  <c r="AN279" i="1"/>
  <c r="AN8" i="1"/>
  <c r="AO8" i="1" s="1"/>
  <c r="X650" i="1"/>
  <c r="X274" i="1"/>
  <c r="X279" i="1"/>
  <c r="X8" i="1"/>
  <c r="BG248" i="1"/>
  <c r="O238" i="1"/>
  <c r="N240" i="1"/>
  <c r="O240" i="1" s="1"/>
  <c r="D204" i="1"/>
  <c r="B211" i="1"/>
  <c r="B222" i="1"/>
  <c r="AE174" i="1"/>
  <c r="W174" i="1"/>
  <c r="AX497" i="1"/>
  <c r="AY496" i="1"/>
  <c r="AX500" i="1"/>
  <c r="AY500" i="1" s="1"/>
  <c r="AH685" i="1"/>
  <c r="AH497" i="1"/>
  <c r="AI496" i="1"/>
  <c r="AH500" i="1"/>
  <c r="AI500" i="1" s="1"/>
  <c r="CF466" i="1"/>
  <c r="BH486" i="1"/>
  <c r="BI466" i="1"/>
  <c r="CF402" i="1"/>
  <c r="BC396" i="1"/>
  <c r="BB398" i="1"/>
  <c r="AL403" i="1"/>
  <c r="AM403" i="1" s="1"/>
  <c r="AM401" i="1"/>
  <c r="W396" i="1"/>
  <c r="V398" i="1"/>
  <c r="BX387" i="1"/>
  <c r="D652" i="1"/>
  <c r="D422" i="1"/>
  <c r="D418" i="1"/>
  <c r="D922" i="1" s="1"/>
  <c r="D10" i="1"/>
  <c r="O324" i="1"/>
  <c r="P318" i="1"/>
  <c r="BY318" i="1"/>
  <c r="BZ309" i="1"/>
  <c r="BY323" i="1"/>
  <c r="CD283" i="1"/>
  <c r="CB283" i="1"/>
  <c r="W251" i="1"/>
  <c r="O251" i="1"/>
  <c r="N252" i="1"/>
  <c r="AK250" i="1"/>
  <c r="BU273" i="1"/>
  <c r="BV252" i="1"/>
  <c r="AT240" i="1"/>
  <c r="AU238" i="1"/>
  <c r="Z240" i="1"/>
  <c r="AA238" i="1"/>
  <c r="CE328" i="1"/>
  <c r="CF328" i="1" s="1"/>
  <c r="BD325" i="1"/>
  <c r="BE325" i="1" s="1"/>
  <c r="BE323" i="1"/>
  <c r="BF323" i="1"/>
  <c r="AM323" i="1"/>
  <c r="AL325" i="1"/>
  <c r="AM325" i="1" s="1"/>
  <c r="AE318" i="1"/>
  <c r="AD320" i="1"/>
  <c r="V320" i="1"/>
  <c r="BX302" i="1"/>
  <c r="BU271" i="1"/>
  <c r="BV271" i="1" s="1"/>
  <c r="AU650" i="1"/>
  <c r="AE650" i="1"/>
  <c r="BZ261" i="1"/>
  <c r="CD255" i="1"/>
  <c r="CB86" i="1"/>
  <c r="BZ86" i="1"/>
  <c r="BY630" i="1"/>
  <c r="BY81" i="1"/>
  <c r="BZ75" i="1"/>
  <c r="J60" i="1"/>
  <c r="K58" i="1"/>
  <c r="B619" i="1"/>
  <c r="B622" i="1" s="1"/>
  <c r="B624" i="1" s="1"/>
  <c r="B635" i="1" s="1"/>
  <c r="AO318" i="1"/>
  <c r="AR320" i="1"/>
  <c r="AS318" i="1"/>
  <c r="AB325" i="1"/>
  <c r="AC325" i="1" s="1"/>
  <c r="AC323" i="1"/>
  <c r="L320" i="1"/>
  <c r="M318" i="1"/>
  <c r="AA324" i="1"/>
  <c r="CD300" i="1"/>
  <c r="BH302" i="1"/>
  <c r="AC252" i="1"/>
  <c r="BL224" i="1"/>
  <c r="BK224" i="1"/>
  <c r="BJ248" i="1"/>
  <c r="BK248" i="1" s="1"/>
  <c r="CB213" i="1"/>
  <c r="BZ143" i="1"/>
  <c r="BY145" i="1"/>
  <c r="BV133" i="1"/>
  <c r="BU134" i="1"/>
  <c r="BV134" i="1" s="1"/>
  <c r="BX121" i="1"/>
  <c r="BW129" i="1"/>
  <c r="BX129" i="1" s="1"/>
  <c r="CG629" i="1"/>
  <c r="CH629" i="1" s="1"/>
  <c r="CD56" i="1"/>
  <c r="H619" i="1"/>
  <c r="N620" i="1"/>
  <c r="N328" i="1"/>
  <c r="O328" i="1" s="1"/>
  <c r="W317" i="1"/>
  <c r="O317" i="1"/>
  <c r="BW316" i="1"/>
  <c r="BX316" i="1" s="1"/>
  <c r="R325" i="1"/>
  <c r="S325" i="1" s="1"/>
  <c r="CK250" i="1"/>
  <c r="CJ250" i="1"/>
  <c r="CE250" i="1"/>
  <c r="CC250" i="1"/>
  <c r="CH261" i="1"/>
  <c r="BH97" i="1"/>
  <c r="BJ95" i="1"/>
  <c r="BJ96" i="1" s="1"/>
  <c r="BW630" i="1"/>
  <c r="BX630" i="1" s="1"/>
  <c r="BX75" i="1"/>
  <c r="BW81" i="1"/>
  <c r="BX81" i="1" s="1"/>
  <c r="CG628" i="1"/>
  <c r="CH73" i="1"/>
  <c r="BU633" i="1"/>
  <c r="BV633" i="1" s="1"/>
  <c r="F619" i="1"/>
  <c r="F622" i="1" s="1"/>
  <c r="F624" i="1" s="1"/>
  <c r="F635" i="1" s="1"/>
  <c r="CA328" i="1"/>
  <c r="CB328" i="1" s="1"/>
  <c r="M620" i="1"/>
  <c r="BU323" i="1"/>
  <c r="CG323" i="1"/>
  <c r="CG318" i="1"/>
  <c r="CH309" i="1"/>
  <c r="BZ303" i="1"/>
  <c r="BZ300" i="1"/>
  <c r="AP666" i="1"/>
  <c r="AQ279" i="1"/>
  <c r="AP280" i="1"/>
  <c r="Z666" i="1"/>
  <c r="Z280" i="1"/>
  <c r="BV251" i="1"/>
  <c r="BW216" i="1"/>
  <c r="BX216" i="1" s="1"/>
  <c r="F200" i="1"/>
  <c r="F201" i="1" s="1"/>
  <c r="F199" i="1"/>
  <c r="F193" i="1"/>
  <c r="F198" i="1"/>
  <c r="CH125" i="1"/>
  <c r="CF125" i="1"/>
  <c r="BZ121" i="1"/>
  <c r="BY125" i="1"/>
  <c r="BZ125" i="1" s="1"/>
  <c r="BZ119" i="1"/>
  <c r="BV89" i="1"/>
  <c r="CF56" i="1"/>
  <c r="L619" i="1"/>
  <c r="BB622" i="1"/>
  <c r="BC618" i="1"/>
  <c r="AT622" i="1"/>
  <c r="AU618" i="1"/>
  <c r="AL622" i="1"/>
  <c r="AM618" i="1"/>
  <c r="AD622" i="1"/>
  <c r="AE618" i="1"/>
  <c r="V622" i="1"/>
  <c r="F649" i="1"/>
  <c r="F175" i="1"/>
  <c r="F169" i="1"/>
  <c r="F919" i="1" s="1"/>
  <c r="F7" i="1"/>
  <c r="AM143" i="1"/>
  <c r="AL145" i="1"/>
  <c r="BA618" i="1"/>
  <c r="AZ622" i="1"/>
  <c r="AR622" i="1"/>
  <c r="AJ618" i="1"/>
  <c r="AB618" i="1"/>
  <c r="M58" i="1"/>
  <c r="L60" i="1"/>
  <c r="BU43" i="1"/>
  <c r="BV43" i="1" s="1"/>
  <c r="AB145" i="1"/>
  <c r="AC143" i="1"/>
  <c r="BS937" i="1"/>
  <c r="CE618" i="1"/>
  <c r="CE58" i="1"/>
  <c r="CF53" i="1"/>
  <c r="AP622" i="1"/>
  <c r="AH60" i="1"/>
  <c r="AI58" i="1"/>
  <c r="CD140" i="1"/>
  <c r="CC143" i="1"/>
  <c r="CF140" i="1"/>
  <c r="AN899" i="1"/>
  <c r="AO899" i="1" s="1"/>
  <c r="AN897" i="1"/>
  <c r="AO897" i="1" s="1"/>
  <c r="AN892" i="1"/>
  <c r="AO892" i="1" s="1"/>
  <c r="AP882" i="1"/>
  <c r="AQ882" i="1" s="1"/>
  <c r="AO880" i="1"/>
  <c r="AN770" i="1"/>
  <c r="X899" i="1"/>
  <c r="Y899" i="1" s="1"/>
  <c r="X897" i="1"/>
  <c r="Y897" i="1" s="1"/>
  <c r="X896" i="1"/>
  <c r="X892" i="1"/>
  <c r="Y892" i="1" s="1"/>
  <c r="Z882" i="1"/>
  <c r="AA882" i="1" s="1"/>
  <c r="Y880" i="1"/>
  <c r="X770" i="1"/>
  <c r="Y908" i="1"/>
  <c r="Q902" i="1"/>
  <c r="AU881" i="1"/>
  <c r="O881" i="1"/>
  <c r="U908" i="1"/>
  <c r="M905" i="1"/>
  <c r="AX892" i="1"/>
  <c r="AY892" i="1" s="1"/>
  <c r="AX899" i="1"/>
  <c r="AY899" i="1" s="1"/>
  <c r="AX897" i="1"/>
  <c r="AY897" i="1" s="1"/>
  <c r="AZ882" i="1"/>
  <c r="BA882" i="1" s="1"/>
  <c r="AY880" i="1"/>
  <c r="AX770" i="1"/>
  <c r="AY906" i="1"/>
  <c r="AQ902" i="1"/>
  <c r="AH892" i="1"/>
  <c r="AI892" i="1" s="1"/>
  <c r="AH899" i="1"/>
  <c r="AI899" i="1" s="1"/>
  <c r="AH897" i="1"/>
  <c r="AI897" i="1" s="1"/>
  <c r="AH896" i="1"/>
  <c r="AJ882" i="1"/>
  <c r="AK882" i="1" s="1"/>
  <c r="AI880" i="1"/>
  <c r="AH770" i="1"/>
  <c r="AI906" i="1"/>
  <c r="R892" i="1"/>
  <c r="R899" i="1"/>
  <c r="R897" i="1"/>
  <c r="S897" i="1" s="1"/>
  <c r="R896" i="1"/>
  <c r="R895" i="1"/>
  <c r="R893" i="1"/>
  <c r="T882" i="1"/>
  <c r="U882" i="1" s="1"/>
  <c r="S880" i="1"/>
  <c r="R770" i="1"/>
  <c r="J892" i="1"/>
  <c r="J899" i="1"/>
  <c r="K899" i="1" s="1"/>
  <c r="J897" i="1"/>
  <c r="J895" i="1"/>
  <c r="J893" i="1"/>
  <c r="K893" i="1" s="1"/>
  <c r="L882" i="1"/>
  <c r="K880" i="1"/>
  <c r="J770" i="1"/>
  <c r="B897" i="1"/>
  <c r="B893" i="1"/>
  <c r="B892" i="1"/>
  <c r="B896" i="1"/>
  <c r="B895" i="1"/>
  <c r="B899" i="1"/>
  <c r="D882" i="1"/>
  <c r="D888" i="1" s="1"/>
  <c r="B882" i="1"/>
  <c r="B888" i="1" s="1"/>
  <c r="B770" i="1"/>
  <c r="AX893" i="1"/>
  <c r="AY893" i="1" s="1"/>
  <c r="AP895" i="1"/>
  <c r="AQ895" i="1" s="1"/>
  <c r="AA904" i="1"/>
  <c r="AJ883" i="1"/>
  <c r="AK883" i="1" s="1"/>
  <c r="AK868" i="1"/>
  <c r="AO848" i="1"/>
  <c r="AN849" i="1"/>
  <c r="AO849" i="1" s="1"/>
  <c r="Y848" i="1"/>
  <c r="X849" i="1"/>
  <c r="Y849" i="1" s="1"/>
  <c r="AA881" i="1"/>
  <c r="CC897" i="1"/>
  <c r="CC892" i="1"/>
  <c r="CC899" i="1"/>
  <c r="CC896" i="1"/>
  <c r="CD880" i="1"/>
  <c r="CC770" i="1"/>
  <c r="CA904" i="1"/>
  <c r="CB904" i="1" s="1"/>
  <c r="CA903" i="1"/>
  <c r="CB903" i="1" s="1"/>
  <c r="CA895" i="1"/>
  <c r="CB895" i="1" s="1"/>
  <c r="CA893" i="1"/>
  <c r="CB893" i="1" s="1"/>
  <c r="CB870" i="1"/>
  <c r="CA785" i="1"/>
  <c r="U883" i="1"/>
  <c r="CE846" i="1"/>
  <c r="BI846" i="1"/>
  <c r="BH848" i="1"/>
  <c r="CF881" i="1"/>
  <c r="CD906" i="1"/>
  <c r="BX904" i="1"/>
  <c r="BD895" i="1"/>
  <c r="BE895" i="1" s="1"/>
  <c r="AN893" i="1"/>
  <c r="AO893" i="1" s="1"/>
  <c r="AO903" i="1"/>
  <c r="AF895" i="1"/>
  <c r="AG895" i="1" s="1"/>
  <c r="X893" i="1"/>
  <c r="Y893" i="1" s="1"/>
  <c r="Y904" i="1"/>
  <c r="CI858" i="1"/>
  <c r="BM858" i="1"/>
  <c r="AE848" i="1"/>
  <c r="AD849" i="1"/>
  <c r="AE849" i="1" s="1"/>
  <c r="BC906" i="1"/>
  <c r="AW881" i="1"/>
  <c r="AU908" i="1"/>
  <c r="AM902" i="1"/>
  <c r="AD899" i="1"/>
  <c r="AD897" i="1"/>
  <c r="AF882" i="1"/>
  <c r="AE880" i="1"/>
  <c r="AD892" i="1"/>
  <c r="AD770" i="1"/>
  <c r="AE905" i="1"/>
  <c r="V899" i="1"/>
  <c r="W899" i="1" s="1"/>
  <c r="V897" i="1"/>
  <c r="W897" i="1" s="1"/>
  <c r="V896" i="1"/>
  <c r="W896" i="1" s="1"/>
  <c r="X882" i="1"/>
  <c r="Y882" i="1" s="1"/>
  <c r="V892" i="1"/>
  <c r="W892" i="1" s="1"/>
  <c r="W880" i="1"/>
  <c r="V770" i="1"/>
  <c r="CE908" i="1"/>
  <c r="CF908" i="1" s="1"/>
  <c r="CE906" i="1"/>
  <c r="CF906" i="1" s="1"/>
  <c r="CE902" i="1"/>
  <c r="CF902" i="1" s="1"/>
  <c r="CG881" i="1"/>
  <c r="CH881" i="1" s="1"/>
  <c r="CF877" i="1"/>
  <c r="CE880" i="1"/>
  <c r="CE882" i="1" s="1"/>
  <c r="CE769" i="1"/>
  <c r="BZ847" i="1"/>
  <c r="BW848" i="1"/>
  <c r="BX847" i="1"/>
  <c r="BZ908" i="1"/>
  <c r="P883" i="1"/>
  <c r="Q883" i="1" s="1"/>
  <c r="Q868" i="1"/>
  <c r="BM862" i="1"/>
  <c r="CI862" i="1"/>
  <c r="BU849" i="1"/>
  <c r="BV849" i="1" s="1"/>
  <c r="BV848" i="1"/>
  <c r="BA848" i="1"/>
  <c r="AZ849" i="1"/>
  <c r="BA849" i="1" s="1"/>
  <c r="BW883" i="1"/>
  <c r="BX868" i="1"/>
  <c r="BZ868" i="1"/>
  <c r="BU897" i="1"/>
  <c r="BV897" i="1" s="1"/>
  <c r="BU896" i="1"/>
  <c r="BV896" i="1" s="1"/>
  <c r="BU892" i="1"/>
  <c r="BV892" i="1" s="1"/>
  <c r="BU899" i="1"/>
  <c r="BV899" i="1" s="1"/>
  <c r="BW882" i="1"/>
  <c r="BU882" i="1"/>
  <c r="BV882" i="1" s="1"/>
  <c r="BV880" i="1"/>
  <c r="BU770" i="1"/>
  <c r="AM883" i="1"/>
  <c r="BI841" i="1"/>
  <c r="BJ841" i="1"/>
  <c r="AO811" i="1"/>
  <c r="CC811" i="1"/>
  <c r="CD811" i="1" s="1"/>
  <c r="AQ848" i="1"/>
  <c r="AP849" i="1"/>
  <c r="AQ849" i="1" s="1"/>
  <c r="AA848" i="1"/>
  <c r="Z849" i="1"/>
  <c r="AA849" i="1" s="1"/>
  <c r="K848" i="1"/>
  <c r="J849" i="1"/>
  <c r="K849" i="1" s="1"/>
  <c r="CE811" i="1"/>
  <c r="AZ895" i="1"/>
  <c r="BA895" i="1" s="1"/>
  <c r="AJ895" i="1"/>
  <c r="AK895" i="1" s="1"/>
  <c r="AC903" i="1"/>
  <c r="AM849" i="1"/>
  <c r="AA807" i="1"/>
  <c r="AZ812" i="1"/>
  <c r="BA812" i="1" s="1"/>
  <c r="AZ811" i="1"/>
  <c r="BA811" i="1" s="1"/>
  <c r="BA810" i="1"/>
  <c r="BC773" i="1"/>
  <c r="AL781" i="1"/>
  <c r="AM781" i="1" s="1"/>
  <c r="AM773" i="1"/>
  <c r="V781" i="1"/>
  <c r="W781" i="1" s="1"/>
  <c r="W773" i="1"/>
  <c r="CD827" i="1"/>
  <c r="CC806" i="1"/>
  <c r="CD806" i="1" s="1"/>
  <c r="AN807" i="1"/>
  <c r="AO806" i="1"/>
  <c r="Y807" i="1"/>
  <c r="AG807" i="1"/>
  <c r="BY807" i="1"/>
  <c r="BZ807" i="1" s="1"/>
  <c r="AU806" i="1"/>
  <c r="AT807" i="1"/>
  <c r="AU807" i="1" s="1"/>
  <c r="BA773" i="1"/>
  <c r="AK773" i="1"/>
  <c r="AJ781" i="1"/>
  <c r="AK781" i="1" s="1"/>
  <c r="U773" i="1"/>
  <c r="T781" i="1"/>
  <c r="U781" i="1" s="1"/>
  <c r="AC807" i="1"/>
  <c r="CA807" i="1"/>
  <c r="AK807" i="1"/>
  <c r="L821" i="1"/>
  <c r="M793" i="1"/>
  <c r="U793" i="1"/>
  <c r="N793" i="1"/>
  <c r="BC743" i="1"/>
  <c r="BB738" i="1"/>
  <c r="CD737" i="1"/>
  <c r="BY781" i="1"/>
  <c r="BF755" i="1"/>
  <c r="BG755" i="1" s="1"/>
  <c r="BG743" i="1"/>
  <c r="BF738" i="1"/>
  <c r="BF742" i="1"/>
  <c r="BH743" i="1"/>
  <c r="CG781" i="1"/>
  <c r="BL732" i="1"/>
  <c r="BK732" i="1"/>
  <c r="BU734" i="1"/>
  <c r="BX756" i="1"/>
  <c r="CO737" i="1"/>
  <c r="CN737" i="1"/>
  <c r="AQ743" i="1"/>
  <c r="U740" i="1"/>
  <c r="AG600" i="1"/>
  <c r="AF599" i="1"/>
  <c r="AG596" i="1"/>
  <c r="BW600" i="1"/>
  <c r="BX600" i="1" s="1"/>
  <c r="BW604" i="1"/>
  <c r="BX595" i="1"/>
  <c r="AH599" i="1"/>
  <c r="AQ599" i="1" s="1"/>
  <c r="AI596" i="1"/>
  <c r="CE655" i="1"/>
  <c r="CE613" i="1"/>
  <c r="CE671" i="1" s="1"/>
  <c r="CE13" i="1"/>
  <c r="AQ600" i="1"/>
  <c r="AA600" i="1"/>
  <c r="T599" i="1"/>
  <c r="U596" i="1"/>
  <c r="BZ579" i="1"/>
  <c r="CB579" i="1"/>
  <c r="AK628" i="1"/>
  <c r="U628" i="1"/>
  <c r="AO596" i="1"/>
  <c r="AK623" i="1"/>
  <c r="AJ627" i="1"/>
  <c r="AG608" i="1"/>
  <c r="CD594" i="1"/>
  <c r="CF529" i="1"/>
  <c r="AS628" i="1"/>
  <c r="AL601" i="1"/>
  <c r="N627" i="1"/>
  <c r="O623" i="1"/>
  <c r="CD587" i="1"/>
  <c r="CS568" i="1"/>
  <c r="CH568" i="1"/>
  <c r="CG574" i="1"/>
  <c r="AX553" i="1"/>
  <c r="AY551" i="1"/>
  <c r="BA533" i="1"/>
  <c r="AK533" i="1"/>
  <c r="U533" i="1"/>
  <c r="CS528" i="1"/>
  <c r="CH528" i="1"/>
  <c r="L522" i="1"/>
  <c r="M518" i="1"/>
  <c r="BY581" i="1"/>
  <c r="BY582" i="1" s="1"/>
  <c r="BD576" i="1"/>
  <c r="BD572" i="1"/>
  <c r="BM553" i="1"/>
  <c r="BE553" i="1"/>
  <c r="BD573" i="1"/>
  <c r="CD529" i="1"/>
  <c r="BM637" i="1"/>
  <c r="AA608" i="1"/>
  <c r="M623" i="1"/>
  <c r="L627" i="1"/>
  <c r="BW574" i="1"/>
  <c r="BX574" i="1" s="1"/>
  <c r="BX568" i="1"/>
  <c r="BC533" i="1"/>
  <c r="AM533" i="1"/>
  <c r="W533" i="1"/>
  <c r="BY551" i="1"/>
  <c r="BZ548" i="1"/>
  <c r="AG551" i="1"/>
  <c r="AF553" i="1"/>
  <c r="BH458" i="1"/>
  <c r="BI458" i="1" s="1"/>
  <c r="BI450" i="1"/>
  <c r="AL670" i="1"/>
  <c r="AM443" i="1"/>
  <c r="V670" i="1"/>
  <c r="W443" i="1"/>
  <c r="BC654" i="1"/>
  <c r="N576" i="1"/>
  <c r="N573" i="1"/>
  <c r="O573" i="1" s="1"/>
  <c r="N572" i="1"/>
  <c r="O572" i="1" s="1"/>
  <c r="O553" i="1"/>
  <c r="AT553" i="1"/>
  <c r="AU551" i="1"/>
  <c r="AD553" i="1"/>
  <c r="AE551" i="1"/>
  <c r="BU542" i="1"/>
  <c r="BV542" i="1" s="1"/>
  <c r="BV541" i="1"/>
  <c r="CG533" i="1"/>
  <c r="CC533" i="1"/>
  <c r="CD533" i="1" s="1"/>
  <c r="AU479" i="1"/>
  <c r="AE479" i="1"/>
  <c r="CA476" i="1"/>
  <c r="T455" i="1"/>
  <c r="V448" i="1"/>
  <c r="AS421" i="1"/>
  <c r="AK421" i="1"/>
  <c r="CJ387" i="1"/>
  <c r="CK387" i="1"/>
  <c r="BI372" i="1"/>
  <c r="BJ372" i="1"/>
  <c r="BX373" i="1"/>
  <c r="BW395" i="1"/>
  <c r="B583" i="1"/>
  <c r="B584" i="1" s="1"/>
  <c r="B577" i="1"/>
  <c r="BW569" i="1"/>
  <c r="BX569" i="1" s="1"/>
  <c r="CS548" i="1"/>
  <c r="CG551" i="1"/>
  <c r="CH548" i="1"/>
  <c r="J576" i="1"/>
  <c r="J573" i="1"/>
  <c r="K573" i="1" s="1"/>
  <c r="J572" i="1"/>
  <c r="K572" i="1" s="1"/>
  <c r="K553" i="1"/>
  <c r="AJ553" i="1"/>
  <c r="AK551" i="1"/>
  <c r="BZ528" i="1"/>
  <c r="AZ496" i="1"/>
  <c r="BA476" i="1"/>
  <c r="U685" i="1"/>
  <c r="Q685" i="1"/>
  <c r="P691" i="1"/>
  <c r="M685" i="1"/>
  <c r="L691" i="1"/>
  <c r="CS466" i="1"/>
  <c r="CH466" i="1"/>
  <c r="CE464" i="1"/>
  <c r="CD463" i="1"/>
  <c r="AV670" i="1"/>
  <c r="AW443" i="1"/>
  <c r="AB670" i="1"/>
  <c r="AC443" i="1"/>
  <c r="L670" i="1"/>
  <c r="M443" i="1"/>
  <c r="BZ654" i="1"/>
  <c r="AJ654" i="1"/>
  <c r="AJ631" i="1"/>
  <c r="AK631" i="1" s="1"/>
  <c r="AK440" i="1"/>
  <c r="AJ443" i="1"/>
  <c r="AS443" i="1" s="1"/>
  <c r="AJ12" i="1"/>
  <c r="AC654" i="1"/>
  <c r="U654" i="1"/>
  <c r="M654" i="1"/>
  <c r="Y395" i="1"/>
  <c r="Q395" i="1"/>
  <c r="AY363" i="1"/>
  <c r="AI363" i="1"/>
  <c r="S363" i="1"/>
  <c r="CJ348" i="1"/>
  <c r="BA340" i="1"/>
  <c r="AK340" i="1"/>
  <c r="U340" i="1"/>
  <c r="H583" i="1"/>
  <c r="H584" i="1" s="1"/>
  <c r="H577" i="1"/>
  <c r="Q551" i="1"/>
  <c r="P553" i="1"/>
  <c r="CF494" i="1"/>
  <c r="BY492" i="1"/>
  <c r="BZ492" i="1" s="1"/>
  <c r="BA479" i="1"/>
  <c r="AK479" i="1"/>
  <c r="U479" i="1"/>
  <c r="BY496" i="1"/>
  <c r="BZ476" i="1"/>
  <c r="BF440" i="1"/>
  <c r="BH432" i="1"/>
  <c r="BG432" i="1"/>
  <c r="BC415" i="1"/>
  <c r="BJ415" i="1"/>
  <c r="BK415" i="1" s="1"/>
  <c r="BJ379" i="1"/>
  <c r="BI379" i="1"/>
  <c r="BZ373" i="1"/>
  <c r="AE345" i="1"/>
  <c r="W345" i="1"/>
  <c r="BY345" i="1"/>
  <c r="V347" i="1"/>
  <c r="BY347" i="1" s="1"/>
  <c r="BC483" i="1"/>
  <c r="AU482" i="1"/>
  <c r="W483" i="1"/>
  <c r="O482" i="1"/>
  <c r="CC464" i="1"/>
  <c r="CB654" i="1"/>
  <c r="CS421" i="1"/>
  <c r="O396" i="1"/>
  <c r="N398" i="1"/>
  <c r="AR398" i="1"/>
  <c r="AS396" i="1"/>
  <c r="AB403" i="1"/>
  <c r="AC403" i="1" s="1"/>
  <c r="AC401" i="1"/>
  <c r="L398" i="1"/>
  <c r="M396" i="1"/>
  <c r="CK366" i="1"/>
  <c r="CL366" i="1" s="1"/>
  <c r="BL354" i="1"/>
  <c r="BL353" i="1"/>
  <c r="BJ355" i="1"/>
  <c r="CG335" i="1"/>
  <c r="CH335" i="1" s="1"/>
  <c r="CH331" i="1"/>
  <c r="BY335" i="1"/>
  <c r="BZ335" i="1" s="1"/>
  <c r="BZ331" i="1"/>
  <c r="F325" i="1"/>
  <c r="Y196" i="1"/>
  <c r="Q196" i="1"/>
  <c r="BC496" i="1"/>
  <c r="BB497" i="1"/>
  <c r="BB500" i="1"/>
  <c r="BC500" i="1" s="1"/>
  <c r="AL685" i="1"/>
  <c r="AM496" i="1"/>
  <c r="AL497" i="1"/>
  <c r="AL500" i="1"/>
  <c r="AM500" i="1" s="1"/>
  <c r="V685" i="1"/>
  <c r="W496" i="1"/>
  <c r="V497" i="1"/>
  <c r="V500" i="1"/>
  <c r="W500" i="1" s="1"/>
  <c r="AS483" i="1"/>
  <c r="AC482" i="1"/>
  <c r="U464" i="1"/>
  <c r="K482" i="1"/>
  <c r="F456" i="1"/>
  <c r="CE440" i="1"/>
  <c r="AX403" i="1"/>
  <c r="AY403" i="1" s="1"/>
  <c r="AY401" i="1"/>
  <c r="BG401" i="1"/>
  <c r="AH403" i="1"/>
  <c r="AI403" i="1" s="1"/>
  <c r="AI401" i="1"/>
  <c r="R403" i="1"/>
  <c r="S403" i="1" s="1"/>
  <c r="S401" i="1"/>
  <c r="CB365" i="1"/>
  <c r="CJ310" i="1"/>
  <c r="CK310" i="1"/>
  <c r="AQ271" i="1"/>
  <c r="AA271" i="1"/>
  <c r="Q252" i="1"/>
  <c r="P273" i="1"/>
  <c r="P271" i="1"/>
  <c r="Y271" i="1" s="1"/>
  <c r="BX252" i="1"/>
  <c r="BW273" i="1"/>
  <c r="AV241" i="1"/>
  <c r="AW240" i="1"/>
  <c r="BU479" i="1"/>
  <c r="BV479" i="1" s="1"/>
  <c r="BG482" i="1"/>
  <c r="AY482" i="1"/>
  <c r="AA483" i="1"/>
  <c r="S482" i="1"/>
  <c r="CG464" i="1"/>
  <c r="CB448" i="1"/>
  <c r="CA452" i="1"/>
  <c r="BX654" i="1"/>
  <c r="BZ406" i="1"/>
  <c r="BD403" i="1"/>
  <c r="BE403" i="1" s="1"/>
  <c r="BE401" i="1"/>
  <c r="AF398" i="1"/>
  <c r="AG396" i="1"/>
  <c r="X403" i="1"/>
  <c r="Y403" i="1" s="1"/>
  <c r="Y401" i="1"/>
  <c r="CH363" i="1"/>
  <c r="CF324" i="1"/>
  <c r="BX324" i="1"/>
  <c r="AF325" i="1"/>
  <c r="AG325" i="1" s="1"/>
  <c r="AG323" i="1"/>
  <c r="BG302" i="1"/>
  <c r="BF319" i="1"/>
  <c r="AP328" i="1"/>
  <c r="AQ328" i="1" s="1"/>
  <c r="AQ300" i="1"/>
  <c r="Z328" i="1"/>
  <c r="AA328" i="1" s="1"/>
  <c r="AA300" i="1"/>
  <c r="AZ650" i="1"/>
  <c r="BA273" i="1"/>
  <c r="AZ274" i="1"/>
  <c r="AZ279" i="1"/>
  <c r="AZ8" i="1"/>
  <c r="BA8" i="1" s="1"/>
  <c r="AJ650" i="1"/>
  <c r="AK273" i="1"/>
  <c r="AJ274" i="1"/>
  <c r="AJ279" i="1"/>
  <c r="AJ8" i="1"/>
  <c r="AK8" i="1" s="1"/>
  <c r="BG244" i="1"/>
  <c r="K238" i="1"/>
  <c r="J240" i="1"/>
  <c r="K240" i="1" s="1"/>
  <c r="AE213" i="1"/>
  <c r="R233" i="1"/>
  <c r="R234" i="1" s="1"/>
  <c r="AA196" i="1"/>
  <c r="S196" i="1"/>
  <c r="AW483" i="1"/>
  <c r="AG482" i="1"/>
  <c r="Q483" i="1"/>
  <c r="BX466" i="1"/>
  <c r="AT670" i="1"/>
  <c r="AU443" i="1"/>
  <c r="BX402" i="1"/>
  <c r="AT403" i="1"/>
  <c r="AU403" i="1" s="1"/>
  <c r="AU401" i="1"/>
  <c r="AE396" i="1"/>
  <c r="AD398" i="1"/>
  <c r="BX388" i="1"/>
  <c r="CF365" i="1"/>
  <c r="CL348" i="1"/>
  <c r="J320" i="1"/>
  <c r="K318" i="1"/>
  <c r="N323" i="1"/>
  <c r="O309" i="1"/>
  <c r="N318" i="1"/>
  <c r="W318" i="1" s="1"/>
  <c r="AU294" i="1"/>
  <c r="AM294" i="1"/>
  <c r="BI271" i="1"/>
  <c r="BA271" i="1"/>
  <c r="AK271" i="1"/>
  <c r="BH255" i="1"/>
  <c r="BG255" i="1"/>
  <c r="K251" i="1"/>
  <c r="J252" i="1"/>
  <c r="S251" i="1"/>
  <c r="AC250" i="1"/>
  <c r="AL240" i="1"/>
  <c r="AM238" i="1"/>
  <c r="V240" i="1"/>
  <c r="W238" i="1"/>
  <c r="CH240" i="1"/>
  <c r="F342" i="1"/>
  <c r="F339" i="1"/>
  <c r="F338" i="1"/>
  <c r="AU323" i="1"/>
  <c r="AT325" i="1"/>
  <c r="AU325" i="1" s="1"/>
  <c r="AM318" i="1"/>
  <c r="AL320" i="1"/>
  <c r="CH290" i="1"/>
  <c r="BZ294" i="1"/>
  <c r="Y252" i="1"/>
  <c r="M238" i="1"/>
  <c r="CO192" i="1"/>
  <c r="CN192" i="1"/>
  <c r="L118" i="1"/>
  <c r="M102" i="1"/>
  <c r="L106" i="1"/>
  <c r="BX89" i="1"/>
  <c r="AC89" i="1"/>
  <c r="U89" i="1"/>
  <c r="AC800" i="1"/>
  <c r="U800" i="1"/>
  <c r="B83" i="1"/>
  <c r="B80" i="1"/>
  <c r="B79" i="1"/>
  <c r="D339" i="1"/>
  <c r="D338" i="1"/>
  <c r="D342" i="1"/>
  <c r="AN342" i="1"/>
  <c r="AN339" i="1"/>
  <c r="AN338" i="1"/>
  <c r="AO320" i="1"/>
  <c r="AJ325" i="1"/>
  <c r="AK325" i="1" s="1"/>
  <c r="AK323" i="1"/>
  <c r="AS328" i="1"/>
  <c r="AC328" i="1"/>
  <c r="BG294" i="1"/>
  <c r="AX666" i="1"/>
  <c r="AY279" i="1"/>
  <c r="AX280" i="1"/>
  <c r="AY280" i="1" s="1"/>
  <c r="AH666" i="1"/>
  <c r="AI279" i="1"/>
  <c r="AH280" i="1"/>
  <c r="AI280" i="1" s="1"/>
  <c r="Q251" i="1"/>
  <c r="CB263" i="1"/>
  <c r="CH255" i="1"/>
  <c r="BW193" i="1"/>
  <c r="BX187" i="1"/>
  <c r="D649" i="1"/>
  <c r="D175" i="1"/>
  <c r="D169" i="1"/>
  <c r="D919" i="1" s="1"/>
  <c r="D7" i="1"/>
  <c r="BV143" i="1"/>
  <c r="BU145" i="1"/>
  <c r="BX120" i="1"/>
  <c r="BW128" i="1"/>
  <c r="BX128" i="1" s="1"/>
  <c r="BE81" i="1"/>
  <c r="AO81" i="1"/>
  <c r="Y81" i="1"/>
  <c r="CF72" i="1"/>
  <c r="CE76" i="1"/>
  <c r="CF76" i="1" s="1"/>
  <c r="BZ56" i="1"/>
  <c r="R618" i="1"/>
  <c r="H342" i="1"/>
  <c r="H339" i="1"/>
  <c r="H338" i="1"/>
  <c r="BW313" i="1"/>
  <c r="S323" i="1"/>
  <c r="BJ263" i="1"/>
  <c r="BK263" i="1" s="1"/>
  <c r="BI263" i="1"/>
  <c r="BB666" i="1"/>
  <c r="BC279" i="1"/>
  <c r="BB280" i="1"/>
  <c r="BC280" i="1" s="1"/>
  <c r="AL666" i="1"/>
  <c r="AM279" i="1"/>
  <c r="AL280" i="1"/>
  <c r="AM280" i="1" s="1"/>
  <c r="R279" i="1"/>
  <c r="AI213" i="1"/>
  <c r="CC628" i="1"/>
  <c r="CD73" i="1"/>
  <c r="CF73" i="1"/>
  <c r="N60" i="1"/>
  <c r="O58" i="1"/>
  <c r="BW53" i="1"/>
  <c r="BZ53" i="1" s="1"/>
  <c r="BX51" i="1"/>
  <c r="B342" i="1"/>
  <c r="B338" i="1"/>
  <c r="B339" i="1"/>
  <c r="AV320" i="1"/>
  <c r="AW318" i="1"/>
  <c r="AY318" i="1"/>
  <c r="AX320" i="1"/>
  <c r="BC324" i="1"/>
  <c r="BE328" i="1"/>
  <c r="AO328" i="1"/>
  <c r="Y328" i="1"/>
  <c r="AP920" i="1"/>
  <c r="AQ274" i="1"/>
  <c r="Z920" i="1"/>
  <c r="AA274" i="1"/>
  <c r="BZ255" i="1"/>
  <c r="BW217" i="1"/>
  <c r="BX217" i="1" s="1"/>
  <c r="CF213" i="1"/>
  <c r="BW200" i="1"/>
  <c r="BX200" i="1" s="1"/>
  <c r="CH143" i="1"/>
  <c r="CF143" i="1"/>
  <c r="CE145" i="1"/>
  <c r="AW125" i="1"/>
  <c r="AO125" i="1"/>
  <c r="Y125" i="1"/>
  <c r="CD120" i="1"/>
  <c r="J133" i="1"/>
  <c r="J154" i="1"/>
  <c r="K154" i="1" s="1"/>
  <c r="K122" i="1"/>
  <c r="J123" i="1"/>
  <c r="V800" i="1"/>
  <c r="V700" i="1"/>
  <c r="V702" i="1" s="1"/>
  <c r="AE86" i="1"/>
  <c r="W86" i="1"/>
  <c r="V88" i="1"/>
  <c r="BY88" i="1" s="1"/>
  <c r="BY89" i="1" s="1"/>
  <c r="AQ81" i="1"/>
  <c r="AA81" i="1"/>
  <c r="K81" i="1"/>
  <c r="CA619" i="1"/>
  <c r="CB56" i="1"/>
  <c r="D619" i="1"/>
  <c r="D622" i="1" s="1"/>
  <c r="D624" i="1" s="1"/>
  <c r="D635" i="1" s="1"/>
  <c r="N618" i="1"/>
  <c r="W618" i="1" s="1"/>
  <c r="X145" i="1"/>
  <c r="Y143" i="1"/>
  <c r="BB60" i="1"/>
  <c r="BC58" i="1"/>
  <c r="AT60" i="1"/>
  <c r="AU58" i="1"/>
  <c r="AL60" i="1"/>
  <c r="AM58" i="1"/>
  <c r="AD60" i="1"/>
  <c r="AE58" i="1"/>
  <c r="V60" i="1"/>
  <c r="W58" i="1"/>
  <c r="CB119" i="1"/>
  <c r="BY76" i="1"/>
  <c r="BZ76" i="1" s="1"/>
  <c r="BA58" i="1"/>
  <c r="AZ60" i="1"/>
  <c r="AS58" i="1"/>
  <c r="AR60" i="1"/>
  <c r="AK58" i="1"/>
  <c r="AJ60" i="1"/>
  <c r="AC58" i="1"/>
  <c r="AB60" i="1"/>
  <c r="BZ51" i="1"/>
  <c r="AJ145" i="1"/>
  <c r="AK143" i="1"/>
  <c r="J145" i="1"/>
  <c r="K143" i="1"/>
  <c r="BS653" i="1"/>
  <c r="BS656" i="1" s="1"/>
  <c r="BS659" i="1" s="1"/>
  <c r="BS661" i="1" s="1"/>
  <c r="AH618" i="1"/>
  <c r="Z60" i="1"/>
  <c r="AA58" i="1"/>
  <c r="AH145" i="1"/>
  <c r="AI143" i="1"/>
  <c r="Z145" i="1"/>
  <c r="AA143" i="1"/>
  <c r="P145" i="1"/>
  <c r="Q143" i="1"/>
  <c r="BQ937" i="1"/>
  <c r="BQ942" i="1" s="1"/>
  <c r="BQ945" i="1" s="1"/>
  <c r="BQ669" i="1"/>
  <c r="BQ672" i="1" s="1"/>
  <c r="BW76" i="1"/>
  <c r="BX76" i="1" s="1"/>
  <c r="AW58" i="1"/>
  <c r="AV60" i="1"/>
  <c r="AO58" i="1"/>
  <c r="AN60" i="1"/>
  <c r="AG58" i="1"/>
  <c r="AF60" i="1"/>
  <c r="Y58" i="1"/>
  <c r="X60" i="1"/>
  <c r="Q58" i="1"/>
  <c r="P60" i="1"/>
  <c r="E9" i="23" l="1"/>
  <c r="C9" i="23"/>
  <c r="K9" i="23"/>
  <c r="G9" i="23"/>
  <c r="D153" i="1"/>
  <c r="D149" i="1"/>
  <c r="D148" i="1"/>
  <c r="D150" i="1" s="1"/>
  <c r="BW199" i="1"/>
  <c r="BX199" i="1" s="1"/>
  <c r="BW198" i="1"/>
  <c r="BX198" i="1" s="1"/>
  <c r="K892" i="1"/>
  <c r="AA572" i="1"/>
  <c r="CD905" i="1"/>
  <c r="CH630" i="1"/>
  <c r="BE897" i="1"/>
  <c r="AE882" i="1"/>
  <c r="BK837" i="1"/>
  <c r="BL837" i="1"/>
  <c r="AS631" i="1"/>
  <c r="J896" i="1"/>
  <c r="CD630" i="1"/>
  <c r="CI374" i="1"/>
  <c r="CJ371" i="1"/>
  <c r="CI842" i="1"/>
  <c r="BM842" i="1"/>
  <c r="CB807" i="1"/>
  <c r="AE325" i="1"/>
  <c r="AG896" i="1"/>
  <c r="AC897" i="1"/>
  <c r="F128" i="1"/>
  <c r="F127" i="1"/>
  <c r="F129" i="1"/>
  <c r="F130" i="1" s="1"/>
  <c r="F122" i="1"/>
  <c r="J624" i="1"/>
  <c r="K622" i="1"/>
  <c r="BZ582" i="1"/>
  <c r="CB582" i="1"/>
  <c r="BZ89" i="1"/>
  <c r="CB89" i="1"/>
  <c r="BQ673" i="1"/>
  <c r="BQ675" i="1"/>
  <c r="BQ677" i="1" s="1"/>
  <c r="BQ679" i="1" s="1"/>
  <c r="V83" i="1"/>
  <c r="W60" i="1"/>
  <c r="V79" i="1"/>
  <c r="V80" i="1"/>
  <c r="AL83" i="1"/>
  <c r="AM60" i="1"/>
  <c r="AL80" i="1"/>
  <c r="AL79" i="1"/>
  <c r="BB83" i="1"/>
  <c r="BC60" i="1"/>
  <c r="BB79" i="1"/>
  <c r="BB80" i="1"/>
  <c r="D637" i="1"/>
  <c r="D638" i="1"/>
  <c r="V89" i="1"/>
  <c r="BY800" i="1"/>
  <c r="W800" i="1"/>
  <c r="K133" i="1"/>
  <c r="B651" i="1"/>
  <c r="B349" i="1"/>
  <c r="B343" i="1"/>
  <c r="B921" i="1" s="1"/>
  <c r="B9" i="1"/>
  <c r="N83" i="1"/>
  <c r="O60" i="1"/>
  <c r="N79" i="1"/>
  <c r="O79" i="1" s="1"/>
  <c r="N80" i="1"/>
  <c r="O80" i="1" s="1"/>
  <c r="CD628" i="1"/>
  <c r="CF628" i="1"/>
  <c r="BC666" i="1"/>
  <c r="BW317" i="1"/>
  <c r="BX313" i="1"/>
  <c r="R622" i="1"/>
  <c r="S618" i="1"/>
  <c r="AI666" i="1"/>
  <c r="AN651" i="1"/>
  <c r="AN349" i="1"/>
  <c r="AN343" i="1"/>
  <c r="AN9" i="1"/>
  <c r="L107" i="1"/>
  <c r="M107" i="1" s="1"/>
  <c r="M106" i="1"/>
  <c r="N102" i="1"/>
  <c r="CP192" i="1"/>
  <c r="CQ192" i="1"/>
  <c r="AJ666" i="1"/>
  <c r="AK279" i="1"/>
  <c r="AJ280" i="1"/>
  <c r="BA650" i="1"/>
  <c r="P650" i="1"/>
  <c r="P274" i="1"/>
  <c r="P279" i="1"/>
  <c r="P8" i="1"/>
  <c r="CM310" i="1"/>
  <c r="CL310" i="1"/>
  <c r="L417" i="1"/>
  <c r="L414" i="1"/>
  <c r="M414" i="1" s="1"/>
  <c r="L413" i="1"/>
  <c r="M413" i="1" s="1"/>
  <c r="M398" i="1"/>
  <c r="AR417" i="1"/>
  <c r="AR414" i="1"/>
  <c r="AR413" i="1"/>
  <c r="AS398" i="1"/>
  <c r="BY348" i="1"/>
  <c r="BZ345" i="1"/>
  <c r="CB345" i="1"/>
  <c r="BF654" i="1"/>
  <c r="BF631" i="1"/>
  <c r="BG631" i="1" s="1"/>
  <c r="BF443" i="1"/>
  <c r="BG440" i="1"/>
  <c r="BF12" i="1"/>
  <c r="BG12" i="1" s="1"/>
  <c r="BY685" i="1"/>
  <c r="BZ496" i="1"/>
  <c r="BY500" i="1"/>
  <c r="BY497" i="1"/>
  <c r="AS12" i="1"/>
  <c r="AK12" i="1"/>
  <c r="AK654" i="1"/>
  <c r="AJ576" i="1"/>
  <c r="AJ572" i="1"/>
  <c r="AK553" i="1"/>
  <c r="AJ573" i="1"/>
  <c r="J583" i="1"/>
  <c r="J577" i="1"/>
  <c r="K577" i="1" s="1"/>
  <c r="K576" i="1"/>
  <c r="BX395" i="1"/>
  <c r="BZ395" i="1"/>
  <c r="CA496" i="1"/>
  <c r="CB476" i="1"/>
  <c r="CH533" i="1"/>
  <c r="CS533" i="1"/>
  <c r="AM670" i="1"/>
  <c r="AF576" i="1"/>
  <c r="AF572" i="1"/>
  <c r="AG553" i="1"/>
  <c r="AF573" i="1"/>
  <c r="CH574" i="1"/>
  <c r="CS574" i="1"/>
  <c r="AJ633" i="1"/>
  <c r="AK627" i="1"/>
  <c r="U599" i="1"/>
  <c r="T601" i="1"/>
  <c r="CH671" i="1"/>
  <c r="AG599" i="1"/>
  <c r="AF601" i="1"/>
  <c r="BV734" i="1"/>
  <c r="BH742" i="1"/>
  <c r="BI742" i="1" s="1"/>
  <c r="BI743" i="1"/>
  <c r="BJ743" i="1"/>
  <c r="BH755" i="1"/>
  <c r="BI755" i="1" s="1"/>
  <c r="BH738" i="1"/>
  <c r="N821" i="1"/>
  <c r="O793" i="1"/>
  <c r="W793" i="1"/>
  <c r="BK841" i="1"/>
  <c r="BL841" i="1"/>
  <c r="BW849" i="1"/>
  <c r="BX849" i="1" s="1"/>
  <c r="BX848" i="1"/>
  <c r="CE899" i="1"/>
  <c r="CF899" i="1" s="1"/>
  <c r="CE897" i="1"/>
  <c r="CF897" i="1" s="1"/>
  <c r="CE892" i="1"/>
  <c r="CF892" i="1" s="1"/>
  <c r="CF880" i="1"/>
  <c r="CG882" i="1"/>
  <c r="CH882" i="1" s="1"/>
  <c r="CE770" i="1"/>
  <c r="CE895" i="1"/>
  <c r="CF895" i="1" s="1"/>
  <c r="CE893" i="1"/>
  <c r="CF893" i="1" s="1"/>
  <c r="AE892" i="1"/>
  <c r="AE897" i="1"/>
  <c r="CB785" i="1"/>
  <c r="CC786" i="1"/>
  <c r="CC778" i="1"/>
  <c r="CC774" i="1"/>
  <c r="M882" i="1"/>
  <c r="K897" i="1"/>
  <c r="S896" i="1"/>
  <c r="AP624" i="1"/>
  <c r="CF618" i="1"/>
  <c r="AB168" i="1"/>
  <c r="AB165" i="1"/>
  <c r="AB164" i="1"/>
  <c r="AC145" i="1"/>
  <c r="AC618" i="1"/>
  <c r="AB622" i="1"/>
  <c r="BA622" i="1"/>
  <c r="AZ624" i="1"/>
  <c r="F194" i="1"/>
  <c r="F221" i="1"/>
  <c r="H187" i="1"/>
  <c r="CG325" i="1"/>
  <c r="CH323" i="1"/>
  <c r="F638" i="1"/>
  <c r="F637" i="1"/>
  <c r="CH628" i="1"/>
  <c r="CL250" i="1"/>
  <c r="CM250" i="1"/>
  <c r="BH319" i="1"/>
  <c r="BI302" i="1"/>
  <c r="L342" i="1"/>
  <c r="L339" i="1"/>
  <c r="M339" i="1" s="1"/>
  <c r="L338" i="1"/>
  <c r="M338" i="1" s="1"/>
  <c r="M320" i="1"/>
  <c r="AR342" i="1"/>
  <c r="AR339" i="1"/>
  <c r="AR338" i="1"/>
  <c r="AS320" i="1"/>
  <c r="J83" i="1"/>
  <c r="K60" i="1"/>
  <c r="J79" i="1"/>
  <c r="K79" i="1" s="1"/>
  <c r="J80" i="1"/>
  <c r="K80" i="1" s="1"/>
  <c r="V342" i="1"/>
  <c r="V339" i="1"/>
  <c r="V338" i="1"/>
  <c r="N273" i="1"/>
  <c r="N271" i="1"/>
  <c r="W252" i="1"/>
  <c r="O252" i="1"/>
  <c r="D217" i="1"/>
  <c r="D218" i="1" s="1"/>
  <c r="D210" i="1"/>
  <c r="D216" i="1"/>
  <c r="D215" i="1"/>
  <c r="Y273" i="1"/>
  <c r="AN920" i="1"/>
  <c r="AO274" i="1"/>
  <c r="BD666" i="1"/>
  <c r="BE279" i="1"/>
  <c r="BD280" i="1"/>
  <c r="CD328" i="1"/>
  <c r="R342" i="1"/>
  <c r="R339" i="1"/>
  <c r="R338" i="1"/>
  <c r="S320" i="1"/>
  <c r="AK685" i="1"/>
  <c r="BU328" i="1"/>
  <c r="BV328" i="1" s="1"/>
  <c r="BU318" i="1"/>
  <c r="BV317" i="1"/>
  <c r="BU620" i="1"/>
  <c r="BV620" i="1" s="1"/>
  <c r="AJ417" i="1"/>
  <c r="AJ414" i="1"/>
  <c r="AJ413" i="1"/>
  <c r="AK398" i="1"/>
  <c r="CO428" i="1"/>
  <c r="CN428" i="1"/>
  <c r="BX479" i="1"/>
  <c r="AG685" i="1"/>
  <c r="AP583" i="1"/>
  <c r="AP577" i="1"/>
  <c r="BE654" i="1"/>
  <c r="AG670" i="1"/>
  <c r="CD421" i="1"/>
  <c r="CF421" i="1"/>
  <c r="K670" i="1"/>
  <c r="AY670" i="1"/>
  <c r="AT655" i="1"/>
  <c r="AT613" i="1"/>
  <c r="AT13" i="1"/>
  <c r="N610" i="1"/>
  <c r="O601" i="1"/>
  <c r="BZ604" i="1"/>
  <c r="BY608" i="1"/>
  <c r="BY623" i="1"/>
  <c r="BY627" i="1" s="1"/>
  <c r="CA608" i="1"/>
  <c r="CB604" i="1"/>
  <c r="CA623" i="1"/>
  <c r="CA627" i="1" s="1"/>
  <c r="AU781" i="1"/>
  <c r="CB743" i="1"/>
  <c r="CA738" i="1"/>
  <c r="BE864" i="1"/>
  <c r="CG864" i="1"/>
  <c r="BF864" i="1"/>
  <c r="BD868" i="1"/>
  <c r="CB881" i="1"/>
  <c r="O893" i="1"/>
  <c r="O896" i="1"/>
  <c r="CC787" i="1"/>
  <c r="CD785" i="1"/>
  <c r="CF785" i="1"/>
  <c r="CD895" i="1"/>
  <c r="CH908" i="1"/>
  <c r="Y618" i="1"/>
  <c r="X622" i="1"/>
  <c r="CC60" i="1"/>
  <c r="CD58" i="1"/>
  <c r="CG60" i="1"/>
  <c r="CH58" i="1"/>
  <c r="AN168" i="1"/>
  <c r="AW145" i="1"/>
  <c r="AN165" i="1"/>
  <c r="AN164" i="1"/>
  <c r="AO145" i="1"/>
  <c r="BU60" i="1"/>
  <c r="BV58" i="1"/>
  <c r="CD81" i="1"/>
  <c r="CP209" i="1"/>
  <c r="CQ209" i="1"/>
  <c r="AD241" i="1"/>
  <c r="AE240" i="1"/>
  <c r="AF342" i="1"/>
  <c r="AO342" i="1" s="1"/>
  <c r="AF339" i="1"/>
  <c r="AG339" i="1" s="1"/>
  <c r="AF338" i="1"/>
  <c r="AG338" i="1" s="1"/>
  <c r="AG320" i="1"/>
  <c r="AR920" i="1"/>
  <c r="AS274" i="1"/>
  <c r="AI328" i="1"/>
  <c r="BZ464" i="1"/>
  <c r="BY483" i="1"/>
  <c r="BY482" i="1"/>
  <c r="CA320" i="1"/>
  <c r="CB318" i="1"/>
  <c r="BW401" i="1"/>
  <c r="BW396" i="1"/>
  <c r="BX394" i="1"/>
  <c r="BB342" i="1"/>
  <c r="BB339" i="1"/>
  <c r="BB338" i="1"/>
  <c r="BC320" i="1"/>
  <c r="AB417" i="1"/>
  <c r="AB414" i="1"/>
  <c r="AB413" i="1"/>
  <c r="AC398" i="1"/>
  <c r="BK360" i="1"/>
  <c r="BJ362" i="1"/>
  <c r="BL360" i="1"/>
  <c r="BL365" i="1" s="1"/>
  <c r="BV464" i="1"/>
  <c r="BU482" i="1"/>
  <c r="BV482" i="1" s="1"/>
  <c r="BU483" i="1"/>
  <c r="BV483" i="1" s="1"/>
  <c r="T576" i="1"/>
  <c r="T572" i="1"/>
  <c r="U553" i="1"/>
  <c r="T573" i="1"/>
  <c r="S572" i="1"/>
  <c r="CI434" i="1"/>
  <c r="O670" i="1"/>
  <c r="BC670" i="1"/>
  <c r="S691" i="1"/>
  <c r="CF551" i="1"/>
  <c r="CE553" i="1"/>
  <c r="AL633" i="1"/>
  <c r="AM627" i="1"/>
  <c r="CO643" i="1"/>
  <c r="CN643" i="1"/>
  <c r="J633" i="1"/>
  <c r="K633" i="1" s="1"/>
  <c r="K627" i="1"/>
  <c r="AP633" i="1"/>
  <c r="AQ627" i="1"/>
  <c r="AY627" i="1"/>
  <c r="CQ641" i="1"/>
  <c r="CP641" i="1"/>
  <c r="CD604" i="1"/>
  <c r="CC608" i="1"/>
  <c r="CD608" i="1" s="1"/>
  <c r="CC623" i="1"/>
  <c r="CC627" i="1" s="1"/>
  <c r="BX596" i="1"/>
  <c r="BW599" i="1"/>
  <c r="H822" i="1"/>
  <c r="BB812" i="1"/>
  <c r="BC812" i="1" s="1"/>
  <c r="BB811" i="1"/>
  <c r="BC811" i="1" s="1"/>
  <c r="BC810" i="1"/>
  <c r="BM844" i="1"/>
  <c r="CI844" i="1"/>
  <c r="AI849" i="1"/>
  <c r="AY848" i="1"/>
  <c r="AX849" i="1"/>
  <c r="BI859" i="1"/>
  <c r="BY786" i="1"/>
  <c r="BY778" i="1"/>
  <c r="BY774" i="1"/>
  <c r="AT786" i="1"/>
  <c r="AT778" i="1"/>
  <c r="AT774" i="1"/>
  <c r="AU770" i="1"/>
  <c r="AT896" i="1"/>
  <c r="AU896" i="1" s="1"/>
  <c r="BZ848" i="1"/>
  <c r="CD883" i="1"/>
  <c r="CB902" i="1"/>
  <c r="Z786" i="1"/>
  <c r="Z778" i="1"/>
  <c r="Z774" i="1"/>
  <c r="AA770" i="1"/>
  <c r="AA897" i="1"/>
  <c r="AQ899" i="1"/>
  <c r="D778" i="1"/>
  <c r="D774" i="1"/>
  <c r="D786" i="1"/>
  <c r="D787" i="1" s="1"/>
  <c r="AR896" i="1"/>
  <c r="Z622" i="1"/>
  <c r="AA618" i="1"/>
  <c r="BV123" i="1"/>
  <c r="BU149" i="1"/>
  <c r="BV149" i="1" s="1"/>
  <c r="BU153" i="1"/>
  <c r="BV153" i="1" s="1"/>
  <c r="BU148" i="1"/>
  <c r="CF81" i="1"/>
  <c r="BU225" i="1"/>
  <c r="BV223" i="1"/>
  <c r="BU260" i="1"/>
  <c r="BV260" i="1" s="1"/>
  <c r="CJ298" i="1"/>
  <c r="CK298" i="1"/>
  <c r="CI303" i="1"/>
  <c r="CJ303" i="1" s="1"/>
  <c r="T342" i="1"/>
  <c r="T339" i="1"/>
  <c r="U339" i="1" s="1"/>
  <c r="T338" i="1"/>
  <c r="U338" i="1" s="1"/>
  <c r="U320" i="1"/>
  <c r="AS325" i="1"/>
  <c r="CH81" i="1"/>
  <c r="CS81" i="1"/>
  <c r="AE280" i="1"/>
  <c r="BX323" i="1"/>
  <c r="BW325" i="1"/>
  <c r="BD342" i="1"/>
  <c r="BD339" i="1"/>
  <c r="BL339" i="1" s="1"/>
  <c r="BD338" i="1"/>
  <c r="BE320" i="1"/>
  <c r="T241" i="1"/>
  <c r="U240" i="1"/>
  <c r="AC240" i="1"/>
  <c r="BI299" i="1"/>
  <c r="H668" i="1"/>
  <c r="H423" i="1"/>
  <c r="AQ500" i="1"/>
  <c r="AV920" i="1"/>
  <c r="AW274" i="1"/>
  <c r="BJ285" i="1"/>
  <c r="BL284" i="1"/>
  <c r="BL283" i="1"/>
  <c r="CI283" i="1" s="1"/>
  <c r="BF317" i="1"/>
  <c r="BG300" i="1"/>
  <c r="W328" i="1"/>
  <c r="BC328" i="1"/>
  <c r="BX335" i="1"/>
  <c r="CS479" i="1"/>
  <c r="CH479" i="1"/>
  <c r="AC685" i="1"/>
  <c r="H273" i="1"/>
  <c r="Q273" i="1" s="1"/>
  <c r="H271" i="1"/>
  <c r="AA403" i="1"/>
  <c r="AK403" i="1"/>
  <c r="AO500" i="1"/>
  <c r="BV395" i="1"/>
  <c r="BU396" i="1"/>
  <c r="BU685" i="1"/>
  <c r="BV496" i="1"/>
  <c r="BU500" i="1"/>
  <c r="BV500" i="1" s="1"/>
  <c r="BU497" i="1"/>
  <c r="BG406" i="1"/>
  <c r="CH415" i="1"/>
  <c r="L576" i="1"/>
  <c r="L572" i="1"/>
  <c r="M572" i="1" s="1"/>
  <c r="M553" i="1"/>
  <c r="L573" i="1"/>
  <c r="M573" i="1" s="1"/>
  <c r="BB576" i="1"/>
  <c r="BB573" i="1"/>
  <c r="BB572" i="1"/>
  <c r="BC553" i="1"/>
  <c r="S670" i="1"/>
  <c r="AN576" i="1"/>
  <c r="AN572" i="1"/>
  <c r="AO572" i="1" s="1"/>
  <c r="AO553" i="1"/>
  <c r="AN573" i="1"/>
  <c r="AO573" i="1" s="1"/>
  <c r="AN633" i="1"/>
  <c r="AO627" i="1"/>
  <c r="AW627" i="1"/>
  <c r="T633" i="1"/>
  <c r="U627" i="1"/>
  <c r="AU627" i="1"/>
  <c r="X633" i="1"/>
  <c r="Y627" i="1"/>
  <c r="BU671" i="1"/>
  <c r="BV613" i="1"/>
  <c r="AW601" i="1"/>
  <c r="AO601" i="1"/>
  <c r="AN610" i="1"/>
  <c r="AW781" i="1"/>
  <c r="CD743" i="1"/>
  <c r="CC738" i="1"/>
  <c r="CF743" i="1"/>
  <c r="AI781" i="1"/>
  <c r="BL843" i="1"/>
  <c r="BK843" i="1"/>
  <c r="BD821" i="1"/>
  <c r="CG793" i="1"/>
  <c r="BF793" i="1"/>
  <c r="BE793" i="1"/>
  <c r="Y883" i="1"/>
  <c r="BZ905" i="1"/>
  <c r="AM892" i="1"/>
  <c r="AM897" i="1"/>
  <c r="CH899" i="1"/>
  <c r="U849" i="1"/>
  <c r="AI895" i="1"/>
  <c r="AG770" i="1"/>
  <c r="AF786" i="1"/>
  <c r="AF778" i="1"/>
  <c r="AF774" i="1"/>
  <c r="AW897" i="1"/>
  <c r="W882" i="1"/>
  <c r="U897" i="1"/>
  <c r="AK899" i="1"/>
  <c r="BC882" i="1"/>
  <c r="BA892" i="1"/>
  <c r="BE899" i="1"/>
  <c r="AC892" i="1"/>
  <c r="CA252" i="1"/>
  <c r="BY398" i="1"/>
  <c r="BZ396" i="1"/>
  <c r="CC601" i="1"/>
  <c r="BF474" i="1"/>
  <c r="L531" i="1"/>
  <c r="L541" i="1"/>
  <c r="M530" i="1"/>
  <c r="L562" i="1"/>
  <c r="M562" i="1" s="1"/>
  <c r="AO895" i="1"/>
  <c r="P80" i="1"/>
  <c r="Q80" i="1" s="1"/>
  <c r="P83" i="1"/>
  <c r="Q60" i="1"/>
  <c r="P79" i="1"/>
  <c r="Q79" i="1" s="1"/>
  <c r="AF80" i="1"/>
  <c r="AF83" i="1"/>
  <c r="AG60" i="1"/>
  <c r="AF79" i="1"/>
  <c r="AV80" i="1"/>
  <c r="AV83" i="1"/>
  <c r="AW60" i="1"/>
  <c r="AV79" i="1"/>
  <c r="BQ946" i="1"/>
  <c r="Z168" i="1"/>
  <c r="AA145" i="1"/>
  <c r="Z165" i="1"/>
  <c r="Z164" i="1"/>
  <c r="Z83" i="1"/>
  <c r="AA60" i="1"/>
  <c r="Z79" i="1"/>
  <c r="Z80" i="1"/>
  <c r="J168" i="1"/>
  <c r="K145" i="1"/>
  <c r="J165" i="1"/>
  <c r="K165" i="1" s="1"/>
  <c r="J164" i="1"/>
  <c r="K164" i="1" s="1"/>
  <c r="AB80" i="1"/>
  <c r="AB83" i="1"/>
  <c r="AB79" i="1"/>
  <c r="AR80" i="1"/>
  <c r="AR83" i="1"/>
  <c r="AS60" i="1"/>
  <c r="AR79" i="1"/>
  <c r="J149" i="1"/>
  <c r="K149" i="1" s="1"/>
  <c r="J153" i="1"/>
  <c r="K153" i="1" s="1"/>
  <c r="K123" i="1"/>
  <c r="J148" i="1"/>
  <c r="AV342" i="1"/>
  <c r="AV339" i="1"/>
  <c r="AW339" i="1" s="1"/>
  <c r="AV338" i="1"/>
  <c r="AW338" i="1" s="1"/>
  <c r="AW320" i="1"/>
  <c r="AM666" i="1"/>
  <c r="D651" i="1"/>
  <c r="D349" i="1"/>
  <c r="D343" i="1"/>
  <c r="D921" i="1" s="1"/>
  <c r="D9" i="1"/>
  <c r="AL342" i="1"/>
  <c r="AL339" i="1"/>
  <c r="AL338" i="1"/>
  <c r="AM320" i="1"/>
  <c r="AL241" i="1"/>
  <c r="AM240" i="1"/>
  <c r="J273" i="1"/>
  <c r="J271" i="1"/>
  <c r="S252" i="1"/>
  <c r="K252" i="1"/>
  <c r="BI255" i="1"/>
  <c r="BJ255" i="1"/>
  <c r="BH244" i="1"/>
  <c r="O323" i="1"/>
  <c r="N325" i="1"/>
  <c r="O325" i="1" s="1"/>
  <c r="AU670" i="1"/>
  <c r="AJ920" i="1"/>
  <c r="AK274" i="1"/>
  <c r="AZ666" i="1"/>
  <c r="BA279" i="1"/>
  <c r="AZ280" i="1"/>
  <c r="BF331" i="1"/>
  <c r="BG319" i="1"/>
  <c r="AF417" i="1"/>
  <c r="AF414" i="1"/>
  <c r="AF413" i="1"/>
  <c r="AG398" i="1"/>
  <c r="CH464" i="1"/>
  <c r="CS464" i="1"/>
  <c r="CG483" i="1"/>
  <c r="CG482" i="1"/>
  <c r="BW650" i="1"/>
  <c r="BW274" i="1"/>
  <c r="BX273" i="1"/>
  <c r="BW279" i="1"/>
  <c r="BW8" i="1"/>
  <c r="CI354" i="1"/>
  <c r="BL355" i="1"/>
  <c r="N413" i="1"/>
  <c r="O413" i="1" s="1"/>
  <c r="O398" i="1"/>
  <c r="N417" i="1"/>
  <c r="N414" i="1"/>
  <c r="O414" i="1" s="1"/>
  <c r="AJ670" i="1"/>
  <c r="AK443" i="1"/>
  <c r="M670" i="1"/>
  <c r="AW670" i="1"/>
  <c r="AZ500" i="1"/>
  <c r="BA500" i="1" s="1"/>
  <c r="BA496" i="1"/>
  <c r="AZ497" i="1"/>
  <c r="CM387" i="1"/>
  <c r="CL387" i="1"/>
  <c r="V469" i="1"/>
  <c r="V452" i="1"/>
  <c r="AD576" i="1"/>
  <c r="AD573" i="1"/>
  <c r="AD572" i="1"/>
  <c r="AE553" i="1"/>
  <c r="N633" i="1"/>
  <c r="O633" i="1" s="1"/>
  <c r="O627" i="1"/>
  <c r="CH655" i="1"/>
  <c r="BW608" i="1"/>
  <c r="BX608" i="1" s="1"/>
  <c r="BW623" i="1"/>
  <c r="BW627" i="1" s="1"/>
  <c r="BG742" i="1"/>
  <c r="BF753" i="1"/>
  <c r="BX883" i="1"/>
  <c r="BZ883" i="1"/>
  <c r="AE899" i="1"/>
  <c r="CK858" i="1"/>
  <c r="CJ858" i="1"/>
  <c r="B786" i="1"/>
  <c r="B787" i="1" s="1"/>
  <c r="B778" i="1"/>
  <c r="B774" i="1"/>
  <c r="AH786" i="1"/>
  <c r="AH778" i="1"/>
  <c r="AI778" i="1" s="1"/>
  <c r="AH774" i="1"/>
  <c r="AI770" i="1"/>
  <c r="AK618" i="1"/>
  <c r="AJ622" i="1"/>
  <c r="V624" i="1"/>
  <c r="AL624" i="1"/>
  <c r="AM622" i="1"/>
  <c r="BB624" i="1"/>
  <c r="BC622" i="1"/>
  <c r="AQ280" i="1"/>
  <c r="BU325" i="1"/>
  <c r="BV325" i="1" s="1"/>
  <c r="BV323" i="1"/>
  <c r="CD250" i="1"/>
  <c r="CC251" i="1"/>
  <c r="BY168" i="1"/>
  <c r="BY164" i="1"/>
  <c r="BZ145" i="1"/>
  <c r="BY165" i="1"/>
  <c r="BY700" i="1"/>
  <c r="BY702" i="1" s="1"/>
  <c r="AA325" i="1"/>
  <c r="Z241" i="1"/>
  <c r="AA240" i="1"/>
  <c r="AI240" i="1"/>
  <c r="BU650" i="1"/>
  <c r="BU279" i="1"/>
  <c r="BU274" i="1"/>
  <c r="BV273" i="1"/>
  <c r="BU8" i="1"/>
  <c r="BV8" i="1" s="1"/>
  <c r="BY320" i="1"/>
  <c r="V413" i="1"/>
  <c r="W398" i="1"/>
  <c r="V417" i="1"/>
  <c r="V414" i="1"/>
  <c r="W414" i="1" s="1"/>
  <c r="BB413" i="1"/>
  <c r="BC398" i="1"/>
  <c r="BB417" i="1"/>
  <c r="BB414" i="1"/>
  <c r="BI486" i="1"/>
  <c r="Y8" i="1"/>
  <c r="Y650" i="1"/>
  <c r="BD920" i="1"/>
  <c r="BE274" i="1"/>
  <c r="CB335" i="1"/>
  <c r="BH397" i="1"/>
  <c r="BI365" i="1"/>
  <c r="CS370" i="1"/>
  <c r="CR370" i="1"/>
  <c r="X417" i="1"/>
  <c r="X414" i="1"/>
  <c r="X413" i="1"/>
  <c r="Y398" i="1"/>
  <c r="BD417" i="1"/>
  <c r="BD414" i="1"/>
  <c r="BD413" i="1"/>
  <c r="BE398" i="1"/>
  <c r="CF396" i="1"/>
  <c r="CE398" i="1"/>
  <c r="BL249" i="1"/>
  <c r="BM249" i="1" s="1"/>
  <c r="CI226" i="1"/>
  <c r="BM226" i="1"/>
  <c r="CN366" i="1"/>
  <c r="BJ402" i="1"/>
  <c r="BI402" i="1"/>
  <c r="BH403" i="1"/>
  <c r="BI403" i="1" s="1"/>
  <c r="BG479" i="1"/>
  <c r="BH479" i="1"/>
  <c r="BF472" i="1"/>
  <c r="BD670" i="1"/>
  <c r="BE443" i="1"/>
  <c r="CJ464" i="1"/>
  <c r="AB576" i="1"/>
  <c r="AB572" i="1"/>
  <c r="AC572" i="1" s="1"/>
  <c r="AC553" i="1"/>
  <c r="AB573" i="1"/>
  <c r="AC573" i="1" s="1"/>
  <c r="X576" i="1"/>
  <c r="X572" i="1"/>
  <c r="Y553" i="1"/>
  <c r="X573" i="1"/>
  <c r="CQ642" i="1"/>
  <c r="CP642" i="1"/>
  <c r="P633" i="1"/>
  <c r="Q633" i="1" s="1"/>
  <c r="Q627" i="1"/>
  <c r="AP610" i="1"/>
  <c r="J601" i="1"/>
  <c r="K599" i="1"/>
  <c r="BX734" i="1"/>
  <c r="O897" i="1"/>
  <c r="CD903" i="1"/>
  <c r="CH893" i="1"/>
  <c r="BL847" i="1"/>
  <c r="BM847" i="1" s="1"/>
  <c r="BM879" i="1"/>
  <c r="CI879" i="1"/>
  <c r="AA895" i="1"/>
  <c r="AO622" i="1"/>
  <c r="AN624" i="1"/>
  <c r="BE622" i="1"/>
  <c r="BD624" i="1"/>
  <c r="CB143" i="1"/>
  <c r="CA145" i="1"/>
  <c r="AP83" i="1"/>
  <c r="AQ60" i="1"/>
  <c r="AP79" i="1"/>
  <c r="AP80" i="1"/>
  <c r="CB125" i="1"/>
  <c r="BW28" i="1"/>
  <c r="BU41" i="1"/>
  <c r="BU36" i="1"/>
  <c r="BV35" i="1"/>
  <c r="CB81" i="1"/>
  <c r="N114" i="1"/>
  <c r="O110" i="1"/>
  <c r="BS666" i="1"/>
  <c r="BS280" i="1"/>
  <c r="R83" i="1"/>
  <c r="S60" i="1"/>
  <c r="R79" i="1"/>
  <c r="S79" i="1" s="1"/>
  <c r="R80" i="1"/>
  <c r="S80" i="1" s="1"/>
  <c r="CH294" i="1"/>
  <c r="W323" i="1"/>
  <c r="CC325" i="1"/>
  <c r="CD323" i="1"/>
  <c r="M252" i="1"/>
  <c r="L273" i="1"/>
  <c r="L271" i="1"/>
  <c r="U271" i="1" s="1"/>
  <c r="B668" i="1"/>
  <c r="B423" i="1"/>
  <c r="Z413" i="1"/>
  <c r="AA398" i="1"/>
  <c r="Z417" i="1"/>
  <c r="Z414" i="1"/>
  <c r="AP413" i="1"/>
  <c r="AQ398" i="1"/>
  <c r="AP417" i="1"/>
  <c r="AP414" i="1"/>
  <c r="AE685" i="1"/>
  <c r="CB670" i="1"/>
  <c r="CB479" i="1"/>
  <c r="BJ363" i="1"/>
  <c r="BK363" i="1" s="1"/>
  <c r="BI362" i="1"/>
  <c r="BH363" i="1"/>
  <c r="BI363" i="1" s="1"/>
  <c r="CD670" i="1"/>
  <c r="U670" i="1"/>
  <c r="S573" i="1"/>
  <c r="J558" i="1"/>
  <c r="K558" i="1" s="1"/>
  <c r="AD633" i="1"/>
  <c r="AE627" i="1"/>
  <c r="BZ574" i="1"/>
  <c r="AB633" i="1"/>
  <c r="AC633" i="1" s="1"/>
  <c r="AC627" i="1"/>
  <c r="AR655" i="1"/>
  <c r="AR613" i="1"/>
  <c r="AR13" i="1"/>
  <c r="Q599" i="1"/>
  <c r="P601" i="1"/>
  <c r="AC781" i="1"/>
  <c r="CF806" i="1"/>
  <c r="CG792" i="1"/>
  <c r="BE792" i="1"/>
  <c r="BD810" i="1"/>
  <c r="BF792" i="1"/>
  <c r="BD805" i="1"/>
  <c r="AY807" i="1"/>
  <c r="BJ859" i="1"/>
  <c r="BL838" i="1"/>
  <c r="BK838" i="1"/>
  <c r="BJ846" i="1"/>
  <c r="CE883" i="1"/>
  <c r="CF883" i="1" s="1"/>
  <c r="CF868" i="1"/>
  <c r="BL873" i="1"/>
  <c r="BK873" i="1"/>
  <c r="BZ849" i="1"/>
  <c r="AG893" i="1"/>
  <c r="CK878" i="1"/>
  <c r="CJ878" i="1"/>
  <c r="BM867" i="1"/>
  <c r="CI867" i="1"/>
  <c r="CH906" i="1"/>
  <c r="CA899" i="1"/>
  <c r="CB899" i="1" s="1"/>
  <c r="CA897" i="1"/>
  <c r="CB897" i="1" s="1"/>
  <c r="CA892" i="1"/>
  <c r="CB892" i="1" s="1"/>
  <c r="CB880" i="1"/>
  <c r="CC882" i="1"/>
  <c r="CD882" i="1" s="1"/>
  <c r="CA770" i="1"/>
  <c r="CD770" i="1" s="1"/>
  <c r="AA899" i="1"/>
  <c r="AS882" i="1"/>
  <c r="AQ892" i="1"/>
  <c r="AR786" i="1"/>
  <c r="AS770" i="1"/>
  <c r="AR778" i="1"/>
  <c r="AR774" i="1"/>
  <c r="BD80" i="1"/>
  <c r="BE80" i="1" s="1"/>
  <c r="BD83" i="1"/>
  <c r="BE60" i="1"/>
  <c r="BD79" i="1"/>
  <c r="V168" i="1"/>
  <c r="V165" i="1"/>
  <c r="V164" i="1"/>
  <c r="W145" i="1"/>
  <c r="CH76" i="1"/>
  <c r="D43" i="1"/>
  <c r="D35" i="1"/>
  <c r="D46" i="1"/>
  <c r="D47" i="1" s="1"/>
  <c r="D45" i="1"/>
  <c r="D44" i="1"/>
  <c r="BV619" i="1"/>
  <c r="BU622" i="1"/>
  <c r="CH89" i="1"/>
  <c r="CS89" i="1"/>
  <c r="AU666" i="1"/>
  <c r="AT342" i="1"/>
  <c r="AT339" i="1"/>
  <c r="AU339" i="1" s="1"/>
  <c r="AT338" i="1"/>
  <c r="AU338" i="1" s="1"/>
  <c r="AU320" i="1"/>
  <c r="AQ325" i="1"/>
  <c r="AF241" i="1"/>
  <c r="AG240" i="1"/>
  <c r="F273" i="1"/>
  <c r="F271" i="1"/>
  <c r="J413" i="1"/>
  <c r="K413" i="1" s="1"/>
  <c r="K398" i="1"/>
  <c r="J417" i="1"/>
  <c r="J414" i="1"/>
  <c r="K414" i="1" s="1"/>
  <c r="BC403" i="1"/>
  <c r="AG8" i="1"/>
  <c r="AG650" i="1"/>
  <c r="AP342" i="1"/>
  <c r="AP339" i="1"/>
  <c r="AQ339" i="1" s="1"/>
  <c r="AP338" i="1"/>
  <c r="AQ338" i="1" s="1"/>
  <c r="AQ320" i="1"/>
  <c r="AN417" i="1"/>
  <c r="AN414" i="1"/>
  <c r="AO414" i="1" s="1"/>
  <c r="AN413" i="1"/>
  <c r="AO413" i="1" s="1"/>
  <c r="AO398" i="1"/>
  <c r="AO240" i="1"/>
  <c r="CF323" i="1"/>
  <c r="CE325" i="1"/>
  <c r="BM328" i="1"/>
  <c r="BM340" i="1"/>
  <c r="BK340" i="1"/>
  <c r="R413" i="1"/>
  <c r="S413" i="1" s="1"/>
  <c r="S398" i="1"/>
  <c r="R417" i="1"/>
  <c r="R414" i="1"/>
  <c r="S414" i="1" s="1"/>
  <c r="CC398" i="1"/>
  <c r="CD396" i="1"/>
  <c r="AQ403" i="1"/>
  <c r="AQ670" i="1"/>
  <c r="CF479" i="1"/>
  <c r="Y685" i="1"/>
  <c r="AO685" i="1"/>
  <c r="CG654" i="1"/>
  <c r="CG631" i="1"/>
  <c r="CG443" i="1"/>
  <c r="CH440" i="1"/>
  <c r="CG12" i="1"/>
  <c r="CI486" i="1"/>
  <c r="BG486" i="1"/>
  <c r="AS670" i="1"/>
  <c r="BE500" i="1"/>
  <c r="D542" i="1"/>
  <c r="AU633" i="1"/>
  <c r="BV655" i="1"/>
  <c r="R633" i="1"/>
  <c r="S633" i="1" s="1"/>
  <c r="S627" i="1"/>
  <c r="AO599" i="1"/>
  <c r="Z601" i="1"/>
  <c r="AA599" i="1"/>
  <c r="CK836" i="1"/>
  <c r="CJ836" i="1"/>
  <c r="BL861" i="1"/>
  <c r="BK861" i="1"/>
  <c r="BB827" i="1"/>
  <c r="BC827" i="1" s="1"/>
  <c r="BC821" i="1"/>
  <c r="AM899" i="1"/>
  <c r="AW893" i="1"/>
  <c r="CH892" i="1"/>
  <c r="CH897" i="1"/>
  <c r="P896" i="1"/>
  <c r="Q896" i="1" s="1"/>
  <c r="AG897" i="1"/>
  <c r="AY882" i="1"/>
  <c r="AW899" i="1"/>
  <c r="U892" i="1"/>
  <c r="U899" i="1"/>
  <c r="AZ896" i="1"/>
  <c r="BA896" i="1" s="1"/>
  <c r="AB786" i="1"/>
  <c r="AC770" i="1"/>
  <c r="AB778" i="1"/>
  <c r="AB774" i="1"/>
  <c r="AB896" i="1"/>
  <c r="BY403" i="1"/>
  <c r="BZ401" i="1"/>
  <c r="O619" i="1"/>
  <c r="L538" i="1"/>
  <c r="M538" i="1" s="1"/>
  <c r="M537" i="1"/>
  <c r="P417" i="1"/>
  <c r="P414" i="1"/>
  <c r="Q414" i="1" s="1"/>
  <c r="P413" i="1"/>
  <c r="Q413" i="1" s="1"/>
  <c r="Q398" i="1"/>
  <c r="AG622" i="1"/>
  <c r="AF624" i="1"/>
  <c r="BZ596" i="1"/>
  <c r="AY895" i="1"/>
  <c r="AH622" i="1"/>
  <c r="AI618" i="1"/>
  <c r="AD83" i="1"/>
  <c r="AE60" i="1"/>
  <c r="AD79" i="1"/>
  <c r="AE79" i="1" s="1"/>
  <c r="AD80" i="1"/>
  <c r="AE80" i="1" s="1"/>
  <c r="AT83" i="1"/>
  <c r="AU60" i="1"/>
  <c r="AT79" i="1"/>
  <c r="AU79" i="1" s="1"/>
  <c r="AT80" i="1"/>
  <c r="AU80" i="1" s="1"/>
  <c r="X168" i="1"/>
  <c r="X165" i="1"/>
  <c r="X164" i="1"/>
  <c r="Y145" i="1"/>
  <c r="CE168" i="1"/>
  <c r="CE164" i="1"/>
  <c r="CH145" i="1"/>
  <c r="CE165" i="1"/>
  <c r="AX342" i="1"/>
  <c r="AX339" i="1"/>
  <c r="AX338" i="1"/>
  <c r="AY320" i="1"/>
  <c r="BW618" i="1"/>
  <c r="BX53" i="1"/>
  <c r="BW58" i="1"/>
  <c r="R666" i="1"/>
  <c r="R280" i="1"/>
  <c r="BW194" i="1"/>
  <c r="BX194" i="1" s="1"/>
  <c r="BX193" i="1"/>
  <c r="BW221" i="1"/>
  <c r="BY187" i="1"/>
  <c r="AO338" i="1"/>
  <c r="B648" i="1"/>
  <c r="B6" i="1"/>
  <c r="B90" i="1"/>
  <c r="B84" i="1"/>
  <c r="B918" i="1" s="1"/>
  <c r="M118" i="1"/>
  <c r="L122" i="1"/>
  <c r="L127" i="1"/>
  <c r="M127" i="1" s="1"/>
  <c r="L128" i="1"/>
  <c r="M128" i="1" s="1"/>
  <c r="L129" i="1"/>
  <c r="AZ920" i="1"/>
  <c r="BA274" i="1"/>
  <c r="CE654" i="1"/>
  <c r="CE631" i="1"/>
  <c r="CF631" i="1" s="1"/>
  <c r="CE443" i="1"/>
  <c r="CF440" i="1"/>
  <c r="CE12" i="1"/>
  <c r="CF12" i="1" s="1"/>
  <c r="CD464" i="1"/>
  <c r="CC483" i="1"/>
  <c r="CC482" i="1"/>
  <c r="BK379" i="1"/>
  <c r="BL379" i="1"/>
  <c r="BJ380" i="1"/>
  <c r="BK380" i="1" s="1"/>
  <c r="BJ432" i="1"/>
  <c r="BH440" i="1"/>
  <c r="BI432" i="1"/>
  <c r="P576" i="1"/>
  <c r="P572" i="1"/>
  <c r="Q572" i="1" s="1"/>
  <c r="Q553" i="1"/>
  <c r="P573" i="1"/>
  <c r="Q573" i="1" s="1"/>
  <c r="CG553" i="1"/>
  <c r="CH551" i="1"/>
  <c r="CS551" i="1"/>
  <c r="T456" i="1"/>
  <c r="W670" i="1"/>
  <c r="L633" i="1"/>
  <c r="M633" i="1" s="1"/>
  <c r="M627" i="1"/>
  <c r="BM572" i="1"/>
  <c r="BF572" i="1"/>
  <c r="AL610" i="1"/>
  <c r="AM601" i="1"/>
  <c r="CP737" i="1"/>
  <c r="CQ737" i="1"/>
  <c r="BM732" i="1"/>
  <c r="CI732" i="1"/>
  <c r="BC738" i="1"/>
  <c r="BB740" i="1"/>
  <c r="BC740" i="1" s="1"/>
  <c r="AO807" i="1"/>
  <c r="CC807" i="1"/>
  <c r="CD807" i="1" s="1"/>
  <c r="BX882" i="1"/>
  <c r="CK862" i="1"/>
  <c r="CJ862" i="1"/>
  <c r="AG882" i="1"/>
  <c r="CF846" i="1"/>
  <c r="CE848" i="1"/>
  <c r="CD897" i="1"/>
  <c r="J778" i="1"/>
  <c r="K778" i="1" s="1"/>
  <c r="J774" i="1"/>
  <c r="J786" i="1"/>
  <c r="K770" i="1"/>
  <c r="K895" i="1"/>
  <c r="S893" i="1"/>
  <c r="S899" i="1"/>
  <c r="AX786" i="1"/>
  <c r="AX778" i="1"/>
  <c r="AX774" i="1"/>
  <c r="AY770" i="1"/>
  <c r="AO770" i="1"/>
  <c r="AN786" i="1"/>
  <c r="AN778" i="1"/>
  <c r="AO778" i="1" s="1"/>
  <c r="AN774" i="1"/>
  <c r="AN896" i="1"/>
  <c r="AO896" i="1" s="1"/>
  <c r="CD143" i="1"/>
  <c r="CC145" i="1"/>
  <c r="CF145" i="1" s="1"/>
  <c r="AH83" i="1"/>
  <c r="AI60" i="1"/>
  <c r="AH79" i="1"/>
  <c r="AI79" i="1" s="1"/>
  <c r="AH80" i="1"/>
  <c r="AI80" i="1" s="1"/>
  <c r="L80" i="1"/>
  <c r="M80" i="1" s="1"/>
  <c r="L83" i="1"/>
  <c r="M60" i="1"/>
  <c r="L79" i="1"/>
  <c r="M79" i="1" s="1"/>
  <c r="AS622" i="1"/>
  <c r="AR624" i="1"/>
  <c r="AL168" i="1"/>
  <c r="AL165" i="1"/>
  <c r="AL164" i="1"/>
  <c r="AM145" i="1"/>
  <c r="F665" i="1"/>
  <c r="F176" i="1"/>
  <c r="M619" i="1"/>
  <c r="AA280" i="1"/>
  <c r="BJ97" i="1"/>
  <c r="BL95" i="1"/>
  <c r="BL96" i="1" s="1"/>
  <c r="CF250" i="1"/>
  <c r="CE251" i="1"/>
  <c r="O620" i="1"/>
  <c r="W620" i="1"/>
  <c r="B638" i="1"/>
  <c r="B637" i="1"/>
  <c r="BZ81" i="1"/>
  <c r="AD342" i="1"/>
  <c r="AD339" i="1"/>
  <c r="AE339" i="1" s="1"/>
  <c r="AD338" i="1"/>
  <c r="AE338" i="1" s="1"/>
  <c r="AE320" i="1"/>
  <c r="BH323" i="1"/>
  <c r="BG323" i="1"/>
  <c r="BF325" i="1"/>
  <c r="BC325" i="1"/>
  <c r="P320" i="1"/>
  <c r="Q318" i="1"/>
  <c r="Y318" i="1"/>
  <c r="D668" i="1"/>
  <c r="D423" i="1"/>
  <c r="B259" i="1"/>
  <c r="B223" i="1"/>
  <c r="X666" i="1"/>
  <c r="Y279" i="1"/>
  <c r="X280" i="1"/>
  <c r="AO650" i="1"/>
  <c r="T650" i="1"/>
  <c r="AC650" i="1" s="1"/>
  <c r="U273" i="1"/>
  <c r="T274" i="1"/>
  <c r="T279" i="1"/>
  <c r="T8" i="1"/>
  <c r="CH348" i="1"/>
  <c r="CS348" i="1"/>
  <c r="CB396" i="1"/>
  <c r="CA398" i="1"/>
  <c r="CF401" i="1"/>
  <c r="CE403" i="1"/>
  <c r="BJ249" i="1"/>
  <c r="Q620" i="1"/>
  <c r="Y620" i="1"/>
  <c r="BG403" i="1"/>
  <c r="BF394" i="1"/>
  <c r="CD476" i="1"/>
  <c r="N515" i="1"/>
  <c r="O515" i="1" s="1"/>
  <c r="P510" i="1"/>
  <c r="O514" i="1"/>
  <c r="Q670" i="1"/>
  <c r="BA670" i="1"/>
  <c r="CE500" i="1"/>
  <c r="CE497" i="1"/>
  <c r="CF496" i="1"/>
  <c r="BZ569" i="1"/>
  <c r="AA670" i="1"/>
  <c r="V610" i="1"/>
  <c r="W601" i="1"/>
  <c r="V633" i="1"/>
  <c r="W633" i="1" s="1"/>
  <c r="W627" i="1"/>
  <c r="BG848" i="1"/>
  <c r="BF849" i="1"/>
  <c r="BG849" i="1" s="1"/>
  <c r="CJ845" i="1"/>
  <c r="CK845" i="1"/>
  <c r="BX769" i="1"/>
  <c r="BW777" i="1"/>
  <c r="BW773" i="1"/>
  <c r="BZ769" i="1"/>
  <c r="F786" i="1"/>
  <c r="F787" i="1" s="1"/>
  <c r="F778" i="1"/>
  <c r="F774" i="1"/>
  <c r="N778" i="1"/>
  <c r="N774" i="1"/>
  <c r="N786" i="1"/>
  <c r="O770" i="1"/>
  <c r="CD904" i="1"/>
  <c r="CH895" i="1"/>
  <c r="CA849" i="1"/>
  <c r="CB849" i="1" s="1"/>
  <c r="CB848" i="1"/>
  <c r="L786" i="1"/>
  <c r="M770" i="1"/>
  <c r="L778" i="1"/>
  <c r="M778" i="1" s="1"/>
  <c r="L774" i="1"/>
  <c r="B665" i="1"/>
  <c r="B176" i="1"/>
  <c r="CB58" i="1"/>
  <c r="CA60" i="1"/>
  <c r="T168" i="1"/>
  <c r="T165" i="1"/>
  <c r="U165" i="1" s="1"/>
  <c r="T164" i="1"/>
  <c r="U164" i="1" s="1"/>
  <c r="U145" i="1"/>
  <c r="AD168" i="1"/>
  <c r="AD165" i="1"/>
  <c r="AE165" i="1" s="1"/>
  <c r="AD164" i="1"/>
  <c r="AE164" i="1" s="1"/>
  <c r="AE145" i="1"/>
  <c r="AW325" i="1"/>
  <c r="BY204" i="1"/>
  <c r="BW222" i="1"/>
  <c r="BW211" i="1"/>
  <c r="BX211" i="1" s="1"/>
  <c r="BX210" i="1"/>
  <c r="H648" i="1"/>
  <c r="H84" i="1"/>
  <c r="H918" i="1" s="1"/>
  <c r="H6" i="1"/>
  <c r="H90" i="1"/>
  <c r="BX628" i="1"/>
  <c r="BZ628" i="1"/>
  <c r="R241" i="1"/>
  <c r="S240" i="1"/>
  <c r="BB241" i="1"/>
  <c r="BC240" i="1"/>
  <c r="B271" i="1"/>
  <c r="B273" i="1"/>
  <c r="CD318" i="1"/>
  <c r="CC320" i="1"/>
  <c r="BZ250" i="1"/>
  <c r="BY251" i="1"/>
  <c r="CB251" i="1" s="1"/>
  <c r="AB666" i="1"/>
  <c r="AC279" i="1"/>
  <c r="AB280" i="1"/>
  <c r="AS8" i="1"/>
  <c r="AS650" i="1"/>
  <c r="S328" i="1"/>
  <c r="BG328" i="1"/>
  <c r="AY328" i="1"/>
  <c r="Z342" i="1"/>
  <c r="Z339" i="1"/>
  <c r="AA339" i="1" s="1"/>
  <c r="Z338" i="1"/>
  <c r="AA338" i="1" s="1"/>
  <c r="AA320" i="1"/>
  <c r="AV417" i="1"/>
  <c r="AV414" i="1"/>
  <c r="AW414" i="1" s="1"/>
  <c r="AV413" i="1"/>
  <c r="AW413" i="1" s="1"/>
  <c r="AW398" i="1"/>
  <c r="CB323" i="1"/>
  <c r="CA325" i="1"/>
  <c r="F668" i="1"/>
  <c r="F423" i="1"/>
  <c r="AE500" i="1"/>
  <c r="AU500" i="1"/>
  <c r="BW456" i="1"/>
  <c r="BX452" i="1"/>
  <c r="BZ452" i="1"/>
  <c r="BX464" i="1"/>
  <c r="BW482" i="1"/>
  <c r="BX482" i="1" s="1"/>
  <c r="BW483" i="1"/>
  <c r="BX483" i="1" s="1"/>
  <c r="BZ533" i="1"/>
  <c r="AR576" i="1"/>
  <c r="AR572" i="1"/>
  <c r="AS572" i="1" s="1"/>
  <c r="AS553" i="1"/>
  <c r="AR573" i="1"/>
  <c r="AS573" i="1" s="1"/>
  <c r="R583" i="1"/>
  <c r="R577" i="1"/>
  <c r="S577" i="1" s="1"/>
  <c r="S576" i="1"/>
  <c r="BX530" i="1"/>
  <c r="BW541" i="1"/>
  <c r="BW531" i="1"/>
  <c r="BW562" i="1"/>
  <c r="BX562" i="1" s="1"/>
  <c r="AA573" i="1"/>
  <c r="BV670" i="1"/>
  <c r="AE670" i="1"/>
  <c r="BI464" i="1"/>
  <c r="BH474" i="1"/>
  <c r="BI474" i="1" s="1"/>
  <c r="BH473" i="1"/>
  <c r="CC553" i="1"/>
  <c r="CD551" i="1"/>
  <c r="CH569" i="1"/>
  <c r="CS569" i="1"/>
  <c r="BB806" i="1"/>
  <c r="BC805" i="1"/>
  <c r="AS895" i="1"/>
  <c r="S849" i="1"/>
  <c r="CH846" i="1"/>
  <c r="CF903" i="1"/>
  <c r="W883" i="1"/>
  <c r="CI863" i="1"/>
  <c r="BM863" i="1"/>
  <c r="BL870" i="1"/>
  <c r="CD881" i="1"/>
  <c r="AG849" i="1"/>
  <c r="AC882" i="1"/>
  <c r="AA892" i="1"/>
  <c r="AP896" i="1"/>
  <c r="AQ896" i="1" s="1"/>
  <c r="AX83" i="1"/>
  <c r="AY60" i="1"/>
  <c r="AX79" i="1"/>
  <c r="AX80" i="1"/>
  <c r="BZ618" i="1"/>
  <c r="AF168" i="1"/>
  <c r="AF165" i="1"/>
  <c r="AG165" i="1" s="1"/>
  <c r="AF164" i="1"/>
  <c r="AG164" i="1" s="1"/>
  <c r="AG145" i="1"/>
  <c r="U618" i="1"/>
  <c r="T622" i="1"/>
  <c r="BX118" i="1"/>
  <c r="BW122" i="1"/>
  <c r="N168" i="1"/>
  <c r="N165" i="1"/>
  <c r="O165" i="1" s="1"/>
  <c r="N164" i="1"/>
  <c r="O164" i="1" s="1"/>
  <c r="O145" i="1"/>
  <c r="CF630" i="1"/>
  <c r="CE633" i="1"/>
  <c r="CH250" i="1"/>
  <c r="CG251" i="1"/>
  <c r="AH651" i="1"/>
  <c r="AH349" i="1"/>
  <c r="AH343" i="1"/>
  <c r="AI342" i="1"/>
  <c r="AH9" i="1"/>
  <c r="CL290" i="1"/>
  <c r="CJ290" i="1"/>
  <c r="CI294" i="1"/>
  <c r="AB342" i="1"/>
  <c r="AB339" i="1"/>
  <c r="AC339" i="1" s="1"/>
  <c r="AB338" i="1"/>
  <c r="AC338" i="1" s="1"/>
  <c r="AC320" i="1"/>
  <c r="CG702" i="1"/>
  <c r="CS702" i="1" s="1"/>
  <c r="CS700" i="1"/>
  <c r="AE666" i="1"/>
  <c r="BK302" i="1"/>
  <c r="AL413" i="1"/>
  <c r="AM398" i="1"/>
  <c r="AL417" i="1"/>
  <c r="AL414" i="1"/>
  <c r="AF666" i="1"/>
  <c r="AG279" i="1"/>
  <c r="AF280" i="1"/>
  <c r="AG280" i="1" s="1"/>
  <c r="AW8" i="1"/>
  <c r="AW650" i="1"/>
  <c r="BH317" i="1"/>
  <c r="BI317" i="1" s="1"/>
  <c r="BI300" i="1"/>
  <c r="AM328" i="1"/>
  <c r="CF335" i="1"/>
  <c r="BZ410" i="1"/>
  <c r="CC403" i="1"/>
  <c r="CD401" i="1"/>
  <c r="CG398" i="1"/>
  <c r="CH396" i="1"/>
  <c r="CK427" i="1"/>
  <c r="CL426" i="1"/>
  <c r="U483" i="1"/>
  <c r="T417" i="1"/>
  <c r="T414" i="1"/>
  <c r="U414" i="1" s="1"/>
  <c r="T413" i="1"/>
  <c r="U413" i="1" s="1"/>
  <c r="U398" i="1"/>
  <c r="AZ417" i="1"/>
  <c r="AZ414" i="1"/>
  <c r="AZ413" i="1"/>
  <c r="BA398" i="1"/>
  <c r="CF415" i="1"/>
  <c r="AS654" i="1"/>
  <c r="CB492" i="1"/>
  <c r="BX551" i="1"/>
  <c r="BW553" i="1"/>
  <c r="BW685" i="1"/>
  <c r="BW500" i="1"/>
  <c r="BX500" i="1" s="1"/>
  <c r="BW497" i="1"/>
  <c r="BX496" i="1"/>
  <c r="AL576" i="1"/>
  <c r="AL573" i="1"/>
  <c r="AM573" i="1" s="1"/>
  <c r="AL572" i="1"/>
  <c r="AM572" i="1" s="1"/>
  <c r="AM553" i="1"/>
  <c r="BZ670" i="1"/>
  <c r="AI670" i="1"/>
  <c r="AV576" i="1"/>
  <c r="AV572" i="1"/>
  <c r="AW572" i="1" s="1"/>
  <c r="AW553" i="1"/>
  <c r="AV573" i="1"/>
  <c r="AW573" i="1" s="1"/>
  <c r="F537" i="1"/>
  <c r="F538" i="1" s="1"/>
  <c r="F536" i="1"/>
  <c r="F530" i="1"/>
  <c r="F535" i="1"/>
  <c r="Z633" i="1"/>
  <c r="AA633" i="1" s="1"/>
  <c r="AA627" i="1"/>
  <c r="AH576" i="1"/>
  <c r="AQ576" i="1" s="1"/>
  <c r="AH573" i="1"/>
  <c r="AI573" i="1" s="1"/>
  <c r="AH572" i="1"/>
  <c r="AI572" i="1" s="1"/>
  <c r="AI553" i="1"/>
  <c r="CD574" i="1"/>
  <c r="CB596" i="1"/>
  <c r="CA599" i="1"/>
  <c r="CD599" i="1" s="1"/>
  <c r="CS688" i="1"/>
  <c r="CR688" i="1"/>
  <c r="AG781" i="1"/>
  <c r="S781" i="1"/>
  <c r="BZ811" i="1"/>
  <c r="CB811" i="1"/>
  <c r="CI860" i="1"/>
  <c r="BM860" i="1"/>
  <c r="AO883" i="1"/>
  <c r="AO882" i="1"/>
  <c r="BY787" i="1"/>
  <c r="BY788" i="1" s="1"/>
  <c r="BZ785" i="1"/>
  <c r="CD908" i="1"/>
  <c r="CD849" i="1"/>
  <c r="CH902" i="1"/>
  <c r="CH880" i="1"/>
  <c r="AK849" i="1"/>
  <c r="W893" i="1"/>
  <c r="BG785" i="1"/>
  <c r="AI882" i="1"/>
  <c r="AG899" i="1"/>
  <c r="AW892" i="1"/>
  <c r="T786" i="1"/>
  <c r="U770" i="1"/>
  <c r="T778" i="1"/>
  <c r="U778" i="1" s="1"/>
  <c r="T774" i="1"/>
  <c r="U895" i="1"/>
  <c r="U893" i="1"/>
  <c r="AJ896" i="1"/>
  <c r="AK896" i="1" s="1"/>
  <c r="AZ786" i="1"/>
  <c r="BA770" i="1"/>
  <c r="AZ778" i="1"/>
  <c r="AZ774" i="1"/>
  <c r="BA897" i="1"/>
  <c r="BE770" i="1"/>
  <c r="BD786" i="1"/>
  <c r="BD778" i="1"/>
  <c r="BD774" i="1"/>
  <c r="BZ394" i="1"/>
  <c r="AA893" i="1"/>
  <c r="AG618" i="1"/>
  <c r="BY601" i="1"/>
  <c r="BZ599" i="1"/>
  <c r="AS893" i="1"/>
  <c r="X80" i="1"/>
  <c r="Y80" i="1" s="1"/>
  <c r="X83" i="1"/>
  <c r="Y60" i="1"/>
  <c r="X79" i="1"/>
  <c r="Y79" i="1" s="1"/>
  <c r="AN80" i="1"/>
  <c r="AO80" i="1" s="1"/>
  <c r="AN83" i="1"/>
  <c r="AO60" i="1"/>
  <c r="AN79" i="1"/>
  <c r="AO79" i="1" s="1"/>
  <c r="P168" i="1"/>
  <c r="P165" i="1"/>
  <c r="Q165" i="1" s="1"/>
  <c r="P164" i="1"/>
  <c r="Q164" i="1" s="1"/>
  <c r="Q145" i="1"/>
  <c r="AH168" i="1"/>
  <c r="AI145" i="1"/>
  <c r="AH165" i="1"/>
  <c r="AI165" i="1" s="1"/>
  <c r="AH164" i="1"/>
  <c r="AI164" i="1" s="1"/>
  <c r="AJ168" i="1"/>
  <c r="AJ165" i="1"/>
  <c r="AK165" i="1" s="1"/>
  <c r="AJ164" i="1"/>
  <c r="AK164" i="1" s="1"/>
  <c r="AK145" i="1"/>
  <c r="AJ80" i="1"/>
  <c r="AK80" i="1" s="1"/>
  <c r="AJ83" i="1"/>
  <c r="AK60" i="1"/>
  <c r="AJ79" i="1"/>
  <c r="AK79" i="1" s="1"/>
  <c r="AZ80" i="1"/>
  <c r="BA80" i="1" s="1"/>
  <c r="AZ83" i="1"/>
  <c r="BA60" i="1"/>
  <c r="AZ79" i="1"/>
  <c r="N622" i="1"/>
  <c r="O618" i="1"/>
  <c r="H651" i="1"/>
  <c r="H343" i="1"/>
  <c r="H921" i="1" s="1"/>
  <c r="H349" i="1"/>
  <c r="H9" i="1"/>
  <c r="BU168" i="1"/>
  <c r="BU165" i="1"/>
  <c r="BV165" i="1" s="1"/>
  <c r="BV145" i="1"/>
  <c r="BU164" i="1"/>
  <c r="BV164" i="1" s="1"/>
  <c r="D665" i="1"/>
  <c r="D176" i="1"/>
  <c r="AY666" i="1"/>
  <c r="AO339" i="1"/>
  <c r="F651" i="1"/>
  <c r="F349" i="1"/>
  <c r="F343" i="1"/>
  <c r="F921" i="1" s="1"/>
  <c r="F9" i="1"/>
  <c r="V241" i="1"/>
  <c r="W240" i="1"/>
  <c r="O318" i="1"/>
  <c r="N320" i="1"/>
  <c r="J342" i="1"/>
  <c r="J339" i="1"/>
  <c r="K339" i="1" s="1"/>
  <c r="J338" i="1"/>
  <c r="K338" i="1" s="1"/>
  <c r="K320" i="1"/>
  <c r="AD413" i="1"/>
  <c r="AE413" i="1" s="1"/>
  <c r="AE398" i="1"/>
  <c r="AD417" i="1"/>
  <c r="AD414" i="1"/>
  <c r="AE414" i="1" s="1"/>
  <c r="AK650" i="1"/>
  <c r="CC448" i="1"/>
  <c r="CB452" i="1"/>
  <c r="CA455" i="1"/>
  <c r="CA456" i="1" s="1"/>
  <c r="CB456" i="1" s="1"/>
  <c r="Q271" i="1"/>
  <c r="W685" i="1"/>
  <c r="AM685" i="1"/>
  <c r="V348" i="1"/>
  <c r="AC670" i="1"/>
  <c r="CF464" i="1"/>
  <c r="CE482" i="1"/>
  <c r="CF482" i="1" s="1"/>
  <c r="CE483" i="1"/>
  <c r="CF483" i="1" s="1"/>
  <c r="BL372" i="1"/>
  <c r="BK372" i="1"/>
  <c r="BJ373" i="1"/>
  <c r="AT576" i="1"/>
  <c r="AT573" i="1"/>
  <c r="AU573" i="1" s="1"/>
  <c r="AT572" i="1"/>
  <c r="AU572" i="1" s="1"/>
  <c r="AU553" i="1"/>
  <c r="N583" i="1"/>
  <c r="N577" i="1"/>
  <c r="O577" i="1" s="1"/>
  <c r="O576" i="1"/>
  <c r="BY553" i="1"/>
  <c r="BZ551" i="1"/>
  <c r="BM573" i="1"/>
  <c r="BF573" i="1"/>
  <c r="BE573" i="1"/>
  <c r="BE576" i="1"/>
  <c r="BM576" i="1"/>
  <c r="BD583" i="1"/>
  <c r="BD577" i="1"/>
  <c r="N518" i="1"/>
  <c r="L523" i="1"/>
  <c r="M523" i="1" s="1"/>
  <c r="M522" i="1"/>
  <c r="AX576" i="1"/>
  <c r="AX573" i="1"/>
  <c r="AY573" i="1" s="1"/>
  <c r="AX572" i="1"/>
  <c r="AY572" i="1" s="1"/>
  <c r="AY553" i="1"/>
  <c r="CH13" i="1"/>
  <c r="AH601" i="1"/>
  <c r="AI599" i="1"/>
  <c r="BF740" i="1"/>
  <c r="BG740" i="1" s="1"/>
  <c r="BG738" i="1"/>
  <c r="M821" i="1"/>
  <c r="L827" i="1"/>
  <c r="U827" i="1" s="1"/>
  <c r="U821" i="1"/>
  <c r="CF811" i="1"/>
  <c r="BU786" i="1"/>
  <c r="BU778" i="1"/>
  <c r="BV778" i="1" s="1"/>
  <c r="BU774" i="1"/>
  <c r="BV770" i="1"/>
  <c r="CF769" i="1"/>
  <c r="CE777" i="1"/>
  <c r="CE773" i="1"/>
  <c r="CH769" i="1"/>
  <c r="CE905" i="1"/>
  <c r="V786" i="1"/>
  <c r="V778" i="1"/>
  <c r="W778" i="1" s="1"/>
  <c r="V774" i="1"/>
  <c r="W770" i="1"/>
  <c r="AD786" i="1"/>
  <c r="AD778" i="1"/>
  <c r="AE778" i="1" s="1"/>
  <c r="AD774" i="1"/>
  <c r="AE770" i="1"/>
  <c r="AD896" i="1"/>
  <c r="AE896" i="1" s="1"/>
  <c r="BI848" i="1"/>
  <c r="BH849" i="1"/>
  <c r="BI849" i="1" s="1"/>
  <c r="K896" i="1"/>
  <c r="R786" i="1"/>
  <c r="R778" i="1"/>
  <c r="S778" i="1" s="1"/>
  <c r="R774" i="1"/>
  <c r="S770" i="1"/>
  <c r="S895" i="1"/>
  <c r="S892" i="1"/>
  <c r="Y770" i="1"/>
  <c r="X786" i="1"/>
  <c r="X778" i="1"/>
  <c r="X774" i="1"/>
  <c r="Y896" i="1"/>
  <c r="AQ618" i="1"/>
  <c r="CF58" i="1"/>
  <c r="CE60" i="1"/>
  <c r="AS618" i="1"/>
  <c r="AD624" i="1"/>
  <c r="AE622" i="1"/>
  <c r="AT624" i="1"/>
  <c r="AU622" i="1"/>
  <c r="AA279" i="1"/>
  <c r="AQ666" i="1"/>
  <c r="CH318" i="1"/>
  <c r="CG320" i="1"/>
  <c r="H622" i="1"/>
  <c r="H624" i="1" s="1"/>
  <c r="H635" i="1" s="1"/>
  <c r="Q619" i="1"/>
  <c r="BL248" i="1"/>
  <c r="BM248" i="1" s="1"/>
  <c r="CI224" i="1"/>
  <c r="BM224" i="1"/>
  <c r="BZ630" i="1"/>
  <c r="AT241" i="1"/>
  <c r="AU240" i="1"/>
  <c r="BY325" i="1"/>
  <c r="BZ325" i="1" s="1"/>
  <c r="BZ323" i="1"/>
  <c r="AI685" i="1"/>
  <c r="X920" i="1"/>
  <c r="Y274" i="1"/>
  <c r="AN666" i="1"/>
  <c r="AO279" i="1"/>
  <c r="AN280" i="1"/>
  <c r="AO280" i="1" s="1"/>
  <c r="BE650" i="1"/>
  <c r="AO325" i="1"/>
  <c r="CB401" i="1"/>
  <c r="CA403" i="1"/>
  <c r="CB403" i="1" s="1"/>
  <c r="CN361" i="1"/>
  <c r="CO361" i="1"/>
  <c r="CO366" i="1" s="1"/>
  <c r="CP366" i="1" s="1"/>
  <c r="CK381" i="1"/>
  <c r="CK378" i="1" s="1"/>
  <c r="CJ381" i="1"/>
  <c r="CL377" i="1"/>
  <c r="CM377" i="1"/>
  <c r="CC685" i="1"/>
  <c r="CD496" i="1"/>
  <c r="CC500" i="1"/>
  <c r="CC497" i="1"/>
  <c r="AQ573" i="1"/>
  <c r="BE631" i="1"/>
  <c r="BD633" i="1"/>
  <c r="BE633" i="1" s="1"/>
  <c r="AZ576" i="1"/>
  <c r="AZ572" i="1"/>
  <c r="BA572" i="1" s="1"/>
  <c r="BA553" i="1"/>
  <c r="AZ573" i="1"/>
  <c r="BA573" i="1" s="1"/>
  <c r="V576" i="1"/>
  <c r="V573" i="1"/>
  <c r="W573" i="1" s="1"/>
  <c r="V572" i="1"/>
  <c r="W572" i="1" s="1"/>
  <c r="W553" i="1"/>
  <c r="AU601" i="1"/>
  <c r="CB551" i="1"/>
  <c r="CA553" i="1"/>
  <c r="AD610" i="1"/>
  <c r="AE601" i="1"/>
  <c r="AF633" i="1"/>
  <c r="AG633" i="1" s="1"/>
  <c r="AG627" i="1"/>
  <c r="BZ600" i="1"/>
  <c r="AC599" i="1"/>
  <c r="AB601" i="1"/>
  <c r="CB600" i="1"/>
  <c r="AA738" i="1"/>
  <c r="Z740" i="1"/>
  <c r="AA740" i="1" s="1"/>
  <c r="AS781" i="1"/>
  <c r="BB883" i="1"/>
  <c r="BC883" i="1" s="1"/>
  <c r="BC868" i="1"/>
  <c r="BW899" i="1"/>
  <c r="BX899" i="1" s="1"/>
  <c r="BW892" i="1"/>
  <c r="BX892" i="1" s="1"/>
  <c r="BW896" i="1"/>
  <c r="BX896" i="1" s="1"/>
  <c r="BW897" i="1"/>
  <c r="BX897" i="1" s="1"/>
  <c r="BX880" i="1"/>
  <c r="BY882" i="1"/>
  <c r="BZ882" i="1" s="1"/>
  <c r="BW770" i="1"/>
  <c r="BW893" i="1"/>
  <c r="BX893" i="1" s="1"/>
  <c r="BW895" i="1"/>
  <c r="BX895" i="1" s="1"/>
  <c r="O892" i="1"/>
  <c r="O895" i="1"/>
  <c r="BB786" i="1"/>
  <c r="BB778" i="1"/>
  <c r="BB774" i="1"/>
  <c r="BC770" i="1"/>
  <c r="BB896" i="1"/>
  <c r="BC896" i="1" s="1"/>
  <c r="CD893" i="1"/>
  <c r="CH785" i="1"/>
  <c r="AW849" i="1"/>
  <c r="AS883" i="1"/>
  <c r="Q618" i="1"/>
  <c r="P622" i="1"/>
  <c r="AW622" i="1"/>
  <c r="AV624" i="1"/>
  <c r="CB76" i="1"/>
  <c r="CB618" i="1"/>
  <c r="CA622" i="1"/>
  <c r="CD618" i="1"/>
  <c r="AX624" i="1"/>
  <c r="AY622" i="1"/>
  <c r="CH618" i="1"/>
  <c r="BW168" i="1"/>
  <c r="BW164" i="1"/>
  <c r="BX164" i="1" s="1"/>
  <c r="BX145" i="1"/>
  <c r="BW165" i="1"/>
  <c r="BX165" i="1" s="1"/>
  <c r="M618" i="1"/>
  <c r="L622" i="1"/>
  <c r="L649" i="1"/>
  <c r="L175" i="1"/>
  <c r="L169" i="1"/>
  <c r="L7" i="1"/>
  <c r="M7" i="1" s="1"/>
  <c r="M168" i="1"/>
  <c r="H665" i="1"/>
  <c r="H176" i="1"/>
  <c r="U619" i="1"/>
  <c r="AC619" i="1"/>
  <c r="CB630" i="1"/>
  <c r="B150" i="1"/>
  <c r="R168" i="1"/>
  <c r="S145" i="1"/>
  <c r="R165" i="1"/>
  <c r="S165" i="1" s="1"/>
  <c r="R164" i="1"/>
  <c r="S164" i="1" s="1"/>
  <c r="AJ342" i="1"/>
  <c r="AJ339" i="1"/>
  <c r="AK339" i="1" s="1"/>
  <c r="AJ338" i="1"/>
  <c r="AK338" i="1" s="1"/>
  <c r="AK320" i="1"/>
  <c r="X651" i="1"/>
  <c r="X349" i="1"/>
  <c r="X343" i="1"/>
  <c r="X9" i="1"/>
  <c r="K620" i="1"/>
  <c r="S620" i="1"/>
  <c r="AC271" i="1"/>
  <c r="BG395" i="1"/>
  <c r="AT413" i="1"/>
  <c r="AU413" i="1" s="1"/>
  <c r="AU398" i="1"/>
  <c r="AT417" i="1"/>
  <c r="AT414" i="1"/>
  <c r="AU414" i="1" s="1"/>
  <c r="AB920" i="1"/>
  <c r="AC274" i="1"/>
  <c r="AR666" i="1"/>
  <c r="AS279" i="1"/>
  <c r="AR280" i="1"/>
  <c r="AS280" i="1" s="1"/>
  <c r="CH328" i="1"/>
  <c r="BX670" i="1"/>
  <c r="D273" i="1"/>
  <c r="D271" i="1"/>
  <c r="AH413" i="1"/>
  <c r="AI413" i="1" s="1"/>
  <c r="AI398" i="1"/>
  <c r="AH417" i="1"/>
  <c r="AH414" i="1"/>
  <c r="AI414" i="1" s="1"/>
  <c r="AX413" i="1"/>
  <c r="AY398" i="1"/>
  <c r="AX417" i="1"/>
  <c r="AX414" i="1"/>
  <c r="CD335" i="1"/>
  <c r="BI324" i="1"/>
  <c r="BJ324" i="1"/>
  <c r="BJ319" i="1" s="1"/>
  <c r="BJ397" i="1"/>
  <c r="BK365" i="1"/>
  <c r="CG497" i="1"/>
  <c r="CS497" i="1" s="1"/>
  <c r="CG500" i="1"/>
  <c r="CS496" i="1"/>
  <c r="CH496" i="1"/>
  <c r="CD654" i="1"/>
  <c r="AO670" i="1"/>
  <c r="Z583" i="1"/>
  <c r="Z577" i="1"/>
  <c r="AA577" i="1" s="1"/>
  <c r="AA576" i="1"/>
  <c r="BU576" i="1"/>
  <c r="BU572" i="1"/>
  <c r="BV572" i="1" s="1"/>
  <c r="BV553" i="1"/>
  <c r="BU573" i="1"/>
  <c r="BV573" i="1" s="1"/>
  <c r="CD600" i="1"/>
  <c r="AK599" i="1"/>
  <c r="AJ601" i="1"/>
  <c r="AS599" i="1"/>
  <c r="R601" i="1"/>
  <c r="S599" i="1"/>
  <c r="AW807" i="1"/>
  <c r="CE807" i="1"/>
  <c r="CF807" i="1" s="1"/>
  <c r="AE781" i="1"/>
  <c r="CG849" i="1"/>
  <c r="CH848" i="1"/>
  <c r="BK839" i="1"/>
  <c r="BL839" i="1"/>
  <c r="BZ902" i="1"/>
  <c r="BZ892" i="1"/>
  <c r="BK870" i="1"/>
  <c r="BJ785" i="1"/>
  <c r="CB769" i="1"/>
  <c r="CA777" i="1"/>
  <c r="CA773" i="1"/>
  <c r="CD769" i="1"/>
  <c r="BA883" i="1"/>
  <c r="Z896" i="1"/>
  <c r="AA896" i="1" s="1"/>
  <c r="AP786" i="1"/>
  <c r="AP778" i="1"/>
  <c r="AQ778" i="1" s="1"/>
  <c r="AP774" i="1"/>
  <c r="AQ770" i="1"/>
  <c r="AQ897" i="1"/>
  <c r="BY60" i="1"/>
  <c r="BZ58" i="1"/>
  <c r="U58" i="1"/>
  <c r="T60" i="1"/>
  <c r="AC60" i="1" s="1"/>
  <c r="D648" i="1"/>
  <c r="D84" i="1"/>
  <c r="D918" i="1" s="1"/>
  <c r="D90" i="1"/>
  <c r="D6" i="1"/>
  <c r="B64" i="1"/>
  <c r="B63" i="1"/>
  <c r="B69" i="1"/>
  <c r="B68" i="1"/>
  <c r="F648" i="1"/>
  <c r="F6" i="1"/>
  <c r="F90" i="1"/>
  <c r="F84" i="1"/>
  <c r="F918" i="1" s="1"/>
  <c r="CJ89" i="1"/>
  <c r="AI320" i="1"/>
  <c r="AU280" i="1"/>
  <c r="BK297" i="1"/>
  <c r="BJ299" i="1"/>
  <c r="BL297" i="1"/>
  <c r="BL302" i="1" s="1"/>
  <c r="AA685" i="1"/>
  <c r="AF920" i="1"/>
  <c r="AG274" i="1"/>
  <c r="AV666" i="1"/>
  <c r="AW279" i="1"/>
  <c r="AV280" i="1"/>
  <c r="AW280" i="1" s="1"/>
  <c r="Y325" i="1"/>
  <c r="AG403" i="1"/>
  <c r="AS500" i="1"/>
  <c r="CE320" i="1"/>
  <c r="CF318" i="1"/>
  <c r="AZ342" i="1"/>
  <c r="AZ339" i="1"/>
  <c r="BA339" i="1" s="1"/>
  <c r="AZ338" i="1"/>
  <c r="BA320" i="1"/>
  <c r="CG403" i="1"/>
  <c r="CH403" i="1" s="1"/>
  <c r="CH401" i="1"/>
  <c r="CF410" i="1"/>
  <c r="Y670" i="1"/>
  <c r="CB464" i="1"/>
  <c r="CA482" i="1"/>
  <c r="CB482" i="1" s="1"/>
  <c r="CA483" i="1"/>
  <c r="CB483" i="1" s="1"/>
  <c r="H452" i="1"/>
  <c r="H469" i="1"/>
  <c r="D556" i="1"/>
  <c r="D561" i="1"/>
  <c r="D557" i="1"/>
  <c r="CF533" i="1"/>
  <c r="AH633" i="1"/>
  <c r="AI633" i="1" s="1"/>
  <c r="AI627" i="1"/>
  <c r="M599" i="1"/>
  <c r="L601" i="1"/>
  <c r="AR633" i="1"/>
  <c r="AS627" i="1"/>
  <c r="BA627" i="1"/>
  <c r="CP687" i="1"/>
  <c r="CQ687" i="1"/>
  <c r="Y599" i="1"/>
  <c r="X601" i="1"/>
  <c r="AY781" i="1"/>
  <c r="AI738" i="1"/>
  <c r="AQ738" i="1"/>
  <c r="AH740" i="1"/>
  <c r="BL874" i="1"/>
  <c r="BK874" i="1"/>
  <c r="CO840" i="1"/>
  <c r="CN840" i="1"/>
  <c r="AL786" i="1"/>
  <c r="AL778" i="1"/>
  <c r="AM778" i="1" s="1"/>
  <c r="AL774" i="1"/>
  <c r="AM770" i="1"/>
  <c r="AM896" i="1"/>
  <c r="BE849" i="1"/>
  <c r="BI785" i="1"/>
  <c r="CG786" i="1"/>
  <c r="CG787" i="1" s="1"/>
  <c r="CG778" i="1"/>
  <c r="CG774" i="1"/>
  <c r="CH770" i="1"/>
  <c r="P786" i="1"/>
  <c r="Q770" i="1"/>
  <c r="P778" i="1"/>
  <c r="Q778" i="1" s="1"/>
  <c r="P774" i="1"/>
  <c r="AG892" i="1"/>
  <c r="AW770" i="1"/>
  <c r="AV786" i="1"/>
  <c r="AV778" i="1"/>
  <c r="AV774" i="1"/>
  <c r="AV896" i="1"/>
  <c r="AW896" i="1" s="1"/>
  <c r="T896" i="1"/>
  <c r="U896" i="1" s="1"/>
  <c r="AJ786" i="1"/>
  <c r="AK770" i="1"/>
  <c r="AJ778" i="1"/>
  <c r="AK778" i="1" s="1"/>
  <c r="AJ774" i="1"/>
  <c r="BA899" i="1"/>
  <c r="AC899" i="1"/>
  <c r="K619" i="1"/>
  <c r="CD596" i="1"/>
  <c r="CD76" i="1"/>
  <c r="BG473" i="1"/>
  <c r="BF488" i="1"/>
  <c r="CI473" i="1"/>
  <c r="BF487" i="1"/>
  <c r="BX271" i="1"/>
  <c r="Y895" i="1"/>
  <c r="K882" i="1"/>
  <c r="CF904" i="1"/>
  <c r="C12" i="23" l="1"/>
  <c r="C10" i="23"/>
  <c r="D10" i="23" s="1"/>
  <c r="H118" i="1"/>
  <c r="F154" i="1"/>
  <c r="F133" i="1"/>
  <c r="F134" i="1" s="1"/>
  <c r="F123" i="1"/>
  <c r="CK842" i="1"/>
  <c r="CJ842" i="1"/>
  <c r="BX8" i="1"/>
  <c r="B65" i="1"/>
  <c r="CK374" i="1"/>
  <c r="CJ374" i="1"/>
  <c r="BM837" i="1"/>
  <c r="CI837" i="1"/>
  <c r="BJ331" i="1"/>
  <c r="BK319" i="1"/>
  <c r="CL378" i="1"/>
  <c r="CG795" i="1"/>
  <c r="CG788" i="1"/>
  <c r="CG789" i="1"/>
  <c r="CI482" i="1"/>
  <c r="CJ482" i="1" s="1"/>
  <c r="CJ473" i="1"/>
  <c r="AJ820" i="1"/>
  <c r="AJ813" i="1"/>
  <c r="AK774" i="1"/>
  <c r="AJ782" i="1"/>
  <c r="AW786" i="1"/>
  <c r="AV787" i="1"/>
  <c r="CG820" i="1"/>
  <c r="CG813" i="1"/>
  <c r="AL787" i="1"/>
  <c r="AM786" i="1"/>
  <c r="CI874" i="1"/>
  <c r="BM874" i="1"/>
  <c r="M601" i="1"/>
  <c r="L610" i="1"/>
  <c r="BA338" i="1"/>
  <c r="BI338" i="1"/>
  <c r="CE342" i="1"/>
  <c r="CF320" i="1"/>
  <c r="CE339" i="1"/>
  <c r="CE338" i="1"/>
  <c r="BK299" i="1"/>
  <c r="F664" i="1"/>
  <c r="F91" i="1"/>
  <c r="D664" i="1"/>
  <c r="D91" i="1"/>
  <c r="CB777" i="1"/>
  <c r="CA781" i="1"/>
  <c r="CD777" i="1"/>
  <c r="R610" i="1"/>
  <c r="S601" i="1"/>
  <c r="BU583" i="1"/>
  <c r="BU577" i="1"/>
  <c r="BV577" i="1" s="1"/>
  <c r="BV576" i="1"/>
  <c r="AY414" i="1"/>
  <c r="BF414" i="1"/>
  <c r="BG414" i="1" s="1"/>
  <c r="AS666" i="1"/>
  <c r="AT652" i="1"/>
  <c r="AU417" i="1"/>
  <c r="AT422" i="1"/>
  <c r="AT418" i="1"/>
  <c r="AT10" i="1"/>
  <c r="AJ651" i="1"/>
  <c r="AK342" i="1"/>
  <c r="AJ349" i="1"/>
  <c r="AJ343" i="1"/>
  <c r="AJ9" i="1"/>
  <c r="R649" i="1"/>
  <c r="R175" i="1"/>
  <c r="R169" i="1"/>
  <c r="S168" i="1"/>
  <c r="R7" i="1"/>
  <c r="M622" i="1"/>
  <c r="L624" i="1"/>
  <c r="CA624" i="1"/>
  <c r="BC786" i="1"/>
  <c r="BB787" i="1"/>
  <c r="AC601" i="1"/>
  <c r="AB610" i="1"/>
  <c r="CG342" i="1"/>
  <c r="CH320" i="1"/>
  <c r="CG338" i="1"/>
  <c r="CH338" i="1" s="1"/>
  <c r="CG339" i="1"/>
  <c r="CH339" i="1" s="1"/>
  <c r="R820" i="1"/>
  <c r="R813" i="1"/>
  <c r="S813" i="1" s="1"/>
  <c r="R782" i="1"/>
  <c r="S774" i="1"/>
  <c r="CF905" i="1"/>
  <c r="CH905" i="1"/>
  <c r="BV786" i="1"/>
  <c r="BU787" i="1"/>
  <c r="AX583" i="1"/>
  <c r="AX577" i="1"/>
  <c r="AY577" i="1" s="1"/>
  <c r="AY576" i="1"/>
  <c r="BM577" i="1"/>
  <c r="BY576" i="1"/>
  <c r="BY572" i="1"/>
  <c r="BZ553" i="1"/>
  <c r="BY573" i="1"/>
  <c r="BK373" i="1"/>
  <c r="BJ395" i="1"/>
  <c r="F667" i="1"/>
  <c r="F350" i="1"/>
  <c r="AZ648" i="1"/>
  <c r="BA83" i="1"/>
  <c r="AZ84" i="1"/>
  <c r="AZ6" i="1"/>
  <c r="AZ90" i="1"/>
  <c r="AJ648" i="1"/>
  <c r="AK83" i="1"/>
  <c r="AJ84" i="1"/>
  <c r="AJ6" i="1"/>
  <c r="AJ90" i="1"/>
  <c r="AN648" i="1"/>
  <c r="AO83" i="1"/>
  <c r="AN84" i="1"/>
  <c r="AN6" i="1"/>
  <c r="AN90" i="1"/>
  <c r="X648" i="1"/>
  <c r="Y83" i="1"/>
  <c r="X84" i="1"/>
  <c r="X6" i="1"/>
  <c r="X90" i="1"/>
  <c r="BY610" i="1"/>
  <c r="BD820" i="1"/>
  <c r="BD813" i="1"/>
  <c r="BE774" i="1"/>
  <c r="AZ787" i="1"/>
  <c r="BA786" i="1"/>
  <c r="T820" i="1"/>
  <c r="T813" i="1"/>
  <c r="U813" i="1" s="1"/>
  <c r="U774" i="1"/>
  <c r="T782" i="1"/>
  <c r="CJ860" i="1"/>
  <c r="CK860" i="1"/>
  <c r="BA413" i="1"/>
  <c r="BI413" i="1"/>
  <c r="CL294" i="1"/>
  <c r="CJ294" i="1"/>
  <c r="CH251" i="1"/>
  <c r="CG252" i="1"/>
  <c r="CG619" i="1"/>
  <c r="BX122" i="1"/>
  <c r="BW123" i="1"/>
  <c r="BW133" i="1"/>
  <c r="BW154" i="1"/>
  <c r="BX154" i="1" s="1"/>
  <c r="AV652" i="1"/>
  <c r="AW417" i="1"/>
  <c r="AV422" i="1"/>
  <c r="AV418" i="1"/>
  <c r="AV10" i="1"/>
  <c r="Z651" i="1"/>
  <c r="Z349" i="1"/>
  <c r="Z343" i="1"/>
  <c r="AA342" i="1"/>
  <c r="Z9" i="1"/>
  <c r="H664" i="1"/>
  <c r="H91" i="1"/>
  <c r="AD649" i="1"/>
  <c r="AD175" i="1"/>
  <c r="AD169" i="1"/>
  <c r="AD7" i="1"/>
  <c r="AE168" i="1"/>
  <c r="T649" i="1"/>
  <c r="T175" i="1"/>
  <c r="T169" i="1"/>
  <c r="T7" i="1"/>
  <c r="U7" i="1" s="1"/>
  <c r="U168" i="1"/>
  <c r="M786" i="1"/>
  <c r="L787" i="1"/>
  <c r="O778" i="1"/>
  <c r="CL845" i="1"/>
  <c r="CM845" i="1"/>
  <c r="P514" i="1"/>
  <c r="Q510" i="1"/>
  <c r="CF403" i="1"/>
  <c r="T920" i="1"/>
  <c r="AL649" i="1"/>
  <c r="AL175" i="1"/>
  <c r="AL169" i="1"/>
  <c r="AL7" i="1"/>
  <c r="AM168" i="1"/>
  <c r="CC168" i="1"/>
  <c r="CC165" i="1"/>
  <c r="CD145" i="1"/>
  <c r="CC164" i="1"/>
  <c r="AX820" i="1"/>
  <c r="AX813" i="1"/>
  <c r="AY774" i="1"/>
  <c r="J820" i="1"/>
  <c r="J782" i="1"/>
  <c r="K774" i="1"/>
  <c r="CD483" i="1"/>
  <c r="CE670" i="1"/>
  <c r="CF443" i="1"/>
  <c r="L154" i="1"/>
  <c r="M154" i="1" s="1"/>
  <c r="M122" i="1"/>
  <c r="L123" i="1"/>
  <c r="L133" i="1"/>
  <c r="BW223" i="1"/>
  <c r="BX221" i="1"/>
  <c r="BW258" i="1"/>
  <c r="BX258" i="1" s="1"/>
  <c r="BF339" i="1"/>
  <c r="AY339" i="1"/>
  <c r="Y164" i="1"/>
  <c r="AH624" i="1"/>
  <c r="AI622" i="1"/>
  <c r="P652" i="1"/>
  <c r="Q417" i="1"/>
  <c r="P422" i="1"/>
  <c r="P418" i="1"/>
  <c r="P10" i="1"/>
  <c r="Q10" i="1" s="1"/>
  <c r="AC778" i="1"/>
  <c r="Z610" i="1"/>
  <c r="AA601" i="1"/>
  <c r="CH12" i="1"/>
  <c r="CH654" i="1"/>
  <c r="CF325" i="1"/>
  <c r="AT651" i="1"/>
  <c r="AT349" i="1"/>
  <c r="AT343" i="1"/>
  <c r="AU342" i="1"/>
  <c r="AT9" i="1"/>
  <c r="AI339" i="1"/>
  <c r="D41" i="1"/>
  <c r="F28" i="1"/>
  <c r="D36" i="1"/>
  <c r="BE79" i="1"/>
  <c r="BM79" i="1"/>
  <c r="AR820" i="1"/>
  <c r="AR813" i="1"/>
  <c r="AS813" i="1" s="1"/>
  <c r="AS774" i="1"/>
  <c r="BM873" i="1"/>
  <c r="CI873" i="1"/>
  <c r="BE805" i="1"/>
  <c r="BD806" i="1"/>
  <c r="CG810" i="1"/>
  <c r="CH792" i="1"/>
  <c r="BA655" i="1"/>
  <c r="AP652" i="1"/>
  <c r="AQ417" i="1"/>
  <c r="AP422" i="1"/>
  <c r="AP418" i="1"/>
  <c r="AP10" i="1"/>
  <c r="Z652" i="1"/>
  <c r="AA417" i="1"/>
  <c r="Z422" i="1"/>
  <c r="Z418" i="1"/>
  <c r="Z10" i="1"/>
  <c r="N115" i="1"/>
  <c r="O115" i="1" s="1"/>
  <c r="P110" i="1"/>
  <c r="O114" i="1"/>
  <c r="AQ79" i="1"/>
  <c r="AP655" i="1"/>
  <c r="AP613" i="1"/>
  <c r="AP13" i="1"/>
  <c r="CR642" i="1"/>
  <c r="CS642" i="1"/>
  <c r="X583" i="1"/>
  <c r="X577" i="1"/>
  <c r="Y576" i="1"/>
  <c r="AB583" i="1"/>
  <c r="AB577" i="1"/>
  <c r="AC576" i="1"/>
  <c r="BF476" i="1"/>
  <c r="BG472" i="1"/>
  <c r="CJ226" i="1"/>
  <c r="CK226" i="1"/>
  <c r="BD652" i="1"/>
  <c r="BE417" i="1"/>
  <c r="BD422" i="1"/>
  <c r="BD418" i="1"/>
  <c r="BD10" i="1"/>
  <c r="BE10" i="1" s="1"/>
  <c r="X652" i="1"/>
  <c r="Y417" i="1"/>
  <c r="X422" i="1"/>
  <c r="X418" i="1"/>
  <c r="X10" i="1"/>
  <c r="Y10" i="1" s="1"/>
  <c r="BC413" i="1"/>
  <c r="BK413" i="1"/>
  <c r="W413" i="1"/>
  <c r="BY649" i="1"/>
  <c r="BY175" i="1"/>
  <c r="BY169" i="1"/>
  <c r="BZ168" i="1"/>
  <c r="BY7" i="1"/>
  <c r="AK622" i="1"/>
  <c r="AJ624" i="1"/>
  <c r="B795" i="1"/>
  <c r="B788" i="1"/>
  <c r="CL858" i="1"/>
  <c r="CM858" i="1"/>
  <c r="AE573" i="1"/>
  <c r="N652" i="1"/>
  <c r="O417" i="1"/>
  <c r="N422" i="1"/>
  <c r="N418" i="1"/>
  <c r="N10" i="1"/>
  <c r="O10" i="1" s="1"/>
  <c r="CK354" i="1"/>
  <c r="CI355" i="1"/>
  <c r="CJ355" i="1" s="1"/>
  <c r="CJ354" i="1"/>
  <c r="CK353" i="1"/>
  <c r="CL353" i="1" s="1"/>
  <c r="BW920" i="1"/>
  <c r="BX274" i="1"/>
  <c r="AG414" i="1"/>
  <c r="BG331" i="1"/>
  <c r="BL255" i="1"/>
  <c r="BK255" i="1"/>
  <c r="BJ244" i="1"/>
  <c r="K271" i="1"/>
  <c r="S271" i="1"/>
  <c r="AA79" i="1"/>
  <c r="AA165" i="1"/>
  <c r="AW79" i="1"/>
  <c r="AG79" i="1"/>
  <c r="L561" i="1"/>
  <c r="M561" i="1" s="1"/>
  <c r="L557" i="1"/>
  <c r="M557" i="1" s="1"/>
  <c r="M531" i="1"/>
  <c r="L556" i="1"/>
  <c r="BZ893" i="1"/>
  <c r="BD827" i="1"/>
  <c r="BE821" i="1"/>
  <c r="CI843" i="1"/>
  <c r="BM843" i="1"/>
  <c r="Y633" i="1"/>
  <c r="BC573" i="1"/>
  <c r="BV685" i="1"/>
  <c r="BE339" i="1"/>
  <c r="BM339" i="1"/>
  <c r="D795" i="1"/>
  <c r="D788" i="1"/>
  <c r="AA786" i="1"/>
  <c r="Z787" i="1"/>
  <c r="AU786" i="1"/>
  <c r="AT787" i="1"/>
  <c r="AM633" i="1"/>
  <c r="T583" i="1"/>
  <c r="U576" i="1"/>
  <c r="T577" i="1"/>
  <c r="BL362" i="1"/>
  <c r="BM362" i="1" s="1"/>
  <c r="CI360" i="1"/>
  <c r="BM360" i="1"/>
  <c r="CA342" i="1"/>
  <c r="CB320" i="1"/>
  <c r="CA339" i="1"/>
  <c r="CA338" i="1"/>
  <c r="AO165" i="1"/>
  <c r="AW165" i="1"/>
  <c r="CH60" i="1"/>
  <c r="CG83" i="1"/>
  <c r="CG80" i="1"/>
  <c r="CG79" i="1"/>
  <c r="BH864" i="1"/>
  <c r="BG864" i="1"/>
  <c r="CB608" i="1"/>
  <c r="AT671" i="1"/>
  <c r="S339" i="1"/>
  <c r="D222" i="1"/>
  <c r="F204" i="1"/>
  <c r="D211" i="1"/>
  <c r="O271" i="1"/>
  <c r="W271" i="1"/>
  <c r="AS339" i="1"/>
  <c r="BH331" i="1"/>
  <c r="BI319" i="1"/>
  <c r="CH325" i="1"/>
  <c r="H193" i="1"/>
  <c r="H200" i="1"/>
  <c r="H201" i="1" s="1"/>
  <c r="H199" i="1"/>
  <c r="H198" i="1"/>
  <c r="AC164" i="1"/>
  <c r="CE786" i="1"/>
  <c r="CF770" i="1"/>
  <c r="CE778" i="1"/>
  <c r="CE774" i="1"/>
  <c r="CH774" i="1" s="1"/>
  <c r="BJ755" i="1"/>
  <c r="BK755" i="1" s="1"/>
  <c r="BK743" i="1"/>
  <c r="BJ742" i="1"/>
  <c r="BJ738" i="1"/>
  <c r="BL743" i="1"/>
  <c r="CI743" i="1" s="1"/>
  <c r="U601" i="1"/>
  <c r="T610" i="1"/>
  <c r="AG572" i="1"/>
  <c r="CA685" i="1"/>
  <c r="CA500" i="1"/>
  <c r="CB500" i="1" s="1"/>
  <c r="CA497" i="1"/>
  <c r="CB496" i="1"/>
  <c r="AK572" i="1"/>
  <c r="BG654" i="1"/>
  <c r="P920" i="1"/>
  <c r="AK666" i="1"/>
  <c r="AN667" i="1"/>
  <c r="AN350" i="1"/>
  <c r="N648" i="1"/>
  <c r="N84" i="1"/>
  <c r="N6" i="1"/>
  <c r="N90" i="1"/>
  <c r="O83" i="1"/>
  <c r="BB648" i="1"/>
  <c r="BB84" i="1"/>
  <c r="BB90" i="1"/>
  <c r="BB6" i="1"/>
  <c r="BC83" i="1"/>
  <c r="AL648" i="1"/>
  <c r="AL84" i="1"/>
  <c r="AL6" i="1"/>
  <c r="AL90" i="1"/>
  <c r="AM83" i="1"/>
  <c r="V648" i="1"/>
  <c r="V84" i="1"/>
  <c r="V90" i="1"/>
  <c r="V6" i="1"/>
  <c r="W83" i="1"/>
  <c r="BG488" i="1"/>
  <c r="CG782" i="1"/>
  <c r="CH778" i="1"/>
  <c r="AI740" i="1"/>
  <c r="AQ740" i="1"/>
  <c r="Y601" i="1"/>
  <c r="X610" i="1"/>
  <c r="J448" i="1"/>
  <c r="H456" i="1"/>
  <c r="AP820" i="1"/>
  <c r="AP813" i="1"/>
  <c r="AP782" i="1"/>
  <c r="AQ774" i="1"/>
  <c r="BL324" i="1"/>
  <c r="BM324" i="1" s="1"/>
  <c r="BK324" i="1"/>
  <c r="AX652" i="1"/>
  <c r="AY417" i="1"/>
  <c r="AX422" i="1"/>
  <c r="AX418" i="1"/>
  <c r="AX10" i="1"/>
  <c r="AY10" i="1" s="1"/>
  <c r="AH652" i="1"/>
  <c r="AI417" i="1"/>
  <c r="AH422" i="1"/>
  <c r="AH418" i="1"/>
  <c r="AH10" i="1"/>
  <c r="AI10" i="1" s="1"/>
  <c r="D650" i="1"/>
  <c r="D279" i="1"/>
  <c r="D274" i="1"/>
  <c r="D920" i="1" s="1"/>
  <c r="D8" i="1"/>
  <c r="X921" i="1"/>
  <c r="L919" i="1"/>
  <c r="M169" i="1"/>
  <c r="BW649" i="1"/>
  <c r="BW175" i="1"/>
  <c r="BW169" i="1"/>
  <c r="BW7" i="1"/>
  <c r="BX168" i="1"/>
  <c r="AX635" i="1"/>
  <c r="AY624" i="1"/>
  <c r="AW624" i="1"/>
  <c r="AV635" i="1"/>
  <c r="BX770" i="1"/>
  <c r="BW786" i="1"/>
  <c r="BW778" i="1"/>
  <c r="BX778" i="1" s="1"/>
  <c r="BW774" i="1"/>
  <c r="V583" i="1"/>
  <c r="V577" i="1"/>
  <c r="W577" i="1" s="1"/>
  <c r="W576" i="1"/>
  <c r="BA576" i="1"/>
  <c r="AZ583" i="1"/>
  <c r="AZ577" i="1"/>
  <c r="CO377" i="1"/>
  <c r="CN377" i="1"/>
  <c r="AD635" i="1"/>
  <c r="AE624" i="1"/>
  <c r="CE83" i="1"/>
  <c r="CF60" i="1"/>
  <c r="CE80" i="1"/>
  <c r="CE79" i="1"/>
  <c r="X820" i="1"/>
  <c r="X813" i="1"/>
  <c r="Y774" i="1"/>
  <c r="X782" i="1"/>
  <c r="AD820" i="1"/>
  <c r="AD813" i="1"/>
  <c r="AD782" i="1"/>
  <c r="AE774" i="1"/>
  <c r="V820" i="1"/>
  <c r="V813" i="1"/>
  <c r="W813" i="1" s="1"/>
  <c r="V782" i="1"/>
  <c r="W774" i="1"/>
  <c r="BD584" i="1"/>
  <c r="BM583" i="1"/>
  <c r="BD685" i="1"/>
  <c r="BH573" i="1"/>
  <c r="BG573" i="1"/>
  <c r="J651" i="1"/>
  <c r="J349" i="1"/>
  <c r="J343" i="1"/>
  <c r="K342" i="1"/>
  <c r="J9" i="1"/>
  <c r="K9" i="1" s="1"/>
  <c r="H667" i="1"/>
  <c r="H350" i="1"/>
  <c r="N624" i="1"/>
  <c r="O622" i="1"/>
  <c r="AJ649" i="1"/>
  <c r="AJ175" i="1"/>
  <c r="AJ169" i="1"/>
  <c r="AJ7" i="1"/>
  <c r="AK168" i="1"/>
  <c r="AH649" i="1"/>
  <c r="AH175" i="1"/>
  <c r="AH169" i="1"/>
  <c r="AI168" i="1"/>
  <c r="AH7" i="1"/>
  <c r="P649" i="1"/>
  <c r="P175" i="1"/>
  <c r="P169" i="1"/>
  <c r="Q168" i="1"/>
  <c r="P7" i="1"/>
  <c r="Q7" i="1" s="1"/>
  <c r="BE778" i="1"/>
  <c r="BD782" i="1"/>
  <c r="AZ820" i="1"/>
  <c r="AZ813" i="1"/>
  <c r="BA813" i="1" s="1"/>
  <c r="BA774" i="1"/>
  <c r="AH583" i="1"/>
  <c r="AH577" i="1"/>
  <c r="AI577" i="1" s="1"/>
  <c r="AI576" i="1"/>
  <c r="F531" i="1"/>
  <c r="F541" i="1"/>
  <c r="H526" i="1"/>
  <c r="F562" i="1"/>
  <c r="AL583" i="1"/>
  <c r="AL577" i="1"/>
  <c r="AM576" i="1"/>
  <c r="BX685" i="1"/>
  <c r="BW691" i="1"/>
  <c r="BA414" i="1"/>
  <c r="BH414" i="1"/>
  <c r="CL427" i="1"/>
  <c r="CM426" i="1"/>
  <c r="CD403" i="1"/>
  <c r="AG666" i="1"/>
  <c r="AM413" i="1"/>
  <c r="AH921" i="1"/>
  <c r="AI343" i="1"/>
  <c r="AX648" i="1"/>
  <c r="AX84" i="1"/>
  <c r="AX6" i="1"/>
  <c r="AX90" i="1"/>
  <c r="AY83" i="1"/>
  <c r="CK863" i="1"/>
  <c r="CJ863" i="1"/>
  <c r="BC806" i="1"/>
  <c r="BB807" i="1"/>
  <c r="BC807" i="1" s="1"/>
  <c r="CC576" i="1"/>
  <c r="CC572" i="1"/>
  <c r="CD553" i="1"/>
  <c r="CC573" i="1"/>
  <c r="CC342" i="1"/>
  <c r="CC339" i="1"/>
  <c r="CD339" i="1" s="1"/>
  <c r="CD320" i="1"/>
  <c r="CC338" i="1"/>
  <c r="CD338" i="1" s="1"/>
  <c r="CA83" i="1"/>
  <c r="CB60" i="1"/>
  <c r="CA80" i="1"/>
  <c r="CA79" i="1"/>
  <c r="L820" i="1"/>
  <c r="M774" i="1"/>
  <c r="L782" i="1"/>
  <c r="F820" i="1"/>
  <c r="F782" i="1"/>
  <c r="BX773" i="1"/>
  <c r="BW781" i="1"/>
  <c r="BZ773" i="1"/>
  <c r="B225" i="1"/>
  <c r="B260" i="1"/>
  <c r="BG325" i="1"/>
  <c r="BF309" i="1"/>
  <c r="CF251" i="1"/>
  <c r="CE252" i="1"/>
  <c r="CE619" i="1"/>
  <c r="AS624" i="1"/>
  <c r="AR635" i="1"/>
  <c r="L648" i="1"/>
  <c r="M83" i="1"/>
  <c r="L84" i="1"/>
  <c r="L6" i="1"/>
  <c r="L90" i="1"/>
  <c r="AO786" i="1"/>
  <c r="AN787" i="1"/>
  <c r="AX782" i="1"/>
  <c r="AY782" i="1" s="1"/>
  <c r="AY778" i="1"/>
  <c r="CJ732" i="1"/>
  <c r="CK732" i="1"/>
  <c r="AL655" i="1"/>
  <c r="AL613" i="1"/>
  <c r="AM610" i="1"/>
  <c r="AL13" i="1"/>
  <c r="BH654" i="1"/>
  <c r="BH631" i="1"/>
  <c r="BI631" i="1" s="1"/>
  <c r="BI440" i="1"/>
  <c r="BH443" i="1"/>
  <c r="BH12" i="1"/>
  <c r="BI12" i="1" s="1"/>
  <c r="BM379" i="1"/>
  <c r="BL380" i="1"/>
  <c r="BM380" i="1" s="1"/>
  <c r="M129" i="1"/>
  <c r="L130" i="1"/>
  <c r="M130" i="1" s="1"/>
  <c r="BX618" i="1"/>
  <c r="AX651" i="1"/>
  <c r="AX349" i="1"/>
  <c r="AX343" i="1"/>
  <c r="AY342" i="1"/>
  <c r="AX9" i="1"/>
  <c r="CF164" i="1"/>
  <c r="CH164" i="1"/>
  <c r="Y165" i="1"/>
  <c r="BZ895" i="1"/>
  <c r="CM836" i="1"/>
  <c r="CL836" i="1"/>
  <c r="R652" i="1"/>
  <c r="S417" i="1"/>
  <c r="R422" i="1"/>
  <c r="R418" i="1"/>
  <c r="R10" i="1"/>
  <c r="S10" i="1" s="1"/>
  <c r="J652" i="1"/>
  <c r="K417" i="1"/>
  <c r="J422" i="1"/>
  <c r="J418" i="1"/>
  <c r="J10" i="1"/>
  <c r="K10" i="1" s="1"/>
  <c r="F650" i="1"/>
  <c r="F274" i="1"/>
  <c r="F920" i="1" s="1"/>
  <c r="F279" i="1"/>
  <c r="F8" i="1"/>
  <c r="F11" i="1" s="1"/>
  <c r="F14" i="1" s="1"/>
  <c r="F16" i="1" s="1"/>
  <c r="W164" i="1"/>
  <c r="AS778" i="1"/>
  <c r="AR782" i="1"/>
  <c r="AS782" i="1" s="1"/>
  <c r="BZ899" i="1"/>
  <c r="CI838" i="1"/>
  <c r="BL859" i="1"/>
  <c r="BM838" i="1"/>
  <c r="BL846" i="1"/>
  <c r="BF810" i="1"/>
  <c r="BG792" i="1"/>
  <c r="BF805" i="1"/>
  <c r="BH792" i="1"/>
  <c r="BA13" i="1"/>
  <c r="AE633" i="1"/>
  <c r="M271" i="1"/>
  <c r="CD325" i="1"/>
  <c r="BX28" i="1"/>
  <c r="BW35" i="1"/>
  <c r="BW45" i="1"/>
  <c r="BX45" i="1" s="1"/>
  <c r="BW44" i="1"/>
  <c r="BX44" i="1" s="1"/>
  <c r="BW43" i="1"/>
  <c r="BX43" i="1" s="1"/>
  <c r="BW46" i="1"/>
  <c r="BX46" i="1" s="1"/>
  <c r="BD635" i="1"/>
  <c r="BE624" i="1"/>
  <c r="Y573" i="1"/>
  <c r="BI479" i="1"/>
  <c r="BH472" i="1"/>
  <c r="BL402" i="1"/>
  <c r="BK402" i="1"/>
  <c r="BJ403" i="1"/>
  <c r="BC414" i="1"/>
  <c r="BY342" i="1"/>
  <c r="BY339" i="1"/>
  <c r="BY338" i="1"/>
  <c r="BU920" i="1"/>
  <c r="BV274" i="1"/>
  <c r="BZ165" i="1"/>
  <c r="CD251" i="1"/>
  <c r="CC252" i="1"/>
  <c r="CC619" i="1"/>
  <c r="AL635" i="1"/>
  <c r="AM624" i="1"/>
  <c r="AI786" i="1"/>
  <c r="AH787" i="1"/>
  <c r="CD892" i="1"/>
  <c r="BH753" i="1"/>
  <c r="BF754" i="1"/>
  <c r="BG753" i="1"/>
  <c r="AD583" i="1"/>
  <c r="AD577" i="1"/>
  <c r="AE577" i="1" s="1"/>
  <c r="AE576" i="1"/>
  <c r="BX650" i="1"/>
  <c r="AF652" i="1"/>
  <c r="AG417" i="1"/>
  <c r="AF422" i="1"/>
  <c r="AF418" i="1"/>
  <c r="AF10" i="1"/>
  <c r="AG10" i="1" s="1"/>
  <c r="BA280" i="1"/>
  <c r="J650" i="1"/>
  <c r="J274" i="1"/>
  <c r="J279" i="1"/>
  <c r="K273" i="1"/>
  <c r="J8" i="1"/>
  <c r="S273" i="1"/>
  <c r="AM338" i="1"/>
  <c r="AR648" i="1"/>
  <c r="AS83" i="1"/>
  <c r="AR84" i="1"/>
  <c r="AR6" i="1"/>
  <c r="AR90" i="1"/>
  <c r="AB648" i="1"/>
  <c r="AB84" i="1"/>
  <c r="AB6" i="1"/>
  <c r="AB90" i="1"/>
  <c r="CI474" i="1"/>
  <c r="BG474" i="1"/>
  <c r="BY417" i="1"/>
  <c r="BY413" i="1"/>
  <c r="BY414" i="1"/>
  <c r="AF820" i="1"/>
  <c r="AF813" i="1"/>
  <c r="AG813" i="1" s="1"/>
  <c r="AG774" i="1"/>
  <c r="AF782" i="1"/>
  <c r="AG782" i="1" s="1"/>
  <c r="BB583" i="1"/>
  <c r="BB577" i="1"/>
  <c r="BC576" i="1"/>
  <c r="L583" i="1"/>
  <c r="L577" i="1"/>
  <c r="M577" i="1" s="1"/>
  <c r="M576" i="1"/>
  <c r="BU398" i="1"/>
  <c r="BV396" i="1"/>
  <c r="BL285" i="1"/>
  <c r="CI285" i="1" s="1"/>
  <c r="CI284" i="1"/>
  <c r="CK283" i="1" s="1"/>
  <c r="CK284" i="1" s="1"/>
  <c r="BJ300" i="1"/>
  <c r="BD651" i="1"/>
  <c r="BE342" i="1"/>
  <c r="BD349" i="1"/>
  <c r="BD343" i="1"/>
  <c r="BD9" i="1"/>
  <c r="CM298" i="1"/>
  <c r="CM303" i="1" s="1"/>
  <c r="CL298" i="1"/>
  <c r="BV148" i="1"/>
  <c r="BU150" i="1"/>
  <c r="BV150" i="1" s="1"/>
  <c r="D820" i="1"/>
  <c r="D782" i="1"/>
  <c r="BZ770" i="1"/>
  <c r="BW601" i="1"/>
  <c r="BZ601" i="1" s="1"/>
  <c r="BX599" i="1"/>
  <c r="CE576" i="1"/>
  <c r="CF553" i="1"/>
  <c r="CE573" i="1"/>
  <c r="CF573" i="1" s="1"/>
  <c r="CE572" i="1"/>
  <c r="CF572" i="1" s="1"/>
  <c r="U573" i="1"/>
  <c r="BL363" i="1"/>
  <c r="BM363" i="1" s="1"/>
  <c r="BK362" i="1"/>
  <c r="AC413" i="1"/>
  <c r="BC338" i="1"/>
  <c r="BK338" i="1"/>
  <c r="BX396" i="1"/>
  <c r="BW398" i="1"/>
  <c r="BZ398" i="1" s="1"/>
  <c r="BZ482" i="1"/>
  <c r="W325" i="1"/>
  <c r="CH864" i="1"/>
  <c r="CG868" i="1"/>
  <c r="BY633" i="1"/>
  <c r="BZ627" i="1"/>
  <c r="N655" i="1"/>
  <c r="N613" i="1"/>
  <c r="O610" i="1"/>
  <c r="N13" i="1"/>
  <c r="O13" i="1" s="1"/>
  <c r="AU655" i="1"/>
  <c r="BC655" i="1"/>
  <c r="AQ577" i="1"/>
  <c r="AK413" i="1"/>
  <c r="R651" i="1"/>
  <c r="R349" i="1"/>
  <c r="R343" i="1"/>
  <c r="S342" i="1"/>
  <c r="R9" i="1"/>
  <c r="S9" i="1" s="1"/>
  <c r="BE666" i="1"/>
  <c r="CI248" i="1"/>
  <c r="N650" i="1"/>
  <c r="N274" i="1"/>
  <c r="N279" i="1"/>
  <c r="O273" i="1"/>
  <c r="N8" i="1"/>
  <c r="W273" i="1"/>
  <c r="V651" i="1"/>
  <c r="V349" i="1"/>
  <c r="V343" i="1"/>
  <c r="V9" i="1"/>
  <c r="J648" i="1"/>
  <c r="J84" i="1"/>
  <c r="J6" i="1"/>
  <c r="J90" i="1"/>
  <c r="K83" i="1"/>
  <c r="AR651" i="1"/>
  <c r="AS342" i="1"/>
  <c r="AR349" i="1"/>
  <c r="AR343" i="1"/>
  <c r="AR9" i="1"/>
  <c r="AS9" i="1" s="1"/>
  <c r="L651" i="1"/>
  <c r="M342" i="1"/>
  <c r="L349" i="1"/>
  <c r="L343" i="1"/>
  <c r="L9" i="1"/>
  <c r="M9" i="1" s="1"/>
  <c r="CO250" i="1"/>
  <c r="CN250" i="1"/>
  <c r="AA666" i="1"/>
  <c r="F258" i="1"/>
  <c r="AC622" i="1"/>
  <c r="AB624" i="1"/>
  <c r="AC165" i="1"/>
  <c r="AQ622" i="1"/>
  <c r="CC820" i="1"/>
  <c r="CC813" i="1"/>
  <c r="CI841" i="1"/>
  <c r="BM841" i="1"/>
  <c r="N827" i="1"/>
  <c r="W827" i="1" s="1"/>
  <c r="P827" i="1"/>
  <c r="Y827" i="1" s="1"/>
  <c r="W821" i="1"/>
  <c r="O821" i="1"/>
  <c r="AF583" i="1"/>
  <c r="AF577" i="1"/>
  <c r="AG577" i="1" s="1"/>
  <c r="AG576" i="1"/>
  <c r="K583" i="1"/>
  <c r="J584" i="1"/>
  <c r="K584" i="1" s="1"/>
  <c r="AJ583" i="1"/>
  <c r="AK576" i="1"/>
  <c r="AJ577" i="1"/>
  <c r="AK577" i="1" s="1"/>
  <c r="BZ500" i="1"/>
  <c r="AS413" i="1"/>
  <c r="CN310" i="1"/>
  <c r="CO310" i="1"/>
  <c r="CS192" i="1"/>
  <c r="CR192" i="1"/>
  <c r="R624" i="1"/>
  <c r="S622" i="1"/>
  <c r="BC80" i="1"/>
  <c r="AM79" i="1"/>
  <c r="W80" i="1"/>
  <c r="BZ896" i="1"/>
  <c r="AV820" i="1"/>
  <c r="AV813" i="1"/>
  <c r="AW774" i="1"/>
  <c r="Q786" i="1"/>
  <c r="P787" i="1"/>
  <c r="CH786" i="1"/>
  <c r="AL820" i="1"/>
  <c r="AL813" i="1"/>
  <c r="AM813" i="1" s="1"/>
  <c r="AL782" i="1"/>
  <c r="AM782" i="1" s="1"/>
  <c r="AM774" i="1"/>
  <c r="CQ840" i="1"/>
  <c r="CP840" i="1"/>
  <c r="AZ651" i="1"/>
  <c r="BA342" i="1"/>
  <c r="AZ349" i="1"/>
  <c r="AZ343" i="1"/>
  <c r="AZ9" i="1"/>
  <c r="BA9" i="1" s="1"/>
  <c r="AW666" i="1"/>
  <c r="BL319" i="1"/>
  <c r="BM302" i="1"/>
  <c r="F653" i="1"/>
  <c r="D653" i="1"/>
  <c r="BY83" i="1"/>
  <c r="BY79" i="1"/>
  <c r="BY80" i="1"/>
  <c r="BK785" i="1"/>
  <c r="CG896" i="1"/>
  <c r="AK601" i="1"/>
  <c r="AJ610" i="1"/>
  <c r="AS601" i="1"/>
  <c r="X667" i="1"/>
  <c r="X350" i="1"/>
  <c r="L665" i="1"/>
  <c r="L176" i="1"/>
  <c r="M176" i="1" s="1"/>
  <c r="M175" i="1"/>
  <c r="BB820" i="1"/>
  <c r="BB813" i="1"/>
  <c r="BC774" i="1"/>
  <c r="AD655" i="1"/>
  <c r="AD613" i="1"/>
  <c r="AE610" i="1"/>
  <c r="AD13" i="1"/>
  <c r="CD500" i="1"/>
  <c r="CL381" i="1"/>
  <c r="CM381" i="1"/>
  <c r="AO666" i="1"/>
  <c r="Y778" i="1"/>
  <c r="R787" i="1"/>
  <c r="S786" i="1"/>
  <c r="CF773" i="1"/>
  <c r="CH773" i="1"/>
  <c r="BU820" i="1"/>
  <c r="BU822" i="1" s="1"/>
  <c r="BU782" i="1"/>
  <c r="BV782" i="1" s="1"/>
  <c r="BV774" i="1"/>
  <c r="AH610" i="1"/>
  <c r="AI601" i="1"/>
  <c r="BM372" i="1"/>
  <c r="BL373" i="1"/>
  <c r="CI372" i="1"/>
  <c r="W348" i="1"/>
  <c r="AE348" i="1"/>
  <c r="CD448" i="1"/>
  <c r="CC452" i="1"/>
  <c r="CC469" i="1"/>
  <c r="N342" i="1"/>
  <c r="N339" i="1"/>
  <c r="O339" i="1" s="1"/>
  <c r="N338" i="1"/>
  <c r="O338" i="1" s="1"/>
  <c r="O320" i="1"/>
  <c r="BI79" i="1"/>
  <c r="BA79" i="1"/>
  <c r="BE786" i="1"/>
  <c r="BD787" i="1"/>
  <c r="BA778" i="1"/>
  <c r="AZ782" i="1"/>
  <c r="BA782" i="1" s="1"/>
  <c r="BY795" i="1"/>
  <c r="BW576" i="1"/>
  <c r="BX553" i="1"/>
  <c r="BW573" i="1"/>
  <c r="BX573" i="1" s="1"/>
  <c r="BW572" i="1"/>
  <c r="BX572" i="1" s="1"/>
  <c r="AZ652" i="1"/>
  <c r="BA417" i="1"/>
  <c r="AZ422" i="1"/>
  <c r="AZ418" i="1"/>
  <c r="AZ10" i="1"/>
  <c r="T652" i="1"/>
  <c r="U417" i="1"/>
  <c r="T422" i="1"/>
  <c r="T418" i="1"/>
  <c r="T10" i="1"/>
  <c r="AM414" i="1"/>
  <c r="AH667" i="1"/>
  <c r="AH350" i="1"/>
  <c r="AI349" i="1"/>
  <c r="U622" i="1"/>
  <c r="T624" i="1"/>
  <c r="AY80" i="1"/>
  <c r="BF80" i="1"/>
  <c r="BZ897" i="1"/>
  <c r="BX531" i="1"/>
  <c r="BW561" i="1"/>
  <c r="BX561" i="1" s="1"/>
  <c r="BW557" i="1"/>
  <c r="BX557" i="1" s="1"/>
  <c r="BW556" i="1"/>
  <c r="BX456" i="1"/>
  <c r="BZ456" i="1"/>
  <c r="BX222" i="1"/>
  <c r="BW259" i="1"/>
  <c r="BX259" i="1" s="1"/>
  <c r="O786" i="1"/>
  <c r="N787" i="1"/>
  <c r="BX777" i="1"/>
  <c r="BZ777" i="1"/>
  <c r="CF500" i="1"/>
  <c r="AQ572" i="1"/>
  <c r="CA413" i="1"/>
  <c r="CB413" i="1" s="1"/>
  <c r="CB398" i="1"/>
  <c r="CA417" i="1"/>
  <c r="CA414" i="1"/>
  <c r="CB414" i="1" s="1"/>
  <c r="AM164" i="1"/>
  <c r="AY786" i="1"/>
  <c r="AX787" i="1"/>
  <c r="CS737" i="1"/>
  <c r="CR737" i="1"/>
  <c r="BE572" i="1"/>
  <c r="CG576" i="1"/>
  <c r="CG572" i="1"/>
  <c r="CH553" i="1"/>
  <c r="CS553" i="1"/>
  <c r="CG573" i="1"/>
  <c r="BJ440" i="1"/>
  <c r="BL432" i="1"/>
  <c r="BK432" i="1"/>
  <c r="CF654" i="1"/>
  <c r="CH165" i="1"/>
  <c r="CF165" i="1"/>
  <c r="CE649" i="1"/>
  <c r="CE175" i="1"/>
  <c r="CH168" i="1"/>
  <c r="CE169" i="1"/>
  <c r="CE7" i="1"/>
  <c r="CF168" i="1"/>
  <c r="X649" i="1"/>
  <c r="X175" i="1"/>
  <c r="X169" i="1"/>
  <c r="Y168" i="1"/>
  <c r="X7" i="1"/>
  <c r="Y7" i="1" s="1"/>
  <c r="AT648" i="1"/>
  <c r="AT84" i="1"/>
  <c r="AT6" i="1"/>
  <c r="AT90" i="1"/>
  <c r="AU83" i="1"/>
  <c r="AD648" i="1"/>
  <c r="AD84" i="1"/>
  <c r="AD6" i="1"/>
  <c r="AD90" i="1"/>
  <c r="AE83" i="1"/>
  <c r="AC896" i="1"/>
  <c r="AB787" i="1"/>
  <c r="AC786" i="1"/>
  <c r="CI861" i="1"/>
  <c r="BM861" i="1"/>
  <c r="CI492" i="1"/>
  <c r="CJ492" i="1" s="1"/>
  <c r="CJ486" i="1"/>
  <c r="CG670" i="1"/>
  <c r="CH443" i="1"/>
  <c r="AN652" i="1"/>
  <c r="AO417" i="1"/>
  <c r="AN422" i="1"/>
  <c r="AN418" i="1"/>
  <c r="AN10" i="1"/>
  <c r="AO10" i="1" s="1"/>
  <c r="AP651" i="1"/>
  <c r="AP349" i="1"/>
  <c r="AP343" i="1"/>
  <c r="AQ342" i="1"/>
  <c r="AP9" i="1"/>
  <c r="AQ9" i="1" s="1"/>
  <c r="BV622" i="1"/>
  <c r="BU624" i="1"/>
  <c r="BU635" i="1" s="1"/>
  <c r="W165" i="1"/>
  <c r="BD648" i="1"/>
  <c r="BE83" i="1"/>
  <c r="BD90" i="1"/>
  <c r="BD84" i="1"/>
  <c r="BD6" i="1"/>
  <c r="CM878" i="1"/>
  <c r="CL878" i="1"/>
  <c r="CB882" i="1"/>
  <c r="BK859" i="1"/>
  <c r="BD812" i="1"/>
  <c r="BE812" i="1" s="1"/>
  <c r="BD811" i="1"/>
  <c r="BE810" i="1"/>
  <c r="AR671" i="1"/>
  <c r="AQ413" i="1"/>
  <c r="AA413" i="1"/>
  <c r="L650" i="1"/>
  <c r="U650" i="1" s="1"/>
  <c r="M273" i="1"/>
  <c r="L274" i="1"/>
  <c r="L279" i="1"/>
  <c r="L8" i="1"/>
  <c r="M8" i="1" s="1"/>
  <c r="BS939" i="1"/>
  <c r="BS942" i="1" s="1"/>
  <c r="BS945" i="1" s="1"/>
  <c r="BS669" i="1"/>
  <c r="BS672" i="1" s="1"/>
  <c r="AP648" i="1"/>
  <c r="AP84" i="1"/>
  <c r="AP6" i="1"/>
  <c r="AP90" i="1"/>
  <c r="AQ83" i="1"/>
  <c r="CI847" i="1"/>
  <c r="CJ847" i="1" s="1"/>
  <c r="CK879" i="1"/>
  <c r="CJ879" i="1"/>
  <c r="J610" i="1"/>
  <c r="K601" i="1"/>
  <c r="CE413" i="1"/>
  <c r="CF398" i="1"/>
  <c r="CE417" i="1"/>
  <c r="CE414" i="1"/>
  <c r="BE413" i="1"/>
  <c r="BM413" i="1"/>
  <c r="Y413" i="1"/>
  <c r="BH406" i="1"/>
  <c r="BI397" i="1"/>
  <c r="BB652" i="1"/>
  <c r="BC417" i="1"/>
  <c r="BB422" i="1"/>
  <c r="BB418" i="1"/>
  <c r="BB10" i="1"/>
  <c r="BC10" i="1" s="1"/>
  <c r="V652" i="1"/>
  <c r="W417" i="1"/>
  <c r="V422" i="1"/>
  <c r="V418" i="1"/>
  <c r="V10" i="1"/>
  <c r="W10" i="1" s="1"/>
  <c r="BU666" i="1"/>
  <c r="BU280" i="1"/>
  <c r="BV280" i="1" s="1"/>
  <c r="BV279" i="1"/>
  <c r="W622" i="1"/>
  <c r="B820" i="1"/>
  <c r="B782" i="1"/>
  <c r="CF882" i="1"/>
  <c r="CN387" i="1"/>
  <c r="CO387" i="1"/>
  <c r="AK670" i="1"/>
  <c r="BW666" i="1"/>
  <c r="BW280" i="1"/>
  <c r="BX279" i="1"/>
  <c r="CS482" i="1"/>
  <c r="CH482" i="1"/>
  <c r="AM339" i="1"/>
  <c r="D667" i="1"/>
  <c r="D350" i="1"/>
  <c r="AV651" i="1"/>
  <c r="AW342" i="1"/>
  <c r="AV349" i="1"/>
  <c r="AV343" i="1"/>
  <c r="AV9" i="1"/>
  <c r="AW9" i="1" s="1"/>
  <c r="AS80" i="1"/>
  <c r="J649" i="1"/>
  <c r="J175" i="1"/>
  <c r="J169" i="1"/>
  <c r="K168" i="1"/>
  <c r="J7" i="1"/>
  <c r="K7" i="1" s="1"/>
  <c r="Z648" i="1"/>
  <c r="Z84" i="1"/>
  <c r="Z6" i="1"/>
  <c r="Z90" i="1"/>
  <c r="AA83" i="1"/>
  <c r="Z649" i="1"/>
  <c r="Z175" i="1"/>
  <c r="Z169" i="1"/>
  <c r="AA168" i="1"/>
  <c r="Z7" i="1"/>
  <c r="AA7" i="1" s="1"/>
  <c r="AV648" i="1"/>
  <c r="AW83" i="1"/>
  <c r="AV84" i="1"/>
  <c r="AV6" i="1"/>
  <c r="AV90" i="1"/>
  <c r="AF648" i="1"/>
  <c r="AG83" i="1"/>
  <c r="AF84" i="1"/>
  <c r="AF6" i="1"/>
  <c r="AF90" i="1"/>
  <c r="P648" i="1"/>
  <c r="Q83" i="1"/>
  <c r="P84" i="1"/>
  <c r="P6" i="1"/>
  <c r="P90" i="1"/>
  <c r="CA273" i="1"/>
  <c r="CA271" i="1"/>
  <c r="AG778" i="1"/>
  <c r="BF821" i="1"/>
  <c r="BH793" i="1"/>
  <c r="BG793" i="1"/>
  <c r="AN655" i="1"/>
  <c r="AW610" i="1"/>
  <c r="AN613" i="1"/>
  <c r="AN13" i="1"/>
  <c r="BV671" i="1"/>
  <c r="AO633" i="1"/>
  <c r="AW633" i="1"/>
  <c r="AN583" i="1"/>
  <c r="AN577" i="1"/>
  <c r="AO577" i="1" s="1"/>
  <c r="AO576" i="1"/>
  <c r="H650" i="1"/>
  <c r="H279" i="1"/>
  <c r="H274" i="1"/>
  <c r="H920" i="1" s="1"/>
  <c r="H8" i="1"/>
  <c r="H11" i="1" s="1"/>
  <c r="H14" i="1" s="1"/>
  <c r="H16" i="1" s="1"/>
  <c r="BX325" i="1"/>
  <c r="CK303" i="1"/>
  <c r="CL303" i="1" s="1"/>
  <c r="BU227" i="1"/>
  <c r="BV225" i="1"/>
  <c r="BU262" i="1"/>
  <c r="BV262" i="1" s="1"/>
  <c r="Z624" i="1"/>
  <c r="AA622" i="1"/>
  <c r="Z820" i="1"/>
  <c r="Z813" i="1"/>
  <c r="AA813" i="1" s="1"/>
  <c r="Z782" i="1"/>
  <c r="AA782" i="1" s="1"/>
  <c r="AA774" i="1"/>
  <c r="AT820" i="1"/>
  <c r="AT813" i="1"/>
  <c r="AU813" i="1" s="1"/>
  <c r="AU774" i="1"/>
  <c r="BY820" i="1"/>
  <c r="BY813" i="1"/>
  <c r="BZ774" i="1"/>
  <c r="CK844" i="1"/>
  <c r="CJ844" i="1"/>
  <c r="AQ633" i="1"/>
  <c r="AY633" i="1"/>
  <c r="CQ643" i="1"/>
  <c r="CP643" i="1"/>
  <c r="AC414" i="1"/>
  <c r="BJ339" i="1"/>
  <c r="BK339" i="1" s="1"/>
  <c r="BC339" i="1"/>
  <c r="BX401" i="1"/>
  <c r="BW403" i="1"/>
  <c r="BX403" i="1" s="1"/>
  <c r="BZ483" i="1"/>
  <c r="AF651" i="1"/>
  <c r="AG342" i="1"/>
  <c r="AF349" i="1"/>
  <c r="AF343" i="1"/>
  <c r="AF9" i="1"/>
  <c r="AG9" i="1" s="1"/>
  <c r="CS209" i="1"/>
  <c r="CR209" i="1"/>
  <c r="AN649" i="1"/>
  <c r="AN175" i="1"/>
  <c r="AW168" i="1"/>
  <c r="AN169" i="1"/>
  <c r="AO168" i="1"/>
  <c r="AN7" i="1"/>
  <c r="CD60" i="1"/>
  <c r="CC83" i="1"/>
  <c r="CC80" i="1"/>
  <c r="CD80" i="1" s="1"/>
  <c r="CC79" i="1"/>
  <c r="CD79" i="1" s="1"/>
  <c r="CC795" i="1"/>
  <c r="CA633" i="1"/>
  <c r="CB633" i="1" s="1"/>
  <c r="CB627" i="1"/>
  <c r="BZ608" i="1"/>
  <c r="BC13" i="1"/>
  <c r="AU13" i="1"/>
  <c r="AQ583" i="1"/>
  <c r="AP584" i="1"/>
  <c r="AP685" i="1"/>
  <c r="AK414" i="1"/>
  <c r="BV318" i="1"/>
  <c r="BU320" i="1"/>
  <c r="W320" i="1"/>
  <c r="AB649" i="1"/>
  <c r="AB175" i="1"/>
  <c r="AB169" i="1"/>
  <c r="AB7" i="1"/>
  <c r="AC7" i="1" s="1"/>
  <c r="AC168" i="1"/>
  <c r="AP635" i="1"/>
  <c r="AQ624" i="1"/>
  <c r="CC782" i="1"/>
  <c r="BI738" i="1"/>
  <c r="BH740" i="1"/>
  <c r="BI740" i="1" s="1"/>
  <c r="AG601" i="1"/>
  <c r="AF610" i="1"/>
  <c r="AO610" i="1" s="1"/>
  <c r="AG573" i="1"/>
  <c r="AK573" i="1"/>
  <c r="BF670" i="1"/>
  <c r="BG443" i="1"/>
  <c r="AS414" i="1"/>
  <c r="Q8" i="1"/>
  <c r="Q650" i="1"/>
  <c r="AK280" i="1"/>
  <c r="AO9" i="1"/>
  <c r="AO651" i="1"/>
  <c r="W89" i="1"/>
  <c r="AE89" i="1"/>
  <c r="BK79" i="1"/>
  <c r="BC79" i="1"/>
  <c r="AM80" i="1"/>
  <c r="W79" i="1"/>
  <c r="BE896" i="1"/>
  <c r="BG487" i="1"/>
  <c r="AJ787" i="1"/>
  <c r="AK786" i="1"/>
  <c r="AW778" i="1"/>
  <c r="AV782" i="1"/>
  <c r="P820" i="1"/>
  <c r="P813" i="1"/>
  <c r="Q774" i="1"/>
  <c r="P782" i="1"/>
  <c r="Q782" i="1" s="1"/>
  <c r="CS687" i="1"/>
  <c r="CR687" i="1"/>
  <c r="AS633" i="1"/>
  <c r="BA633" i="1"/>
  <c r="D558" i="1"/>
  <c r="BL299" i="1"/>
  <c r="BM299" i="1" s="1"/>
  <c r="CI297" i="1"/>
  <c r="BM297" i="1"/>
  <c r="D11" i="1"/>
  <c r="D14" i="1" s="1"/>
  <c r="D16" i="1" s="1"/>
  <c r="T80" i="1"/>
  <c r="U80" i="1" s="1"/>
  <c r="T83" i="1"/>
  <c r="U60" i="1"/>
  <c r="T79" i="1"/>
  <c r="U79" i="1" s="1"/>
  <c r="AQ786" i="1"/>
  <c r="AP787" i="1"/>
  <c r="CB773" i="1"/>
  <c r="CD773" i="1"/>
  <c r="CI839" i="1"/>
  <c r="BM839" i="1"/>
  <c r="AA583" i="1"/>
  <c r="Z584" i="1"/>
  <c r="CS500" i="1"/>
  <c r="CH500" i="1"/>
  <c r="BK397" i="1"/>
  <c r="BJ406" i="1"/>
  <c r="AY413" i="1"/>
  <c r="BG413" i="1"/>
  <c r="M649" i="1"/>
  <c r="Q622" i="1"/>
  <c r="P624" i="1"/>
  <c r="BB782" i="1"/>
  <c r="BC778" i="1"/>
  <c r="CA576" i="1"/>
  <c r="CB553" i="1"/>
  <c r="CA573" i="1"/>
  <c r="CB573" i="1" s="1"/>
  <c r="CA572" i="1"/>
  <c r="CB572" i="1" s="1"/>
  <c r="CQ361" i="1"/>
  <c r="CP361" i="1"/>
  <c r="CQ366" i="1"/>
  <c r="CK224" i="1"/>
  <c r="CJ224" i="1"/>
  <c r="H638" i="1"/>
  <c r="H637" i="1"/>
  <c r="AT635" i="1"/>
  <c r="AU624" i="1"/>
  <c r="Y786" i="1"/>
  <c r="X787" i="1"/>
  <c r="AD787" i="1"/>
  <c r="AE786" i="1"/>
  <c r="V787" i="1"/>
  <c r="W786" i="1"/>
  <c r="CF777" i="1"/>
  <c r="CE781" i="1"/>
  <c r="CH777" i="1"/>
  <c r="N522" i="1"/>
  <c r="O518" i="1"/>
  <c r="N526" i="1"/>
  <c r="O583" i="1"/>
  <c r="N584" i="1"/>
  <c r="O584" i="1" s="1"/>
  <c r="AT583" i="1"/>
  <c r="AT577" i="1"/>
  <c r="AU577" i="1" s="1"/>
  <c r="AU576" i="1"/>
  <c r="AD652" i="1"/>
  <c r="AE417" i="1"/>
  <c r="AD422" i="1"/>
  <c r="AD418" i="1"/>
  <c r="AD10" i="1"/>
  <c r="AE10" i="1" s="1"/>
  <c r="BU649" i="1"/>
  <c r="BU175" i="1"/>
  <c r="BU169" i="1"/>
  <c r="BU7" i="1"/>
  <c r="BV7" i="1" s="1"/>
  <c r="BV168" i="1"/>
  <c r="T787" i="1"/>
  <c r="U786" i="1"/>
  <c r="BY789" i="1"/>
  <c r="CA601" i="1"/>
  <c r="CB599" i="1"/>
  <c r="AW576" i="1"/>
  <c r="AV583" i="1"/>
  <c r="BE583" i="1" s="1"/>
  <c r="AV577" i="1"/>
  <c r="AW577" i="1" s="1"/>
  <c r="CH398" i="1"/>
  <c r="CG417" i="1"/>
  <c r="CG413" i="1"/>
  <c r="CH413" i="1" s="1"/>
  <c r="CG414" i="1"/>
  <c r="CH414" i="1" s="1"/>
  <c r="AL652" i="1"/>
  <c r="AM417" i="1"/>
  <c r="AL422" i="1"/>
  <c r="AL418" i="1"/>
  <c r="AL10" i="1"/>
  <c r="AB651" i="1"/>
  <c r="AC342" i="1"/>
  <c r="AB349" i="1"/>
  <c r="AB343" i="1"/>
  <c r="AB9" i="1"/>
  <c r="AI9" i="1"/>
  <c r="AI651" i="1"/>
  <c r="N649" i="1"/>
  <c r="N175" i="1"/>
  <c r="N169" i="1"/>
  <c r="N7" i="1"/>
  <c r="O7" i="1" s="1"/>
  <c r="O168" i="1"/>
  <c r="AF649" i="1"/>
  <c r="AF175" i="1"/>
  <c r="AF169" i="1"/>
  <c r="AG168" i="1"/>
  <c r="AF7" i="1"/>
  <c r="AG7" i="1" s="1"/>
  <c r="AY79" i="1"/>
  <c r="BG79" i="1"/>
  <c r="BM870" i="1"/>
  <c r="CI870" i="1"/>
  <c r="BL785" i="1"/>
  <c r="BH488" i="1"/>
  <c r="BI488" i="1" s="1"/>
  <c r="BH487" i="1"/>
  <c r="CI487" i="1" s="1"/>
  <c r="BI473" i="1"/>
  <c r="BX541" i="1"/>
  <c r="BW542" i="1"/>
  <c r="BX542" i="1" s="1"/>
  <c r="S583" i="1"/>
  <c r="R584" i="1"/>
  <c r="S584" i="1" s="1"/>
  <c r="AS576" i="1"/>
  <c r="AR583" i="1"/>
  <c r="AR577" i="1"/>
  <c r="AS577" i="1" s="1"/>
  <c r="CB325" i="1"/>
  <c r="BZ251" i="1"/>
  <c r="BY252" i="1"/>
  <c r="CB252" i="1" s="1"/>
  <c r="BY619" i="1"/>
  <c r="B650" i="1"/>
  <c r="B653" i="1" s="1"/>
  <c r="B279" i="1"/>
  <c r="B274" i="1"/>
  <c r="B920" i="1" s="1"/>
  <c r="B8" i="1"/>
  <c r="B11" i="1" s="1"/>
  <c r="B14" i="1" s="1"/>
  <c r="B16" i="1" s="1"/>
  <c r="H653" i="1"/>
  <c r="BY210" i="1"/>
  <c r="BZ204" i="1"/>
  <c r="BY217" i="1"/>
  <c r="BZ217" i="1" s="1"/>
  <c r="BY215" i="1"/>
  <c r="BZ215" i="1" s="1"/>
  <c r="BY216" i="1"/>
  <c r="BZ216" i="1" s="1"/>
  <c r="N820" i="1"/>
  <c r="N782" i="1"/>
  <c r="O782" i="1" s="1"/>
  <c r="O774" i="1"/>
  <c r="F795" i="1"/>
  <c r="F788" i="1"/>
  <c r="V655" i="1"/>
  <c r="V613" i="1"/>
  <c r="W610" i="1"/>
  <c r="V13" i="1"/>
  <c r="W13" i="1" s="1"/>
  <c r="BF396" i="1"/>
  <c r="BG394" i="1"/>
  <c r="BK249" i="1"/>
  <c r="CI249" i="1"/>
  <c r="T666" i="1"/>
  <c r="U279" i="1"/>
  <c r="T280" i="1"/>
  <c r="AC280" i="1" s="1"/>
  <c r="P342" i="1"/>
  <c r="P339" i="1"/>
  <c r="P338" i="1"/>
  <c r="Q320" i="1"/>
  <c r="Y320" i="1"/>
  <c r="BH325" i="1"/>
  <c r="BI323" i="1"/>
  <c r="BJ323" i="1"/>
  <c r="AD651" i="1"/>
  <c r="AD349" i="1"/>
  <c r="AD343" i="1"/>
  <c r="AE342" i="1"/>
  <c r="AD9" i="1"/>
  <c r="AE9" i="1" s="1"/>
  <c r="BL97" i="1"/>
  <c r="CI96" i="1"/>
  <c r="AM165" i="1"/>
  <c r="AH648" i="1"/>
  <c r="AH84" i="1"/>
  <c r="AH6" i="1"/>
  <c r="AH90" i="1"/>
  <c r="AI83" i="1"/>
  <c r="AN820" i="1"/>
  <c r="AN813" i="1"/>
  <c r="AO813" i="1" s="1"/>
  <c r="AO774" i="1"/>
  <c r="AN782" i="1"/>
  <c r="AO782" i="1" s="1"/>
  <c r="K786" i="1"/>
  <c r="J787" i="1"/>
  <c r="CE849" i="1"/>
  <c r="CF848" i="1"/>
  <c r="CL862" i="1"/>
  <c r="CM862" i="1"/>
  <c r="BG572" i="1"/>
  <c r="BH572" i="1"/>
  <c r="P583" i="1"/>
  <c r="P577" i="1"/>
  <c r="Q577" i="1" s="1"/>
  <c r="Q576" i="1"/>
  <c r="CI379" i="1"/>
  <c r="CD482" i="1"/>
  <c r="B664" i="1"/>
  <c r="B92" i="1"/>
  <c r="B91" i="1"/>
  <c r="BY193" i="1"/>
  <c r="BZ187" i="1"/>
  <c r="BY200" i="1"/>
  <c r="BZ200" i="1" s="1"/>
  <c r="BY198" i="1"/>
  <c r="BZ198" i="1" s="1"/>
  <c r="BY199" i="1"/>
  <c r="BZ199" i="1" s="1"/>
  <c r="BX58" i="1"/>
  <c r="BW60" i="1"/>
  <c r="BG338" i="1"/>
  <c r="AY338" i="1"/>
  <c r="AF635" i="1"/>
  <c r="AB820" i="1"/>
  <c r="AB813" i="1"/>
  <c r="AC813" i="1" s="1"/>
  <c r="AC774" i="1"/>
  <c r="AB782" i="1"/>
  <c r="AC782" i="1" s="1"/>
  <c r="BF489" i="1"/>
  <c r="BG489" i="1" s="1"/>
  <c r="CH631" i="1"/>
  <c r="CD398" i="1"/>
  <c r="CC417" i="1"/>
  <c r="CC413" i="1"/>
  <c r="CD413" i="1" s="1"/>
  <c r="CC414" i="1"/>
  <c r="CD414" i="1" s="1"/>
  <c r="V649" i="1"/>
  <c r="V175" i="1"/>
  <c r="V169" i="1"/>
  <c r="V7" i="1"/>
  <c r="W7" i="1" s="1"/>
  <c r="W168" i="1"/>
  <c r="AR787" i="1"/>
  <c r="AS786" i="1"/>
  <c r="CB770" i="1"/>
  <c r="CA778" i="1"/>
  <c r="CD778" i="1" s="1"/>
  <c r="CA774" i="1"/>
  <c r="CA786" i="1"/>
  <c r="CA896" i="1"/>
  <c r="CK867" i="1"/>
  <c r="CJ867" i="1"/>
  <c r="BK846" i="1"/>
  <c r="BJ848" i="1"/>
  <c r="Q601" i="1"/>
  <c r="P610" i="1"/>
  <c r="AQ414" i="1"/>
  <c r="AA414" i="1"/>
  <c r="AC8" i="1"/>
  <c r="R648" i="1"/>
  <c r="R84" i="1"/>
  <c r="R90" i="1"/>
  <c r="R6" i="1"/>
  <c r="S83" i="1"/>
  <c r="BV36" i="1"/>
  <c r="BU63" i="1"/>
  <c r="BU64" i="1"/>
  <c r="BV64" i="1" s="1"/>
  <c r="BU69" i="1"/>
  <c r="BV69" i="1" s="1"/>
  <c r="BU68" i="1"/>
  <c r="BV68" i="1" s="1"/>
  <c r="AQ80" i="1"/>
  <c r="CA168" i="1"/>
  <c r="CA165" i="1"/>
  <c r="CB165" i="1" s="1"/>
  <c r="CB145" i="1"/>
  <c r="CA164" i="1"/>
  <c r="CB164" i="1" s="1"/>
  <c r="AO624" i="1"/>
  <c r="AN635" i="1"/>
  <c r="AQ601" i="1"/>
  <c r="Y572" i="1"/>
  <c r="BE670" i="1"/>
  <c r="BE414" i="1"/>
  <c r="BL414" i="1"/>
  <c r="BM414" i="1" s="1"/>
  <c r="Y414" i="1"/>
  <c r="BH394" i="1"/>
  <c r="BV650" i="1"/>
  <c r="BZ164" i="1"/>
  <c r="BB635" i="1"/>
  <c r="BC624" i="1"/>
  <c r="V635" i="1"/>
  <c r="W624" i="1"/>
  <c r="AH820" i="1"/>
  <c r="AH813" i="1"/>
  <c r="AI813" i="1" s="1"/>
  <c r="AH782" i="1"/>
  <c r="AI782" i="1" s="1"/>
  <c r="AI774" i="1"/>
  <c r="BW633" i="1"/>
  <c r="BX633" i="1" s="1"/>
  <c r="BX627" i="1"/>
  <c r="AE572" i="1"/>
  <c r="V455" i="1"/>
  <c r="X448" i="1"/>
  <c r="CH483" i="1"/>
  <c r="CS483" i="1"/>
  <c r="AG413" i="1"/>
  <c r="BA666" i="1"/>
  <c r="BI244" i="1"/>
  <c r="AL651" i="1"/>
  <c r="AL349" i="1"/>
  <c r="AL343" i="1"/>
  <c r="AM342" i="1"/>
  <c r="AL9" i="1"/>
  <c r="K148" i="1"/>
  <c r="J150" i="1"/>
  <c r="K150" i="1" s="1"/>
  <c r="AS79" i="1"/>
  <c r="AC79" i="1"/>
  <c r="AA80" i="1"/>
  <c r="AA164" i="1"/>
  <c r="AW80" i="1"/>
  <c r="AG80" i="1"/>
  <c r="M541" i="1"/>
  <c r="L542" i="1"/>
  <c r="M542" i="1" s="1"/>
  <c r="CC610" i="1"/>
  <c r="CD601" i="1"/>
  <c r="AG786" i="1"/>
  <c r="AF787" i="1"/>
  <c r="CG821" i="1"/>
  <c r="CH821" i="1" s="1"/>
  <c r="CH793" i="1"/>
  <c r="CD738" i="1"/>
  <c r="CF738" i="1"/>
  <c r="CC740" i="1"/>
  <c r="U633" i="1"/>
  <c r="BC572" i="1"/>
  <c r="BG317" i="1"/>
  <c r="BM338" i="1"/>
  <c r="BE338" i="1"/>
  <c r="T651" i="1"/>
  <c r="U342" i="1"/>
  <c r="T349" i="1"/>
  <c r="T343" i="1"/>
  <c r="T9" i="1"/>
  <c r="U9" i="1" s="1"/>
  <c r="AI338" i="1"/>
  <c r="AS896" i="1"/>
  <c r="AA778" i="1"/>
  <c r="AT782" i="1"/>
  <c r="AU782" i="1" s="1"/>
  <c r="AU778" i="1"/>
  <c r="BY782" i="1"/>
  <c r="BZ778" i="1"/>
  <c r="AY849" i="1"/>
  <c r="AX896" i="1"/>
  <c r="AY896" i="1" s="1"/>
  <c r="H894" i="1"/>
  <c r="H823" i="1"/>
  <c r="CC633" i="1"/>
  <c r="CD633" i="1" s="1"/>
  <c r="CD627" i="1"/>
  <c r="CF627" i="1"/>
  <c r="CS641" i="1"/>
  <c r="CR641" i="1"/>
  <c r="CK434" i="1"/>
  <c r="CJ434" i="1"/>
  <c r="U572" i="1"/>
  <c r="BL397" i="1"/>
  <c r="BM365" i="1"/>
  <c r="AB652" i="1"/>
  <c r="AC417" i="1"/>
  <c r="AB422" i="1"/>
  <c r="AB418" i="1"/>
  <c r="AB10" i="1"/>
  <c r="AC10" i="1" s="1"/>
  <c r="BB651" i="1"/>
  <c r="BB349" i="1"/>
  <c r="BB343" i="1"/>
  <c r="BC342" i="1"/>
  <c r="BB9" i="1"/>
  <c r="BC9" i="1" s="1"/>
  <c r="BV60" i="1"/>
  <c r="BU83" i="1"/>
  <c r="BU79" i="1"/>
  <c r="BV79" i="1" s="1"/>
  <c r="BU80" i="1"/>
  <c r="BV80" i="1" s="1"/>
  <c r="AO164" i="1"/>
  <c r="AW164" i="1"/>
  <c r="Y622" i="1"/>
  <c r="X624" i="1"/>
  <c r="CC789" i="1"/>
  <c r="CC788" i="1"/>
  <c r="BD883" i="1"/>
  <c r="BE883" i="1" s="1"/>
  <c r="BE868" i="1"/>
  <c r="CB738" i="1"/>
  <c r="CA740" i="1"/>
  <c r="CB740" i="1" s="1"/>
  <c r="AU610" i="1"/>
  <c r="CP428" i="1"/>
  <c r="CQ428" i="1"/>
  <c r="AJ652" i="1"/>
  <c r="AK417" i="1"/>
  <c r="AJ422" i="1"/>
  <c r="AJ418" i="1"/>
  <c r="AJ10" i="1"/>
  <c r="S338" i="1"/>
  <c r="BE280" i="1"/>
  <c r="W338" i="1"/>
  <c r="AS338" i="1"/>
  <c r="CG633" i="1"/>
  <c r="CH633" i="1" s="1"/>
  <c r="AZ635" i="1"/>
  <c r="BA624" i="1"/>
  <c r="AI896" i="1"/>
  <c r="CD899" i="1"/>
  <c r="CD786" i="1"/>
  <c r="AK633" i="1"/>
  <c r="BZ685" i="1"/>
  <c r="BZ348" i="1"/>
  <c r="CB348" i="1"/>
  <c r="AR652" i="1"/>
  <c r="AS417" i="1"/>
  <c r="AR422" i="1"/>
  <c r="AR418" i="1"/>
  <c r="AR10" i="1"/>
  <c r="AS10" i="1" s="1"/>
  <c r="L652" i="1"/>
  <c r="M417" i="1"/>
  <c r="L422" i="1"/>
  <c r="L418" i="1"/>
  <c r="L10" i="1"/>
  <c r="M10" i="1" s="1"/>
  <c r="P666" i="1"/>
  <c r="Q279" i="1"/>
  <c r="P280" i="1"/>
  <c r="Y280" i="1" s="1"/>
  <c r="N106" i="1"/>
  <c r="O102" i="1"/>
  <c r="N118" i="1"/>
  <c r="AN921" i="1"/>
  <c r="AO343" i="1"/>
  <c r="BZ317" i="1"/>
  <c r="BW328" i="1"/>
  <c r="BX317" i="1"/>
  <c r="BW620" i="1"/>
  <c r="BW622" i="1" s="1"/>
  <c r="BW318" i="1"/>
  <c r="B667" i="1"/>
  <c r="B350" i="1"/>
  <c r="J635" i="1"/>
  <c r="K624" i="1"/>
  <c r="E10" i="23" l="1"/>
  <c r="D12" i="23"/>
  <c r="CN303" i="1"/>
  <c r="CJ837" i="1"/>
  <c r="CK837" i="1"/>
  <c r="F149" i="1"/>
  <c r="F148" i="1"/>
  <c r="F153" i="1"/>
  <c r="AM10" i="1"/>
  <c r="AA584" i="1"/>
  <c r="BX280" i="1"/>
  <c r="CL374" i="1"/>
  <c r="CK371" i="1"/>
  <c r="CL371" i="1" s="1"/>
  <c r="CM374" i="1"/>
  <c r="CM842" i="1"/>
  <c r="CL842" i="1"/>
  <c r="H129" i="1"/>
  <c r="H130" i="1" s="1"/>
  <c r="H128" i="1"/>
  <c r="H127" i="1"/>
  <c r="H122" i="1"/>
  <c r="B923" i="1"/>
  <c r="B699" i="1"/>
  <c r="B703" i="1" s="1"/>
  <c r="B656" i="1"/>
  <c r="CI493" i="1"/>
  <c r="CJ493" i="1" s="1"/>
  <c r="CJ487" i="1"/>
  <c r="BW624" i="1"/>
  <c r="BW635" i="1" s="1"/>
  <c r="BX622" i="1"/>
  <c r="BX328" i="1"/>
  <c r="BZ328" i="1"/>
  <c r="O118" i="1"/>
  <c r="N122" i="1"/>
  <c r="N127" i="1"/>
  <c r="O127" i="1" s="1"/>
  <c r="N128" i="1"/>
  <c r="O128" i="1" s="1"/>
  <c r="N129" i="1"/>
  <c r="L668" i="1"/>
  <c r="M422" i="1"/>
  <c r="L423" i="1"/>
  <c r="M423" i="1" s="1"/>
  <c r="AR922" i="1"/>
  <c r="AS418" i="1"/>
  <c r="AJ922" i="1"/>
  <c r="AK418" i="1"/>
  <c r="CS428" i="1"/>
  <c r="CR428" i="1"/>
  <c r="BB667" i="1"/>
  <c r="BB350" i="1"/>
  <c r="BC349" i="1"/>
  <c r="AB668" i="1"/>
  <c r="AC422" i="1"/>
  <c r="AB423" i="1"/>
  <c r="BL406" i="1"/>
  <c r="BM397" i="1"/>
  <c r="CM434" i="1"/>
  <c r="CL434" i="1"/>
  <c r="T667" i="1"/>
  <c r="U349" i="1"/>
  <c r="T350" i="1"/>
  <c r="AF795" i="1"/>
  <c r="AF788" i="1"/>
  <c r="AG787" i="1"/>
  <c r="AF789" i="1"/>
  <c r="AL667" i="1"/>
  <c r="AL350" i="1"/>
  <c r="AM349" i="1"/>
  <c r="AH822" i="1"/>
  <c r="AH826" i="1"/>
  <c r="AI820" i="1"/>
  <c r="BB636" i="1"/>
  <c r="BC635" i="1"/>
  <c r="BH396" i="1"/>
  <c r="BI394" i="1"/>
  <c r="R918" i="1"/>
  <c r="S84" i="1"/>
  <c r="CB896" i="1"/>
  <c r="CD896" i="1"/>
  <c r="CO862" i="1"/>
  <c r="CN862" i="1"/>
  <c r="J795" i="1"/>
  <c r="K795" i="1" s="1"/>
  <c r="K787" i="1"/>
  <c r="J788" i="1"/>
  <c r="K788" i="1" s="1"/>
  <c r="AH11" i="1"/>
  <c r="AI6" i="1"/>
  <c r="CJ96" i="1"/>
  <c r="CI97" i="1"/>
  <c r="CK96" i="1"/>
  <c r="CK95" i="1"/>
  <c r="AD921" i="1"/>
  <c r="AE343" i="1"/>
  <c r="Q338" i="1"/>
  <c r="Y338" i="1"/>
  <c r="CA204" i="1"/>
  <c r="BY222" i="1"/>
  <c r="BY211" i="1"/>
  <c r="BZ211" i="1" s="1"/>
  <c r="BZ210" i="1"/>
  <c r="BZ619" i="1"/>
  <c r="CB619" i="1"/>
  <c r="BY622" i="1"/>
  <c r="BM785" i="1"/>
  <c r="AF919" i="1"/>
  <c r="AG169" i="1"/>
  <c r="AC9" i="1"/>
  <c r="AC651" i="1"/>
  <c r="CG652" i="1"/>
  <c r="CG418" i="1"/>
  <c r="CH417" i="1"/>
  <c r="CG422" i="1"/>
  <c r="CG10" i="1"/>
  <c r="BV649" i="1"/>
  <c r="AD922" i="1"/>
  <c r="AE418" i="1"/>
  <c r="V795" i="1"/>
  <c r="V789" i="1"/>
  <c r="W787" i="1"/>
  <c r="V788" i="1"/>
  <c r="P635" i="1"/>
  <c r="Q624" i="1"/>
  <c r="AW782" i="1"/>
  <c r="AF655" i="1"/>
  <c r="AG610" i="1"/>
  <c r="AF613" i="1"/>
  <c r="AF13" i="1"/>
  <c r="AC649" i="1"/>
  <c r="AO649" i="1"/>
  <c r="AW649" i="1"/>
  <c r="AF921" i="1"/>
  <c r="AG343" i="1"/>
  <c r="AN671" i="1"/>
  <c r="AW613" i="1"/>
  <c r="AO613" i="1"/>
  <c r="BF827" i="1"/>
  <c r="BG827" i="1" s="1"/>
  <c r="BG821" i="1"/>
  <c r="AF918" i="1"/>
  <c r="AG84" i="1"/>
  <c r="AV11" i="1"/>
  <c r="AW6" i="1"/>
  <c r="AA649" i="1"/>
  <c r="Z918" i="1"/>
  <c r="AA84" i="1"/>
  <c r="J919" i="1"/>
  <c r="K169" i="1"/>
  <c r="V668" i="1"/>
  <c r="W422" i="1"/>
  <c r="V423" i="1"/>
  <c r="BB922" i="1"/>
  <c r="BC418" i="1"/>
  <c r="CI397" i="1"/>
  <c r="AP664" i="1"/>
  <c r="AQ90" i="1"/>
  <c r="AP91" i="1"/>
  <c r="BS673" i="1"/>
  <c r="BS675" i="1" s="1"/>
  <c r="L920" i="1"/>
  <c r="M274" i="1"/>
  <c r="BE811" i="1"/>
  <c r="CG811" i="1"/>
  <c r="CH811" i="1" s="1"/>
  <c r="BD918" i="1"/>
  <c r="BE84" i="1"/>
  <c r="AO652" i="1"/>
  <c r="AD664" i="1"/>
  <c r="AD91" i="1"/>
  <c r="AE90" i="1"/>
  <c r="AU648" i="1"/>
  <c r="AT653" i="1"/>
  <c r="X665" i="1"/>
  <c r="X176" i="1"/>
  <c r="Y175" i="1"/>
  <c r="CE919" i="1"/>
  <c r="CH169" i="1"/>
  <c r="U8" i="1"/>
  <c r="BW558" i="1"/>
  <c r="BX558" i="1" s="1"/>
  <c r="BX556" i="1"/>
  <c r="T668" i="1"/>
  <c r="U422" i="1"/>
  <c r="T423" i="1"/>
  <c r="U423" i="1" s="1"/>
  <c r="AZ922" i="1"/>
  <c r="BA418" i="1"/>
  <c r="BD795" i="1"/>
  <c r="BE787" i="1"/>
  <c r="BD788" i="1"/>
  <c r="BD789" i="1"/>
  <c r="BU823" i="1"/>
  <c r="BU828" i="1"/>
  <c r="BU894" i="1"/>
  <c r="R795" i="1"/>
  <c r="S787" i="1"/>
  <c r="R788" i="1"/>
  <c r="S788" i="1" s="1"/>
  <c r="R789" i="1"/>
  <c r="AE13" i="1"/>
  <c r="AJ655" i="1"/>
  <c r="AK610" i="1"/>
  <c r="AJ613" i="1"/>
  <c r="AJ13" i="1"/>
  <c r="AS610" i="1"/>
  <c r="D923" i="1"/>
  <c r="D699" i="1"/>
  <c r="D703" i="1" s="1"/>
  <c r="D656" i="1"/>
  <c r="BL331" i="1"/>
  <c r="BM319" i="1"/>
  <c r="BA651" i="1"/>
  <c r="P795" i="1"/>
  <c r="Q787" i="1"/>
  <c r="P789" i="1"/>
  <c r="P788" i="1"/>
  <c r="Q788" i="1" s="1"/>
  <c r="AV822" i="1"/>
  <c r="AW820" i="1"/>
  <c r="AV826" i="1"/>
  <c r="AF584" i="1"/>
  <c r="AG583" i="1"/>
  <c r="AC624" i="1"/>
  <c r="AB635" i="1"/>
  <c r="L921" i="1"/>
  <c r="M343" i="1"/>
  <c r="AS651" i="1"/>
  <c r="J918" i="1"/>
  <c r="K84" i="1"/>
  <c r="V921" i="1"/>
  <c r="W8" i="1"/>
  <c r="O8" i="1"/>
  <c r="O650" i="1"/>
  <c r="W650" i="1"/>
  <c r="R667" i="1"/>
  <c r="R350" i="1"/>
  <c r="S349" i="1"/>
  <c r="BE9" i="1"/>
  <c r="BE651" i="1"/>
  <c r="L584" i="1"/>
  <c r="M584" i="1" s="1"/>
  <c r="M583" i="1"/>
  <c r="AB918" i="1"/>
  <c r="AR11" i="1"/>
  <c r="AS6" i="1"/>
  <c r="J666" i="1"/>
  <c r="K279" i="1"/>
  <c r="J280" i="1"/>
  <c r="S279" i="1"/>
  <c r="AG652" i="1"/>
  <c r="BG754" i="1"/>
  <c r="BF756" i="1"/>
  <c r="CC273" i="1"/>
  <c r="CD252" i="1"/>
  <c r="CC271" i="1"/>
  <c r="CD271" i="1" s="1"/>
  <c r="BM859" i="1"/>
  <c r="J668" i="1"/>
  <c r="K422" i="1"/>
  <c r="J423" i="1"/>
  <c r="K423" i="1" s="1"/>
  <c r="R922" i="1"/>
  <c r="S418" i="1"/>
  <c r="BZ403" i="1"/>
  <c r="AY9" i="1"/>
  <c r="AY651" i="1"/>
  <c r="AL671" i="1"/>
  <c r="AM613" i="1"/>
  <c r="AN795" i="1"/>
  <c r="AN788" i="1"/>
  <c r="AO787" i="1"/>
  <c r="AN789" i="1"/>
  <c r="L918" i="1"/>
  <c r="M84" i="1"/>
  <c r="B227" i="1"/>
  <c r="B262" i="1"/>
  <c r="L822" i="1"/>
  <c r="L826" i="1"/>
  <c r="M820" i="1"/>
  <c r="CA648" i="1"/>
  <c r="CA90" i="1"/>
  <c r="CA6" i="1"/>
  <c r="CA84" i="1"/>
  <c r="CB83" i="1"/>
  <c r="CD572" i="1"/>
  <c r="AX11" i="1"/>
  <c r="AY6" i="1"/>
  <c r="BI414" i="1"/>
  <c r="BJ414" i="1"/>
  <c r="BK414" i="1" s="1"/>
  <c r="H537" i="1"/>
  <c r="H538" i="1" s="1"/>
  <c r="H536" i="1"/>
  <c r="H535" i="1"/>
  <c r="H530" i="1"/>
  <c r="AZ822" i="1"/>
  <c r="AZ826" i="1"/>
  <c r="BA820" i="1"/>
  <c r="AQ7" i="1"/>
  <c r="AI7" i="1"/>
  <c r="AI649" i="1"/>
  <c r="AQ649" i="1"/>
  <c r="AJ665" i="1"/>
  <c r="AJ176" i="1"/>
  <c r="AK175" i="1"/>
  <c r="K651" i="1"/>
  <c r="W782" i="1"/>
  <c r="AE782" i="1"/>
  <c r="CF80" i="1"/>
  <c r="AE635" i="1"/>
  <c r="AD636" i="1"/>
  <c r="BX7" i="1"/>
  <c r="AI652" i="1"/>
  <c r="X655" i="1"/>
  <c r="Y610" i="1"/>
  <c r="X613" i="1"/>
  <c r="X13" i="1"/>
  <c r="W648" i="1"/>
  <c r="V653" i="1"/>
  <c r="AL918" i="1"/>
  <c r="AM84" i="1"/>
  <c r="BB664" i="1"/>
  <c r="BB91" i="1"/>
  <c r="BC90" i="1"/>
  <c r="N918" i="1"/>
  <c r="O84" i="1"/>
  <c r="Q274" i="1"/>
  <c r="BK742" i="1"/>
  <c r="CF778" i="1"/>
  <c r="CE782" i="1"/>
  <c r="CF782" i="1" s="1"/>
  <c r="W339" i="1"/>
  <c r="F217" i="1"/>
  <c r="F218" i="1" s="1"/>
  <c r="F216" i="1"/>
  <c r="F210" i="1"/>
  <c r="F215" i="1"/>
  <c r="AU671" i="1"/>
  <c r="BC671" i="1"/>
  <c r="BI864" i="1"/>
  <c r="BJ864" i="1"/>
  <c r="CB339" i="1"/>
  <c r="CI362" i="1"/>
  <c r="CK360" i="1"/>
  <c r="CK365" i="1" s="1"/>
  <c r="CJ360" i="1"/>
  <c r="CI365" i="1"/>
  <c r="CJ365" i="1" s="1"/>
  <c r="T584" i="1"/>
  <c r="U584" i="1" s="1"/>
  <c r="U583" i="1"/>
  <c r="CM354" i="1"/>
  <c r="CK355" i="1"/>
  <c r="CL355" i="1" s="1"/>
  <c r="CL354" i="1"/>
  <c r="CM353" i="1"/>
  <c r="CN353" i="1" s="1"/>
  <c r="CO858" i="1"/>
  <c r="CN858" i="1"/>
  <c r="AK624" i="1"/>
  <c r="AJ635" i="1"/>
  <c r="BY919" i="1"/>
  <c r="BZ169" i="1"/>
  <c r="X668" i="1"/>
  <c r="Y422" i="1"/>
  <c r="X423" i="1"/>
  <c r="BD922" i="1"/>
  <c r="BE418" i="1"/>
  <c r="CM226" i="1"/>
  <c r="CL226" i="1"/>
  <c r="BF496" i="1"/>
  <c r="BG476" i="1"/>
  <c r="AY655" i="1"/>
  <c r="Z922" i="1"/>
  <c r="AA418" i="1"/>
  <c r="AQ10" i="1"/>
  <c r="AQ652" i="1"/>
  <c r="D69" i="1"/>
  <c r="D64" i="1"/>
  <c r="D63" i="1"/>
  <c r="D68" i="1"/>
  <c r="AU9" i="1"/>
  <c r="AU651" i="1"/>
  <c r="Q652" i="1"/>
  <c r="BH339" i="1"/>
  <c r="BI339" i="1" s="1"/>
  <c r="BG339" i="1"/>
  <c r="AY813" i="1"/>
  <c r="CD165" i="1"/>
  <c r="AL919" i="1"/>
  <c r="AM169" i="1"/>
  <c r="CN845" i="1"/>
  <c r="CO845" i="1"/>
  <c r="AE649" i="1"/>
  <c r="Z667" i="1"/>
  <c r="Z350" i="1"/>
  <c r="AA350" i="1" s="1"/>
  <c r="AA349" i="1"/>
  <c r="AV668" i="1"/>
  <c r="AW422" i="1"/>
  <c r="AV423" i="1"/>
  <c r="BX133" i="1"/>
  <c r="BW134" i="1"/>
  <c r="BX134" i="1" s="1"/>
  <c r="CG273" i="1"/>
  <c r="CH252" i="1"/>
  <c r="CG271" i="1"/>
  <c r="T822" i="1"/>
  <c r="T826" i="1"/>
  <c r="U826" i="1" s="1"/>
  <c r="U820" i="1"/>
  <c r="BE813" i="1"/>
  <c r="X664" i="1"/>
  <c r="X91" i="1"/>
  <c r="Y90" i="1"/>
  <c r="Y648" i="1"/>
  <c r="X653" i="1"/>
  <c r="AJ918" i="1"/>
  <c r="AK84" i="1"/>
  <c r="AZ11" i="1"/>
  <c r="BA6" i="1"/>
  <c r="BY583" i="1"/>
  <c r="BY577" i="1"/>
  <c r="BZ576" i="1"/>
  <c r="AB655" i="1"/>
  <c r="AC610" i="1"/>
  <c r="AB613" i="1"/>
  <c r="AB13" i="1"/>
  <c r="BB795" i="1"/>
  <c r="BB789" i="1"/>
  <c r="BC787" i="1"/>
  <c r="BB788" i="1"/>
  <c r="M624" i="1"/>
  <c r="L635" i="1"/>
  <c r="R919" i="1"/>
  <c r="S169" i="1"/>
  <c r="AJ921" i="1"/>
  <c r="AK343" i="1"/>
  <c r="AU10" i="1"/>
  <c r="AU652" i="1"/>
  <c r="BV583" i="1"/>
  <c r="BU584" i="1"/>
  <c r="BV584" i="1" s="1"/>
  <c r="CB781" i="1"/>
  <c r="CD781" i="1"/>
  <c r="L655" i="1"/>
  <c r="M610" i="1"/>
  <c r="L613" i="1"/>
  <c r="L13" i="1"/>
  <c r="M13" i="1" s="1"/>
  <c r="CG822" i="1"/>
  <c r="CG794" i="1"/>
  <c r="BW320" i="1"/>
  <c r="BX318" i="1"/>
  <c r="BZ318" i="1"/>
  <c r="AR668" i="1"/>
  <c r="AS422" i="1"/>
  <c r="AR423" i="1"/>
  <c r="AZ636" i="1"/>
  <c r="BA635" i="1"/>
  <c r="AJ668" i="1"/>
  <c r="AK422" i="1"/>
  <c r="AJ423" i="1"/>
  <c r="AK423" i="1" s="1"/>
  <c r="Y624" i="1"/>
  <c r="X635" i="1"/>
  <c r="AG635" i="1" s="1"/>
  <c r="BC651" i="1"/>
  <c r="AM9" i="1"/>
  <c r="AM651" i="1"/>
  <c r="V456" i="1"/>
  <c r="AO635" i="1"/>
  <c r="AN636" i="1"/>
  <c r="AN638" i="1"/>
  <c r="S648" i="1"/>
  <c r="R653" i="1"/>
  <c r="P655" i="1"/>
  <c r="Q610" i="1"/>
  <c r="P613" i="1"/>
  <c r="P13" i="1"/>
  <c r="Q13" i="1" s="1"/>
  <c r="CB786" i="1"/>
  <c r="CA787" i="1"/>
  <c r="V919" i="1"/>
  <c r="W169" i="1"/>
  <c r="AB822" i="1"/>
  <c r="AB826" i="1"/>
  <c r="AC820" i="1"/>
  <c r="BY221" i="1"/>
  <c r="CA187" i="1"/>
  <c r="BY194" i="1"/>
  <c r="BZ194" i="1" s="1"/>
  <c r="BZ193" i="1"/>
  <c r="P584" i="1"/>
  <c r="Q584" i="1" s="1"/>
  <c r="Q583" i="1"/>
  <c r="AN822" i="1"/>
  <c r="AO820" i="1"/>
  <c r="AN826" i="1"/>
  <c r="AH918" i="1"/>
  <c r="AI84" i="1"/>
  <c r="AD667" i="1"/>
  <c r="AD350" i="1"/>
  <c r="AE349" i="1"/>
  <c r="BI325" i="1"/>
  <c r="BH309" i="1"/>
  <c r="Q339" i="1"/>
  <c r="Y339" i="1"/>
  <c r="V671" i="1"/>
  <c r="W613" i="1"/>
  <c r="H923" i="1"/>
  <c r="H699" i="1"/>
  <c r="H703" i="1" s="1"/>
  <c r="H656" i="1"/>
  <c r="BY273" i="1"/>
  <c r="CB273" i="1" s="1"/>
  <c r="BZ252" i="1"/>
  <c r="BY271" i="1"/>
  <c r="BZ271" i="1" s="1"/>
  <c r="CJ870" i="1"/>
  <c r="CI785" i="1"/>
  <c r="AF665" i="1"/>
  <c r="AF176" i="1"/>
  <c r="AG176" i="1" s="1"/>
  <c r="AG175" i="1"/>
  <c r="N919" i="1"/>
  <c r="O169" i="1"/>
  <c r="AB921" i="1"/>
  <c r="AC343" i="1"/>
  <c r="AM652" i="1"/>
  <c r="T795" i="1"/>
  <c r="U787" i="1"/>
  <c r="T788" i="1"/>
  <c r="T789" i="1"/>
  <c r="AD668" i="1"/>
  <c r="AE422" i="1"/>
  <c r="AD423" i="1"/>
  <c r="O526" i="1"/>
  <c r="N530" i="1"/>
  <c r="N535" i="1"/>
  <c r="O535" i="1" s="1"/>
  <c r="N536" i="1"/>
  <c r="O536" i="1" s="1"/>
  <c r="N537" i="1"/>
  <c r="CF781" i="1"/>
  <c r="CH781" i="1"/>
  <c r="CR361" i="1"/>
  <c r="CS361" i="1"/>
  <c r="CB576" i="1"/>
  <c r="CA583" i="1"/>
  <c r="CA577" i="1"/>
  <c r="AP795" i="1"/>
  <c r="AQ787" i="1"/>
  <c r="AP788" i="1"/>
  <c r="AP789" i="1"/>
  <c r="T648" i="1"/>
  <c r="AC648" i="1" s="1"/>
  <c r="U83" i="1"/>
  <c r="T84" i="1"/>
  <c r="AC84" i="1" s="1"/>
  <c r="T6" i="1"/>
  <c r="T90" i="1"/>
  <c r="AC90" i="1" s="1"/>
  <c r="CI299" i="1"/>
  <c r="CK297" i="1"/>
  <c r="CJ297" i="1"/>
  <c r="CK302" i="1"/>
  <c r="CI302" i="1"/>
  <c r="CJ302" i="1" s="1"/>
  <c r="BG670" i="1"/>
  <c r="AQ685" i="1"/>
  <c r="CC648" i="1"/>
  <c r="CC84" i="1"/>
  <c r="CD83" i="1"/>
  <c r="CC90" i="1"/>
  <c r="CC6" i="1"/>
  <c r="AN919" i="1"/>
  <c r="AO169" i="1"/>
  <c r="AW169" i="1"/>
  <c r="AF667" i="1"/>
  <c r="AG349" i="1"/>
  <c r="AF350" i="1"/>
  <c r="AG350" i="1" s="1"/>
  <c r="AT822" i="1"/>
  <c r="AU820" i="1"/>
  <c r="AT826" i="1"/>
  <c r="Z822" i="1"/>
  <c r="Z826" i="1"/>
  <c r="AA820" i="1"/>
  <c r="AN584" i="1"/>
  <c r="AO583" i="1"/>
  <c r="P664" i="1"/>
  <c r="P91" i="1"/>
  <c r="Q91" i="1" s="1"/>
  <c r="Q90" i="1"/>
  <c r="Q648" i="1"/>
  <c r="AV918" i="1"/>
  <c r="AW84" i="1"/>
  <c r="AA648" i="1"/>
  <c r="Z653" i="1"/>
  <c r="J665" i="1"/>
  <c r="K175" i="1"/>
  <c r="J176" i="1"/>
  <c r="K176" i="1" s="1"/>
  <c r="AW651" i="1"/>
  <c r="BX666" i="1"/>
  <c r="CQ387" i="1"/>
  <c r="CP387" i="1"/>
  <c r="B826" i="1"/>
  <c r="B822" i="1"/>
  <c r="BV666" i="1"/>
  <c r="BB668" i="1"/>
  <c r="BC422" i="1"/>
  <c r="BB423" i="1"/>
  <c r="CF413" i="1"/>
  <c r="CL879" i="1"/>
  <c r="CK847" i="1"/>
  <c r="CL847" i="1" s="1"/>
  <c r="CM879" i="1"/>
  <c r="AP11" i="1"/>
  <c r="AQ6" i="1"/>
  <c r="BD664" i="1"/>
  <c r="BD91" i="1"/>
  <c r="BE90" i="1"/>
  <c r="BU638" i="1"/>
  <c r="BV638" i="1" s="1"/>
  <c r="BV635" i="1"/>
  <c r="BU637" i="1"/>
  <c r="BV637" i="1" s="1"/>
  <c r="AP921" i="1"/>
  <c r="AQ343" i="1"/>
  <c r="AN922" i="1"/>
  <c r="AO418" i="1"/>
  <c r="AB795" i="1"/>
  <c r="AC787" i="1"/>
  <c r="AB788" i="1"/>
  <c r="AC788" i="1" s="1"/>
  <c r="AB789" i="1"/>
  <c r="AE6" i="1"/>
  <c r="AD11" i="1"/>
  <c r="AT664" i="1"/>
  <c r="AT91" i="1"/>
  <c r="AU90" i="1"/>
  <c r="Y649" i="1"/>
  <c r="BM432" i="1"/>
  <c r="BL440" i="1"/>
  <c r="CK432" i="1"/>
  <c r="CI432" i="1"/>
  <c r="AX795" i="1"/>
  <c r="AY787" i="1"/>
  <c r="AX788" i="1"/>
  <c r="AY788" i="1" s="1"/>
  <c r="AX789" i="1"/>
  <c r="N795" i="1"/>
  <c r="O795" i="1" s="1"/>
  <c r="O787" i="1"/>
  <c r="N788" i="1"/>
  <c r="O788" i="1" s="1"/>
  <c r="AC666" i="1"/>
  <c r="BG80" i="1"/>
  <c r="BH80" i="1"/>
  <c r="CF633" i="1"/>
  <c r="AZ668" i="1"/>
  <c r="BA422" i="1"/>
  <c r="AZ423" i="1"/>
  <c r="BA423" i="1" s="1"/>
  <c r="BY794" i="1"/>
  <c r="CD452" i="1"/>
  <c r="CC455" i="1"/>
  <c r="CC456" i="1" s="1"/>
  <c r="CD456" i="1" s="1"/>
  <c r="CE448" i="1"/>
  <c r="CK372" i="1"/>
  <c r="CJ372" i="1"/>
  <c r="CI373" i="1"/>
  <c r="CJ373" i="1" s="1"/>
  <c r="AH655" i="1"/>
  <c r="AH613" i="1"/>
  <c r="AI610" i="1"/>
  <c r="AH13" i="1"/>
  <c r="CO381" i="1"/>
  <c r="CN381" i="1"/>
  <c r="BC813" i="1"/>
  <c r="M665" i="1"/>
  <c r="AZ921" i="1"/>
  <c r="BA343" i="1"/>
  <c r="CQ310" i="1"/>
  <c r="CP310" i="1"/>
  <c r="CC822" i="1"/>
  <c r="L667" i="1"/>
  <c r="M349" i="1"/>
  <c r="L350" i="1"/>
  <c r="M350" i="1" s="1"/>
  <c r="AR921" i="1"/>
  <c r="AS343" i="1"/>
  <c r="K648" i="1"/>
  <c r="J653" i="1"/>
  <c r="V667" i="1"/>
  <c r="V350" i="1"/>
  <c r="CJ248" i="1"/>
  <c r="CI261" i="1"/>
  <c r="S651" i="1"/>
  <c r="BZ633" i="1"/>
  <c r="CF576" i="1"/>
  <c r="CE583" i="1"/>
  <c r="CE577" i="1"/>
  <c r="BD921" i="1"/>
  <c r="BE343" i="1"/>
  <c r="BK300" i="1"/>
  <c r="BJ317" i="1"/>
  <c r="BV398" i="1"/>
  <c r="BU417" i="1"/>
  <c r="BU413" i="1"/>
  <c r="BV413" i="1" s="1"/>
  <c r="BU414" i="1"/>
  <c r="BV414" i="1" s="1"/>
  <c r="CI483" i="1"/>
  <c r="CJ483" i="1" s="1"/>
  <c r="CJ474" i="1"/>
  <c r="AC83" i="1"/>
  <c r="AR918" i="1"/>
  <c r="AS84" i="1"/>
  <c r="J920" i="1"/>
  <c r="K274" i="1"/>
  <c r="S274" i="1"/>
  <c r="AF922" i="1"/>
  <c r="AG418" i="1"/>
  <c r="AE583" i="1"/>
  <c r="AD584" i="1"/>
  <c r="BJ753" i="1"/>
  <c r="BJ754" i="1" s="1"/>
  <c r="BI753" i="1"/>
  <c r="BY651" i="1"/>
  <c r="BY349" i="1"/>
  <c r="BY343" i="1"/>
  <c r="BY9" i="1"/>
  <c r="BM402" i="1"/>
  <c r="BL403" i="1"/>
  <c r="BF812" i="1"/>
  <c r="BG812" i="1" s="1"/>
  <c r="BF811" i="1"/>
  <c r="BG811" i="1" s="1"/>
  <c r="BG810" i="1"/>
  <c r="CI859" i="1"/>
  <c r="CK838" i="1"/>
  <c r="CJ838" i="1"/>
  <c r="CI846" i="1"/>
  <c r="R668" i="1"/>
  <c r="S422" i="1"/>
  <c r="R423" i="1"/>
  <c r="S423" i="1" s="1"/>
  <c r="BI654" i="1"/>
  <c r="AM655" i="1"/>
  <c r="CF619" i="1"/>
  <c r="CE622" i="1"/>
  <c r="BG309" i="1"/>
  <c r="BF318" i="1"/>
  <c r="F826" i="1"/>
  <c r="F822" i="1"/>
  <c r="H826" i="1"/>
  <c r="CB79" i="1"/>
  <c r="CC651" i="1"/>
  <c r="CC349" i="1"/>
  <c r="CC343" i="1"/>
  <c r="CD342" i="1"/>
  <c r="CC9" i="1"/>
  <c r="CC583" i="1"/>
  <c r="CC577" i="1"/>
  <c r="CD577" i="1" s="1"/>
  <c r="CD576" i="1"/>
  <c r="CK870" i="1"/>
  <c r="CM863" i="1"/>
  <c r="CL863" i="1"/>
  <c r="AX918" i="1"/>
  <c r="AY84" i="1"/>
  <c r="AM577" i="1"/>
  <c r="F542" i="1"/>
  <c r="AI583" i="1"/>
  <c r="AH584" i="1"/>
  <c r="AI584" i="1" s="1"/>
  <c r="BE782" i="1"/>
  <c r="P919" i="1"/>
  <c r="Q169" i="1"/>
  <c r="AK649" i="1"/>
  <c r="AS649" i="1"/>
  <c r="AE813" i="1"/>
  <c r="Y813" i="1"/>
  <c r="BA577" i="1"/>
  <c r="BX786" i="1"/>
  <c r="BW787" i="1"/>
  <c r="BW919" i="1"/>
  <c r="BX169" i="1"/>
  <c r="AH922" i="1"/>
  <c r="AI418" i="1"/>
  <c r="AY652" i="1"/>
  <c r="AQ782" i="1"/>
  <c r="W6" i="1"/>
  <c r="V11" i="1"/>
  <c r="AM648" i="1"/>
  <c r="AL653" i="1"/>
  <c r="BB918" i="1"/>
  <c r="BC84" i="1"/>
  <c r="O648" i="1"/>
  <c r="CB685" i="1"/>
  <c r="CJ743" i="1"/>
  <c r="CI738" i="1"/>
  <c r="CK743" i="1"/>
  <c r="D259" i="1"/>
  <c r="D223" i="1"/>
  <c r="CH79" i="1"/>
  <c r="Z795" i="1"/>
  <c r="AA787" i="1"/>
  <c r="Z788" i="1"/>
  <c r="AA788" i="1" s="1"/>
  <c r="Z789" i="1"/>
  <c r="BE827" i="1"/>
  <c r="CG827" i="1"/>
  <c r="CH827" i="1" s="1"/>
  <c r="BK244" i="1"/>
  <c r="O652" i="1"/>
  <c r="BY665" i="1"/>
  <c r="BY176" i="1"/>
  <c r="BZ175" i="1"/>
  <c r="BD668" i="1"/>
  <c r="BE422" i="1"/>
  <c r="BD423" i="1"/>
  <c r="BE423" i="1" s="1"/>
  <c r="Y577" i="1"/>
  <c r="AY13" i="1"/>
  <c r="AQ13" i="1"/>
  <c r="Z668" i="1"/>
  <c r="AA422" i="1"/>
  <c r="Z423" i="1"/>
  <c r="AA423" i="1" s="1"/>
  <c r="AP922" i="1"/>
  <c r="AQ418" i="1"/>
  <c r="CK873" i="1"/>
  <c r="CJ873" i="1"/>
  <c r="AR822" i="1"/>
  <c r="AR826" i="1"/>
  <c r="AS820" i="1"/>
  <c r="F46" i="1"/>
  <c r="F47" i="1" s="1"/>
  <c r="F45" i="1"/>
  <c r="F44" i="1"/>
  <c r="F35" i="1"/>
  <c r="F43" i="1"/>
  <c r="P922" i="1"/>
  <c r="Q418" i="1"/>
  <c r="M133" i="1"/>
  <c r="L134" i="1"/>
  <c r="M134" i="1" s="1"/>
  <c r="K782" i="1"/>
  <c r="AX822" i="1"/>
  <c r="AX826" i="1"/>
  <c r="AY820" i="1"/>
  <c r="CC649" i="1"/>
  <c r="CC169" i="1"/>
  <c r="CF169" i="1" s="1"/>
  <c r="CC175" i="1"/>
  <c r="CF175" i="1" s="1"/>
  <c r="CC7" i="1"/>
  <c r="CD168" i="1"/>
  <c r="AL665" i="1"/>
  <c r="AM175" i="1"/>
  <c r="AL176" i="1"/>
  <c r="T919" i="1"/>
  <c r="U169" i="1"/>
  <c r="AE7" i="1"/>
  <c r="AA9" i="1"/>
  <c r="AA651" i="1"/>
  <c r="BX123" i="1"/>
  <c r="BW148" i="1"/>
  <c r="BW153" i="1"/>
  <c r="BX153" i="1" s="1"/>
  <c r="BW149" i="1"/>
  <c r="BX149" i="1" s="1"/>
  <c r="U782" i="1"/>
  <c r="BD822" i="1"/>
  <c r="BE820" i="1"/>
  <c r="BD826" i="1"/>
  <c r="X11" i="1"/>
  <c r="Y6" i="1"/>
  <c r="AN664" i="1"/>
  <c r="AN91" i="1"/>
  <c r="AO90" i="1"/>
  <c r="AO648" i="1"/>
  <c r="AN653" i="1"/>
  <c r="AZ918" i="1"/>
  <c r="BA84" i="1"/>
  <c r="BZ573" i="1"/>
  <c r="BE577" i="1"/>
  <c r="AY583" i="1"/>
  <c r="AX584" i="1"/>
  <c r="AY584" i="1" s="1"/>
  <c r="AX685" i="1"/>
  <c r="R822" i="1"/>
  <c r="R826" i="1"/>
  <c r="S820" i="1"/>
  <c r="CG651" i="1"/>
  <c r="CG349" i="1"/>
  <c r="CG343" i="1"/>
  <c r="CH342" i="1"/>
  <c r="CG9" i="1"/>
  <c r="CH9" i="1" s="1"/>
  <c r="R665" i="1"/>
  <c r="S175" i="1"/>
  <c r="R176" i="1"/>
  <c r="S176" i="1" s="1"/>
  <c r="AJ667" i="1"/>
  <c r="AK349" i="1"/>
  <c r="AJ350" i="1"/>
  <c r="AT922" i="1"/>
  <c r="AU418" i="1"/>
  <c r="BL300" i="1"/>
  <c r="CE651" i="1"/>
  <c r="CE349" i="1"/>
  <c r="CE343" i="1"/>
  <c r="CF342" i="1"/>
  <c r="CE9" i="1"/>
  <c r="AL795" i="1"/>
  <c r="AL789" i="1"/>
  <c r="AM787" i="1"/>
  <c r="AL788" i="1"/>
  <c r="AV795" i="1"/>
  <c r="AW787" i="1"/>
  <c r="AV788" i="1"/>
  <c r="AW788" i="1" s="1"/>
  <c r="AV789" i="1"/>
  <c r="AK813" i="1"/>
  <c r="CI319" i="1"/>
  <c r="J638" i="1"/>
  <c r="K638" i="1" s="1"/>
  <c r="J637" i="1"/>
  <c r="K637" i="1" s="1"/>
  <c r="K635" i="1"/>
  <c r="BX620" i="1"/>
  <c r="BZ620" i="1"/>
  <c r="M652" i="1"/>
  <c r="AC652" i="1"/>
  <c r="U651" i="1"/>
  <c r="V638" i="1"/>
  <c r="V636" i="1"/>
  <c r="CA649" i="1"/>
  <c r="CA175" i="1"/>
  <c r="CA169" i="1"/>
  <c r="CB168" i="1"/>
  <c r="CA7" i="1"/>
  <c r="CB7" i="1" s="1"/>
  <c r="R11" i="1"/>
  <c r="S6" i="1"/>
  <c r="CA820" i="1"/>
  <c r="CA813" i="1"/>
  <c r="CB813" i="1" s="1"/>
  <c r="CB774" i="1"/>
  <c r="AR795" i="1"/>
  <c r="AS787" i="1"/>
  <c r="AR788" i="1"/>
  <c r="AR789" i="1"/>
  <c r="V665" i="1"/>
  <c r="W175" i="1"/>
  <c r="V176" i="1"/>
  <c r="CC652" i="1"/>
  <c r="CC418" i="1"/>
  <c r="CD417" i="1"/>
  <c r="CC422" i="1"/>
  <c r="CC10" i="1"/>
  <c r="AF636" i="1"/>
  <c r="AF638" i="1"/>
  <c r="BW83" i="1"/>
  <c r="BZ83" i="1" s="1"/>
  <c r="BX60" i="1"/>
  <c r="BW79" i="1"/>
  <c r="BX79" i="1" s="1"/>
  <c r="BW80" i="1"/>
  <c r="BX80" i="1" s="1"/>
  <c r="CJ379" i="1"/>
  <c r="CK379" i="1"/>
  <c r="CI380" i="1"/>
  <c r="CJ380" i="1" s="1"/>
  <c r="AI648" i="1"/>
  <c r="AH653" i="1"/>
  <c r="AE651" i="1"/>
  <c r="P651" i="1"/>
  <c r="Q342" i="1"/>
  <c r="P349" i="1"/>
  <c r="P343" i="1"/>
  <c r="P9" i="1"/>
  <c r="Y342" i="1"/>
  <c r="CI263" i="1"/>
  <c r="CJ249" i="1"/>
  <c r="BG396" i="1"/>
  <c r="BF398" i="1"/>
  <c r="W655" i="1"/>
  <c r="B666" i="1"/>
  <c r="B280" i="1"/>
  <c r="AR584" i="1"/>
  <c r="AS583" i="1"/>
  <c r="AR685" i="1"/>
  <c r="BI487" i="1"/>
  <c r="BH489" i="1"/>
  <c r="BI489" i="1" s="1"/>
  <c r="AG649" i="1"/>
  <c r="N665" i="1"/>
  <c r="O175" i="1"/>
  <c r="N176" i="1"/>
  <c r="O176" i="1" s="1"/>
  <c r="AB667" i="1"/>
  <c r="AC349" i="1"/>
  <c r="AB350" i="1"/>
  <c r="AC350" i="1" s="1"/>
  <c r="AL922" i="1"/>
  <c r="AM418" i="1"/>
  <c r="CB601" i="1"/>
  <c r="CA610" i="1"/>
  <c r="BU919" i="1"/>
  <c r="BV169" i="1"/>
  <c r="AU583" i="1"/>
  <c r="AT584" i="1"/>
  <c r="AT685" i="1"/>
  <c r="AD795" i="1"/>
  <c r="AD789" i="1"/>
  <c r="AE787" i="1"/>
  <c r="AD788" i="1"/>
  <c r="AE788" i="1" s="1"/>
  <c r="AT638" i="1"/>
  <c r="AU635" i="1"/>
  <c r="AT636" i="1"/>
  <c r="CL224" i="1"/>
  <c r="CM224" i="1"/>
  <c r="CJ839" i="1"/>
  <c r="CK839" i="1"/>
  <c r="AB919" i="1"/>
  <c r="AC169" i="1"/>
  <c r="BU342" i="1"/>
  <c r="BU339" i="1"/>
  <c r="BV339" i="1" s="1"/>
  <c r="BV320" i="1"/>
  <c r="BU338" i="1"/>
  <c r="BV338" i="1" s="1"/>
  <c r="CC794" i="1"/>
  <c r="BY822" i="1"/>
  <c r="BV227" i="1"/>
  <c r="BU228" i="1"/>
  <c r="BV228" i="1" s="1"/>
  <c r="BU264" i="1"/>
  <c r="BV264" i="1" s="1"/>
  <c r="CB271" i="1"/>
  <c r="P11" i="1"/>
  <c r="Q6" i="1"/>
  <c r="AF664" i="1"/>
  <c r="AF91" i="1"/>
  <c r="AG91" i="1" s="1"/>
  <c r="AG90" i="1"/>
  <c r="AG648" i="1"/>
  <c r="AF653" i="1"/>
  <c r="Z919" i="1"/>
  <c r="AA169" i="1"/>
  <c r="Z664" i="1"/>
  <c r="AA90" i="1"/>
  <c r="Z91" i="1"/>
  <c r="K649" i="1"/>
  <c r="AV921" i="1"/>
  <c r="AW343" i="1"/>
  <c r="W652" i="1"/>
  <c r="BI406" i="1"/>
  <c r="CF414" i="1"/>
  <c r="AP918" i="1"/>
  <c r="AQ84" i="1"/>
  <c r="M650" i="1"/>
  <c r="BA671" i="1"/>
  <c r="CO878" i="1"/>
  <c r="CN878" i="1"/>
  <c r="AP667" i="1"/>
  <c r="AP350" i="1"/>
  <c r="AQ350" i="1" s="1"/>
  <c r="AQ349" i="1"/>
  <c r="AN668" i="1"/>
  <c r="AO422" i="1"/>
  <c r="AN423" i="1"/>
  <c r="CH670" i="1"/>
  <c r="AD918" i="1"/>
  <c r="AE84" i="1"/>
  <c r="AU6" i="1"/>
  <c r="AT11" i="1"/>
  <c r="CE665" i="1"/>
  <c r="CH175" i="1"/>
  <c r="CE176" i="1"/>
  <c r="BJ654" i="1"/>
  <c r="BJ631" i="1"/>
  <c r="BK631" i="1" s="1"/>
  <c r="BJ443" i="1"/>
  <c r="BK440" i="1"/>
  <c r="BJ12" i="1"/>
  <c r="BK12" i="1" s="1"/>
  <c r="CS572" i="1"/>
  <c r="CH572" i="1"/>
  <c r="CA652" i="1"/>
  <c r="CA422" i="1"/>
  <c r="CA418" i="1"/>
  <c r="CB417" i="1"/>
  <c r="CA10" i="1"/>
  <c r="U10" i="1"/>
  <c r="U652" i="1"/>
  <c r="BL395" i="1"/>
  <c r="BM395" i="1" s="1"/>
  <c r="BM373" i="1"/>
  <c r="AD671" i="1"/>
  <c r="AE613" i="1"/>
  <c r="BB822" i="1"/>
  <c r="BC820" i="1"/>
  <c r="BB826" i="1"/>
  <c r="BC826" i="1" s="1"/>
  <c r="BY648" i="1"/>
  <c r="BY90" i="1"/>
  <c r="BY84" i="1"/>
  <c r="BY6" i="1"/>
  <c r="AZ667" i="1"/>
  <c r="BA349" i="1"/>
  <c r="AZ350" i="1"/>
  <c r="CS840" i="1"/>
  <c r="CR840" i="1"/>
  <c r="AL822" i="1"/>
  <c r="AM820" i="1"/>
  <c r="AL826" i="1"/>
  <c r="R635" i="1"/>
  <c r="S624" i="1"/>
  <c r="CJ841" i="1"/>
  <c r="CK841" i="1"/>
  <c r="CP250" i="1"/>
  <c r="CQ250" i="1"/>
  <c r="AR667" i="1"/>
  <c r="AS349" i="1"/>
  <c r="AR350" i="1"/>
  <c r="AS350" i="1" s="1"/>
  <c r="J664" i="1"/>
  <c r="J91" i="1"/>
  <c r="K91" i="1" s="1"/>
  <c r="K90" i="1"/>
  <c r="N666" i="1"/>
  <c r="O279" i="1"/>
  <c r="N280" i="1"/>
  <c r="W279" i="1"/>
  <c r="N671" i="1"/>
  <c r="O613" i="1"/>
  <c r="CG883" i="1"/>
  <c r="CH883" i="1" s="1"/>
  <c r="CH868" i="1"/>
  <c r="BW413" i="1"/>
  <c r="BX413" i="1" s="1"/>
  <c r="BX398" i="1"/>
  <c r="BW417" i="1"/>
  <c r="BW414" i="1"/>
  <c r="BX414" i="1" s="1"/>
  <c r="D822" i="1"/>
  <c r="D826" i="1"/>
  <c r="BD667" i="1"/>
  <c r="BE349" i="1"/>
  <c r="BD350" i="1"/>
  <c r="CK285" i="1"/>
  <c r="CM283" i="1"/>
  <c r="CM284" i="1" s="1"/>
  <c r="BC577" i="1"/>
  <c r="BY652" i="1"/>
  <c r="BY418" i="1"/>
  <c r="BZ417" i="1"/>
  <c r="BY422" i="1"/>
  <c r="BY10" i="1"/>
  <c r="AB664" i="1"/>
  <c r="AB91" i="1"/>
  <c r="AB653" i="1"/>
  <c r="S8" i="1"/>
  <c r="K8" i="1"/>
  <c r="K650" i="1"/>
  <c r="S650" i="1"/>
  <c r="AF668" i="1"/>
  <c r="AG422" i="1"/>
  <c r="AF423" i="1"/>
  <c r="AG423" i="1" s="1"/>
  <c r="BH754" i="1"/>
  <c r="AM635" i="1"/>
  <c r="AL636" i="1"/>
  <c r="AL638" i="1" s="1"/>
  <c r="BH476" i="1"/>
  <c r="BI472" i="1"/>
  <c r="BD636" i="1"/>
  <c r="BD638" i="1" s="1"/>
  <c r="BE635" i="1"/>
  <c r="BI792" i="1"/>
  <c r="BH810" i="1"/>
  <c r="BJ792" i="1"/>
  <c r="BH805" i="1"/>
  <c r="BM846" i="1"/>
  <c r="BL848" i="1"/>
  <c r="K652" i="1"/>
  <c r="CO836" i="1"/>
  <c r="CN836" i="1"/>
  <c r="AX921" i="1"/>
  <c r="AY343" i="1"/>
  <c r="BH670" i="1"/>
  <c r="BI443" i="1"/>
  <c r="AM13" i="1"/>
  <c r="CM732" i="1"/>
  <c r="CL732" i="1"/>
  <c r="L664" i="1"/>
  <c r="M90" i="1"/>
  <c r="L91" i="1"/>
  <c r="M91" i="1" s="1"/>
  <c r="M648" i="1"/>
  <c r="L653" i="1"/>
  <c r="CF252" i="1"/>
  <c r="CE273" i="1"/>
  <c r="CE271" i="1"/>
  <c r="CF271" i="1" s="1"/>
  <c r="BX781" i="1"/>
  <c r="BZ781" i="1"/>
  <c r="M782" i="1"/>
  <c r="CB80" i="1"/>
  <c r="CD573" i="1"/>
  <c r="AY648" i="1"/>
  <c r="AX653" i="1"/>
  <c r="CM427" i="1"/>
  <c r="CN426" i="1"/>
  <c r="AM583" i="1"/>
  <c r="AL584" i="1"/>
  <c r="AM584" i="1" s="1"/>
  <c r="F561" i="1"/>
  <c r="F557" i="1"/>
  <c r="F556" i="1"/>
  <c r="P665" i="1"/>
  <c r="P176" i="1"/>
  <c r="Q176" i="1" s="1"/>
  <c r="Q175" i="1"/>
  <c r="AH919" i="1"/>
  <c r="AI169" i="1"/>
  <c r="AS7" i="1"/>
  <c r="AK7" i="1"/>
  <c r="J921" i="1"/>
  <c r="K343" i="1"/>
  <c r="BM584" i="1"/>
  <c r="V822" i="1"/>
  <c r="W820" i="1"/>
  <c r="V826" i="1"/>
  <c r="AD822" i="1"/>
  <c r="AE820" i="1"/>
  <c r="AD826" i="1"/>
  <c r="X822" i="1"/>
  <c r="Y820" i="1"/>
  <c r="X826" i="1"/>
  <c r="CE648" i="1"/>
  <c r="CE6" i="1"/>
  <c r="CE90" i="1"/>
  <c r="CE84" i="1"/>
  <c r="CF83" i="1"/>
  <c r="CM378" i="1"/>
  <c r="AZ584" i="1"/>
  <c r="BA584" i="1" s="1"/>
  <c r="BA583" i="1"/>
  <c r="AZ685" i="1"/>
  <c r="W583" i="1"/>
  <c r="V584" i="1"/>
  <c r="W584" i="1" s="1"/>
  <c r="AX636" i="1"/>
  <c r="AX638" i="1" s="1"/>
  <c r="AY635" i="1"/>
  <c r="BW665" i="1"/>
  <c r="BX175" i="1"/>
  <c r="BW176" i="1"/>
  <c r="D666" i="1"/>
  <c r="D280" i="1"/>
  <c r="AH668" i="1"/>
  <c r="AI422" i="1"/>
  <c r="AH423" i="1"/>
  <c r="AI423" i="1" s="1"/>
  <c r="AX922" i="1"/>
  <c r="AY418" i="1"/>
  <c r="AQ813" i="1"/>
  <c r="J469" i="1"/>
  <c r="J452" i="1"/>
  <c r="S448" i="1"/>
  <c r="K448" i="1"/>
  <c r="CI488" i="1"/>
  <c r="V664" i="1"/>
  <c r="V91" i="1"/>
  <c r="W90" i="1"/>
  <c r="AL664" i="1"/>
  <c r="AL91" i="1"/>
  <c r="AM91" i="1" s="1"/>
  <c r="AM90" i="1"/>
  <c r="BC648" i="1"/>
  <c r="BB653" i="1"/>
  <c r="N664" i="1"/>
  <c r="O90" i="1"/>
  <c r="N91" i="1"/>
  <c r="O91" i="1" s="1"/>
  <c r="AO350" i="1"/>
  <c r="BL742" i="1"/>
  <c r="BM742" i="1" s="1"/>
  <c r="BM743" i="1"/>
  <c r="BL738" i="1"/>
  <c r="BL755" i="1"/>
  <c r="CF786" i="1"/>
  <c r="CE787" i="1"/>
  <c r="BI331" i="1"/>
  <c r="CH80" i="1"/>
  <c r="CA651" i="1"/>
  <c r="CA349" i="1"/>
  <c r="CA343" i="1"/>
  <c r="CB342" i="1"/>
  <c r="CA9" i="1"/>
  <c r="CB9" i="1" s="1"/>
  <c r="U577" i="1"/>
  <c r="BZ786" i="1"/>
  <c r="N922" i="1"/>
  <c r="O418" i="1"/>
  <c r="BZ7" i="1"/>
  <c r="BZ649" i="1"/>
  <c r="Y652" i="1"/>
  <c r="AC577" i="1"/>
  <c r="X584" i="1"/>
  <c r="Y584" i="1" s="1"/>
  <c r="Y583" i="1"/>
  <c r="AQ610" i="1"/>
  <c r="AP668" i="1"/>
  <c r="AQ422" i="1"/>
  <c r="AP423" i="1"/>
  <c r="CH810" i="1"/>
  <c r="CG812" i="1"/>
  <c r="CH812" i="1" s="1"/>
  <c r="AT921" i="1"/>
  <c r="AU343" i="1"/>
  <c r="Z655" i="1"/>
  <c r="Z613" i="1"/>
  <c r="AA610" i="1"/>
  <c r="Z13" i="1"/>
  <c r="P668" i="1"/>
  <c r="Q422" i="1"/>
  <c r="P423" i="1"/>
  <c r="Q423" i="1" s="1"/>
  <c r="AH635" i="1"/>
  <c r="AI624" i="1"/>
  <c r="L153" i="1"/>
  <c r="M153" i="1" s="1"/>
  <c r="M123" i="1"/>
  <c r="L149" i="1"/>
  <c r="M149" i="1" s="1"/>
  <c r="L148" i="1"/>
  <c r="CF670" i="1"/>
  <c r="J822" i="1"/>
  <c r="J826" i="1"/>
  <c r="K820" i="1"/>
  <c r="CD164" i="1"/>
  <c r="AM649" i="1"/>
  <c r="AU649" i="1"/>
  <c r="U274" i="1"/>
  <c r="T665" i="1"/>
  <c r="T176" i="1"/>
  <c r="U176" i="1" s="1"/>
  <c r="U175" i="1"/>
  <c r="AD919" i="1"/>
  <c r="AE169" i="1"/>
  <c r="AW10" i="1"/>
  <c r="AW652" i="1"/>
  <c r="AZ795" i="1"/>
  <c r="BA787" i="1"/>
  <c r="AZ788" i="1"/>
  <c r="BA788" i="1" s="1"/>
  <c r="AZ789" i="1"/>
  <c r="X918" i="1"/>
  <c r="Y84" i="1"/>
  <c r="AN11" i="1"/>
  <c r="AO6" i="1"/>
  <c r="AJ664" i="1"/>
  <c r="AK90" i="1"/>
  <c r="AJ91" i="1"/>
  <c r="AK648" i="1"/>
  <c r="AJ653" i="1"/>
  <c r="BU795" i="1"/>
  <c r="BV787" i="1"/>
  <c r="BU788" i="1"/>
  <c r="BV788" i="1" s="1"/>
  <c r="CD685" i="1"/>
  <c r="S7" i="1"/>
  <c r="S649" i="1"/>
  <c r="AT668" i="1"/>
  <c r="AU422" i="1"/>
  <c r="AT423" i="1"/>
  <c r="R655" i="1"/>
  <c r="R613" i="1"/>
  <c r="S610" i="1"/>
  <c r="R13" i="1"/>
  <c r="CF338" i="1"/>
  <c r="AJ822" i="1"/>
  <c r="AJ826" i="1"/>
  <c r="AK826" i="1" s="1"/>
  <c r="AK820" i="1"/>
  <c r="O106" i="1"/>
  <c r="N107" i="1"/>
  <c r="O107" i="1" s="1"/>
  <c r="P102" i="1"/>
  <c r="L922" i="1"/>
  <c r="M418" i="1"/>
  <c r="AS652" i="1"/>
  <c r="AK10" i="1"/>
  <c r="AK652" i="1"/>
  <c r="BU648" i="1"/>
  <c r="BU84" i="1"/>
  <c r="BV83" i="1"/>
  <c r="BU90" i="1"/>
  <c r="BU6" i="1"/>
  <c r="BB921" i="1"/>
  <c r="BC343" i="1"/>
  <c r="AB922" i="1"/>
  <c r="AC418" i="1"/>
  <c r="T921" i="1"/>
  <c r="U343" i="1"/>
  <c r="CD740" i="1"/>
  <c r="CF740" i="1"/>
  <c r="CC655" i="1"/>
  <c r="CC613" i="1"/>
  <c r="CD610" i="1"/>
  <c r="CC13" i="1"/>
  <c r="AL921" i="1"/>
  <c r="AM343" i="1"/>
  <c r="X469" i="1"/>
  <c r="X452" i="1"/>
  <c r="BV63" i="1"/>
  <c r="BU65" i="1"/>
  <c r="BV65" i="1" s="1"/>
  <c r="R664" i="1"/>
  <c r="S90" i="1"/>
  <c r="R91" i="1"/>
  <c r="S91" i="1" s="1"/>
  <c r="BK848" i="1"/>
  <c r="BJ849" i="1"/>
  <c r="BK849" i="1" s="1"/>
  <c r="CL867" i="1"/>
  <c r="CM867" i="1"/>
  <c r="CB778" i="1"/>
  <c r="CA782" i="1"/>
  <c r="CB782" i="1" s="1"/>
  <c r="W649" i="1"/>
  <c r="AG624" i="1"/>
  <c r="CF849" i="1"/>
  <c r="CE896" i="1"/>
  <c r="CF896" i="1" s="1"/>
  <c r="AH664" i="1"/>
  <c r="AI90" i="1"/>
  <c r="AH91" i="1"/>
  <c r="AI91" i="1" s="1"/>
  <c r="BL323" i="1"/>
  <c r="BK323" i="1"/>
  <c r="BJ325" i="1"/>
  <c r="N822" i="1"/>
  <c r="O820" i="1"/>
  <c r="N826" i="1"/>
  <c r="B711" i="1"/>
  <c r="O649" i="1"/>
  <c r="AL668" i="1"/>
  <c r="AM422" i="1"/>
  <c r="AL423" i="1"/>
  <c r="AM423" i="1" s="1"/>
  <c r="AV584" i="1"/>
  <c r="AW584" i="1" s="1"/>
  <c r="AW583" i="1"/>
  <c r="AV685" i="1"/>
  <c r="BE685" i="1" s="1"/>
  <c r="BU665" i="1"/>
  <c r="BU176" i="1"/>
  <c r="BV176" i="1" s="1"/>
  <c r="BV175" i="1"/>
  <c r="AE652" i="1"/>
  <c r="O522" i="1"/>
  <c r="N523" i="1"/>
  <c r="O523" i="1" s="1"/>
  <c r="P518" i="1"/>
  <c r="X795" i="1"/>
  <c r="X788" i="1"/>
  <c r="Y787" i="1"/>
  <c r="X789" i="1"/>
  <c r="CS366" i="1"/>
  <c r="CR366" i="1"/>
  <c r="BC782" i="1"/>
  <c r="BK406" i="1"/>
  <c r="P826" i="1"/>
  <c r="P822" i="1"/>
  <c r="Q820" i="1"/>
  <c r="AJ795" i="1"/>
  <c r="AK787" i="1"/>
  <c r="AJ788" i="1"/>
  <c r="AK788" i="1" s="1"/>
  <c r="AJ789" i="1"/>
  <c r="AP638" i="1"/>
  <c r="AQ635" i="1"/>
  <c r="AP636" i="1"/>
  <c r="AB665" i="1"/>
  <c r="AB176" i="1"/>
  <c r="AC176" i="1" s="1"/>
  <c r="AC175" i="1"/>
  <c r="AW7" i="1"/>
  <c r="AO7" i="1"/>
  <c r="AN665" i="1"/>
  <c r="AN176" i="1"/>
  <c r="AW175" i="1"/>
  <c r="AO175" i="1"/>
  <c r="AG651" i="1"/>
  <c r="CS643" i="1"/>
  <c r="CR643" i="1"/>
  <c r="CM844" i="1"/>
  <c r="CL844" i="1"/>
  <c r="Z635" i="1"/>
  <c r="AA624" i="1"/>
  <c r="H666" i="1"/>
  <c r="H280" i="1"/>
  <c r="Q280" i="1" s="1"/>
  <c r="AW13" i="1"/>
  <c r="AO13" i="1"/>
  <c r="AO655" i="1"/>
  <c r="AW655" i="1"/>
  <c r="BH821" i="1"/>
  <c r="BJ793" i="1"/>
  <c r="BI793" i="1"/>
  <c r="CA650" i="1"/>
  <c r="CA274" i="1"/>
  <c r="CA279" i="1"/>
  <c r="CA8" i="1"/>
  <c r="P918" i="1"/>
  <c r="Q84" i="1"/>
  <c r="AF11" i="1"/>
  <c r="AG6" i="1"/>
  <c r="AV664" i="1"/>
  <c r="AV91" i="1"/>
  <c r="AW91" i="1" s="1"/>
  <c r="AW90" i="1"/>
  <c r="AW648" i="1"/>
  <c r="AV653" i="1"/>
  <c r="Z665" i="1"/>
  <c r="AA175" i="1"/>
  <c r="Z176" i="1"/>
  <c r="AA176" i="1" s="1"/>
  <c r="Z11" i="1"/>
  <c r="AA6" i="1"/>
  <c r="AC80" i="1"/>
  <c r="AV667" i="1"/>
  <c r="AW349" i="1"/>
  <c r="AV350" i="1"/>
  <c r="AW350" i="1" s="1"/>
  <c r="V922" i="1"/>
  <c r="W418" i="1"/>
  <c r="BC652" i="1"/>
  <c r="CE652" i="1"/>
  <c r="CE422" i="1"/>
  <c r="CE418" i="1"/>
  <c r="CF417" i="1"/>
  <c r="CE10" i="1"/>
  <c r="J655" i="1"/>
  <c r="J613" i="1"/>
  <c r="K610" i="1"/>
  <c r="J13" i="1"/>
  <c r="K13" i="1" s="1"/>
  <c r="AQ648" i="1"/>
  <c r="AP653" i="1"/>
  <c r="L666" i="1"/>
  <c r="U666" i="1" s="1"/>
  <c r="M279" i="1"/>
  <c r="L280" i="1"/>
  <c r="M280" i="1" s="1"/>
  <c r="BD11" i="1"/>
  <c r="BE6" i="1"/>
  <c r="BE648" i="1"/>
  <c r="BD653" i="1"/>
  <c r="AQ651" i="1"/>
  <c r="CK861" i="1"/>
  <c r="CJ861" i="1"/>
  <c r="AE648" i="1"/>
  <c r="AD653" i="1"/>
  <c r="AT918" i="1"/>
  <c r="AU84" i="1"/>
  <c r="X919" i="1"/>
  <c r="Y169" i="1"/>
  <c r="CF7" i="1"/>
  <c r="CH7" i="1"/>
  <c r="CF649" i="1"/>
  <c r="CH649" i="1"/>
  <c r="CS573" i="1"/>
  <c r="CH573" i="1"/>
  <c r="CG583" i="1"/>
  <c r="CS576" i="1"/>
  <c r="CG577" i="1"/>
  <c r="CH576" i="1"/>
  <c r="U624" i="1"/>
  <c r="T635" i="1"/>
  <c r="AI350" i="1"/>
  <c r="T922" i="1"/>
  <c r="U418" i="1"/>
  <c r="BA10" i="1"/>
  <c r="BA652" i="1"/>
  <c r="BX576" i="1"/>
  <c r="BW583" i="1"/>
  <c r="BW577" i="1"/>
  <c r="BX577" i="1" s="1"/>
  <c r="N651" i="1"/>
  <c r="N653" i="1" s="1"/>
  <c r="N349" i="1"/>
  <c r="W349" i="1" s="1"/>
  <c r="N343" i="1"/>
  <c r="O342" i="1"/>
  <c r="N9" i="1"/>
  <c r="O9" i="1" s="1"/>
  <c r="AE655" i="1"/>
  <c r="CH849" i="1"/>
  <c r="BZ60" i="1"/>
  <c r="F923" i="1"/>
  <c r="F699" i="1"/>
  <c r="F703" i="1" s="1"/>
  <c r="F656" i="1"/>
  <c r="AW813" i="1"/>
  <c r="AJ584" i="1"/>
  <c r="AK583" i="1"/>
  <c r="CD774" i="1"/>
  <c r="M651" i="1"/>
  <c r="J11" i="1"/>
  <c r="K6" i="1"/>
  <c r="W342" i="1"/>
  <c r="N920" i="1"/>
  <c r="O274" i="1"/>
  <c r="W274" i="1"/>
  <c r="R921" i="1"/>
  <c r="S343" i="1"/>
  <c r="O655" i="1"/>
  <c r="BX601" i="1"/>
  <c r="BW610" i="1"/>
  <c r="CN298" i="1"/>
  <c r="CO298" i="1"/>
  <c r="CO303" i="1" s="1"/>
  <c r="CP303" i="1" s="1"/>
  <c r="BC583" i="1"/>
  <c r="BB584" i="1"/>
  <c r="BC584" i="1" s="1"/>
  <c r="BB685" i="1"/>
  <c r="AF822" i="1"/>
  <c r="AG820" i="1"/>
  <c r="AF826" i="1"/>
  <c r="AB11" i="1"/>
  <c r="AC6" i="1"/>
  <c r="AR664" i="1"/>
  <c r="AS90" i="1"/>
  <c r="AR91" i="1"/>
  <c r="AS91" i="1" s="1"/>
  <c r="AS648" i="1"/>
  <c r="AR653" i="1"/>
  <c r="AH795" i="1"/>
  <c r="AI787" i="1"/>
  <c r="AH789" i="1"/>
  <c r="AH788" i="1"/>
  <c r="AI788" i="1" s="1"/>
  <c r="CD619" i="1"/>
  <c r="CC622" i="1"/>
  <c r="BK403" i="1"/>
  <c r="BJ394" i="1"/>
  <c r="BW41" i="1"/>
  <c r="BW36" i="1"/>
  <c r="BX35" i="1"/>
  <c r="BY28" i="1"/>
  <c r="BF806" i="1"/>
  <c r="BG805" i="1"/>
  <c r="F666" i="1"/>
  <c r="F280" i="1"/>
  <c r="J922" i="1"/>
  <c r="K418" i="1"/>
  <c r="S652" i="1"/>
  <c r="AX667" i="1"/>
  <c r="AX350" i="1"/>
  <c r="AY350" i="1" s="1"/>
  <c r="AY349" i="1"/>
  <c r="L11" i="1"/>
  <c r="M6" i="1"/>
  <c r="AR636" i="1"/>
  <c r="AR638" i="1"/>
  <c r="AS635" i="1"/>
  <c r="AX664" i="1"/>
  <c r="AY90" i="1"/>
  <c r="AX91" i="1"/>
  <c r="AY91" i="1" s="1"/>
  <c r="Q649" i="1"/>
  <c r="AH665" i="1"/>
  <c r="AI175" i="1"/>
  <c r="AH176" i="1"/>
  <c r="AI176" i="1" s="1"/>
  <c r="AJ919" i="1"/>
  <c r="AK169" i="1"/>
  <c r="N635" i="1"/>
  <c r="O624" i="1"/>
  <c r="J667" i="1"/>
  <c r="J350" i="1"/>
  <c r="K350" i="1" s="1"/>
  <c r="K349" i="1"/>
  <c r="BM685" i="1"/>
  <c r="Y782" i="1"/>
  <c r="CF79" i="1"/>
  <c r="CO378" i="1"/>
  <c r="CP378" i="1" s="1"/>
  <c r="CP377" i="1"/>
  <c r="CQ377" i="1"/>
  <c r="BW820" i="1"/>
  <c r="BW813" i="1"/>
  <c r="BX813" i="1" s="1"/>
  <c r="BX774" i="1"/>
  <c r="BW782" i="1"/>
  <c r="BX782" i="1" s="1"/>
  <c r="AW635" i="1"/>
  <c r="AV636" i="1"/>
  <c r="AV638" i="1"/>
  <c r="AW638" i="1" s="1"/>
  <c r="BX649" i="1"/>
  <c r="D711" i="1"/>
  <c r="AX668" i="1"/>
  <c r="AY422" i="1"/>
  <c r="AX423" i="1"/>
  <c r="AY423" i="1" s="1"/>
  <c r="AP822" i="1"/>
  <c r="AP826" i="1"/>
  <c r="AQ826" i="1" s="1"/>
  <c r="AQ820" i="1"/>
  <c r="V918" i="1"/>
  <c r="W84" i="1"/>
  <c r="AM6" i="1"/>
  <c r="AL11" i="1"/>
  <c r="BC6" i="1"/>
  <c r="BB11" i="1"/>
  <c r="O6" i="1"/>
  <c r="N11" i="1"/>
  <c r="AO349" i="1"/>
  <c r="T655" i="1"/>
  <c r="U610" i="1"/>
  <c r="T613" i="1"/>
  <c r="T13" i="1"/>
  <c r="U13" i="1" s="1"/>
  <c r="BK738" i="1"/>
  <c r="BJ740" i="1"/>
  <c r="BK740" i="1" s="1"/>
  <c r="CE820" i="1"/>
  <c r="CH820" i="1" s="1"/>
  <c r="CE813" i="1"/>
  <c r="CF813" i="1" s="1"/>
  <c r="CF774" i="1"/>
  <c r="J187" i="1"/>
  <c r="H221" i="1"/>
  <c r="H194" i="1"/>
  <c r="AU613" i="1"/>
  <c r="CG648" i="1"/>
  <c r="CG90" i="1"/>
  <c r="CG84" i="1"/>
  <c r="CH83" i="1"/>
  <c r="CG6" i="1"/>
  <c r="CB338" i="1"/>
  <c r="AT795" i="1"/>
  <c r="AT789" i="1"/>
  <c r="AU787" i="1"/>
  <c r="AT788" i="1"/>
  <c r="AU788" i="1" s="1"/>
  <c r="CJ843" i="1"/>
  <c r="CK843" i="1"/>
  <c r="M556" i="1"/>
  <c r="L558" i="1"/>
  <c r="M558" i="1" s="1"/>
  <c r="BM255" i="1"/>
  <c r="BL244" i="1"/>
  <c r="N668" i="1"/>
  <c r="O422" i="1"/>
  <c r="N423" i="1"/>
  <c r="O423" i="1" s="1"/>
  <c r="X922" i="1"/>
  <c r="Y418" i="1"/>
  <c r="BE652" i="1"/>
  <c r="CI472" i="1"/>
  <c r="AB584" i="1"/>
  <c r="AC584" i="1" s="1"/>
  <c r="AC583" i="1"/>
  <c r="AP671" i="1"/>
  <c r="AQ613" i="1"/>
  <c r="Q110" i="1"/>
  <c r="P114" i="1"/>
  <c r="AA10" i="1"/>
  <c r="AA652" i="1"/>
  <c r="CG806" i="1"/>
  <c r="CH806" i="1" s="1"/>
  <c r="BD807" i="1"/>
  <c r="BE806" i="1"/>
  <c r="AT667" i="1"/>
  <c r="AT350" i="1"/>
  <c r="AU349" i="1"/>
  <c r="BW225" i="1"/>
  <c r="BX223" i="1"/>
  <c r="BW260" i="1"/>
  <c r="BX260" i="1" s="1"/>
  <c r="AU7" i="1"/>
  <c r="AM7" i="1"/>
  <c r="Y666" i="1"/>
  <c r="Q514" i="1"/>
  <c r="P515" i="1"/>
  <c r="Q515" i="1" s="1"/>
  <c r="R510" i="1"/>
  <c r="L795" i="1"/>
  <c r="M795" i="1" s="1"/>
  <c r="L788" i="1"/>
  <c r="M788" i="1" s="1"/>
  <c r="M787" i="1"/>
  <c r="U649" i="1"/>
  <c r="AD665" i="1"/>
  <c r="AE175" i="1"/>
  <c r="AD176" i="1"/>
  <c r="AE176" i="1" s="1"/>
  <c r="H669" i="1"/>
  <c r="H672" i="1" s="1"/>
  <c r="H723" i="1" s="1"/>
  <c r="Z921" i="1"/>
  <c r="AA343" i="1"/>
  <c r="AV922" i="1"/>
  <c r="AW418" i="1"/>
  <c r="CH619" i="1"/>
  <c r="CG622" i="1"/>
  <c r="CM860" i="1"/>
  <c r="CL860" i="1"/>
  <c r="BY655" i="1"/>
  <c r="BY613" i="1"/>
  <c r="BZ610" i="1"/>
  <c r="BY13" i="1"/>
  <c r="AN918" i="1"/>
  <c r="AO84" i="1"/>
  <c r="AJ11" i="1"/>
  <c r="AK6" i="1"/>
  <c r="AZ664" i="1"/>
  <c r="BA90" i="1"/>
  <c r="AZ91" i="1"/>
  <c r="BA91" i="1" s="1"/>
  <c r="BA648" i="1"/>
  <c r="AZ653" i="1"/>
  <c r="BK395" i="1"/>
  <c r="CI395" i="1"/>
  <c r="CJ395" i="1" s="1"/>
  <c r="BZ572" i="1"/>
  <c r="S782" i="1"/>
  <c r="CA635" i="1"/>
  <c r="AK9" i="1"/>
  <c r="AK651" i="1"/>
  <c r="D92" i="1"/>
  <c r="F669" i="1"/>
  <c r="F672" i="1" s="1"/>
  <c r="F720" i="1" s="1"/>
  <c r="CF339" i="1"/>
  <c r="CK874" i="1"/>
  <c r="CJ874" i="1"/>
  <c r="AK782" i="1"/>
  <c r="BK331" i="1"/>
  <c r="D13" i="23" l="1"/>
  <c r="E12" i="23"/>
  <c r="BS677" i="1"/>
  <c r="BS679" i="1" s="1"/>
  <c r="BS946" i="1"/>
  <c r="AU350" i="1"/>
  <c r="S13" i="1"/>
  <c r="AU423" i="1"/>
  <c r="AQ423" i="1"/>
  <c r="AY638" i="1"/>
  <c r="CB577" i="1"/>
  <c r="AE423" i="1"/>
  <c r="CL837" i="1"/>
  <c r="CM837" i="1"/>
  <c r="AK91" i="1"/>
  <c r="CF9" i="1"/>
  <c r="AO788" i="1"/>
  <c r="H133" i="1"/>
  <c r="H154" i="1"/>
  <c r="H123" i="1"/>
  <c r="CO374" i="1"/>
  <c r="CN374" i="1"/>
  <c r="CM371" i="1"/>
  <c r="CN371" i="1" s="1"/>
  <c r="CF10" i="1"/>
  <c r="Y788" i="1"/>
  <c r="AQ584" i="1"/>
  <c r="CD7" i="1"/>
  <c r="CH782" i="1"/>
  <c r="AO584" i="1"/>
  <c r="CO842" i="1"/>
  <c r="CN842" i="1"/>
  <c r="F150" i="1"/>
  <c r="N923" i="1"/>
  <c r="N699" i="1"/>
  <c r="N703" i="1" s="1"/>
  <c r="O653" i="1"/>
  <c r="N656" i="1"/>
  <c r="CL365" i="1"/>
  <c r="AZ923" i="1"/>
  <c r="AZ699" i="1"/>
  <c r="AZ703" i="1" s="1"/>
  <c r="BA653" i="1"/>
  <c r="AZ656" i="1"/>
  <c r="BW227" i="1"/>
  <c r="BX225" i="1"/>
  <c r="BW262" i="1"/>
  <c r="BX262" i="1" s="1"/>
  <c r="CM874" i="1"/>
  <c r="CL874" i="1"/>
  <c r="AJ14" i="1"/>
  <c r="AK11" i="1"/>
  <c r="H720" i="1"/>
  <c r="AE665" i="1"/>
  <c r="BE807" i="1"/>
  <c r="CG807" i="1"/>
  <c r="CH807" i="1" s="1"/>
  <c r="BY671" i="1"/>
  <c r="CG624" i="1"/>
  <c r="CG635" i="1" s="1"/>
  <c r="CH622" i="1"/>
  <c r="CH813" i="1"/>
  <c r="F727" i="1"/>
  <c r="F726" i="1"/>
  <c r="F721" i="1"/>
  <c r="F724" i="1"/>
  <c r="BA664" i="1"/>
  <c r="AZ669" i="1"/>
  <c r="AU667" i="1"/>
  <c r="R110" i="1"/>
  <c r="Q114" i="1"/>
  <c r="P115" i="1"/>
  <c r="Q115" i="1" s="1"/>
  <c r="CH6" i="1"/>
  <c r="CH648" i="1"/>
  <c r="J199" i="1"/>
  <c r="K199" i="1" s="1"/>
  <c r="J198" i="1"/>
  <c r="K198" i="1" s="1"/>
  <c r="J193" i="1"/>
  <c r="K187" i="1"/>
  <c r="J200" i="1"/>
  <c r="AY668" i="1"/>
  <c r="CS377" i="1"/>
  <c r="CR377" i="1"/>
  <c r="AR689" i="1"/>
  <c r="AR657" i="1"/>
  <c r="AR15" i="1"/>
  <c r="F722" i="1"/>
  <c r="AB14" i="1"/>
  <c r="BC685" i="1"/>
  <c r="BK685" i="1"/>
  <c r="AK584" i="1"/>
  <c r="N921" i="1"/>
  <c r="O343" i="1"/>
  <c r="BW584" i="1"/>
  <c r="BX584" i="1" s="1"/>
  <c r="BX583" i="1"/>
  <c r="CH577" i="1"/>
  <c r="CS577" i="1"/>
  <c r="BE11" i="1"/>
  <c r="BD14" i="1"/>
  <c r="AP923" i="1"/>
  <c r="AQ653" i="1"/>
  <c r="AP699" i="1"/>
  <c r="AP703" i="1" s="1"/>
  <c r="AP656" i="1"/>
  <c r="CF652" i="1"/>
  <c r="AA665" i="1"/>
  <c r="AW664" i="1"/>
  <c r="AV669" i="1"/>
  <c r="CA920" i="1"/>
  <c r="BH827" i="1"/>
  <c r="BI827" i="1" s="1"/>
  <c r="BI821" i="1"/>
  <c r="H722" i="1"/>
  <c r="CO844" i="1"/>
  <c r="CN844" i="1"/>
  <c r="AW176" i="1"/>
  <c r="AO176" i="1"/>
  <c r="AW685" i="1"/>
  <c r="CF655" i="1"/>
  <c r="BU918" i="1"/>
  <c r="BV84" i="1"/>
  <c r="S655" i="1"/>
  <c r="AJ923" i="1"/>
  <c r="AJ699" i="1"/>
  <c r="AJ703" i="1" s="1"/>
  <c r="AK653" i="1"/>
  <c r="AJ656" i="1"/>
  <c r="U665" i="1"/>
  <c r="Z671" i="1"/>
  <c r="AA613" i="1"/>
  <c r="AQ668" i="1"/>
  <c r="W91" i="1"/>
  <c r="AI668" i="1"/>
  <c r="CE918" i="1"/>
  <c r="CF84" i="1"/>
  <c r="Y826" i="1"/>
  <c r="BY826" i="1"/>
  <c r="V823" i="1"/>
  <c r="V828" i="1"/>
  <c r="W822" i="1"/>
  <c r="V894" i="1"/>
  <c r="F558" i="1"/>
  <c r="AX923" i="1"/>
  <c r="AY653" i="1"/>
  <c r="AX699" i="1"/>
  <c r="AX703" i="1" s="1"/>
  <c r="AX656" i="1"/>
  <c r="L923" i="1"/>
  <c r="L699" i="1"/>
  <c r="L703" i="1" s="1"/>
  <c r="L656" i="1"/>
  <c r="M653" i="1"/>
  <c r="BH812" i="1"/>
  <c r="BI812" i="1" s="1"/>
  <c r="BH811" i="1"/>
  <c r="BI811" i="1" s="1"/>
  <c r="BI810" i="1"/>
  <c r="BD689" i="1"/>
  <c r="BD657" i="1"/>
  <c r="BE636" i="1"/>
  <c r="BD15" i="1"/>
  <c r="AL689" i="1"/>
  <c r="AL657" i="1"/>
  <c r="AM636" i="1"/>
  <c r="AL15" i="1"/>
  <c r="AB669" i="1"/>
  <c r="BY922" i="1"/>
  <c r="AS667" i="1"/>
  <c r="BA350" i="1"/>
  <c r="CH896" i="1"/>
  <c r="AE671" i="1"/>
  <c r="BJ670" i="1"/>
  <c r="BK443" i="1"/>
  <c r="CH176" i="1"/>
  <c r="AO668" i="1"/>
  <c r="AF923" i="1"/>
  <c r="AF699" i="1"/>
  <c r="AF703" i="1" s="1"/>
  <c r="AG653" i="1"/>
  <c r="AF656" i="1"/>
  <c r="BY823" i="1"/>
  <c r="BY894" i="1"/>
  <c r="CO224" i="1"/>
  <c r="CN224" i="1"/>
  <c r="AT689" i="1"/>
  <c r="AU689" i="1" s="1"/>
  <c r="AT657" i="1"/>
  <c r="AU636" i="1"/>
  <c r="AT15" i="1"/>
  <c r="AU15" i="1" s="1"/>
  <c r="AU584" i="1"/>
  <c r="CA655" i="1"/>
  <c r="CA613" i="1"/>
  <c r="CB610" i="1"/>
  <c r="CA13" i="1"/>
  <c r="CB13" i="1" s="1"/>
  <c r="Q9" i="1"/>
  <c r="Y9" i="1"/>
  <c r="Q651" i="1"/>
  <c r="Y651" i="1"/>
  <c r="AH923" i="1"/>
  <c r="AI653" i="1"/>
  <c r="AH699" i="1"/>
  <c r="AH703" i="1" s="1"/>
  <c r="AH656" i="1"/>
  <c r="AF689" i="1"/>
  <c r="AF657" i="1"/>
  <c r="AF15" i="1"/>
  <c r="CA822" i="1"/>
  <c r="CB820" i="1"/>
  <c r="V689" i="1"/>
  <c r="W636" i="1"/>
  <c r="V657" i="1"/>
  <c r="V15" i="1"/>
  <c r="W15" i="1" s="1"/>
  <c r="BM300" i="1"/>
  <c r="BL317" i="1"/>
  <c r="BM317" i="1" s="1"/>
  <c r="S665" i="1"/>
  <c r="CG667" i="1"/>
  <c r="CG350" i="1"/>
  <c r="CH349" i="1"/>
  <c r="CG352" i="1"/>
  <c r="R894" i="1"/>
  <c r="R823" i="1"/>
  <c r="S822" i="1"/>
  <c r="AN923" i="1"/>
  <c r="AN699" i="1"/>
  <c r="AN703" i="1" s="1"/>
  <c r="AO653" i="1"/>
  <c r="AN656" i="1"/>
  <c r="BD823" i="1"/>
  <c r="BD828" i="1"/>
  <c r="BE822" i="1"/>
  <c r="BD894" i="1"/>
  <c r="BX148" i="1"/>
  <c r="BW150" i="1"/>
  <c r="BX150" i="1" s="1"/>
  <c r="CD649" i="1"/>
  <c r="AR823" i="1"/>
  <c r="AR828" i="1"/>
  <c r="AS822" i="1"/>
  <c r="AR894" i="1"/>
  <c r="AA668" i="1"/>
  <c r="BZ178" i="1"/>
  <c r="CJ738" i="1"/>
  <c r="CI740" i="1"/>
  <c r="CJ740" i="1" s="1"/>
  <c r="CL870" i="1"/>
  <c r="CK785" i="1"/>
  <c r="CD9" i="1"/>
  <c r="CD651" i="1"/>
  <c r="CE624" i="1"/>
  <c r="CE635" i="1" s="1"/>
  <c r="CF622" i="1"/>
  <c r="CJ859" i="1"/>
  <c r="BM403" i="1"/>
  <c r="BL394" i="1"/>
  <c r="BY921" i="1"/>
  <c r="BL753" i="1"/>
  <c r="BK753" i="1"/>
  <c r="BL754" i="1"/>
  <c r="CE584" i="1"/>
  <c r="CF583" i="1"/>
  <c r="CE685" i="1"/>
  <c r="CD820" i="1"/>
  <c r="CP381" i="1"/>
  <c r="CQ381" i="1"/>
  <c r="AH716" i="1"/>
  <c r="AI655" i="1"/>
  <c r="CF448" i="1"/>
  <c r="CE452" i="1"/>
  <c r="CE469" i="1"/>
  <c r="CL432" i="1"/>
  <c r="CK440" i="1"/>
  <c r="CM432" i="1"/>
  <c r="BE91" i="1"/>
  <c r="BC668" i="1"/>
  <c r="B894" i="1"/>
  <c r="B823" i="1"/>
  <c r="B828" i="1"/>
  <c r="K665" i="1"/>
  <c r="AA826" i="1"/>
  <c r="AT823" i="1"/>
  <c r="AT828" i="1"/>
  <c r="AU822" i="1"/>
  <c r="AT894" i="1"/>
  <c r="AG667" i="1"/>
  <c r="CD6" i="1"/>
  <c r="CD648" i="1"/>
  <c r="CL302" i="1"/>
  <c r="T664" i="1"/>
  <c r="T91" i="1"/>
  <c r="U91" i="1" s="1"/>
  <c r="U90" i="1"/>
  <c r="U648" i="1"/>
  <c r="T653" i="1"/>
  <c r="AP794" i="1"/>
  <c r="AQ795" i="1"/>
  <c r="N538" i="1"/>
  <c r="O538" i="1" s="1"/>
  <c r="O537" i="1"/>
  <c r="H659" i="1"/>
  <c r="H658" i="1"/>
  <c r="H715" i="1"/>
  <c r="H716" i="1"/>
  <c r="H713" i="1"/>
  <c r="H710" i="1"/>
  <c r="H712" i="1"/>
  <c r="H709" i="1"/>
  <c r="W671" i="1"/>
  <c r="AN823" i="1"/>
  <c r="AN828" i="1"/>
  <c r="AO822" i="1"/>
  <c r="AN894" i="1"/>
  <c r="AC826" i="1"/>
  <c r="CA795" i="1"/>
  <c r="CB787" i="1"/>
  <c r="CA789" i="1"/>
  <c r="CA788" i="1"/>
  <c r="CD787" i="1"/>
  <c r="AS668" i="1"/>
  <c r="L671" i="1"/>
  <c r="M613" i="1"/>
  <c r="BC788" i="1"/>
  <c r="AC13" i="1"/>
  <c r="AZ14" i="1"/>
  <c r="BA11" i="1"/>
  <c r="Y91" i="1"/>
  <c r="D65" i="1"/>
  <c r="Y423" i="1"/>
  <c r="CP858" i="1"/>
  <c r="CQ858" i="1"/>
  <c r="CO354" i="1"/>
  <c r="CM355" i="1"/>
  <c r="CN355" i="1" s="1"/>
  <c r="CN354" i="1"/>
  <c r="CO353" i="1"/>
  <c r="CP353" i="1" s="1"/>
  <c r="BC91" i="1"/>
  <c r="Y655" i="1"/>
  <c r="AK665" i="1"/>
  <c r="AS665" i="1"/>
  <c r="BA826" i="1"/>
  <c r="CA918" i="1"/>
  <c r="CB84" i="1"/>
  <c r="B228" i="1"/>
  <c r="B264" i="1"/>
  <c r="AM671" i="1"/>
  <c r="CC650" i="1"/>
  <c r="CC653" i="1" s="1"/>
  <c r="CC279" i="1"/>
  <c r="CC274" i="1"/>
  <c r="CD273" i="1"/>
  <c r="CC8" i="1"/>
  <c r="CD8" i="1" s="1"/>
  <c r="AW826" i="1"/>
  <c r="CE826" i="1"/>
  <c r="D659" i="1"/>
  <c r="D658" i="1"/>
  <c r="D715" i="1"/>
  <c r="D716" i="1"/>
  <c r="D713" i="1"/>
  <c r="D710" i="1"/>
  <c r="D712" i="1"/>
  <c r="D709" i="1"/>
  <c r="AJ716" i="1"/>
  <c r="AK655" i="1"/>
  <c r="AS655" i="1"/>
  <c r="AE91" i="1"/>
  <c r="AW11" i="1"/>
  <c r="AV14" i="1"/>
  <c r="H711" i="1"/>
  <c r="AF671" i="1"/>
  <c r="AG613" i="1"/>
  <c r="AI826" i="1"/>
  <c r="AM667" i="1"/>
  <c r="AG795" i="1"/>
  <c r="AF794" i="1"/>
  <c r="BZ782" i="1"/>
  <c r="BM406" i="1"/>
  <c r="N130" i="1"/>
  <c r="O130" i="1" s="1"/>
  <c r="O129" i="1"/>
  <c r="U655" i="1"/>
  <c r="BB14" i="1"/>
  <c r="BC11" i="1"/>
  <c r="AP823" i="1"/>
  <c r="AP828" i="1"/>
  <c r="AQ822" i="1"/>
  <c r="AP894" i="1"/>
  <c r="N638" i="1"/>
  <c r="O638" i="1" s="1"/>
  <c r="N637" i="1"/>
  <c r="O635" i="1"/>
  <c r="AX669" i="1"/>
  <c r="AY664" i="1"/>
  <c r="AY667" i="1"/>
  <c r="BX36" i="1"/>
  <c r="BW69" i="1"/>
  <c r="BX69" i="1" s="1"/>
  <c r="BW64" i="1"/>
  <c r="BX64" i="1" s="1"/>
  <c r="BW68" i="1"/>
  <c r="BX68" i="1" s="1"/>
  <c r="BW63" i="1"/>
  <c r="CD622" i="1"/>
  <c r="CC624" i="1"/>
  <c r="CC635" i="1" s="1"/>
  <c r="AG826" i="1"/>
  <c r="CA826" i="1"/>
  <c r="CB826" i="1" s="1"/>
  <c r="N667" i="1"/>
  <c r="N350" i="1"/>
  <c r="O350" i="1" s="1"/>
  <c r="O349" i="1"/>
  <c r="T636" i="1"/>
  <c r="T638" i="1" s="1"/>
  <c r="U635" i="1"/>
  <c r="AA11" i="1"/>
  <c r="Z14" i="1"/>
  <c r="AV923" i="1"/>
  <c r="AV699" i="1"/>
  <c r="AV703" i="1" s="1"/>
  <c r="AW653" i="1"/>
  <c r="AV656" i="1"/>
  <c r="AO665" i="1"/>
  <c r="AW665" i="1"/>
  <c r="AK795" i="1"/>
  <c r="AJ794" i="1"/>
  <c r="AM668" i="1"/>
  <c r="N894" i="1"/>
  <c r="N823" i="1"/>
  <c r="N828" i="1"/>
  <c r="O822" i="1"/>
  <c r="BL325" i="1"/>
  <c r="BM323" i="1"/>
  <c r="AH669" i="1"/>
  <c r="AI664" i="1"/>
  <c r="R669" i="1"/>
  <c r="S664" i="1"/>
  <c r="X455" i="1"/>
  <c r="Z448" i="1"/>
  <c r="CD13" i="1"/>
  <c r="CF13" i="1"/>
  <c r="BV6" i="1"/>
  <c r="BV648" i="1"/>
  <c r="P118" i="1"/>
  <c r="Q102" i="1"/>
  <c r="P106" i="1"/>
  <c r="BU794" i="1"/>
  <c r="BV794" i="1" s="1"/>
  <c r="BV795" i="1"/>
  <c r="AO11" i="1"/>
  <c r="AN14" i="1"/>
  <c r="J894" i="1"/>
  <c r="J823" i="1"/>
  <c r="K823" i="1" s="1"/>
  <c r="J828" i="1"/>
  <c r="K822" i="1"/>
  <c r="M148" i="1"/>
  <c r="L150" i="1"/>
  <c r="M150" i="1" s="1"/>
  <c r="Q668" i="1"/>
  <c r="AA655" i="1"/>
  <c r="CA921" i="1"/>
  <c r="CB343" i="1"/>
  <c r="BM755" i="1"/>
  <c r="CI755" i="1"/>
  <c r="CJ755" i="1" s="1"/>
  <c r="O664" i="1"/>
  <c r="N669" i="1"/>
  <c r="AM664" i="1"/>
  <c r="AL669" i="1"/>
  <c r="W664" i="1"/>
  <c r="V669" i="1"/>
  <c r="S452" i="1"/>
  <c r="K452" i="1"/>
  <c r="L448" i="1"/>
  <c r="J456" i="1"/>
  <c r="BX665" i="1"/>
  <c r="CE664" i="1"/>
  <c r="CF90" i="1"/>
  <c r="CE94" i="1"/>
  <c r="CE91" i="1"/>
  <c r="AD823" i="1"/>
  <c r="AE823" i="1" s="1"/>
  <c r="AD828" i="1"/>
  <c r="AE828" i="1" s="1"/>
  <c r="AE822" i="1"/>
  <c r="AD894" i="1"/>
  <c r="BE584" i="1"/>
  <c r="AB923" i="1"/>
  <c r="AB699" i="1"/>
  <c r="AB703" i="1" s="1"/>
  <c r="AC653" i="1"/>
  <c r="AB656" i="1"/>
  <c r="AC91" i="1"/>
  <c r="BE350" i="1"/>
  <c r="D894" i="1"/>
  <c r="D828" i="1"/>
  <c r="D823" i="1"/>
  <c r="O671" i="1"/>
  <c r="O666" i="1"/>
  <c r="W666" i="1"/>
  <c r="W9" i="1"/>
  <c r="J669" i="1"/>
  <c r="K664" i="1"/>
  <c r="CS250" i="1"/>
  <c r="CR250" i="1"/>
  <c r="AL823" i="1"/>
  <c r="AL828" i="1"/>
  <c r="AM828" i="1" s="1"/>
  <c r="AM822" i="1"/>
  <c r="AL894" i="1"/>
  <c r="BY918" i="1"/>
  <c r="CA922" i="1"/>
  <c r="CB418" i="1"/>
  <c r="CQ878" i="1"/>
  <c r="CP878" i="1"/>
  <c r="Z669" i="1"/>
  <c r="AA664" i="1"/>
  <c r="Q11" i="1"/>
  <c r="P14" i="1"/>
  <c r="O665" i="1"/>
  <c r="AS584" i="1"/>
  <c r="P921" i="1"/>
  <c r="Q343" i="1"/>
  <c r="Y343" i="1"/>
  <c r="CM379" i="1"/>
  <c r="CL379" i="1"/>
  <c r="CK380" i="1"/>
  <c r="CL380" i="1" s="1"/>
  <c r="CC922" i="1"/>
  <c r="CD418" i="1"/>
  <c r="W665" i="1"/>
  <c r="AS795" i="1"/>
  <c r="AR794" i="1"/>
  <c r="AS794" i="1" s="1"/>
  <c r="CA919" i="1"/>
  <c r="CB169" i="1"/>
  <c r="W635" i="1"/>
  <c r="CI331" i="1"/>
  <c r="CI324" i="1"/>
  <c r="CJ319" i="1"/>
  <c r="CE921" i="1"/>
  <c r="CF343" i="1"/>
  <c r="AK667" i="1"/>
  <c r="CH651" i="1"/>
  <c r="AY685" i="1"/>
  <c r="AO91" i="1"/>
  <c r="Y11" i="1"/>
  <c r="X14" i="1"/>
  <c r="AM176" i="1"/>
  <c r="BZ665" i="1"/>
  <c r="D225" i="1"/>
  <c r="D260" i="1"/>
  <c r="BW795" i="1"/>
  <c r="BX787" i="1"/>
  <c r="BW788" i="1"/>
  <c r="BZ787" i="1"/>
  <c r="BF320" i="1"/>
  <c r="BG318" i="1"/>
  <c r="CJ846" i="1"/>
  <c r="CI848" i="1"/>
  <c r="BY667" i="1"/>
  <c r="BY350" i="1"/>
  <c r="BK754" i="1"/>
  <c r="BJ756" i="1"/>
  <c r="BU652" i="1"/>
  <c r="BU418" i="1"/>
  <c r="BV417" i="1"/>
  <c r="BU422" i="1"/>
  <c r="BU10" i="1"/>
  <c r="BV10" i="1" s="1"/>
  <c r="W350" i="1"/>
  <c r="CC823" i="1"/>
  <c r="CD822" i="1"/>
  <c r="CC894" i="1"/>
  <c r="AI13" i="1"/>
  <c r="BJ80" i="1"/>
  <c r="BI80" i="1"/>
  <c r="BL654" i="1"/>
  <c r="BL631" i="1"/>
  <c r="BM631" i="1" s="1"/>
  <c r="BM440" i="1"/>
  <c r="BL443" i="1"/>
  <c r="BL12" i="1"/>
  <c r="BM12" i="1" s="1"/>
  <c r="AU664" i="1"/>
  <c r="AT669" i="1"/>
  <c r="AQ11" i="1"/>
  <c r="AP14" i="1"/>
  <c r="Z923" i="1"/>
  <c r="AA653" i="1"/>
  <c r="Z699" i="1"/>
  <c r="Z703" i="1" s="1"/>
  <c r="Z656" i="1"/>
  <c r="Z823" i="1"/>
  <c r="AA823" i="1" s="1"/>
  <c r="Z828" i="1"/>
  <c r="AA822" i="1"/>
  <c r="Z894" i="1"/>
  <c r="BZ813" i="1"/>
  <c r="CC664" i="1"/>
  <c r="CC91" i="1"/>
  <c r="CD90" i="1"/>
  <c r="T11" i="1"/>
  <c r="AC11" i="1" s="1"/>
  <c r="U6" i="1"/>
  <c r="U788" i="1"/>
  <c r="AG665" i="1"/>
  <c r="CA193" i="1"/>
  <c r="CB187" i="1"/>
  <c r="CA198" i="1"/>
  <c r="CB198" i="1" s="1"/>
  <c r="CA200" i="1"/>
  <c r="CB200" i="1" s="1"/>
  <c r="CA199" i="1"/>
  <c r="CB199" i="1" s="1"/>
  <c r="AB823" i="1"/>
  <c r="AB828" i="1"/>
  <c r="AC822" i="1"/>
  <c r="AB894" i="1"/>
  <c r="Q655" i="1"/>
  <c r="AZ689" i="1"/>
  <c r="BA689" i="1" s="1"/>
  <c r="AZ657" i="1"/>
  <c r="BA636" i="1"/>
  <c r="AZ15" i="1"/>
  <c r="BA15" i="1" s="1"/>
  <c r="Q666" i="1"/>
  <c r="AB671" i="1"/>
  <c r="AC613" i="1"/>
  <c r="BZ577" i="1"/>
  <c r="CG650" i="1"/>
  <c r="CG279" i="1"/>
  <c r="CG274" i="1"/>
  <c r="CH273" i="1"/>
  <c r="CG8" i="1"/>
  <c r="CG11" i="1" s="1"/>
  <c r="AW423" i="1"/>
  <c r="CN226" i="1"/>
  <c r="CO226" i="1"/>
  <c r="AJ636" i="1"/>
  <c r="AJ638" i="1" s="1"/>
  <c r="AS638" i="1" s="1"/>
  <c r="AK635" i="1"/>
  <c r="H204" i="1"/>
  <c r="F222" i="1"/>
  <c r="F211" i="1"/>
  <c r="V923" i="1"/>
  <c r="V799" i="1"/>
  <c r="V699" i="1"/>
  <c r="V703" i="1" s="1"/>
  <c r="W653" i="1"/>
  <c r="V656" i="1"/>
  <c r="Y13" i="1"/>
  <c r="AD689" i="1"/>
  <c r="AE636" i="1"/>
  <c r="AD657" i="1"/>
  <c r="AD15" i="1"/>
  <c r="AE15" i="1" s="1"/>
  <c r="AZ823" i="1"/>
  <c r="BA823" i="1" s="1"/>
  <c r="AZ828" i="1"/>
  <c r="BA828" i="1" s="1"/>
  <c r="BA822" i="1"/>
  <c r="AZ894" i="1"/>
  <c r="AY11" i="1"/>
  <c r="AX14" i="1"/>
  <c r="CA11" i="1"/>
  <c r="CB6" i="1"/>
  <c r="BG756" i="1"/>
  <c r="BF734" i="1"/>
  <c r="K666" i="1"/>
  <c r="S666" i="1"/>
  <c r="CD813" i="1"/>
  <c r="AK13" i="1"/>
  <c r="AS13" i="1"/>
  <c r="BE795" i="1"/>
  <c r="BD794" i="1"/>
  <c r="Y176" i="1"/>
  <c r="AP669" i="1"/>
  <c r="AQ664" i="1"/>
  <c r="W423" i="1"/>
  <c r="P638" i="1"/>
  <c r="Q638" i="1" s="1"/>
  <c r="P637" i="1"/>
  <c r="Q635" i="1"/>
  <c r="V794" i="1"/>
  <c r="W794" i="1" s="1"/>
  <c r="W795" i="1"/>
  <c r="CG922" i="1"/>
  <c r="CH418" i="1"/>
  <c r="BY624" i="1"/>
  <c r="BY635" i="1" s="1"/>
  <c r="BZ622" i="1"/>
  <c r="CB622" i="1"/>
  <c r="CK97" i="1"/>
  <c r="CM96" i="1"/>
  <c r="CM95" i="1"/>
  <c r="CL96" i="1"/>
  <c r="AI11" i="1"/>
  <c r="AH14" i="1"/>
  <c r="BB689" i="1"/>
  <c r="BB691" i="1" s="1"/>
  <c r="BB657" i="1"/>
  <c r="BC636" i="1"/>
  <c r="BB15" i="1"/>
  <c r="BC15" i="1" s="1"/>
  <c r="AH823" i="1"/>
  <c r="AI823" i="1" s="1"/>
  <c r="AH828" i="1"/>
  <c r="AI828" i="1" s="1"/>
  <c r="AI822" i="1"/>
  <c r="AH894" i="1"/>
  <c r="U350" i="1"/>
  <c r="AC423" i="1"/>
  <c r="BC350" i="1"/>
  <c r="AT794" i="1"/>
  <c r="AU795" i="1"/>
  <c r="CG918" i="1"/>
  <c r="CH84" i="1"/>
  <c r="AV689" i="1"/>
  <c r="AV657" i="1"/>
  <c r="AW636" i="1"/>
  <c r="AV15" i="1"/>
  <c r="AI665" i="1"/>
  <c r="AQ665" i="1"/>
  <c r="L14" i="1"/>
  <c r="M11" i="1"/>
  <c r="BG806" i="1"/>
  <c r="BF807" i="1"/>
  <c r="BG807" i="1" s="1"/>
  <c r="AH794" i="1"/>
  <c r="AI795" i="1"/>
  <c r="AS664" i="1"/>
  <c r="AR669" i="1"/>
  <c r="BW655" i="1"/>
  <c r="BZ655" i="1" s="1"/>
  <c r="BW613" i="1"/>
  <c r="BZ613" i="1" s="1"/>
  <c r="BX610" i="1"/>
  <c r="BW13" i="1"/>
  <c r="BX13" i="1" s="1"/>
  <c r="J14" i="1"/>
  <c r="K11" i="1"/>
  <c r="F659" i="1"/>
  <c r="F658" i="1"/>
  <c r="F715" i="1"/>
  <c r="F716" i="1"/>
  <c r="F710" i="1"/>
  <c r="F713" i="1"/>
  <c r="F712" i="1"/>
  <c r="F709" i="1"/>
  <c r="N712" i="1"/>
  <c r="O651" i="1"/>
  <c r="CS583" i="1"/>
  <c r="CG584" i="1"/>
  <c r="CH583" i="1"/>
  <c r="CG685" i="1"/>
  <c r="AD923" i="1"/>
  <c r="AD699" i="1"/>
  <c r="AD703" i="1" s="1"/>
  <c r="AE653" i="1"/>
  <c r="AD656" i="1"/>
  <c r="J671" i="1"/>
  <c r="K613" i="1"/>
  <c r="CE922" i="1"/>
  <c r="CF418" i="1"/>
  <c r="AW667" i="1"/>
  <c r="AG11" i="1"/>
  <c r="AF14" i="1"/>
  <c r="CA666" i="1"/>
  <c r="CA280" i="1"/>
  <c r="AA635" i="1"/>
  <c r="Z636" i="1"/>
  <c r="Z638" i="1" s="1"/>
  <c r="AC665" i="1"/>
  <c r="Y795" i="1"/>
  <c r="X794" i="1"/>
  <c r="U280" i="1"/>
  <c r="CO867" i="1"/>
  <c r="CN867" i="1"/>
  <c r="BU664" i="1"/>
  <c r="BU92" i="1"/>
  <c r="BV90" i="1"/>
  <c r="BU91" i="1"/>
  <c r="BV91" i="1" s="1"/>
  <c r="F723" i="1"/>
  <c r="AI635" i="1"/>
  <c r="AH636" i="1"/>
  <c r="AH638" i="1" s="1"/>
  <c r="AA13" i="1"/>
  <c r="CA667" i="1"/>
  <c r="CA350" i="1"/>
  <c r="CB350" i="1" s="1"/>
  <c r="CB349" i="1"/>
  <c r="BL740" i="1"/>
  <c r="BM740" i="1" s="1"/>
  <c r="BM738" i="1"/>
  <c r="BB923" i="1"/>
  <c r="BB699" i="1"/>
  <c r="BB703" i="1" s="1"/>
  <c r="BC653" i="1"/>
  <c r="BB656" i="1"/>
  <c r="CI494" i="1"/>
  <c r="CJ494" i="1" s="1"/>
  <c r="CJ488" i="1"/>
  <c r="K469" i="1"/>
  <c r="S469" i="1"/>
  <c r="CN378" i="1"/>
  <c r="CM380" i="1"/>
  <c r="CN380" i="1" s="1"/>
  <c r="CF6" i="1"/>
  <c r="X823" i="1"/>
  <c r="X828" i="1"/>
  <c r="Y822" i="1"/>
  <c r="X894" i="1"/>
  <c r="W826" i="1"/>
  <c r="CE650" i="1"/>
  <c r="CE274" i="1"/>
  <c r="CF273" i="1"/>
  <c r="CE279" i="1"/>
  <c r="CE8" i="1"/>
  <c r="CF8" i="1" s="1"/>
  <c r="CN732" i="1"/>
  <c r="CO732" i="1"/>
  <c r="BI670" i="1"/>
  <c r="BI805" i="1"/>
  <c r="BH806" i="1"/>
  <c r="BE638" i="1"/>
  <c r="BH496" i="1"/>
  <c r="BI476" i="1"/>
  <c r="AG668" i="1"/>
  <c r="BY668" i="1"/>
  <c r="BY423" i="1"/>
  <c r="W651" i="1"/>
  <c r="R638" i="1"/>
  <c r="S638" i="1" s="1"/>
  <c r="R637" i="1"/>
  <c r="S635" i="1"/>
  <c r="BA667" i="1"/>
  <c r="BY664" i="1"/>
  <c r="BY91" i="1"/>
  <c r="BB823" i="1"/>
  <c r="BC823" i="1" s="1"/>
  <c r="BB828" i="1"/>
  <c r="BC828" i="1" s="1"/>
  <c r="BC822" i="1"/>
  <c r="BB894" i="1"/>
  <c r="CA668" i="1"/>
  <c r="CA423" i="1"/>
  <c r="CB422" i="1"/>
  <c r="BK654" i="1"/>
  <c r="CH665" i="1"/>
  <c r="AO423" i="1"/>
  <c r="AA91" i="1"/>
  <c r="CL839" i="1"/>
  <c r="CM839" i="1"/>
  <c r="AU638" i="1"/>
  <c r="AD794" i="1"/>
  <c r="AE794" i="1" s="1"/>
  <c r="AE795" i="1"/>
  <c r="AC667" i="1"/>
  <c r="CK263" i="1"/>
  <c r="CJ263" i="1"/>
  <c r="P667" i="1"/>
  <c r="Q349" i="1"/>
  <c r="P350" i="1"/>
  <c r="Y349" i="1"/>
  <c r="BW648" i="1"/>
  <c r="BW6" i="1"/>
  <c r="BW90" i="1"/>
  <c r="BZ90" i="1" s="1"/>
  <c r="BW84" i="1"/>
  <c r="BZ84" i="1" s="1"/>
  <c r="BX83" i="1"/>
  <c r="CD10" i="1"/>
  <c r="CD652" i="1"/>
  <c r="R14" i="1"/>
  <c r="S11" i="1"/>
  <c r="CA665" i="1"/>
  <c r="CA176" i="1"/>
  <c r="CB176" i="1" s="1"/>
  <c r="CB175" i="1"/>
  <c r="W638" i="1"/>
  <c r="AW795" i="1"/>
  <c r="AV794" i="1"/>
  <c r="AL794" i="1"/>
  <c r="AM795" i="1"/>
  <c r="CE667" i="1"/>
  <c r="CE352" i="1"/>
  <c r="CF352" i="1" s="1"/>
  <c r="CE350" i="1"/>
  <c r="CF349" i="1"/>
  <c r="BE826" i="1"/>
  <c r="CG826" i="1"/>
  <c r="CH826" i="1" s="1"/>
  <c r="CC665" i="1"/>
  <c r="CF665" i="1" s="1"/>
  <c r="CC176" i="1"/>
  <c r="CD176" i="1" s="1"/>
  <c r="CD175" i="1"/>
  <c r="AY826" i="1"/>
  <c r="F41" i="1"/>
  <c r="F36" i="1"/>
  <c r="H28" i="1"/>
  <c r="CL873" i="1"/>
  <c r="CM873" i="1"/>
  <c r="BE668" i="1"/>
  <c r="AL923" i="1"/>
  <c r="AL699" i="1"/>
  <c r="AL703" i="1" s="1"/>
  <c r="AM653" i="1"/>
  <c r="AL656" i="1"/>
  <c r="V14" i="1"/>
  <c r="W11" i="1"/>
  <c r="CC921" i="1"/>
  <c r="CD343" i="1"/>
  <c r="S668" i="1"/>
  <c r="AE584" i="1"/>
  <c r="BZ413" i="1"/>
  <c r="CK261" i="1"/>
  <c r="CJ261" i="1"/>
  <c r="W667" i="1"/>
  <c r="BZ79" i="1"/>
  <c r="AX794" i="1"/>
  <c r="AY794" i="1" s="1"/>
  <c r="AY795" i="1"/>
  <c r="AD14" i="1"/>
  <c r="AE11" i="1"/>
  <c r="BE664" i="1"/>
  <c r="BD669" i="1"/>
  <c r="CM847" i="1"/>
  <c r="CN847" i="1" s="1"/>
  <c r="CO879" i="1"/>
  <c r="CN879" i="1"/>
  <c r="BC423" i="1"/>
  <c r="Q664" i="1"/>
  <c r="P669" i="1"/>
  <c r="AU826" i="1"/>
  <c r="CK299" i="1"/>
  <c r="CM297" i="1"/>
  <c r="CL297" i="1"/>
  <c r="T918" i="1"/>
  <c r="U84" i="1"/>
  <c r="AQ788" i="1"/>
  <c r="CA584" i="1"/>
  <c r="CB583" i="1"/>
  <c r="CJ785" i="1"/>
  <c r="AE350" i="1"/>
  <c r="AO826" i="1"/>
  <c r="CC826" i="1"/>
  <c r="CD826" i="1" s="1"/>
  <c r="BY223" i="1"/>
  <c r="BZ221" i="1"/>
  <c r="BY258" i="1"/>
  <c r="BZ258" i="1" s="1"/>
  <c r="R923" i="1"/>
  <c r="R799" i="1"/>
  <c r="S653" i="1"/>
  <c r="R699" i="1"/>
  <c r="R703" i="1" s="1"/>
  <c r="R656" i="1"/>
  <c r="AO638" i="1"/>
  <c r="Y635" i="1"/>
  <c r="X636" i="1"/>
  <c r="AG636" i="1" s="1"/>
  <c r="AK668" i="1"/>
  <c r="AS423" i="1"/>
  <c r="BW342" i="1"/>
  <c r="BX320" i="1"/>
  <c r="BW339" i="1"/>
  <c r="BW338" i="1"/>
  <c r="BZ320" i="1"/>
  <c r="CG823" i="1"/>
  <c r="CG894" i="1"/>
  <c r="L716" i="1"/>
  <c r="M716" i="1" s="1"/>
  <c r="M655" i="1"/>
  <c r="L638" i="1"/>
  <c r="M638" i="1" s="1"/>
  <c r="L637" i="1"/>
  <c r="M635" i="1"/>
  <c r="BZ583" i="1"/>
  <c r="BY584" i="1"/>
  <c r="BZ586" i="1" s="1"/>
  <c r="Y664" i="1"/>
  <c r="X669" i="1"/>
  <c r="T894" i="1"/>
  <c r="T823" i="1"/>
  <c r="T828" i="1"/>
  <c r="U822" i="1"/>
  <c r="AA667" i="1"/>
  <c r="CP845" i="1"/>
  <c r="CQ845" i="1"/>
  <c r="AQ655" i="1"/>
  <c r="BF685" i="1"/>
  <c r="BF497" i="1"/>
  <c r="BG496" i="1"/>
  <c r="BF500" i="1"/>
  <c r="BG500" i="1" s="1"/>
  <c r="Y668" i="1"/>
  <c r="CK362" i="1"/>
  <c r="CM360" i="1"/>
  <c r="CM365" i="1" s="1"/>
  <c r="CL360" i="1"/>
  <c r="BL864" i="1"/>
  <c r="BK864" i="1"/>
  <c r="AO667" i="1"/>
  <c r="BC664" i="1"/>
  <c r="BB669" i="1"/>
  <c r="X671" i="1"/>
  <c r="Y613" i="1"/>
  <c r="H541" i="1"/>
  <c r="H562" i="1"/>
  <c r="H531" i="1"/>
  <c r="CA664" i="1"/>
  <c r="CA91" i="1"/>
  <c r="CB90" i="1"/>
  <c r="L894" i="1"/>
  <c r="L828" i="1"/>
  <c r="L823" i="1"/>
  <c r="M823" i="1" s="1"/>
  <c r="M822" i="1"/>
  <c r="AO795" i="1"/>
  <c r="AN794" i="1"/>
  <c r="AO794" i="1" s="1"/>
  <c r="K668" i="1"/>
  <c r="BZ414" i="1"/>
  <c r="S350" i="1"/>
  <c r="W343" i="1"/>
  <c r="AV823" i="1"/>
  <c r="AW823" i="1" s="1"/>
  <c r="AV828" i="1"/>
  <c r="AW822" i="1"/>
  <c r="AV894" i="1"/>
  <c r="P794" i="1"/>
  <c r="Q795" i="1"/>
  <c r="AJ671" i="1"/>
  <c r="AK613" i="1"/>
  <c r="AS613" i="1"/>
  <c r="R794" i="1"/>
  <c r="S794" i="1" s="1"/>
  <c r="S795" i="1"/>
  <c r="U668" i="1"/>
  <c r="Y665" i="1"/>
  <c r="AE664" i="1"/>
  <c r="AD669" i="1"/>
  <c r="AQ91" i="1"/>
  <c r="CI402" i="1"/>
  <c r="CI406" i="1"/>
  <c r="CJ397" i="1"/>
  <c r="AF716" i="1"/>
  <c r="AG655" i="1"/>
  <c r="W788" i="1"/>
  <c r="CH10" i="1"/>
  <c r="CH652" i="1"/>
  <c r="BZ222" i="1"/>
  <c r="BY259" i="1"/>
  <c r="BZ259" i="1" s="1"/>
  <c r="CP862" i="1"/>
  <c r="CQ862" i="1"/>
  <c r="BB638" i="1"/>
  <c r="BC638" i="1" s="1"/>
  <c r="CN434" i="1"/>
  <c r="CO434" i="1"/>
  <c r="BC667" i="1"/>
  <c r="BW637" i="1"/>
  <c r="BX637" i="1" s="1"/>
  <c r="BX635" i="1"/>
  <c r="BW638" i="1"/>
  <c r="BX638" i="1" s="1"/>
  <c r="BZ13" i="1"/>
  <c r="H726" i="1"/>
  <c r="H727" i="1"/>
  <c r="H721" i="1"/>
  <c r="H724" i="1"/>
  <c r="R514" i="1"/>
  <c r="S510" i="1"/>
  <c r="BY510" i="1"/>
  <c r="CN860" i="1"/>
  <c r="CO860" i="1"/>
  <c r="CI479" i="1"/>
  <c r="CJ479" i="1" s="1"/>
  <c r="CJ472" i="1"/>
  <c r="CI476" i="1"/>
  <c r="O668" i="1"/>
  <c r="AY671" i="1"/>
  <c r="BM244" i="1"/>
  <c r="CI244" i="1"/>
  <c r="CL843" i="1"/>
  <c r="CM843" i="1"/>
  <c r="CG664" i="1"/>
  <c r="CG94" i="1"/>
  <c r="CH90" i="1"/>
  <c r="CG91" i="1"/>
  <c r="CH91" i="1" s="1"/>
  <c r="H258" i="1"/>
  <c r="CE822" i="1"/>
  <c r="CH822" i="1" s="1"/>
  <c r="CF820" i="1"/>
  <c r="T671" i="1"/>
  <c r="U613" i="1"/>
  <c r="N14" i="1"/>
  <c r="O11" i="1"/>
  <c r="AL14" i="1"/>
  <c r="AM11" i="1"/>
  <c r="BW822" i="1"/>
  <c r="BW826" i="1"/>
  <c r="BX826" i="1" s="1"/>
  <c r="BX820" i="1"/>
  <c r="K667" i="1"/>
  <c r="BY35" i="1"/>
  <c r="BZ28" i="1"/>
  <c r="BY44" i="1"/>
  <c r="BZ44" i="1" s="1"/>
  <c r="BY46" i="1"/>
  <c r="BZ46" i="1" s="1"/>
  <c r="BY45" i="1"/>
  <c r="BZ45" i="1" s="1"/>
  <c r="BY43" i="1"/>
  <c r="BZ43" i="1" s="1"/>
  <c r="BJ396" i="1"/>
  <c r="BK394" i="1"/>
  <c r="AR923" i="1"/>
  <c r="AR699" i="1"/>
  <c r="AR703" i="1" s="1"/>
  <c r="AS653" i="1"/>
  <c r="AR656" i="1"/>
  <c r="AF823" i="1"/>
  <c r="AG823" i="1" s="1"/>
  <c r="AF828" i="1"/>
  <c r="AG822" i="1"/>
  <c r="AF894" i="1"/>
  <c r="CQ298" i="1"/>
  <c r="CQ303" i="1" s="1"/>
  <c r="CP298" i="1"/>
  <c r="CM861" i="1"/>
  <c r="CL861" i="1"/>
  <c r="BD923" i="1"/>
  <c r="BD699" i="1"/>
  <c r="BD703" i="1" s="1"/>
  <c r="BE653" i="1"/>
  <c r="BD656" i="1"/>
  <c r="M666" i="1"/>
  <c r="K655" i="1"/>
  <c r="CE668" i="1"/>
  <c r="CE423" i="1"/>
  <c r="CF422" i="1"/>
  <c r="BJ821" i="1"/>
  <c r="BL793" i="1"/>
  <c r="BK793" i="1"/>
  <c r="AP689" i="1"/>
  <c r="AQ636" i="1"/>
  <c r="CE636" i="1"/>
  <c r="AP657" i="1"/>
  <c r="AP15" i="1"/>
  <c r="P894" i="1"/>
  <c r="P823" i="1"/>
  <c r="Q823" i="1" s="1"/>
  <c r="P828" i="1"/>
  <c r="Q822" i="1"/>
  <c r="P522" i="1"/>
  <c r="Q518" i="1"/>
  <c r="P526" i="1"/>
  <c r="BV665" i="1"/>
  <c r="BK325" i="1"/>
  <c r="BJ309" i="1"/>
  <c r="CC671" i="1"/>
  <c r="CD613" i="1"/>
  <c r="AJ823" i="1"/>
  <c r="AK823" i="1" s="1"/>
  <c r="AJ828" i="1"/>
  <c r="AK828" i="1" s="1"/>
  <c r="AK822" i="1"/>
  <c r="AJ894" i="1"/>
  <c r="R671" i="1"/>
  <c r="S613" i="1"/>
  <c r="AU668" i="1"/>
  <c r="AK664" i="1"/>
  <c r="AJ669" i="1"/>
  <c r="BA795" i="1"/>
  <c r="AZ794" i="1"/>
  <c r="BA794" i="1" s="1"/>
  <c r="CB651" i="1"/>
  <c r="CE795" i="1"/>
  <c r="CE788" i="1"/>
  <c r="CF787" i="1"/>
  <c r="CE789" i="1"/>
  <c r="CH787" i="1"/>
  <c r="BX176" i="1"/>
  <c r="AX689" i="1"/>
  <c r="AX691" i="1" s="1"/>
  <c r="AX657" i="1"/>
  <c r="AY636" i="1"/>
  <c r="CG636" i="1"/>
  <c r="AX15" i="1"/>
  <c r="AY15" i="1" s="1"/>
  <c r="BA685" i="1"/>
  <c r="AZ691" i="1"/>
  <c r="CE653" i="1"/>
  <c r="CF648" i="1"/>
  <c r="AE826" i="1"/>
  <c r="Q665" i="1"/>
  <c r="CN427" i="1"/>
  <c r="CO426" i="1"/>
  <c r="M664" i="1"/>
  <c r="L669" i="1"/>
  <c r="CQ836" i="1"/>
  <c r="CP836" i="1"/>
  <c r="BM848" i="1"/>
  <c r="BL849" i="1"/>
  <c r="BM849" i="1" s="1"/>
  <c r="BJ810" i="1"/>
  <c r="BK792" i="1"/>
  <c r="BJ805" i="1"/>
  <c r="BL792" i="1"/>
  <c r="BH756" i="1"/>
  <c r="BI754" i="1"/>
  <c r="CM285" i="1"/>
  <c r="CO283" i="1"/>
  <c r="CO284" i="1" s="1"/>
  <c r="BE667" i="1"/>
  <c r="BW652" i="1"/>
  <c r="BZ652" i="1" s="1"/>
  <c r="BW422" i="1"/>
  <c r="BW418" i="1"/>
  <c r="BX417" i="1"/>
  <c r="BW10" i="1"/>
  <c r="BX10" i="1" s="1"/>
  <c r="O280" i="1"/>
  <c r="W280" i="1"/>
  <c r="CL841" i="1"/>
  <c r="CM841" i="1"/>
  <c r="AM826" i="1"/>
  <c r="BZ6" i="1"/>
  <c r="BZ648" i="1"/>
  <c r="CB10" i="1"/>
  <c r="CB652" i="1"/>
  <c r="AT14" i="1"/>
  <c r="AU11" i="1"/>
  <c r="AQ667" i="1"/>
  <c r="AG664" i="1"/>
  <c r="AF669" i="1"/>
  <c r="BZ820" i="1"/>
  <c r="BU651" i="1"/>
  <c r="BU349" i="1"/>
  <c r="BU343" i="1"/>
  <c r="BV342" i="1"/>
  <c r="BU9" i="1"/>
  <c r="BV9" i="1" s="1"/>
  <c r="AT691" i="1"/>
  <c r="AU685" i="1"/>
  <c r="AS685" i="1"/>
  <c r="AR691" i="1"/>
  <c r="BF408" i="1"/>
  <c r="BG398" i="1"/>
  <c r="BF407" i="1"/>
  <c r="CC668" i="1"/>
  <c r="CC423" i="1"/>
  <c r="CD423" i="1" s="1"/>
  <c r="CD422" i="1"/>
  <c r="W176" i="1"/>
  <c r="AS788" i="1"/>
  <c r="CB649" i="1"/>
  <c r="AM788" i="1"/>
  <c r="CF651" i="1"/>
  <c r="AK350" i="1"/>
  <c r="CG921" i="1"/>
  <c r="CH343" i="1"/>
  <c r="S826" i="1"/>
  <c r="R828" i="1"/>
  <c r="S828" i="1" s="1"/>
  <c r="AO664" i="1"/>
  <c r="AN669" i="1"/>
  <c r="AM665" i="1"/>
  <c r="AU665" i="1"/>
  <c r="CC919" i="1"/>
  <c r="CD169" i="1"/>
  <c r="AX823" i="1"/>
  <c r="AY823" i="1" s="1"/>
  <c r="AX828" i="1"/>
  <c r="AY828" i="1" s="1"/>
  <c r="AY822" i="1"/>
  <c r="AX894" i="1"/>
  <c r="AS826" i="1"/>
  <c r="Z794" i="1"/>
  <c r="AA794" i="1" s="1"/>
  <c r="AA795" i="1"/>
  <c r="CK742" i="1"/>
  <c r="CK755" i="1"/>
  <c r="CL755" i="1" s="1"/>
  <c r="CL743" i="1"/>
  <c r="CM743" i="1"/>
  <c r="CK738" i="1"/>
  <c r="CO863" i="1"/>
  <c r="CN863" i="1"/>
  <c r="CM870" i="1"/>
  <c r="CC584" i="1"/>
  <c r="CD584" i="1" s="1"/>
  <c r="CD583" i="1"/>
  <c r="CC667" i="1"/>
  <c r="CC350" i="1"/>
  <c r="CD350" i="1" s="1"/>
  <c r="CD349" i="1"/>
  <c r="F894" i="1"/>
  <c r="F823" i="1"/>
  <c r="F828" i="1"/>
  <c r="H828" i="1"/>
  <c r="F711" i="1"/>
  <c r="CK859" i="1"/>
  <c r="CM838" i="1"/>
  <c r="CL838" i="1"/>
  <c r="CK846" i="1"/>
  <c r="BK317" i="1"/>
  <c r="CI317" i="1"/>
  <c r="CF577" i="1"/>
  <c r="J923" i="1"/>
  <c r="K653" i="1"/>
  <c r="J699" i="1"/>
  <c r="J703" i="1" s="1"/>
  <c r="J656" i="1"/>
  <c r="J716" i="1" s="1"/>
  <c r="M667" i="1"/>
  <c r="CS310" i="1"/>
  <c r="CR310" i="1"/>
  <c r="AH671" i="1"/>
  <c r="AQ671" i="1" s="1"/>
  <c r="AI613" i="1"/>
  <c r="CM372" i="1"/>
  <c r="CL372" i="1"/>
  <c r="CK373" i="1"/>
  <c r="BA668" i="1"/>
  <c r="CI440" i="1"/>
  <c r="CJ432" i="1"/>
  <c r="AU91" i="1"/>
  <c r="AC795" i="1"/>
  <c r="AB794" i="1"/>
  <c r="CR387" i="1"/>
  <c r="CS387" i="1"/>
  <c r="P653" i="1"/>
  <c r="CC918" i="1"/>
  <c r="CD84" i="1"/>
  <c r="CD782" i="1"/>
  <c r="CK300" i="1"/>
  <c r="CJ299" i="1"/>
  <c r="CI300" i="1"/>
  <c r="CJ300" i="1" s="1"/>
  <c r="N541" i="1"/>
  <c r="O530" i="1"/>
  <c r="N562" i="1"/>
  <c r="O562" i="1" s="1"/>
  <c r="N531" i="1"/>
  <c r="AE668" i="1"/>
  <c r="U795" i="1"/>
  <c r="T794" i="1"/>
  <c r="U794" i="1" s="1"/>
  <c r="BY650" i="1"/>
  <c r="BY653" i="1" s="1"/>
  <c r="BY279" i="1"/>
  <c r="BY274" i="1"/>
  <c r="BZ273" i="1"/>
  <c r="BY8" i="1"/>
  <c r="BZ8" i="1" s="1"/>
  <c r="BH318" i="1"/>
  <c r="BI309" i="1"/>
  <c r="AE667" i="1"/>
  <c r="P671" i="1"/>
  <c r="Q613" i="1"/>
  <c r="AN689" i="1"/>
  <c r="AN657" i="1"/>
  <c r="AO636" i="1"/>
  <c r="AN15" i="1"/>
  <c r="AO15" i="1" s="1"/>
  <c r="AZ638" i="1"/>
  <c r="BA638" i="1" s="1"/>
  <c r="D669" i="1"/>
  <c r="D672" i="1" s="1"/>
  <c r="BB794" i="1"/>
  <c r="BC794" i="1" s="1"/>
  <c r="BC795" i="1"/>
  <c r="AB716" i="1"/>
  <c r="AC655" i="1"/>
  <c r="X923" i="1"/>
  <c r="X799" i="1"/>
  <c r="X699" i="1"/>
  <c r="X703" i="1" s="1"/>
  <c r="X656" i="1"/>
  <c r="Y653" i="1"/>
  <c r="CH271" i="1"/>
  <c r="AW668" i="1"/>
  <c r="CK363" i="1"/>
  <c r="CL363" i="1" s="1"/>
  <c r="CJ362" i="1"/>
  <c r="CI363" i="1"/>
  <c r="CJ363" i="1" s="1"/>
  <c r="CI742" i="1"/>
  <c r="CJ742" i="1" s="1"/>
  <c r="AD638" i="1"/>
  <c r="AE638" i="1" s="1"/>
  <c r="AK176" i="1"/>
  <c r="CA653" i="1"/>
  <c r="CB648" i="1"/>
  <c r="K280" i="1"/>
  <c r="S280" i="1"/>
  <c r="AR14" i="1"/>
  <c r="AS11" i="1"/>
  <c r="S667" i="1"/>
  <c r="AB636" i="1"/>
  <c r="AB638" i="1" s="1"/>
  <c r="AC635" i="1"/>
  <c r="AG584" i="1"/>
  <c r="BM331" i="1"/>
  <c r="BZ80" i="1"/>
  <c r="BE788" i="1"/>
  <c r="AI667" i="1"/>
  <c r="AT923" i="1"/>
  <c r="AT699" i="1"/>
  <c r="AT703" i="1" s="1"/>
  <c r="AU653" i="1"/>
  <c r="AT656" i="1"/>
  <c r="W668" i="1"/>
  <c r="AO671" i="1"/>
  <c r="AW671" i="1"/>
  <c r="AG13" i="1"/>
  <c r="CG668" i="1"/>
  <c r="CG423" i="1"/>
  <c r="CH423" i="1" s="1"/>
  <c r="CH422" i="1"/>
  <c r="CB204" i="1"/>
  <c r="CA210" i="1"/>
  <c r="CA217" i="1"/>
  <c r="CB217" i="1" s="1"/>
  <c r="CA215" i="1"/>
  <c r="CB215" i="1" s="1"/>
  <c r="CA216" i="1"/>
  <c r="CB216" i="1" s="1"/>
  <c r="B669" i="1"/>
  <c r="B672" i="1" s="1"/>
  <c r="B722" i="1" s="1"/>
  <c r="BH398" i="1"/>
  <c r="BI396" i="1"/>
  <c r="AM350" i="1"/>
  <c r="AG788" i="1"/>
  <c r="U667" i="1"/>
  <c r="AC668" i="1"/>
  <c r="M668" i="1"/>
  <c r="N133" i="1"/>
  <c r="N154" i="1"/>
  <c r="O154" i="1" s="1"/>
  <c r="O122" i="1"/>
  <c r="N123" i="1"/>
  <c r="CI489" i="1"/>
  <c r="CJ489" i="1" s="1"/>
  <c r="B659" i="1"/>
  <c r="B658" i="1"/>
  <c r="B716" i="1"/>
  <c r="B715" i="1"/>
  <c r="B710" i="1"/>
  <c r="B713" i="1"/>
  <c r="B712" i="1"/>
  <c r="B709" i="1"/>
  <c r="E13" i="23" l="1"/>
  <c r="G13" i="23"/>
  <c r="C13" i="23"/>
  <c r="D15" i="23"/>
  <c r="K13" i="23"/>
  <c r="AC794" i="1"/>
  <c r="F725" i="1"/>
  <c r="F728" i="1" s="1"/>
  <c r="CL300" i="1"/>
  <c r="U828" i="1"/>
  <c r="BC691" i="1"/>
  <c r="CQ842" i="1"/>
  <c r="CP842" i="1"/>
  <c r="H134" i="1"/>
  <c r="J134" i="1"/>
  <c r="K134" i="1" s="1"/>
  <c r="CN837" i="1"/>
  <c r="CO837" i="1"/>
  <c r="K716" i="1"/>
  <c r="O712" i="1"/>
  <c r="AM823" i="1"/>
  <c r="D714" i="1"/>
  <c r="D717" i="1" s="1"/>
  <c r="CP374" i="1"/>
  <c r="CO371" i="1"/>
  <c r="CP371" i="1" s="1"/>
  <c r="CQ374" i="1"/>
  <c r="CE11" i="1"/>
  <c r="U638" i="1"/>
  <c r="CC11" i="1"/>
  <c r="H153" i="1"/>
  <c r="H148" i="1"/>
  <c r="H149" i="1"/>
  <c r="BY923" i="1"/>
  <c r="BY699" i="1"/>
  <c r="BY703" i="1" s="1"/>
  <c r="BY656" i="1"/>
  <c r="AI638" i="1"/>
  <c r="AQ638" i="1"/>
  <c r="CG14" i="1"/>
  <c r="CH11" i="1"/>
  <c r="CA923" i="1"/>
  <c r="CA699" i="1"/>
  <c r="CA703" i="1" s="1"/>
  <c r="CA656" i="1"/>
  <c r="CB653" i="1"/>
  <c r="N149" i="1"/>
  <c r="O149" i="1" s="1"/>
  <c r="N153" i="1"/>
  <c r="O153" i="1" s="1"/>
  <c r="O123" i="1"/>
  <c r="N148" i="1"/>
  <c r="BH407" i="1"/>
  <c r="BH408" i="1"/>
  <c r="BI408" i="1" s="1"/>
  <c r="BI398" i="1"/>
  <c r="X715" i="1"/>
  <c r="X711" i="1"/>
  <c r="X712" i="1"/>
  <c r="X713" i="1"/>
  <c r="X709" i="1"/>
  <c r="X710" i="1"/>
  <c r="Q671" i="1"/>
  <c r="BY920" i="1"/>
  <c r="BZ274" i="1"/>
  <c r="N561" i="1"/>
  <c r="O561" i="1" s="1"/>
  <c r="N557" i="1"/>
  <c r="O557" i="1" s="1"/>
  <c r="O531" i="1"/>
  <c r="N556" i="1"/>
  <c r="CI328" i="1"/>
  <c r="CJ317" i="1"/>
  <c r="CM859" i="1"/>
  <c r="CO838" i="1"/>
  <c r="CN838" i="1"/>
  <c r="CM846" i="1"/>
  <c r="CN870" i="1"/>
  <c r="CM785" i="1"/>
  <c r="CN743" i="1"/>
  <c r="CM738" i="1"/>
  <c r="CM742" i="1"/>
  <c r="CN742" i="1" s="1"/>
  <c r="CM755" i="1"/>
  <c r="CN755" i="1" s="1"/>
  <c r="CO743" i="1"/>
  <c r="AN799" i="1"/>
  <c r="AO669" i="1"/>
  <c r="AN672" i="1"/>
  <c r="BU921" i="1"/>
  <c r="BV343" i="1"/>
  <c r="AF799" i="1"/>
  <c r="AG669" i="1"/>
  <c r="AF672" i="1"/>
  <c r="AT16" i="1"/>
  <c r="AU14" i="1"/>
  <c r="BW922" i="1"/>
  <c r="BX418" i="1"/>
  <c r="BA691" i="1"/>
  <c r="CE794" i="1"/>
  <c r="CF795" i="1"/>
  <c r="CH795" i="1"/>
  <c r="BK309" i="1"/>
  <c r="BJ318" i="1"/>
  <c r="CE689" i="1"/>
  <c r="AP691" i="1"/>
  <c r="AS656" i="1"/>
  <c r="AR659" i="1"/>
  <c r="AR710" i="1"/>
  <c r="AR715" i="1"/>
  <c r="AR711" i="1"/>
  <c r="AR716" i="1"/>
  <c r="AS716" i="1" s="1"/>
  <c r="AR712" i="1"/>
  <c r="AR713" i="1"/>
  <c r="AR709" i="1"/>
  <c r="AL16" i="1"/>
  <c r="AM14" i="1"/>
  <c r="U671" i="1"/>
  <c r="CJ244" i="1"/>
  <c r="CI255" i="1"/>
  <c r="CK255" i="1" s="1"/>
  <c r="AW828" i="1"/>
  <c r="CE828" i="1"/>
  <c r="J542" i="1"/>
  <c r="K542" i="1" s="1"/>
  <c r="H542" i="1"/>
  <c r="CM362" i="1"/>
  <c r="CO360" i="1"/>
  <c r="CN360" i="1"/>
  <c r="Y669" i="1"/>
  <c r="X672" i="1"/>
  <c r="BX338" i="1"/>
  <c r="BZ338" i="1"/>
  <c r="X638" i="1"/>
  <c r="S656" i="1"/>
  <c r="R659" i="1"/>
  <c r="R658" i="1"/>
  <c r="R711" i="1"/>
  <c r="R715" i="1"/>
  <c r="R713" i="1"/>
  <c r="R709" i="1"/>
  <c r="R712" i="1"/>
  <c r="R710" i="1"/>
  <c r="CB584" i="1"/>
  <c r="H45" i="1"/>
  <c r="H35" i="1"/>
  <c r="H44" i="1"/>
  <c r="H43" i="1"/>
  <c r="H46" i="1"/>
  <c r="H47" i="1" s="1"/>
  <c r="CF667" i="1"/>
  <c r="CB665" i="1"/>
  <c r="BW664" i="1"/>
  <c r="BW92" i="1"/>
  <c r="BX90" i="1"/>
  <c r="BW91" i="1"/>
  <c r="BX91" i="1" s="1"/>
  <c r="Q350" i="1"/>
  <c r="Y350" i="1"/>
  <c r="CM263" i="1"/>
  <c r="CL263" i="1"/>
  <c r="CK249" i="1"/>
  <c r="CL249" i="1" s="1"/>
  <c r="CB423" i="1"/>
  <c r="CQ732" i="1"/>
  <c r="CP732" i="1"/>
  <c r="CF650" i="1"/>
  <c r="Y828" i="1"/>
  <c r="BY828" i="1"/>
  <c r="BB659" i="1"/>
  <c r="BC656" i="1"/>
  <c r="BB710" i="1"/>
  <c r="BB716" i="1"/>
  <c r="BB715" i="1"/>
  <c r="BB711" i="1"/>
  <c r="BB713" i="1"/>
  <c r="BB712" i="1"/>
  <c r="BB709" i="1"/>
  <c r="CB667" i="1"/>
  <c r="CP867" i="1"/>
  <c r="CQ867" i="1"/>
  <c r="CH584" i="1"/>
  <c r="CS584" i="1"/>
  <c r="F819" i="1"/>
  <c r="F830" i="1" s="1"/>
  <c r="F661" i="1"/>
  <c r="AI794" i="1"/>
  <c r="L16" i="1"/>
  <c r="M14" i="1"/>
  <c r="AW689" i="1"/>
  <c r="AU794" i="1"/>
  <c r="AI14" i="1"/>
  <c r="CM97" i="1"/>
  <c r="CO96" i="1"/>
  <c r="CN96" i="1"/>
  <c r="CO95" i="1"/>
  <c r="BZ635" i="1"/>
  <c r="AE689" i="1"/>
  <c r="AD691" i="1"/>
  <c r="F259" i="1"/>
  <c r="F223" i="1"/>
  <c r="AJ689" i="1"/>
  <c r="AK636" i="1"/>
  <c r="AJ657" i="1"/>
  <c r="AJ15" i="1"/>
  <c r="CG666" i="1"/>
  <c r="CG280" i="1"/>
  <c r="CH279" i="1"/>
  <c r="AC671" i="1"/>
  <c r="BA657" i="1"/>
  <c r="AZ658" i="1"/>
  <c r="AC828" i="1"/>
  <c r="CD91" i="1"/>
  <c r="AA656" i="1"/>
  <c r="Z711" i="1"/>
  <c r="AA711" i="1" s="1"/>
  <c r="Z715" i="1"/>
  <c r="AA715" i="1" s="1"/>
  <c r="Z709" i="1"/>
  <c r="Z712" i="1"/>
  <c r="AA712" i="1" s="1"/>
  <c r="Z710" i="1"/>
  <c r="AA710" i="1" s="1"/>
  <c r="Z713" i="1"/>
  <c r="AA713" i="1" s="1"/>
  <c r="AP16" i="1"/>
  <c r="AQ14" i="1"/>
  <c r="BL80" i="1"/>
  <c r="BM80" i="1" s="1"/>
  <c r="BK80" i="1"/>
  <c r="CI849" i="1"/>
  <c r="CJ849" i="1" s="1"/>
  <c r="CJ848" i="1"/>
  <c r="Y14" i="1"/>
  <c r="Z716" i="1"/>
  <c r="O823" i="1"/>
  <c r="CB650" i="1"/>
  <c r="AX799" i="1"/>
  <c r="AY669" i="1"/>
  <c r="AX672" i="1"/>
  <c r="W637" i="1"/>
  <c r="O637" i="1"/>
  <c r="AQ828" i="1"/>
  <c r="AK716" i="1"/>
  <c r="D674" i="1"/>
  <c r="D676" i="1"/>
  <c r="D932" i="1"/>
  <c r="D933" i="1"/>
  <c r="D927" i="1"/>
  <c r="D930" i="1"/>
  <c r="D926" i="1"/>
  <c r="D931" i="1" s="1"/>
  <c r="D934" i="1" s="1"/>
  <c r="D929" i="1"/>
  <c r="D928" i="1"/>
  <c r="CD650" i="1"/>
  <c r="AZ16" i="1"/>
  <c r="BA14" i="1"/>
  <c r="M671" i="1"/>
  <c r="H674" i="1"/>
  <c r="H676" i="1"/>
  <c r="H932" i="1"/>
  <c r="H933" i="1"/>
  <c r="H930" i="1"/>
  <c r="H927" i="1"/>
  <c r="H929" i="1"/>
  <c r="H926" i="1"/>
  <c r="H928" i="1"/>
  <c r="AU823" i="1"/>
  <c r="CS381" i="1"/>
  <c r="CR381" i="1"/>
  <c r="CI753" i="1"/>
  <c r="BM753" i="1"/>
  <c r="CF635" i="1"/>
  <c r="CE638" i="1"/>
  <c r="CL785" i="1"/>
  <c r="AS823" i="1"/>
  <c r="BE823" i="1"/>
  <c r="CH352" i="1"/>
  <c r="W689" i="1"/>
  <c r="V691" i="1"/>
  <c r="W691" i="1" s="1"/>
  <c r="CA716" i="1"/>
  <c r="CB655" i="1"/>
  <c r="AU657" i="1"/>
  <c r="AT658" i="1"/>
  <c r="CF176" i="1"/>
  <c r="BZ418" i="1"/>
  <c r="AM657" i="1"/>
  <c r="AL658" i="1"/>
  <c r="BE657" i="1"/>
  <c r="BD658" i="1"/>
  <c r="W828" i="1"/>
  <c r="AV691" i="1"/>
  <c r="AV799" i="1"/>
  <c r="AW669" i="1"/>
  <c r="AV672" i="1"/>
  <c r="AS689" i="1"/>
  <c r="K200" i="1"/>
  <c r="J201" i="1"/>
  <c r="K201" i="1" s="1"/>
  <c r="R114" i="1"/>
  <c r="S110" i="1"/>
  <c r="BY110" i="1"/>
  <c r="N659" i="1"/>
  <c r="O656" i="1"/>
  <c r="N658" i="1"/>
  <c r="N715" i="1"/>
  <c r="O715" i="1" s="1"/>
  <c r="N713" i="1"/>
  <c r="O713" i="1" s="1"/>
  <c r="N710" i="1"/>
  <c r="O710" i="1" s="1"/>
  <c r="N711" i="1"/>
  <c r="O711" i="1" s="1"/>
  <c r="N709" i="1"/>
  <c r="N716" i="1"/>
  <c r="O716" i="1" s="1"/>
  <c r="B727" i="1"/>
  <c r="B726" i="1"/>
  <c r="B721" i="1"/>
  <c r="B724" i="1"/>
  <c r="B723" i="1"/>
  <c r="B720" i="1"/>
  <c r="B725" i="1" s="1"/>
  <c r="B728" i="1" s="1"/>
  <c r="CH668" i="1"/>
  <c r="D727" i="1"/>
  <c r="D726" i="1"/>
  <c r="D724" i="1"/>
  <c r="D721" i="1"/>
  <c r="D723" i="1"/>
  <c r="D720" i="1"/>
  <c r="AO657" i="1"/>
  <c r="AN658" i="1"/>
  <c r="BH320" i="1"/>
  <c r="BI318" i="1"/>
  <c r="BY666" i="1"/>
  <c r="BY280" i="1"/>
  <c r="BZ280" i="1" s="1"/>
  <c r="BZ279" i="1"/>
  <c r="CI654" i="1"/>
  <c r="CI631" i="1"/>
  <c r="CJ631" i="1" s="1"/>
  <c r="CI443" i="1"/>
  <c r="CJ440" i="1"/>
  <c r="CI12" i="1"/>
  <c r="CJ12" i="1" s="1"/>
  <c r="CK395" i="1"/>
  <c r="CL395" i="1" s="1"/>
  <c r="CL373" i="1"/>
  <c r="AI671" i="1"/>
  <c r="CL859" i="1"/>
  <c r="CD667" i="1"/>
  <c r="BF409" i="1"/>
  <c r="BF410" i="1" s="1"/>
  <c r="BG407" i="1"/>
  <c r="BU667" i="1"/>
  <c r="BU350" i="1"/>
  <c r="BV350" i="1" s="1"/>
  <c r="BV349" i="1"/>
  <c r="BW668" i="1"/>
  <c r="BW423" i="1"/>
  <c r="BX422" i="1"/>
  <c r="BI756" i="1"/>
  <c r="BH734" i="1"/>
  <c r="BJ812" i="1"/>
  <c r="BK812" i="1" s="1"/>
  <c r="BJ811" i="1"/>
  <c r="BK811" i="1" s="1"/>
  <c r="BK810" i="1"/>
  <c r="AY657" i="1"/>
  <c r="AX658" i="1"/>
  <c r="AJ799" i="1"/>
  <c r="AJ672" i="1"/>
  <c r="AK669" i="1"/>
  <c r="S671" i="1"/>
  <c r="Q526" i="1"/>
  <c r="P530" i="1"/>
  <c r="P536" i="1"/>
  <c r="Q536" i="1" s="1"/>
  <c r="P535" i="1"/>
  <c r="Q535" i="1" s="1"/>
  <c r="P537" i="1"/>
  <c r="AP658" i="1"/>
  <c r="CF423" i="1"/>
  <c r="BD659" i="1"/>
  <c r="BE656" i="1"/>
  <c r="BD710" i="1"/>
  <c r="BD716" i="1"/>
  <c r="BD715" i="1"/>
  <c r="BD711" i="1"/>
  <c r="BD712" i="1"/>
  <c r="BD709" i="1"/>
  <c r="BD713" i="1"/>
  <c r="CS303" i="1"/>
  <c r="CR303" i="1"/>
  <c r="BK396" i="1"/>
  <c r="BJ398" i="1"/>
  <c r="CG669" i="1"/>
  <c r="CH664" i="1"/>
  <c r="CQ860" i="1"/>
  <c r="CP860" i="1"/>
  <c r="R515" i="1"/>
  <c r="S515" i="1" s="1"/>
  <c r="S514" i="1"/>
  <c r="T510" i="1"/>
  <c r="AD799" i="1"/>
  <c r="AD672" i="1"/>
  <c r="AE669" i="1"/>
  <c r="CA669" i="1"/>
  <c r="CB664" i="1"/>
  <c r="CL362" i="1"/>
  <c r="CM363" i="1"/>
  <c r="CN363" i="1" s="1"/>
  <c r="BG685" i="1"/>
  <c r="BX339" i="1"/>
  <c r="BZ339" i="1"/>
  <c r="X689" i="1"/>
  <c r="X657" i="1"/>
  <c r="Y636" i="1"/>
  <c r="X15" i="1"/>
  <c r="Y15" i="1" s="1"/>
  <c r="CM299" i="1"/>
  <c r="CO297" i="1"/>
  <c r="CN297" i="1"/>
  <c r="CO302" i="1"/>
  <c r="Q669" i="1"/>
  <c r="P672" i="1"/>
  <c r="BD799" i="1"/>
  <c r="BE669" i="1"/>
  <c r="BD672" i="1"/>
  <c r="F63" i="1"/>
  <c r="F69" i="1"/>
  <c r="F64" i="1"/>
  <c r="F68" i="1"/>
  <c r="F92" i="1"/>
  <c r="BX6" i="1"/>
  <c r="CB668" i="1"/>
  <c r="BY669" i="1"/>
  <c r="BZ664" i="1"/>
  <c r="BZ422" i="1"/>
  <c r="BH685" i="1"/>
  <c r="BH500" i="1"/>
  <c r="BI500" i="1" s="1"/>
  <c r="BI496" i="1"/>
  <c r="BH497" i="1"/>
  <c r="CE666" i="1"/>
  <c r="CE280" i="1"/>
  <c r="CF279" i="1"/>
  <c r="Y823" i="1"/>
  <c r="BV664" i="1"/>
  <c r="AA638" i="1"/>
  <c r="AF16" i="1"/>
  <c r="AG14" i="1"/>
  <c r="K671" i="1"/>
  <c r="F714" i="1"/>
  <c r="F717" i="1" s="1"/>
  <c r="BW671" i="1"/>
  <c r="BX613" i="1"/>
  <c r="AW15" i="1"/>
  <c r="BG734" i="1"/>
  <c r="V801" i="1"/>
  <c r="W799" i="1"/>
  <c r="H217" i="1"/>
  <c r="H218" i="1" s="1"/>
  <c r="H210" i="1"/>
  <c r="H216" i="1"/>
  <c r="H215" i="1"/>
  <c r="CQ226" i="1"/>
  <c r="CP226" i="1"/>
  <c r="CH8" i="1"/>
  <c r="CH650" i="1"/>
  <c r="AC823" i="1"/>
  <c r="BU922" i="1"/>
  <c r="BV418" i="1"/>
  <c r="BX788" i="1"/>
  <c r="BZ788" i="1"/>
  <c r="D227" i="1"/>
  <c r="D262" i="1"/>
  <c r="CK324" i="1"/>
  <c r="CJ324" i="1"/>
  <c r="AB715" i="1"/>
  <c r="AB711" i="1"/>
  <c r="AB713" i="1"/>
  <c r="AB709" i="1"/>
  <c r="AB710" i="1"/>
  <c r="AB712" i="1"/>
  <c r="Q118" i="1"/>
  <c r="P122" i="1"/>
  <c r="P127" i="1"/>
  <c r="Q127" i="1" s="1"/>
  <c r="P128" i="1"/>
  <c r="Q128" i="1" s="1"/>
  <c r="P129" i="1"/>
  <c r="Z469" i="1"/>
  <c r="AA469" i="1" s="1"/>
  <c r="Z452" i="1"/>
  <c r="AA448" i="1"/>
  <c r="S669" i="1"/>
  <c r="R672" i="1"/>
  <c r="R727" i="1" s="1"/>
  <c r="AH799" i="1"/>
  <c r="AI669" i="1"/>
  <c r="AH672" i="1"/>
  <c r="AH727" i="1" s="1"/>
  <c r="BM325" i="1"/>
  <c r="BL309" i="1"/>
  <c r="CI309" i="1" s="1"/>
  <c r="AK794" i="1"/>
  <c r="CD635" i="1"/>
  <c r="AQ823" i="1"/>
  <c r="AF727" i="1"/>
  <c r="AG671" i="1"/>
  <c r="D819" i="1"/>
  <c r="D830" i="1" s="1"/>
  <c r="D661" i="1"/>
  <c r="CQ354" i="1"/>
  <c r="CO355" i="1"/>
  <c r="CP355" i="1" s="1"/>
  <c r="CP354" i="1"/>
  <c r="CQ353" i="1"/>
  <c r="CA794" i="1"/>
  <c r="CB795" i="1"/>
  <c r="CD795" i="1"/>
  <c r="AO828" i="1"/>
  <c r="CC828" i="1"/>
  <c r="H819" i="1"/>
  <c r="H830" i="1" s="1"/>
  <c r="H661" i="1"/>
  <c r="AQ794" i="1"/>
  <c r="U664" i="1"/>
  <c r="T669" i="1"/>
  <c r="CD11" i="1"/>
  <c r="CC14" i="1"/>
  <c r="CF584" i="1"/>
  <c r="AN659" i="1"/>
  <c r="AO656" i="1"/>
  <c r="AN715" i="1"/>
  <c r="AN711" i="1"/>
  <c r="AN712" i="1"/>
  <c r="AN716" i="1"/>
  <c r="AO716" i="1" s="1"/>
  <c r="AN710" i="1"/>
  <c r="AN709" i="1"/>
  <c r="AN713" i="1"/>
  <c r="AG657" i="1"/>
  <c r="AF658" i="1"/>
  <c r="AG656" i="1"/>
  <c r="AF659" i="1"/>
  <c r="AF715" i="1"/>
  <c r="AG715" i="1" s="1"/>
  <c r="AF711" i="1"/>
  <c r="AG711" i="1" s="1"/>
  <c r="AF710" i="1"/>
  <c r="AG710" i="1" s="1"/>
  <c r="AF709" i="1"/>
  <c r="AF713" i="1"/>
  <c r="AG713" i="1" s="1"/>
  <c r="AF712" i="1"/>
  <c r="AG712" i="1" s="1"/>
  <c r="AM689" i="1"/>
  <c r="AL691" i="1"/>
  <c r="AM691" i="1" s="1"/>
  <c r="BE689" i="1"/>
  <c r="BD691" i="1"/>
  <c r="BE691" i="1" s="1"/>
  <c r="AX659" i="1"/>
  <c r="AY656" i="1"/>
  <c r="AX716" i="1"/>
  <c r="AX710" i="1"/>
  <c r="AX715" i="1"/>
  <c r="AX711" i="1"/>
  <c r="AX713" i="1"/>
  <c r="AX712" i="1"/>
  <c r="AX709" i="1"/>
  <c r="W823" i="1"/>
  <c r="R716" i="1"/>
  <c r="S716" i="1" s="1"/>
  <c r="CQ844" i="1"/>
  <c r="CP844" i="1"/>
  <c r="AP659" i="1"/>
  <c r="AQ656" i="1"/>
  <c r="AP710" i="1"/>
  <c r="AP711" i="1"/>
  <c r="AP715" i="1"/>
  <c r="AP716" i="1"/>
  <c r="AQ716" i="1" s="1"/>
  <c r="AP709" i="1"/>
  <c r="AP712" i="1"/>
  <c r="AP713" i="1"/>
  <c r="BD16" i="1"/>
  <c r="BE14" i="1"/>
  <c r="AS15" i="1"/>
  <c r="BZ671" i="1"/>
  <c r="AJ16" i="1"/>
  <c r="AK14" i="1"/>
  <c r="CC204" i="1"/>
  <c r="CA222" i="1"/>
  <c r="CA211" i="1"/>
  <c r="CB211" i="1" s="1"/>
  <c r="CB210" i="1"/>
  <c r="AC638" i="1"/>
  <c r="B819" i="1"/>
  <c r="B830" i="1" s="1"/>
  <c r="B661" i="1"/>
  <c r="AT659" i="1"/>
  <c r="AU656" i="1"/>
  <c r="AT710" i="1"/>
  <c r="AT715" i="1"/>
  <c r="AT711" i="1"/>
  <c r="AT716" i="1"/>
  <c r="AT713" i="1"/>
  <c r="AT709" i="1"/>
  <c r="AT712" i="1"/>
  <c r="AB689" i="1"/>
  <c r="AC636" i="1"/>
  <c r="AB657" i="1"/>
  <c r="AB659" i="1" s="1"/>
  <c r="AB15" i="1"/>
  <c r="X801" i="1"/>
  <c r="Y799" i="1"/>
  <c r="AO689" i="1"/>
  <c r="AN691" i="1"/>
  <c r="BY711" i="1"/>
  <c r="BZ650" i="1"/>
  <c r="P923" i="1"/>
  <c r="P699" i="1"/>
  <c r="P703" i="1" s="1"/>
  <c r="P656" i="1"/>
  <c r="Q653" i="1"/>
  <c r="CK848" i="1"/>
  <c r="CL846" i="1"/>
  <c r="CO870" i="1"/>
  <c r="CQ863" i="1"/>
  <c r="CP863" i="1"/>
  <c r="CD668" i="1"/>
  <c r="BV651" i="1"/>
  <c r="CN841" i="1"/>
  <c r="CO841" i="1"/>
  <c r="BX652" i="1"/>
  <c r="CO285" i="1"/>
  <c r="CQ283" i="1"/>
  <c r="BM792" i="1"/>
  <c r="CI792" i="1"/>
  <c r="BL810" i="1"/>
  <c r="BL805" i="1"/>
  <c r="CS836" i="1"/>
  <c r="CR836" i="1"/>
  <c r="CE923" i="1"/>
  <c r="CE699" i="1"/>
  <c r="CE703" i="1" s="1"/>
  <c r="CE656" i="1"/>
  <c r="CF653" i="1"/>
  <c r="AY689" i="1"/>
  <c r="CG689" i="1"/>
  <c r="CE637" i="1"/>
  <c r="CE657" i="1"/>
  <c r="CE15" i="1"/>
  <c r="BL821" i="1"/>
  <c r="CI793" i="1"/>
  <c r="BM793" i="1"/>
  <c r="CF668" i="1"/>
  <c r="CO861" i="1"/>
  <c r="CN861" i="1"/>
  <c r="AG828" i="1"/>
  <c r="CA828" i="1"/>
  <c r="CB828" i="1" s="1"/>
  <c r="BW823" i="1"/>
  <c r="BX823" i="1" s="1"/>
  <c r="BX822" i="1"/>
  <c r="BW828" i="1"/>
  <c r="BX828" i="1" s="1"/>
  <c r="BW894" i="1"/>
  <c r="N16" i="1"/>
  <c r="O14" i="1"/>
  <c r="CE823" i="1"/>
  <c r="CF823" i="1" s="1"/>
  <c r="CF822" i="1"/>
  <c r="CE894" i="1"/>
  <c r="CN843" i="1"/>
  <c r="CO843" i="1"/>
  <c r="CI496" i="1"/>
  <c r="CJ476" i="1"/>
  <c r="CS862" i="1"/>
  <c r="CR862" i="1"/>
  <c r="CJ406" i="1"/>
  <c r="H557" i="1"/>
  <c r="H561" i="1"/>
  <c r="H556" i="1"/>
  <c r="X727" i="1"/>
  <c r="Y671" i="1"/>
  <c r="BM864" i="1"/>
  <c r="CI864" i="1"/>
  <c r="CN365" i="1"/>
  <c r="U823" i="1"/>
  <c r="CH823" i="1"/>
  <c r="CL299" i="1"/>
  <c r="CM300" i="1"/>
  <c r="CN300" i="1" s="1"/>
  <c r="AD16" i="1"/>
  <c r="AE14" i="1"/>
  <c r="CM261" i="1"/>
  <c r="CL261" i="1"/>
  <c r="CK248" i="1"/>
  <c r="CL248" i="1" s="1"/>
  <c r="V16" i="1"/>
  <c r="W14" i="1"/>
  <c r="CO873" i="1"/>
  <c r="CN873" i="1"/>
  <c r="CD665" i="1"/>
  <c r="CF350" i="1"/>
  <c r="AM794" i="1"/>
  <c r="R16" i="1"/>
  <c r="S14" i="1"/>
  <c r="BX648" i="1"/>
  <c r="P723" i="1"/>
  <c r="Q723" i="1" s="1"/>
  <c r="Q667" i="1"/>
  <c r="Y667" i="1"/>
  <c r="BZ91" i="1"/>
  <c r="AA637" i="1"/>
  <c r="S637" i="1"/>
  <c r="BZ423" i="1"/>
  <c r="D722" i="1"/>
  <c r="AH689" i="1"/>
  <c r="AQ689" i="1" s="1"/>
  <c r="AI636" i="1"/>
  <c r="AH657" i="1"/>
  <c r="CC636" i="1"/>
  <c r="CC638" i="1" s="1"/>
  <c r="AH15" i="1"/>
  <c r="Y794" i="1"/>
  <c r="CB279" i="1"/>
  <c r="AE656" i="1"/>
  <c r="AD659" i="1"/>
  <c r="AD715" i="1"/>
  <c r="AD711" i="1"/>
  <c r="AD713" i="1"/>
  <c r="AD712" i="1"/>
  <c r="AD710" i="1"/>
  <c r="AD709" i="1"/>
  <c r="AD716" i="1"/>
  <c r="CG691" i="1"/>
  <c r="CS685" i="1"/>
  <c r="CH685" i="1"/>
  <c r="J16" i="1"/>
  <c r="K14" i="1"/>
  <c r="BX655" i="1"/>
  <c r="BC657" i="1"/>
  <c r="BB658" i="1"/>
  <c r="Q637" i="1"/>
  <c r="Y637" i="1"/>
  <c r="AP799" i="1"/>
  <c r="AQ669" i="1"/>
  <c r="AP672" i="1"/>
  <c r="BE794" i="1"/>
  <c r="CA14" i="1"/>
  <c r="AE657" i="1"/>
  <c r="AD658" i="1"/>
  <c r="V659" i="1"/>
  <c r="W656" i="1"/>
  <c r="V715" i="1"/>
  <c r="W715" i="1" s="1"/>
  <c r="V711" i="1"/>
  <c r="W711" i="1" s="1"/>
  <c r="V709" i="1"/>
  <c r="V713" i="1"/>
  <c r="W713" i="1" s="1"/>
  <c r="V712" i="1"/>
  <c r="W712" i="1" s="1"/>
  <c r="V710" i="1"/>
  <c r="W710" i="1" s="1"/>
  <c r="V716" i="1"/>
  <c r="W716" i="1" s="1"/>
  <c r="CA194" i="1"/>
  <c r="CB194" i="1" s="1"/>
  <c r="CB193" i="1"/>
  <c r="CA221" i="1"/>
  <c r="CC187" i="1"/>
  <c r="T14" i="1"/>
  <c r="U11" i="1"/>
  <c r="CD664" i="1"/>
  <c r="AA828" i="1"/>
  <c r="AT799" i="1"/>
  <c r="AT672" i="1"/>
  <c r="AU669" i="1"/>
  <c r="BM654" i="1"/>
  <c r="BV652" i="1"/>
  <c r="CJ331" i="1"/>
  <c r="Z799" i="1"/>
  <c r="AA669" i="1"/>
  <c r="Z672" i="1"/>
  <c r="CS878" i="1"/>
  <c r="CR878" i="1"/>
  <c r="K669" i="1"/>
  <c r="J672" i="1"/>
  <c r="CF91" i="1"/>
  <c r="CE669" i="1"/>
  <c r="CF664" i="1"/>
  <c r="K456" i="1"/>
  <c r="S456" i="1"/>
  <c r="BU11" i="1"/>
  <c r="X456" i="1"/>
  <c r="CB8" i="1"/>
  <c r="O667" i="1"/>
  <c r="AG794" i="1"/>
  <c r="CF826" i="1"/>
  <c r="CC920" i="1"/>
  <c r="CD274" i="1"/>
  <c r="CS858" i="1"/>
  <c r="CR858" i="1"/>
  <c r="CB788" i="1"/>
  <c r="CD788" i="1"/>
  <c r="AO823" i="1"/>
  <c r="H714" i="1"/>
  <c r="H717" i="1" s="1"/>
  <c r="T923" i="1"/>
  <c r="T799" i="1"/>
  <c r="T699" i="1"/>
  <c r="T703" i="1" s="1"/>
  <c r="T656" i="1"/>
  <c r="U653" i="1"/>
  <c r="CC923" i="1"/>
  <c r="CC699" i="1"/>
  <c r="CC703" i="1" s="1"/>
  <c r="CC656" i="1"/>
  <c r="CC711" i="1" s="1"/>
  <c r="CD653" i="1"/>
  <c r="CM440" i="1"/>
  <c r="CN432" i="1"/>
  <c r="CO432" i="1"/>
  <c r="AI716" i="1"/>
  <c r="BL756" i="1"/>
  <c r="BM754" i="1"/>
  <c r="CI754" i="1"/>
  <c r="CJ754" i="1" s="1"/>
  <c r="S823" i="1"/>
  <c r="CH350" i="1"/>
  <c r="W657" i="1"/>
  <c r="V658" i="1"/>
  <c r="CA823" i="1"/>
  <c r="CB823" i="1" s="1"/>
  <c r="CB822" i="1"/>
  <c r="CA894" i="1"/>
  <c r="AG689" i="1"/>
  <c r="AF691" i="1"/>
  <c r="AB799" i="1"/>
  <c r="AB672" i="1"/>
  <c r="AC669" i="1"/>
  <c r="AM15" i="1"/>
  <c r="BE15" i="1"/>
  <c r="M656" i="1"/>
  <c r="L659" i="1"/>
  <c r="L658" i="1"/>
  <c r="L715" i="1"/>
  <c r="M715" i="1" s="1"/>
  <c r="L710" i="1"/>
  <c r="M710" i="1" s="1"/>
  <c r="L711" i="1"/>
  <c r="M711" i="1" s="1"/>
  <c r="L713" i="1"/>
  <c r="M713" i="1" s="1"/>
  <c r="L709" i="1"/>
  <c r="L712" i="1"/>
  <c r="M712" i="1" s="1"/>
  <c r="BZ826" i="1"/>
  <c r="Z727" i="1"/>
  <c r="AA671" i="1"/>
  <c r="AK656" i="1"/>
  <c r="AJ659" i="1"/>
  <c r="AJ715" i="1"/>
  <c r="AK715" i="1" s="1"/>
  <c r="AJ711" i="1"/>
  <c r="AK711" i="1" s="1"/>
  <c r="AJ710" i="1"/>
  <c r="AK710" i="1" s="1"/>
  <c r="AJ712" i="1"/>
  <c r="AK712" i="1" s="1"/>
  <c r="AJ709" i="1"/>
  <c r="AJ713" i="1"/>
  <c r="AK713" i="1" s="1"/>
  <c r="CD655" i="1"/>
  <c r="CB274" i="1"/>
  <c r="AB16" i="1"/>
  <c r="AC14" i="1"/>
  <c r="AS657" i="1"/>
  <c r="AR658" i="1"/>
  <c r="CQ378" i="1"/>
  <c r="J221" i="1"/>
  <c r="L187" i="1"/>
  <c r="K193" i="1"/>
  <c r="J194" i="1"/>
  <c r="K194" i="1" s="1"/>
  <c r="CG653" i="1"/>
  <c r="AZ799" i="1"/>
  <c r="AZ672" i="1"/>
  <c r="BA669" i="1"/>
  <c r="BX227" i="1"/>
  <c r="BW264" i="1"/>
  <c r="BX264" i="1" s="1"/>
  <c r="BW228" i="1"/>
  <c r="BX228" i="1" s="1"/>
  <c r="B674" i="1"/>
  <c r="B676" i="1"/>
  <c r="B933" i="1"/>
  <c r="B932" i="1"/>
  <c r="B927" i="1"/>
  <c r="B930" i="1"/>
  <c r="B929" i="1"/>
  <c r="B926" i="1"/>
  <c r="B928" i="1"/>
  <c r="B714" i="1"/>
  <c r="B717" i="1" s="1"/>
  <c r="O133" i="1"/>
  <c r="N134" i="1"/>
  <c r="O134" i="1" s="1"/>
  <c r="AR16" i="1"/>
  <c r="AS14" i="1"/>
  <c r="O541" i="1"/>
  <c r="N542" i="1"/>
  <c r="O542" i="1" s="1"/>
  <c r="CO372" i="1"/>
  <c r="CN372" i="1"/>
  <c r="CM373" i="1"/>
  <c r="K656" i="1"/>
  <c r="J659" i="1"/>
  <c r="J658" i="1"/>
  <c r="J715" i="1"/>
  <c r="K715" i="1" s="1"/>
  <c r="J710" i="1"/>
  <c r="K710" i="1" s="1"/>
  <c r="J709" i="1"/>
  <c r="J711" i="1"/>
  <c r="K711" i="1" s="1"/>
  <c r="J713" i="1"/>
  <c r="K713" i="1" s="1"/>
  <c r="J712" i="1"/>
  <c r="K712" i="1" s="1"/>
  <c r="CL738" i="1"/>
  <c r="CK740" i="1"/>
  <c r="CL740" i="1" s="1"/>
  <c r="CL742" i="1"/>
  <c r="BG408" i="1"/>
  <c r="BY11" i="1"/>
  <c r="BJ806" i="1"/>
  <c r="BK805" i="1"/>
  <c r="L672" i="1"/>
  <c r="M669" i="1"/>
  <c r="CO427" i="1"/>
  <c r="CP426" i="1"/>
  <c r="CG657" i="1"/>
  <c r="CG637" i="1"/>
  <c r="CH637" i="1" s="1"/>
  <c r="CH636" i="1"/>
  <c r="CG15" i="1"/>
  <c r="CH15" i="1" s="1"/>
  <c r="CF788" i="1"/>
  <c r="CH788" i="1"/>
  <c r="CF671" i="1"/>
  <c r="P523" i="1"/>
  <c r="Q523" i="1" s="1"/>
  <c r="R518" i="1"/>
  <c r="Q522" i="1"/>
  <c r="BJ827" i="1"/>
  <c r="BK827" i="1" s="1"/>
  <c r="BK821" i="1"/>
  <c r="CR298" i="1"/>
  <c r="CS298" i="1"/>
  <c r="CA28" i="1"/>
  <c r="BY41" i="1"/>
  <c r="BY36" i="1"/>
  <c r="BZ35" i="1"/>
  <c r="BZ510" i="1"/>
  <c r="BY514" i="1"/>
  <c r="CQ434" i="1"/>
  <c r="CP434" i="1"/>
  <c r="CK402" i="1"/>
  <c r="CJ402" i="1"/>
  <c r="AJ727" i="1"/>
  <c r="AK671" i="1"/>
  <c r="AS671" i="1"/>
  <c r="BB799" i="1"/>
  <c r="BB672" i="1"/>
  <c r="BC669" i="1"/>
  <c r="CR845" i="1"/>
  <c r="CS845" i="1"/>
  <c r="U637" i="1"/>
  <c r="M637" i="1"/>
  <c r="BW651" i="1"/>
  <c r="BW349" i="1"/>
  <c r="BW343" i="1"/>
  <c r="BX342" i="1"/>
  <c r="BW9" i="1"/>
  <c r="BW11" i="1" s="1"/>
  <c r="BZ342" i="1"/>
  <c r="R801" i="1"/>
  <c r="S799" i="1"/>
  <c r="BY225" i="1"/>
  <c r="BZ223" i="1"/>
  <c r="BY260" i="1"/>
  <c r="BZ260" i="1" s="1"/>
  <c r="CM302" i="1"/>
  <c r="CP879" i="1"/>
  <c r="CO847" i="1"/>
  <c r="CP847" i="1" s="1"/>
  <c r="CQ879" i="1"/>
  <c r="AL659" i="1"/>
  <c r="AM656" i="1"/>
  <c r="AL711" i="1"/>
  <c r="AM711" i="1" s="1"/>
  <c r="AL715" i="1"/>
  <c r="AM715" i="1" s="1"/>
  <c r="AL716" i="1"/>
  <c r="AM716" i="1" s="1"/>
  <c r="AL713" i="1"/>
  <c r="AM713" i="1" s="1"/>
  <c r="AL712" i="1"/>
  <c r="AM712" i="1" s="1"/>
  <c r="AL709" i="1"/>
  <c r="AL710" i="1"/>
  <c r="AM710" i="1" s="1"/>
  <c r="AW794" i="1"/>
  <c r="BW918" i="1"/>
  <c r="BX84" i="1"/>
  <c r="CN839" i="1"/>
  <c r="CO839" i="1"/>
  <c r="BZ668" i="1"/>
  <c r="AM638" i="1"/>
  <c r="BH807" i="1"/>
  <c r="BI807" i="1" s="1"/>
  <c r="BI806" i="1"/>
  <c r="CE920" i="1"/>
  <c r="CF274" i="1"/>
  <c r="CE14" i="1"/>
  <c r="CF11" i="1"/>
  <c r="Z689" i="1"/>
  <c r="AA636" i="1"/>
  <c r="CA636" i="1"/>
  <c r="Z657" i="1"/>
  <c r="Z15" i="1"/>
  <c r="AA15" i="1" s="1"/>
  <c r="CB280" i="1"/>
  <c r="F674" i="1"/>
  <c r="F676" i="1"/>
  <c r="F932" i="1"/>
  <c r="F933" i="1"/>
  <c r="F927" i="1"/>
  <c r="F930" i="1"/>
  <c r="F929" i="1"/>
  <c r="F926" i="1"/>
  <c r="F928" i="1"/>
  <c r="AR799" i="1"/>
  <c r="AR672" i="1"/>
  <c r="AS669" i="1"/>
  <c r="AW657" i="1"/>
  <c r="AV658" i="1"/>
  <c r="BC689" i="1"/>
  <c r="AX16" i="1"/>
  <c r="AY14" i="1"/>
  <c r="AK638" i="1"/>
  <c r="CG920" i="1"/>
  <c r="CH274" i="1"/>
  <c r="BL670" i="1"/>
  <c r="BM443" i="1"/>
  <c r="BU668" i="1"/>
  <c r="BU669" i="1" s="1"/>
  <c r="BU423" i="1"/>
  <c r="BV423" i="1" s="1"/>
  <c r="BV422" i="1"/>
  <c r="BK756" i="1"/>
  <c r="BJ734" i="1"/>
  <c r="BG320" i="1"/>
  <c r="BF333" i="1"/>
  <c r="BF332" i="1"/>
  <c r="BW794" i="1"/>
  <c r="BX795" i="1"/>
  <c r="BZ795" i="1"/>
  <c r="CN379" i="1"/>
  <c r="CO379" i="1"/>
  <c r="P16" i="1"/>
  <c r="Q14" i="1"/>
  <c r="BZ10" i="1"/>
  <c r="L469" i="1"/>
  <c r="L452" i="1"/>
  <c r="M448" i="1"/>
  <c r="U448" i="1"/>
  <c r="V672" i="1"/>
  <c r="W669" i="1"/>
  <c r="AL799" i="1"/>
  <c r="AL672" i="1"/>
  <c r="AM669" i="1"/>
  <c r="N672" i="1"/>
  <c r="O669" i="1"/>
  <c r="AN16" i="1"/>
  <c r="AO14" i="1"/>
  <c r="P107" i="1"/>
  <c r="Q107" i="1" s="1"/>
  <c r="R102" i="1"/>
  <c r="Q106" i="1"/>
  <c r="BU653" i="1"/>
  <c r="AV659" i="1"/>
  <c r="AW656" i="1"/>
  <c r="AV710" i="1"/>
  <c r="AW710" i="1" s="1"/>
  <c r="AV716" i="1"/>
  <c r="AW716" i="1" s="1"/>
  <c r="AV715" i="1"/>
  <c r="AW715" i="1" s="1"/>
  <c r="AV711" i="1"/>
  <c r="AW711" i="1" s="1"/>
  <c r="AV709" i="1"/>
  <c r="AV713" i="1"/>
  <c r="AW713" i="1" s="1"/>
  <c r="AV712" i="1"/>
  <c r="AW712" i="1" s="1"/>
  <c r="Z16" i="1"/>
  <c r="AA14" i="1"/>
  <c r="T689" i="1"/>
  <c r="U636" i="1"/>
  <c r="T657" i="1"/>
  <c r="BY636" i="1"/>
  <c r="T15" i="1"/>
  <c r="U15" i="1" s="1"/>
  <c r="BW65" i="1"/>
  <c r="BX65" i="1" s="1"/>
  <c r="BX63" i="1"/>
  <c r="BB16" i="1"/>
  <c r="BC14" i="1"/>
  <c r="AV16" i="1"/>
  <c r="AW14" i="1"/>
  <c r="CC666" i="1"/>
  <c r="CC280" i="1"/>
  <c r="CD280" i="1" s="1"/>
  <c r="CD279" i="1"/>
  <c r="X716" i="1"/>
  <c r="AG716" i="1" s="1"/>
  <c r="AU828" i="1"/>
  <c r="CK654" i="1"/>
  <c r="CK631" i="1"/>
  <c r="CL631" i="1" s="1"/>
  <c r="CK443" i="1"/>
  <c r="CL440" i="1"/>
  <c r="CK12" i="1"/>
  <c r="CL12" i="1" s="1"/>
  <c r="CG448" i="1"/>
  <c r="CF452" i="1"/>
  <c r="CE455" i="1"/>
  <c r="CE456" i="1" s="1"/>
  <c r="CF456" i="1" s="1"/>
  <c r="CF685" i="1"/>
  <c r="CE691" i="1"/>
  <c r="BL396" i="1"/>
  <c r="BM394" i="1"/>
  <c r="AS828" i="1"/>
  <c r="BE828" i="1"/>
  <c r="CG828" i="1"/>
  <c r="CH828" i="1" s="1"/>
  <c r="CH667" i="1"/>
  <c r="AG15" i="1"/>
  <c r="AH659" i="1"/>
  <c r="AI656" i="1"/>
  <c r="AH715" i="1"/>
  <c r="AI715" i="1" s="1"/>
  <c r="AH711" i="1"/>
  <c r="AI711" i="1" s="1"/>
  <c r="AH712" i="1"/>
  <c r="AI712" i="1" s="1"/>
  <c r="AH710" i="1"/>
  <c r="AI710" i="1" s="1"/>
  <c r="AH713" i="1"/>
  <c r="AI713" i="1" s="1"/>
  <c r="AH709" i="1"/>
  <c r="CA671" i="1"/>
  <c r="CD671" i="1" s="1"/>
  <c r="CB613" i="1"/>
  <c r="CP224" i="1"/>
  <c r="CQ224" i="1"/>
  <c r="BZ822" i="1"/>
  <c r="BK670" i="1"/>
  <c r="AC664" i="1"/>
  <c r="AS636" i="1"/>
  <c r="CB635" i="1"/>
  <c r="CG638" i="1"/>
  <c r="CH638" i="1" s="1"/>
  <c r="CH635" i="1"/>
  <c r="H725" i="1"/>
  <c r="H728" i="1" s="1"/>
  <c r="CO874" i="1"/>
  <c r="CN874" i="1"/>
  <c r="BA656" i="1"/>
  <c r="AZ659" i="1"/>
  <c r="AZ710" i="1"/>
  <c r="BA710" i="1" s="1"/>
  <c r="AZ716" i="1"/>
  <c r="BA716" i="1" s="1"/>
  <c r="AZ715" i="1"/>
  <c r="BA715" i="1" s="1"/>
  <c r="AZ711" i="1"/>
  <c r="BA711" i="1" s="1"/>
  <c r="AZ713" i="1"/>
  <c r="BA713" i="1" s="1"/>
  <c r="AZ712" i="1"/>
  <c r="BA712" i="1" s="1"/>
  <c r="AZ709" i="1"/>
  <c r="CI394" i="1"/>
  <c r="D17" i="23" l="1"/>
  <c r="E15" i="23"/>
  <c r="C15" i="23"/>
  <c r="K15" i="23"/>
  <c r="AE710" i="1"/>
  <c r="AY713" i="1"/>
  <c r="AI727" i="1"/>
  <c r="H150" i="1"/>
  <c r="CP837" i="1"/>
  <c r="CQ837" i="1"/>
  <c r="AO712" i="1"/>
  <c r="F65" i="1"/>
  <c r="CS374" i="1"/>
  <c r="CR374" i="1"/>
  <c r="CQ371" i="1"/>
  <c r="CS842" i="1"/>
  <c r="CR842" i="1"/>
  <c r="AO711" i="1"/>
  <c r="BU672" i="1"/>
  <c r="BV669" i="1"/>
  <c r="AB819" i="1"/>
  <c r="AB661" i="1"/>
  <c r="BW14" i="1"/>
  <c r="BX11" i="1"/>
  <c r="CI323" i="1"/>
  <c r="CJ309" i="1"/>
  <c r="CI318" i="1"/>
  <c r="BG410" i="1"/>
  <c r="BF417" i="1"/>
  <c r="BL398" i="1"/>
  <c r="BM396" i="1"/>
  <c r="U657" i="1"/>
  <c r="T658" i="1"/>
  <c r="AA16" i="1"/>
  <c r="AL801" i="1"/>
  <c r="AM799" i="1"/>
  <c r="BA709" i="1"/>
  <c r="AZ714" i="1"/>
  <c r="CD666" i="1"/>
  <c r="BC16" i="1"/>
  <c r="BY657" i="1"/>
  <c r="BY637" i="1"/>
  <c r="BZ637" i="1" s="1"/>
  <c r="BZ636" i="1"/>
  <c r="BY15" i="1"/>
  <c r="BZ15" i="1" s="1"/>
  <c r="AW709" i="1"/>
  <c r="AV714" i="1"/>
  <c r="AO16" i="1"/>
  <c r="AM672" i="1"/>
  <c r="AL726" i="1"/>
  <c r="AL722" i="1"/>
  <c r="AL724" i="1"/>
  <c r="AL727" i="1"/>
  <c r="AM727" i="1" s="1"/>
  <c r="AL721" i="1"/>
  <c r="AL723" i="1"/>
  <c r="AL720" i="1"/>
  <c r="Q16" i="1"/>
  <c r="BM670" i="1"/>
  <c r="AW658" i="1"/>
  <c r="AV674" i="1"/>
  <c r="AV676" i="1"/>
  <c r="AV927" i="1"/>
  <c r="AV933" i="1"/>
  <c r="AV932" i="1"/>
  <c r="AV928" i="1"/>
  <c r="AV930" i="1"/>
  <c r="AV929" i="1"/>
  <c r="AV926" i="1"/>
  <c r="AR800" i="1"/>
  <c r="AR801" i="1" s="1"/>
  <c r="AS799" i="1"/>
  <c r="AA657" i="1"/>
  <c r="Z658" i="1"/>
  <c r="AM709" i="1"/>
  <c r="AL714" i="1"/>
  <c r="CQ847" i="1"/>
  <c r="CS879" i="1"/>
  <c r="CR879" i="1"/>
  <c r="R802" i="1"/>
  <c r="S802" i="1" s="1"/>
  <c r="S801" i="1"/>
  <c r="BW921" i="1"/>
  <c r="BX343" i="1"/>
  <c r="BZ343" i="1"/>
  <c r="BC672" i="1"/>
  <c r="BB727" i="1"/>
  <c r="BB721" i="1"/>
  <c r="BB726" i="1"/>
  <c r="BB722" i="1"/>
  <c r="BB724" i="1"/>
  <c r="BB720" i="1"/>
  <c r="BB723" i="1"/>
  <c r="CH657" i="1"/>
  <c r="M672" i="1"/>
  <c r="L726" i="1"/>
  <c r="M726" i="1" s="1"/>
  <c r="L721" i="1"/>
  <c r="M721" i="1" s="1"/>
  <c r="L722" i="1"/>
  <c r="M722" i="1" s="1"/>
  <c r="L720" i="1"/>
  <c r="L723" i="1"/>
  <c r="M723" i="1" s="1"/>
  <c r="L724" i="1"/>
  <c r="M724" i="1" s="1"/>
  <c r="K709" i="1"/>
  <c r="J714" i="1"/>
  <c r="J819" i="1"/>
  <c r="J661" i="1"/>
  <c r="K659" i="1"/>
  <c r="CQ372" i="1"/>
  <c r="CP372" i="1"/>
  <c r="CO373" i="1"/>
  <c r="CG923" i="1"/>
  <c r="CG699" i="1"/>
  <c r="CG703" i="1" s="1"/>
  <c r="CG656" i="1"/>
  <c r="CH653" i="1"/>
  <c r="J258" i="1"/>
  <c r="K258" i="1" s="1"/>
  <c r="K221" i="1"/>
  <c r="AJ819" i="1"/>
  <c r="AK659" i="1"/>
  <c r="AJ661" i="1"/>
  <c r="AB726" i="1"/>
  <c r="AB722" i="1"/>
  <c r="AB723" i="1"/>
  <c r="AB721" i="1"/>
  <c r="AB720" i="1"/>
  <c r="AB724" i="1"/>
  <c r="CA223" i="1"/>
  <c r="CB221" i="1"/>
  <c r="CA258" i="1"/>
  <c r="CB258" i="1" s="1"/>
  <c r="AD674" i="1"/>
  <c r="AE658" i="1"/>
  <c r="AD932" i="1"/>
  <c r="AD928" i="1"/>
  <c r="AD676" i="1"/>
  <c r="AD929" i="1"/>
  <c r="AD927" i="1"/>
  <c r="AD926" i="1"/>
  <c r="AD933" i="1"/>
  <c r="AD930" i="1"/>
  <c r="AE709" i="1"/>
  <c r="AD714" i="1"/>
  <c r="AE711" i="1"/>
  <c r="AI657" i="1"/>
  <c r="AH658" i="1"/>
  <c r="AQ658" i="1" s="1"/>
  <c r="AE16" i="1"/>
  <c r="CI821" i="1"/>
  <c r="CJ821" i="1" s="1"/>
  <c r="CK793" i="1"/>
  <c r="CJ793" i="1"/>
  <c r="CF636" i="1"/>
  <c r="BL812" i="1"/>
  <c r="BM812" i="1" s="1"/>
  <c r="BL811" i="1"/>
  <c r="BM810" i="1"/>
  <c r="CP870" i="1"/>
  <c r="CO785" i="1"/>
  <c r="AU713" i="1"/>
  <c r="AU710" i="1"/>
  <c r="AQ709" i="1"/>
  <c r="AP714" i="1"/>
  <c r="AQ710" i="1"/>
  <c r="CS844" i="1"/>
  <c r="CR844" i="1"/>
  <c r="AY712" i="1"/>
  <c r="AY710" i="1"/>
  <c r="AF674" i="1"/>
  <c r="AF676" i="1"/>
  <c r="AF932" i="1"/>
  <c r="AF928" i="1"/>
  <c r="AF926" i="1"/>
  <c r="AF930" i="1"/>
  <c r="AF929" i="1"/>
  <c r="AF927" i="1"/>
  <c r="AF933" i="1"/>
  <c r="AO710" i="1"/>
  <c r="AO715" i="1"/>
  <c r="CD14" i="1"/>
  <c r="AC711" i="1"/>
  <c r="CR226" i="1"/>
  <c r="CS226" i="1"/>
  <c r="BX671" i="1"/>
  <c r="Q672" i="1"/>
  <c r="P726" i="1"/>
  <c r="Q726" i="1" s="1"/>
  <c r="P722" i="1"/>
  <c r="Q722" i="1" s="1"/>
  <c r="P724" i="1"/>
  <c r="Q724" i="1" s="1"/>
  <c r="P720" i="1"/>
  <c r="P721" i="1"/>
  <c r="Q721" i="1" s="1"/>
  <c r="CO299" i="1"/>
  <c r="CQ297" i="1"/>
  <c r="CQ302" i="1" s="1"/>
  <c r="CP297" i="1"/>
  <c r="AE799" i="1"/>
  <c r="AD800" i="1"/>
  <c r="BE712" i="1"/>
  <c r="BE710" i="1"/>
  <c r="AP674" i="1"/>
  <c r="AP927" i="1"/>
  <c r="AP676" i="1"/>
  <c r="AP928" i="1"/>
  <c r="AP932" i="1"/>
  <c r="AP926" i="1"/>
  <c r="AP929" i="1"/>
  <c r="AP930" i="1"/>
  <c r="AP933" i="1"/>
  <c r="AJ801" i="1"/>
  <c r="AK799" i="1"/>
  <c r="CI670" i="1"/>
  <c r="CJ443" i="1"/>
  <c r="AO658" i="1"/>
  <c r="AN674" i="1"/>
  <c r="AN676" i="1"/>
  <c r="AO676" i="1" s="1"/>
  <c r="AN932" i="1"/>
  <c r="AO932" i="1" s="1"/>
  <c r="AN928" i="1"/>
  <c r="AO928" i="1" s="1"/>
  <c r="AN929" i="1"/>
  <c r="AN927" i="1"/>
  <c r="AN926" i="1"/>
  <c r="AN930" i="1"/>
  <c r="AO930" i="1" s="1"/>
  <c r="AN933" i="1"/>
  <c r="AO933" i="1" s="1"/>
  <c r="N819" i="1"/>
  <c r="N661" i="1"/>
  <c r="O659" i="1"/>
  <c r="AL674" i="1"/>
  <c r="AM658" i="1"/>
  <c r="AL676" i="1"/>
  <c r="AM676" i="1" s="1"/>
  <c r="AL928" i="1"/>
  <c r="AM928" i="1" s="1"/>
  <c r="AL932" i="1"/>
  <c r="AM932" i="1" s="1"/>
  <c r="AL930" i="1"/>
  <c r="AL929" i="1"/>
  <c r="AM929" i="1" s="1"/>
  <c r="AL926" i="1"/>
  <c r="AL927" i="1"/>
  <c r="AM927" i="1" s="1"/>
  <c r="AL933" i="1"/>
  <c r="BZ823" i="1"/>
  <c r="CF638" i="1"/>
  <c r="H931" i="1"/>
  <c r="H934" i="1" s="1"/>
  <c r="BA16" i="1"/>
  <c r="AY672" i="1"/>
  <c r="AX727" i="1"/>
  <c r="AX721" i="1"/>
  <c r="AX726" i="1"/>
  <c r="AX722" i="1"/>
  <c r="AX724" i="1"/>
  <c r="AX720" i="1"/>
  <c r="AX723" i="1"/>
  <c r="AB727" i="1"/>
  <c r="AK727" i="1" s="1"/>
  <c r="CH666" i="1"/>
  <c r="AK689" i="1"/>
  <c r="AJ691" i="1"/>
  <c r="BY638" i="1"/>
  <c r="BZ638" i="1" s="1"/>
  <c r="F758" i="1"/>
  <c r="BC713" i="1"/>
  <c r="BC710" i="1"/>
  <c r="BX664" i="1"/>
  <c r="S713" i="1"/>
  <c r="R819" i="1"/>
  <c r="R661" i="1"/>
  <c r="S659" i="1"/>
  <c r="AS713" i="1"/>
  <c r="AS715" i="1"/>
  <c r="AO672" i="1"/>
  <c r="AN726" i="1"/>
  <c r="AN722" i="1"/>
  <c r="AO722" i="1" s="1"/>
  <c r="AN723" i="1"/>
  <c r="AN724" i="1"/>
  <c r="AN721" i="1"/>
  <c r="AN720" i="1"/>
  <c r="AN727" i="1"/>
  <c r="AO727" i="1" s="1"/>
  <c r="CN785" i="1"/>
  <c r="CK328" i="1"/>
  <c r="CJ328" i="1"/>
  <c r="CK670" i="1"/>
  <c r="CL443" i="1"/>
  <c r="R106" i="1"/>
  <c r="S102" i="1"/>
  <c r="BY102" i="1"/>
  <c r="R118" i="1"/>
  <c r="CQ379" i="1"/>
  <c r="CP379" i="1"/>
  <c r="CO380" i="1"/>
  <c r="CP380" i="1" s="1"/>
  <c r="BX794" i="1"/>
  <c r="BZ794" i="1"/>
  <c r="BK734" i="1"/>
  <c r="AY16" i="1"/>
  <c r="F673" i="1"/>
  <c r="F675" i="1" s="1"/>
  <c r="F705" i="1"/>
  <c r="F704" i="1" s="1"/>
  <c r="F706" i="1" s="1"/>
  <c r="F944" i="1"/>
  <c r="F943" i="1"/>
  <c r="F941" i="1"/>
  <c r="F938" i="1"/>
  <c r="F940" i="1"/>
  <c r="F937" i="1"/>
  <c r="F939" i="1"/>
  <c r="CA637" i="1"/>
  <c r="CB636" i="1"/>
  <c r="CA657" i="1"/>
  <c r="CA15" i="1"/>
  <c r="CB15" i="1" s="1"/>
  <c r="CA638" i="1"/>
  <c r="CB638" i="1" s="1"/>
  <c r="CE16" i="1"/>
  <c r="CF14" i="1"/>
  <c r="BW667" i="1"/>
  <c r="BW350" i="1"/>
  <c r="BX350" i="1" s="1"/>
  <c r="BX349" i="1"/>
  <c r="BZ352" i="1"/>
  <c r="BB801" i="1"/>
  <c r="BC799" i="1"/>
  <c r="CA35" i="1"/>
  <c r="CB28" i="1"/>
  <c r="CA45" i="1"/>
  <c r="CB45" i="1" s="1"/>
  <c r="CA46" i="1"/>
  <c r="CB46" i="1" s="1"/>
  <c r="CA44" i="1"/>
  <c r="CB44" i="1" s="1"/>
  <c r="CA43" i="1"/>
  <c r="CB43" i="1" s="1"/>
  <c r="R522" i="1"/>
  <c r="S518" i="1"/>
  <c r="BY518" i="1"/>
  <c r="R526" i="1"/>
  <c r="AS16" i="1"/>
  <c r="CS378" i="1"/>
  <c r="CR378" i="1"/>
  <c r="CQ380" i="1"/>
  <c r="M709" i="1"/>
  <c r="L714" i="1"/>
  <c r="AC799" i="1"/>
  <c r="AB801" i="1"/>
  <c r="BM756" i="1"/>
  <c r="BL734" i="1"/>
  <c r="CM654" i="1"/>
  <c r="CM631" i="1"/>
  <c r="CN631" i="1" s="1"/>
  <c r="CM443" i="1"/>
  <c r="CN440" i="1"/>
  <c r="CM12" i="1"/>
  <c r="CN12" i="1" s="1"/>
  <c r="T801" i="1"/>
  <c r="U799" i="1"/>
  <c r="Z801" i="1"/>
  <c r="AA799" i="1"/>
  <c r="AQ672" i="1"/>
  <c r="AP721" i="1"/>
  <c r="AP726" i="1"/>
  <c r="AP722" i="1"/>
  <c r="AP724" i="1"/>
  <c r="AP720" i="1"/>
  <c r="AP727" i="1"/>
  <c r="AQ727" i="1" s="1"/>
  <c r="AP723" i="1"/>
  <c r="AE715" i="1"/>
  <c r="CP873" i="1"/>
  <c r="CQ873" i="1"/>
  <c r="CJ864" i="1"/>
  <c r="CK864" i="1"/>
  <c r="O16" i="1"/>
  <c r="BL827" i="1"/>
  <c r="BM821" i="1"/>
  <c r="CF656" i="1"/>
  <c r="CE659" i="1"/>
  <c r="CE716" i="1"/>
  <c r="CE715" i="1"/>
  <c r="CE710" i="1"/>
  <c r="CE709" i="1"/>
  <c r="CE712" i="1"/>
  <c r="CE713" i="1"/>
  <c r="CI810" i="1"/>
  <c r="CK792" i="1"/>
  <c r="CJ792" i="1"/>
  <c r="Q656" i="1"/>
  <c r="P659" i="1"/>
  <c r="P658" i="1"/>
  <c r="P715" i="1"/>
  <c r="Q715" i="1" s="1"/>
  <c r="P711" i="1"/>
  <c r="Q711" i="1" s="1"/>
  <c r="P713" i="1"/>
  <c r="Q713" i="1" s="1"/>
  <c r="P709" i="1"/>
  <c r="Y709" i="1" s="1"/>
  <c r="P710" i="1"/>
  <c r="Q710" i="1" s="1"/>
  <c r="P712" i="1"/>
  <c r="Q712" i="1" s="1"/>
  <c r="P716" i="1"/>
  <c r="Q716" i="1" s="1"/>
  <c r="BY801" i="1"/>
  <c r="X802" i="1"/>
  <c r="X803" i="1" s="1"/>
  <c r="Y801" i="1"/>
  <c r="AC689" i="1"/>
  <c r="AB691" i="1"/>
  <c r="AU716" i="1"/>
  <c r="BE16" i="1"/>
  <c r="AY716" i="1"/>
  <c r="CD828" i="1"/>
  <c r="CB794" i="1"/>
  <c r="CD794" i="1"/>
  <c r="CS354" i="1"/>
  <c r="CQ355" i="1"/>
  <c r="CR354" i="1"/>
  <c r="AG727" i="1"/>
  <c r="BL318" i="1"/>
  <c r="BM309" i="1"/>
  <c r="AH801" i="1"/>
  <c r="AI799" i="1"/>
  <c r="Z455" i="1"/>
  <c r="AB448" i="1"/>
  <c r="AA452" i="1"/>
  <c r="CL324" i="1"/>
  <c r="CM324" i="1"/>
  <c r="CK319" i="1"/>
  <c r="BE672" i="1"/>
  <c r="BD721" i="1"/>
  <c r="BD727" i="1"/>
  <c r="BD722" i="1"/>
  <c r="BD726" i="1"/>
  <c r="BD720" i="1"/>
  <c r="BD724" i="1"/>
  <c r="BD723" i="1"/>
  <c r="CO300" i="1"/>
  <c r="CP300" i="1" s="1"/>
  <c r="CN299" i="1"/>
  <c r="T514" i="1"/>
  <c r="U510" i="1"/>
  <c r="CR860" i="1"/>
  <c r="CS860" i="1"/>
  <c r="BE711" i="1"/>
  <c r="AQ657" i="1"/>
  <c r="P531" i="1"/>
  <c r="P541" i="1"/>
  <c r="Q530" i="1"/>
  <c r="P562" i="1"/>
  <c r="Q562" i="1" s="1"/>
  <c r="AX674" i="1"/>
  <c r="AY658" i="1"/>
  <c r="AX927" i="1"/>
  <c r="AY927" i="1" s="1"/>
  <c r="AX676" i="1"/>
  <c r="AY676" i="1" s="1"/>
  <c r="AX933" i="1"/>
  <c r="AX928" i="1"/>
  <c r="AY928" i="1" s="1"/>
  <c r="AX932" i="1"/>
  <c r="AX929" i="1"/>
  <c r="AY929" i="1" s="1"/>
  <c r="AX926" i="1"/>
  <c r="AX930" i="1"/>
  <c r="AY930" i="1" s="1"/>
  <c r="BZ666" i="1"/>
  <c r="O709" i="1"/>
  <c r="N714" i="1"/>
  <c r="BY114" i="1"/>
  <c r="BZ110" i="1"/>
  <c r="AV801" i="1"/>
  <c r="AW799" i="1"/>
  <c r="AT674" i="1"/>
  <c r="AU658" i="1"/>
  <c r="AT927" i="1"/>
  <c r="AT928" i="1"/>
  <c r="AU928" i="1" s="1"/>
  <c r="AT676" i="1"/>
  <c r="AU676" i="1" s="1"/>
  <c r="AT932" i="1"/>
  <c r="AU932" i="1" s="1"/>
  <c r="AT933" i="1"/>
  <c r="AU933" i="1" s="1"/>
  <c r="AT926" i="1"/>
  <c r="AT929" i="1"/>
  <c r="AU929" i="1" s="1"/>
  <c r="AT930" i="1"/>
  <c r="AU930" i="1" s="1"/>
  <c r="L727" i="1"/>
  <c r="M727" i="1" s="1"/>
  <c r="AA716" i="1"/>
  <c r="Z659" i="1"/>
  <c r="AI659" i="1" s="1"/>
  <c r="AZ674" i="1"/>
  <c r="BA658" i="1"/>
  <c r="AZ927" i="1"/>
  <c r="AZ933" i="1"/>
  <c r="AZ676" i="1"/>
  <c r="AZ932" i="1"/>
  <c r="AZ928" i="1"/>
  <c r="AZ929" i="1"/>
  <c r="AZ930" i="1"/>
  <c r="AZ926" i="1"/>
  <c r="AK15" i="1"/>
  <c r="F225" i="1"/>
  <c r="F260" i="1"/>
  <c r="AE691" i="1"/>
  <c r="CS867" i="1"/>
  <c r="CR867" i="1"/>
  <c r="BC711" i="1"/>
  <c r="CR732" i="1"/>
  <c r="CS732" i="1"/>
  <c r="S710" i="1"/>
  <c r="S715" i="1"/>
  <c r="Y672" i="1"/>
  <c r="X726" i="1"/>
  <c r="Y726" i="1" s="1"/>
  <c r="X722" i="1"/>
  <c r="Y722" i="1" s="1"/>
  <c r="X723" i="1"/>
  <c r="Y723" i="1" s="1"/>
  <c r="X720" i="1"/>
  <c r="X721" i="1"/>
  <c r="Y721" i="1" s="1"/>
  <c r="X724" i="1"/>
  <c r="Y724" i="1" s="1"/>
  <c r="CQ365" i="1"/>
  <c r="CO362" i="1"/>
  <c r="CQ360" i="1"/>
  <c r="CP360" i="1"/>
  <c r="CF828" i="1"/>
  <c r="AS712" i="1"/>
  <c r="AS710" i="1"/>
  <c r="BK318" i="1"/>
  <c r="BJ320" i="1"/>
  <c r="CF794" i="1"/>
  <c r="CH794" i="1"/>
  <c r="AG799" i="1"/>
  <c r="AF801" i="1"/>
  <c r="AF800" i="1"/>
  <c r="CO859" i="1"/>
  <c r="CQ838" i="1"/>
  <c r="CP838" i="1"/>
  <c r="CO846" i="1"/>
  <c r="X714" i="1"/>
  <c r="Y715" i="1"/>
  <c r="BH409" i="1"/>
  <c r="BI409" i="1" s="1"/>
  <c r="BI407" i="1"/>
  <c r="BY659" i="1"/>
  <c r="BY715" i="1"/>
  <c r="BY710" i="1"/>
  <c r="BY713" i="1"/>
  <c r="BY712" i="1"/>
  <c r="BY709" i="1"/>
  <c r="BY716" i="1"/>
  <c r="CS224" i="1"/>
  <c r="CR224" i="1"/>
  <c r="Y716" i="1"/>
  <c r="AH819" i="1"/>
  <c r="AH661" i="1"/>
  <c r="CS448" i="1"/>
  <c r="CH448" i="1"/>
  <c r="CG452" i="1"/>
  <c r="CG469" i="1"/>
  <c r="CS469" i="1" s="1"/>
  <c r="AW16" i="1"/>
  <c r="AV819" i="1"/>
  <c r="AV661" i="1"/>
  <c r="AW659" i="1"/>
  <c r="O672" i="1"/>
  <c r="N726" i="1"/>
  <c r="O726" i="1" s="1"/>
  <c r="N727" i="1"/>
  <c r="O727" i="1" s="1"/>
  <c r="N720" i="1"/>
  <c r="N721" i="1"/>
  <c r="O721" i="1" s="1"/>
  <c r="N722" i="1"/>
  <c r="O722" i="1" s="1"/>
  <c r="N724" i="1"/>
  <c r="O724" i="1" s="1"/>
  <c r="M452" i="1"/>
  <c r="N448" i="1"/>
  <c r="U452" i="1"/>
  <c r="L456" i="1"/>
  <c r="BF334" i="1"/>
  <c r="BG332" i="1"/>
  <c r="BF335" i="1"/>
  <c r="BU724" i="1"/>
  <c r="BV724" i="1" s="1"/>
  <c r="BV668" i="1"/>
  <c r="F931" i="1"/>
  <c r="F934" i="1" s="1"/>
  <c r="CP839" i="1"/>
  <c r="CQ839" i="1"/>
  <c r="BY227" i="1"/>
  <c r="BZ225" i="1"/>
  <c r="BY262" i="1"/>
  <c r="BZ262" i="1" s="1"/>
  <c r="BX9" i="1"/>
  <c r="BZ9" i="1"/>
  <c r="BX651" i="1"/>
  <c r="BZ651" i="1"/>
  <c r="CS434" i="1"/>
  <c r="CR434" i="1"/>
  <c r="CP427" i="1"/>
  <c r="CQ426" i="1"/>
  <c r="BK806" i="1"/>
  <c r="BJ807" i="1"/>
  <c r="BK807" i="1" s="1"/>
  <c r="CN373" i="1"/>
  <c r="CM395" i="1"/>
  <c r="CN395" i="1" s="1"/>
  <c r="B673" i="1"/>
  <c r="B675" i="1" s="1"/>
  <c r="B705" i="1"/>
  <c r="B704" i="1" s="1"/>
  <c r="B706" i="1" s="1"/>
  <c r="B944" i="1"/>
  <c r="B943" i="1"/>
  <c r="B938" i="1"/>
  <c r="B941" i="1"/>
  <c r="B937" i="1"/>
  <c r="B940" i="1"/>
  <c r="B939" i="1"/>
  <c r="BA672" i="1"/>
  <c r="AZ721" i="1"/>
  <c r="AZ727" i="1"/>
  <c r="AZ726" i="1"/>
  <c r="AZ722" i="1"/>
  <c r="AZ723" i="1"/>
  <c r="AZ724" i="1"/>
  <c r="AZ720" i="1"/>
  <c r="AR674" i="1"/>
  <c r="AR927" i="1"/>
  <c r="AR676" i="1"/>
  <c r="AR932" i="1"/>
  <c r="AR928" i="1"/>
  <c r="AR933" i="1"/>
  <c r="AR926" i="1"/>
  <c r="AR930" i="1"/>
  <c r="AR929" i="1"/>
  <c r="L674" i="1"/>
  <c r="M658" i="1"/>
  <c r="L676" i="1"/>
  <c r="M676" i="1" s="1"/>
  <c r="L932" i="1"/>
  <c r="L927" i="1"/>
  <c r="L930" i="1"/>
  <c r="L926" i="1"/>
  <c r="L929" i="1"/>
  <c r="L928" i="1"/>
  <c r="L933" i="1"/>
  <c r="N723" i="1"/>
  <c r="O723" i="1" s="1"/>
  <c r="AU672" i="1"/>
  <c r="AT721" i="1"/>
  <c r="AU721" i="1" s="1"/>
  <c r="AT726" i="1"/>
  <c r="AU726" i="1" s="1"/>
  <c r="AT722" i="1"/>
  <c r="AU722" i="1" s="1"/>
  <c r="AT727" i="1"/>
  <c r="AT723" i="1"/>
  <c r="AU723" i="1" s="1"/>
  <c r="AT724" i="1"/>
  <c r="AU724" i="1" s="1"/>
  <c r="AT720" i="1"/>
  <c r="CC669" i="1"/>
  <c r="T16" i="1"/>
  <c r="U14" i="1"/>
  <c r="BB674" i="1"/>
  <c r="BC658" i="1"/>
  <c r="BB927" i="1"/>
  <c r="BC927" i="1" s="1"/>
  <c r="BB933" i="1"/>
  <c r="BC933" i="1" s="1"/>
  <c r="BB932" i="1"/>
  <c r="BB676" i="1"/>
  <c r="BC676" i="1" s="1"/>
  <c r="BB928" i="1"/>
  <c r="BC928" i="1" s="1"/>
  <c r="BB930" i="1"/>
  <c r="BB929" i="1"/>
  <c r="BB926" i="1"/>
  <c r="CH691" i="1"/>
  <c r="AE712" i="1"/>
  <c r="AD819" i="1"/>
  <c r="AD661" i="1"/>
  <c r="AE659" i="1"/>
  <c r="AI15" i="1"/>
  <c r="AI689" i="1"/>
  <c r="CC689" i="1"/>
  <c r="AH691" i="1"/>
  <c r="AQ691" i="1" s="1"/>
  <c r="S16" i="1"/>
  <c r="CO261" i="1"/>
  <c r="CN261" i="1"/>
  <c r="CM248" i="1"/>
  <c r="CN248" i="1" s="1"/>
  <c r="H558" i="1"/>
  <c r="CI685" i="1"/>
  <c r="CI500" i="1"/>
  <c r="CJ500" i="1" s="1"/>
  <c r="CJ496" i="1"/>
  <c r="CI497" i="1"/>
  <c r="CH689" i="1"/>
  <c r="CS689" i="1"/>
  <c r="AO691" i="1"/>
  <c r="AC15" i="1"/>
  <c r="AU712" i="1"/>
  <c r="AU711" i="1"/>
  <c r="AT819" i="1"/>
  <c r="AT661" i="1"/>
  <c r="AU659" i="1"/>
  <c r="CB222" i="1"/>
  <c r="CA259" i="1"/>
  <c r="CB259" i="1" s="1"/>
  <c r="AQ713" i="1"/>
  <c r="AQ715" i="1"/>
  <c r="AP819" i="1"/>
  <c r="AP661" i="1"/>
  <c r="AQ659" i="1"/>
  <c r="AY711" i="1"/>
  <c r="AG709" i="1"/>
  <c r="AF714" i="1"/>
  <c r="AF819" i="1"/>
  <c r="AF661" i="1"/>
  <c r="AO713" i="1"/>
  <c r="AN819" i="1"/>
  <c r="AN661" i="1"/>
  <c r="AO659" i="1"/>
  <c r="T672" i="1"/>
  <c r="U669" i="1"/>
  <c r="CS353" i="1"/>
  <c r="CR353" i="1"/>
  <c r="D758" i="1"/>
  <c r="S672" i="1"/>
  <c r="R726" i="1"/>
  <c r="R722" i="1"/>
  <c r="R720" i="1"/>
  <c r="R721" i="1"/>
  <c r="R724" i="1"/>
  <c r="R723" i="1"/>
  <c r="P154" i="1"/>
  <c r="Q154" i="1" s="1"/>
  <c r="Q122" i="1"/>
  <c r="P123" i="1"/>
  <c r="P133" i="1"/>
  <c r="AB714" i="1"/>
  <c r="V802" i="1"/>
  <c r="W802" i="1" s="1"/>
  <c r="W801" i="1"/>
  <c r="CF280" i="1"/>
  <c r="BY799" i="1"/>
  <c r="BY672" i="1"/>
  <c r="BY722" i="1" s="1"/>
  <c r="CP302" i="1"/>
  <c r="Y657" i="1"/>
  <c r="X658" i="1"/>
  <c r="BJ408" i="1"/>
  <c r="BK398" i="1"/>
  <c r="BJ407" i="1"/>
  <c r="BE713" i="1"/>
  <c r="BE715" i="1"/>
  <c r="BD819" i="1"/>
  <c r="BD661" i="1"/>
  <c r="BE659" i="1"/>
  <c r="P538" i="1"/>
  <c r="Q538" i="1" s="1"/>
  <c r="Q537" i="1"/>
  <c r="BI734" i="1"/>
  <c r="BX423" i="1"/>
  <c r="BU723" i="1"/>
  <c r="BV723" i="1" s="1"/>
  <c r="BV667" i="1"/>
  <c r="CJ654" i="1"/>
  <c r="D725" i="1"/>
  <c r="D728" i="1" s="1"/>
  <c r="N674" i="1"/>
  <c r="O658" i="1"/>
  <c r="N676" i="1"/>
  <c r="O676" i="1" s="1"/>
  <c r="N932" i="1"/>
  <c r="N928" i="1"/>
  <c r="N926" i="1"/>
  <c r="N933" i="1"/>
  <c r="N930" i="1"/>
  <c r="N927" i="1"/>
  <c r="N929" i="1"/>
  <c r="AW691" i="1"/>
  <c r="BE658" i="1"/>
  <c r="BD674" i="1"/>
  <c r="BD676" i="1"/>
  <c r="BD933" i="1"/>
  <c r="BE933" i="1" s="1"/>
  <c r="BD927" i="1"/>
  <c r="BD932" i="1"/>
  <c r="BE932" i="1" s="1"/>
  <c r="BD928" i="1"/>
  <c r="BD929" i="1"/>
  <c r="BE929" i="1" s="1"/>
  <c r="BD926" i="1"/>
  <c r="BD930" i="1"/>
  <c r="AX801" i="1"/>
  <c r="AY799" i="1"/>
  <c r="CD823" i="1"/>
  <c r="AA709" i="1"/>
  <c r="Z714" i="1"/>
  <c r="AK657" i="1"/>
  <c r="AJ658" i="1"/>
  <c r="AS658" i="1" s="1"/>
  <c r="AH16" i="1"/>
  <c r="M16" i="1"/>
  <c r="CB666" i="1"/>
  <c r="BC709" i="1"/>
  <c r="BB714" i="1"/>
  <c r="BC715" i="1"/>
  <c r="BB819" i="1"/>
  <c r="BB661" i="1"/>
  <c r="BC659" i="1"/>
  <c r="CE711" i="1"/>
  <c r="CF711" i="1" s="1"/>
  <c r="CO263" i="1"/>
  <c r="CN263" i="1"/>
  <c r="CM249" i="1"/>
  <c r="CN249" i="1" s="1"/>
  <c r="H41" i="1"/>
  <c r="J28" i="1"/>
  <c r="H36" i="1"/>
  <c r="S712" i="1"/>
  <c r="S711" i="1"/>
  <c r="Y638" i="1"/>
  <c r="AG638" i="1"/>
  <c r="CO363" i="1"/>
  <c r="CP363" i="1" s="1"/>
  <c r="CN362" i="1"/>
  <c r="AM16" i="1"/>
  <c r="AR819" i="1"/>
  <c r="AS659" i="1"/>
  <c r="AR661" i="1"/>
  <c r="CF689" i="1"/>
  <c r="AU16" i="1"/>
  <c r="AN800" i="1"/>
  <c r="AN801" i="1" s="1"/>
  <c r="AO799" i="1"/>
  <c r="CN738" i="1"/>
  <c r="CM740" i="1"/>
  <c r="CN740" i="1" s="1"/>
  <c r="CN859" i="1"/>
  <c r="P727" i="1"/>
  <c r="Q727" i="1" s="1"/>
  <c r="X659" i="1"/>
  <c r="O148" i="1"/>
  <c r="N150" i="1"/>
  <c r="O150" i="1" s="1"/>
  <c r="CI756" i="1"/>
  <c r="CQ874" i="1"/>
  <c r="CP874" i="1"/>
  <c r="CB671" i="1"/>
  <c r="CI401" i="1"/>
  <c r="CI396" i="1"/>
  <c r="CJ394" i="1"/>
  <c r="AZ819" i="1"/>
  <c r="BA659" i="1"/>
  <c r="AZ661" i="1"/>
  <c r="AI709" i="1"/>
  <c r="AH714" i="1"/>
  <c r="CL654" i="1"/>
  <c r="U689" i="1"/>
  <c r="BY689" i="1"/>
  <c r="T691" i="1"/>
  <c r="U691" i="1" s="1"/>
  <c r="BU923" i="1"/>
  <c r="BU699" i="1"/>
  <c r="BU703" i="1" s="1"/>
  <c r="BU656" i="1"/>
  <c r="BV653" i="1"/>
  <c r="W672" i="1"/>
  <c r="V722" i="1"/>
  <c r="V726" i="1"/>
  <c r="V723" i="1"/>
  <c r="W723" i="1" s="1"/>
  <c r="V720" i="1"/>
  <c r="V721" i="1"/>
  <c r="W721" i="1" s="1"/>
  <c r="V727" i="1"/>
  <c r="W727" i="1" s="1"/>
  <c r="V724" i="1"/>
  <c r="W724" i="1" s="1"/>
  <c r="M469" i="1"/>
  <c r="U469" i="1"/>
  <c r="BG333" i="1"/>
  <c r="AS672" i="1"/>
  <c r="AR721" i="1"/>
  <c r="AR726" i="1"/>
  <c r="AR722" i="1"/>
  <c r="AR727" i="1"/>
  <c r="AS727" i="1" s="1"/>
  <c r="AR724" i="1"/>
  <c r="AR723" i="1"/>
  <c r="AR720" i="1"/>
  <c r="CA689" i="1"/>
  <c r="AA689" i="1"/>
  <c r="Z691" i="1"/>
  <c r="AA691" i="1" s="1"/>
  <c r="AL819" i="1"/>
  <c r="AL661" i="1"/>
  <c r="AM659" i="1"/>
  <c r="CM319" i="1"/>
  <c r="CN302" i="1"/>
  <c r="CM402" i="1"/>
  <c r="CL402" i="1"/>
  <c r="CK397" i="1"/>
  <c r="CA510" i="1"/>
  <c r="BZ514" i="1"/>
  <c r="BY515" i="1"/>
  <c r="BZ515" i="1" s="1"/>
  <c r="BZ36" i="1"/>
  <c r="BY69" i="1"/>
  <c r="BZ69" i="1" s="1"/>
  <c r="BY64" i="1"/>
  <c r="BZ64" i="1" s="1"/>
  <c r="BY63" i="1"/>
  <c r="BY68" i="1"/>
  <c r="BZ68" i="1" s="1"/>
  <c r="BY92" i="1"/>
  <c r="BY14" i="1"/>
  <c r="BZ11" i="1"/>
  <c r="J674" i="1"/>
  <c r="K658" i="1"/>
  <c r="J676" i="1"/>
  <c r="K676" i="1" s="1"/>
  <c r="J932" i="1"/>
  <c r="J926" i="1"/>
  <c r="J928" i="1"/>
  <c r="J930" i="1"/>
  <c r="J929" i="1"/>
  <c r="J927" i="1"/>
  <c r="J933" i="1"/>
  <c r="B931" i="1"/>
  <c r="B934" i="1" s="1"/>
  <c r="AZ801" i="1"/>
  <c r="BA799" i="1"/>
  <c r="L193" i="1"/>
  <c r="M187" i="1"/>
  <c r="L200" i="1"/>
  <c r="L199" i="1"/>
  <c r="M199" i="1" s="1"/>
  <c r="L198" i="1"/>
  <c r="M198" i="1" s="1"/>
  <c r="AK709" i="1"/>
  <c r="AJ714" i="1"/>
  <c r="AA727" i="1"/>
  <c r="L819" i="1"/>
  <c r="L661" i="1"/>
  <c r="M659" i="1"/>
  <c r="V674" i="1"/>
  <c r="W658" i="1"/>
  <c r="V928" i="1"/>
  <c r="W928" i="1" s="1"/>
  <c r="V932" i="1"/>
  <c r="V676" i="1"/>
  <c r="V927" i="1"/>
  <c r="W927" i="1" s="1"/>
  <c r="V933" i="1"/>
  <c r="V926" i="1"/>
  <c r="V930" i="1"/>
  <c r="V929" i="1"/>
  <c r="W929" i="1" s="1"/>
  <c r="CQ432" i="1"/>
  <c r="CP432" i="1"/>
  <c r="CO440" i="1"/>
  <c r="CD656" i="1"/>
  <c r="CC715" i="1"/>
  <c r="CC716" i="1"/>
  <c r="CD716" i="1" s="1"/>
  <c r="CC709" i="1"/>
  <c r="CC710" i="1"/>
  <c r="CC712" i="1"/>
  <c r="CC713" i="1"/>
  <c r="U656" i="1"/>
  <c r="T659" i="1"/>
  <c r="T715" i="1"/>
  <c r="U715" i="1" s="1"/>
  <c r="T711" i="1"/>
  <c r="U711" i="1" s="1"/>
  <c r="T712" i="1"/>
  <c r="U712" i="1" s="1"/>
  <c r="T713" i="1"/>
  <c r="U713" i="1" s="1"/>
  <c r="T710" i="1"/>
  <c r="U710" i="1" s="1"/>
  <c r="T709" i="1"/>
  <c r="T716" i="1"/>
  <c r="BV11" i="1"/>
  <c r="BU14" i="1"/>
  <c r="CE799" i="1"/>
  <c r="CE672" i="1"/>
  <c r="CF669" i="1"/>
  <c r="K672" i="1"/>
  <c r="J726" i="1"/>
  <c r="K726" i="1" s="1"/>
  <c r="J720" i="1"/>
  <c r="J722" i="1"/>
  <c r="K722" i="1" s="1"/>
  <c r="J724" i="1"/>
  <c r="K724" i="1" s="1"/>
  <c r="J723" i="1"/>
  <c r="K723" i="1" s="1"/>
  <c r="J721" i="1"/>
  <c r="K721" i="1" s="1"/>
  <c r="AA672" i="1"/>
  <c r="Z722" i="1"/>
  <c r="Z726" i="1"/>
  <c r="AA726" i="1" s="1"/>
  <c r="Z724" i="1"/>
  <c r="AA724" i="1" s="1"/>
  <c r="Z720" i="1"/>
  <c r="Z723" i="1"/>
  <c r="Z721" i="1"/>
  <c r="AA721" i="1" s="1"/>
  <c r="AT800" i="1"/>
  <c r="AT801" i="1" s="1"/>
  <c r="AU799" i="1"/>
  <c r="CC193" i="1"/>
  <c r="CD187" i="1"/>
  <c r="CC199" i="1"/>
  <c r="CD199" i="1" s="1"/>
  <c r="CC200" i="1"/>
  <c r="CD200" i="1" s="1"/>
  <c r="CC198" i="1"/>
  <c r="CD198" i="1" s="1"/>
  <c r="W709" i="1"/>
  <c r="V714" i="1"/>
  <c r="V819" i="1"/>
  <c r="V661" i="1"/>
  <c r="W659" i="1"/>
  <c r="CB11" i="1"/>
  <c r="AP801" i="1"/>
  <c r="AQ799" i="1"/>
  <c r="K16" i="1"/>
  <c r="AE716" i="1"/>
  <c r="AE713" i="1"/>
  <c r="CC657" i="1"/>
  <c r="CC637" i="1"/>
  <c r="CD637" i="1" s="1"/>
  <c r="CD636" i="1"/>
  <c r="CC15" i="1"/>
  <c r="CF15" i="1" s="1"/>
  <c r="BW653" i="1"/>
  <c r="W16" i="1"/>
  <c r="CP843" i="1"/>
  <c r="CQ843" i="1"/>
  <c r="CQ861" i="1"/>
  <c r="CP861" i="1"/>
  <c r="CE658" i="1"/>
  <c r="BM805" i="1"/>
  <c r="BL806" i="1"/>
  <c r="CQ284" i="1"/>
  <c r="CS283" i="1"/>
  <c r="CP841" i="1"/>
  <c r="CQ841" i="1"/>
  <c r="CS863" i="1"/>
  <c r="CR863" i="1"/>
  <c r="CQ870" i="1"/>
  <c r="CK849" i="1"/>
  <c r="CL849" i="1" s="1"/>
  <c r="CL848" i="1"/>
  <c r="AC657" i="1"/>
  <c r="AB658" i="1"/>
  <c r="AU709" i="1"/>
  <c r="AT714" i="1"/>
  <c r="AU715" i="1"/>
  <c r="B758" i="1"/>
  <c r="CC210" i="1"/>
  <c r="CD204" i="1"/>
  <c r="CC217" i="1"/>
  <c r="CD217" i="1" s="1"/>
  <c r="CC215" i="1"/>
  <c r="CD215" i="1" s="1"/>
  <c r="CC216" i="1"/>
  <c r="CD216" i="1" s="1"/>
  <c r="AK16" i="1"/>
  <c r="AQ712" i="1"/>
  <c r="AQ711" i="1"/>
  <c r="AY709" i="1"/>
  <c r="AX714" i="1"/>
  <c r="AY715" i="1"/>
  <c r="AX819" i="1"/>
  <c r="AX661" i="1"/>
  <c r="AY659" i="1"/>
  <c r="AO709" i="1"/>
  <c r="AN714" i="1"/>
  <c r="H758" i="1"/>
  <c r="AI672" i="1"/>
  <c r="AH726" i="1"/>
  <c r="AI726" i="1" s="1"/>
  <c r="AH722" i="1"/>
  <c r="AI722" i="1" s="1"/>
  <c r="AH723" i="1"/>
  <c r="AI723" i="1" s="1"/>
  <c r="AH724" i="1"/>
  <c r="AH721" i="1"/>
  <c r="AI721" i="1" s="1"/>
  <c r="AH720" i="1"/>
  <c r="Q129" i="1"/>
  <c r="P130" i="1"/>
  <c r="Q130" i="1" s="1"/>
  <c r="AC713" i="1"/>
  <c r="AC656" i="1"/>
  <c r="D264" i="1"/>
  <c r="D228" i="1"/>
  <c r="H222" i="1"/>
  <c r="H211" i="1"/>
  <c r="J204" i="1"/>
  <c r="J727" i="1"/>
  <c r="K727" i="1" s="1"/>
  <c r="CE722" i="1"/>
  <c r="CF666" i="1"/>
  <c r="BI685" i="1"/>
  <c r="BD801" i="1"/>
  <c r="BE799" i="1"/>
  <c r="Y689" i="1"/>
  <c r="X691" i="1"/>
  <c r="Y691" i="1" s="1"/>
  <c r="CA799" i="1"/>
  <c r="CA672" i="1"/>
  <c r="CB669" i="1"/>
  <c r="AE672" i="1"/>
  <c r="AD726" i="1"/>
  <c r="AD722" i="1"/>
  <c r="AE722" i="1" s="1"/>
  <c r="AD720" i="1"/>
  <c r="AD724" i="1"/>
  <c r="AD723" i="1"/>
  <c r="AD721" i="1"/>
  <c r="AE721" i="1" s="1"/>
  <c r="AD727" i="1"/>
  <c r="CG799" i="1"/>
  <c r="CH799" i="1" s="1"/>
  <c r="CG672" i="1"/>
  <c r="CH669" i="1"/>
  <c r="BE709" i="1"/>
  <c r="BD714" i="1"/>
  <c r="BE716" i="1"/>
  <c r="AK672" i="1"/>
  <c r="AJ726" i="1"/>
  <c r="AK726" i="1" s="1"/>
  <c r="AJ722" i="1"/>
  <c r="AJ720" i="1"/>
  <c r="AJ724" i="1"/>
  <c r="AJ721" i="1"/>
  <c r="AJ723" i="1"/>
  <c r="AK723" i="1" s="1"/>
  <c r="BX668" i="1"/>
  <c r="AU691" i="1"/>
  <c r="BG409" i="1"/>
  <c r="BH332" i="1"/>
  <c r="BH333" i="1"/>
  <c r="BI333" i="1" s="1"/>
  <c r="BI320" i="1"/>
  <c r="R115" i="1"/>
  <c r="S115" i="1" s="1"/>
  <c r="S114" i="1"/>
  <c r="T110" i="1"/>
  <c r="AW672" i="1"/>
  <c r="AV721" i="1"/>
  <c r="AW721" i="1" s="1"/>
  <c r="AV727" i="1"/>
  <c r="AW727" i="1" s="1"/>
  <c r="AV726" i="1"/>
  <c r="AW726" i="1" s="1"/>
  <c r="AV722" i="1"/>
  <c r="AV720" i="1"/>
  <c r="AV723" i="1"/>
  <c r="AW723" i="1" s="1"/>
  <c r="AV724" i="1"/>
  <c r="AW724" i="1" s="1"/>
  <c r="CK754" i="1"/>
  <c r="CK753" i="1"/>
  <c r="CJ753" i="1"/>
  <c r="H705" i="1"/>
  <c r="H704" i="1" s="1"/>
  <c r="H706" i="1" s="1"/>
  <c r="H673" i="1"/>
  <c r="H675" i="1" s="1"/>
  <c r="H944" i="1"/>
  <c r="H943" i="1"/>
  <c r="H938" i="1"/>
  <c r="H941" i="1"/>
  <c r="H940" i="1"/>
  <c r="H937" i="1"/>
  <c r="H939" i="1"/>
  <c r="D705" i="1"/>
  <c r="D704" i="1" s="1"/>
  <c r="D706" i="1" s="1"/>
  <c r="D673" i="1"/>
  <c r="D675" i="1" s="1"/>
  <c r="D943" i="1"/>
  <c r="D944" i="1"/>
  <c r="D941" i="1"/>
  <c r="D938" i="1"/>
  <c r="D940" i="1"/>
  <c r="D937" i="1"/>
  <c r="D939" i="1"/>
  <c r="X16" i="1"/>
  <c r="AG16" i="1" s="1"/>
  <c r="CH280" i="1"/>
  <c r="CO97" i="1"/>
  <c r="CP96" i="1"/>
  <c r="CQ96" i="1"/>
  <c r="CQ95" i="1"/>
  <c r="CS95" i="1" s="1"/>
  <c r="BC712" i="1"/>
  <c r="BC716" i="1"/>
  <c r="BZ828" i="1"/>
  <c r="S709" i="1"/>
  <c r="R714" i="1"/>
  <c r="R674" i="1"/>
  <c r="S658" i="1"/>
  <c r="R928" i="1"/>
  <c r="R932" i="1"/>
  <c r="R676" i="1"/>
  <c r="S676" i="1" s="1"/>
  <c r="R927" i="1"/>
  <c r="R926" i="1"/>
  <c r="R929" i="1"/>
  <c r="R930" i="1"/>
  <c r="R933" i="1"/>
  <c r="CO365" i="1"/>
  <c r="CJ255" i="1"/>
  <c r="AS709" i="1"/>
  <c r="AR714" i="1"/>
  <c r="AS711" i="1"/>
  <c r="AQ15" i="1"/>
  <c r="AG672" i="1"/>
  <c r="AF726" i="1"/>
  <c r="AG726" i="1" s="1"/>
  <c r="AF722" i="1"/>
  <c r="AG722" i="1" s="1"/>
  <c r="AF723" i="1"/>
  <c r="AF721" i="1"/>
  <c r="AG721" i="1" s="1"/>
  <c r="AF720" i="1"/>
  <c r="AF724" i="1"/>
  <c r="AG724" i="1" s="1"/>
  <c r="CO755" i="1"/>
  <c r="CP755" i="1" s="1"/>
  <c r="CO742" i="1"/>
  <c r="CP742" i="1" s="1"/>
  <c r="CQ743" i="1"/>
  <c r="CP743" i="1"/>
  <c r="CO738" i="1"/>
  <c r="CN846" i="1"/>
  <c r="CM848" i="1"/>
  <c r="N558" i="1"/>
  <c r="O558" i="1" s="1"/>
  <c r="O556" i="1"/>
  <c r="Y712" i="1"/>
  <c r="Y656" i="1"/>
  <c r="CB656" i="1"/>
  <c r="CA659" i="1"/>
  <c r="CA715" i="1"/>
  <c r="CB715" i="1" s="1"/>
  <c r="CA712" i="1"/>
  <c r="CB712" i="1" s="1"/>
  <c r="CA713" i="1"/>
  <c r="CA711" i="1"/>
  <c r="CB711" i="1" s="1"/>
  <c r="CA710" i="1"/>
  <c r="CB710" i="1" s="1"/>
  <c r="CA709" i="1"/>
  <c r="CG16" i="1"/>
  <c r="CH14" i="1"/>
  <c r="AY691" i="1"/>
  <c r="D20" i="23" l="1"/>
  <c r="D21" i="23"/>
  <c r="AE726" i="1"/>
  <c r="CB799" i="1"/>
  <c r="W930" i="1"/>
  <c r="AS723" i="1"/>
  <c r="AS726" i="1"/>
  <c r="S723" i="1"/>
  <c r="BA721" i="1"/>
  <c r="BA933" i="1"/>
  <c r="CF710" i="1"/>
  <c r="AY724" i="1"/>
  <c r="AY727" i="1"/>
  <c r="BC722" i="1"/>
  <c r="CR371" i="1"/>
  <c r="CS371" i="1"/>
  <c r="R931" i="1"/>
  <c r="R934" i="1" s="1"/>
  <c r="H942" i="1"/>
  <c r="H945" i="1" s="1"/>
  <c r="H946" i="1" s="1"/>
  <c r="W932" i="1"/>
  <c r="BE928" i="1"/>
  <c r="BE676" i="1"/>
  <c r="BC932" i="1"/>
  <c r="AQ723" i="1"/>
  <c r="AQ722" i="1"/>
  <c r="Y711" i="1"/>
  <c r="AE933" i="1"/>
  <c r="AE676" i="1"/>
  <c r="CR837" i="1"/>
  <c r="CS837" i="1"/>
  <c r="AK721" i="1"/>
  <c r="AE727" i="1"/>
  <c r="CD712" i="1"/>
  <c r="CD715" i="1"/>
  <c r="BC930" i="1"/>
  <c r="AU927" i="1"/>
  <c r="BE726" i="1"/>
  <c r="Y710" i="1"/>
  <c r="AY726" i="1"/>
  <c r="R803" i="1"/>
  <c r="AW930" i="1"/>
  <c r="AW927" i="1"/>
  <c r="CC801" i="1"/>
  <c r="AN802" i="1"/>
  <c r="AN803" i="1" s="1"/>
  <c r="AO801" i="1"/>
  <c r="X808" i="1"/>
  <c r="Y803" i="1"/>
  <c r="AR802" i="1"/>
  <c r="AR803" i="1" s="1"/>
  <c r="AS801" i="1"/>
  <c r="CS302" i="1"/>
  <c r="CR302" i="1"/>
  <c r="AS714" i="1"/>
  <c r="AR717" i="1"/>
  <c r="CP365" i="1"/>
  <c r="U110" i="1"/>
  <c r="T114" i="1"/>
  <c r="AK720" i="1"/>
  <c r="AJ725" i="1"/>
  <c r="AX758" i="1"/>
  <c r="AY661" i="1"/>
  <c r="CE674" i="1"/>
  <c r="CE676" i="1"/>
  <c r="CR843" i="1"/>
  <c r="CS843" i="1"/>
  <c r="CC658" i="1"/>
  <c r="CD657" i="1"/>
  <c r="BU16" i="1"/>
  <c r="BV14" i="1"/>
  <c r="J725" i="1"/>
  <c r="K720" i="1"/>
  <c r="T819" i="1"/>
  <c r="T661" i="1"/>
  <c r="U659" i="1"/>
  <c r="CD710" i="1"/>
  <c r="CQ440" i="1"/>
  <c r="CR432" i="1"/>
  <c r="CS432" i="1"/>
  <c r="W933" i="1"/>
  <c r="L758" i="1"/>
  <c r="M661" i="1"/>
  <c r="BY16" i="1"/>
  <c r="BZ14" i="1"/>
  <c r="CO402" i="1"/>
  <c r="CN402" i="1"/>
  <c r="CM397" i="1"/>
  <c r="AS724" i="1"/>
  <c r="AS721" i="1"/>
  <c r="W726" i="1"/>
  <c r="CJ401" i="1"/>
  <c r="CI403" i="1"/>
  <c r="CJ403" i="1" s="1"/>
  <c r="CK401" i="1"/>
  <c r="CJ756" i="1"/>
  <c r="CI734" i="1"/>
  <c r="Y713" i="1"/>
  <c r="AR758" i="1"/>
  <c r="AS661" i="1"/>
  <c r="J35" i="1"/>
  <c r="K28" i="1"/>
  <c r="J46" i="1"/>
  <c r="J45" i="1"/>
  <c r="K45" i="1" s="1"/>
  <c r="J44" i="1"/>
  <c r="K44" i="1" s="1"/>
  <c r="J43" i="1"/>
  <c r="K43" i="1" s="1"/>
  <c r="CQ263" i="1"/>
  <c r="CP263" i="1"/>
  <c r="CO249" i="1"/>
  <c r="CP249" i="1" s="1"/>
  <c r="BB830" i="1"/>
  <c r="BC819" i="1"/>
  <c r="AJ674" i="1"/>
  <c r="AK658" i="1"/>
  <c r="AJ676" i="1"/>
  <c r="AJ932" i="1"/>
  <c r="AJ928" i="1"/>
  <c r="AJ927" i="1"/>
  <c r="AJ926" i="1"/>
  <c r="AS926" i="1" s="1"/>
  <c r="AJ929" i="1"/>
  <c r="AJ930" i="1"/>
  <c r="AJ933" i="1"/>
  <c r="AX803" i="1"/>
  <c r="AX802" i="1"/>
  <c r="AY801" i="1"/>
  <c r="N931" i="1"/>
  <c r="N934" i="1" s="1"/>
  <c r="BD830" i="1"/>
  <c r="BE819" i="1"/>
  <c r="BJ409" i="1"/>
  <c r="BJ410" i="1" s="1"/>
  <c r="BK407" i="1"/>
  <c r="V803" i="1"/>
  <c r="P153" i="1"/>
  <c r="Q153" i="1" s="1"/>
  <c r="Q123" i="1"/>
  <c r="P149" i="1"/>
  <c r="Q149" i="1" s="1"/>
  <c r="P148" i="1"/>
  <c r="S724" i="1"/>
  <c r="S726" i="1"/>
  <c r="D763" i="1"/>
  <c r="D733" i="1"/>
  <c r="D18" i="1"/>
  <c r="U672" i="1"/>
  <c r="T726" i="1"/>
  <c r="U726" i="1" s="1"/>
  <c r="T722" i="1"/>
  <c r="U722" i="1" s="1"/>
  <c r="T724" i="1"/>
  <c r="U724" i="1" s="1"/>
  <c r="T721" i="1"/>
  <c r="U721" i="1" s="1"/>
  <c r="T723" i="1"/>
  <c r="U723" i="1" s="1"/>
  <c r="T727" i="1"/>
  <c r="U727" i="1" s="1"/>
  <c r="T720" i="1"/>
  <c r="AC720" i="1" s="1"/>
  <c r="AG714" i="1"/>
  <c r="AF717" i="1"/>
  <c r="AP758" i="1"/>
  <c r="AQ661" i="1"/>
  <c r="AT830" i="1"/>
  <c r="AU819" i="1"/>
  <c r="AD830" i="1"/>
  <c r="AE819" i="1"/>
  <c r="BC929" i="1"/>
  <c r="BB705" i="1"/>
  <c r="BB704" i="1" s="1"/>
  <c r="BB706" i="1" s="1"/>
  <c r="BB673" i="1"/>
  <c r="BC674" i="1"/>
  <c r="BB944" i="1"/>
  <c r="BB938" i="1"/>
  <c r="BB943" i="1"/>
  <c r="BB939" i="1"/>
  <c r="BB937" i="1"/>
  <c r="BB940" i="1"/>
  <c r="BB941" i="1"/>
  <c r="U16" i="1"/>
  <c r="AG691" i="1"/>
  <c r="L931" i="1"/>
  <c r="L934" i="1" s="1"/>
  <c r="AS930" i="1"/>
  <c r="AS932" i="1"/>
  <c r="AS674" i="1"/>
  <c r="AR705" i="1"/>
  <c r="AR704" i="1" s="1"/>
  <c r="AR706" i="1" s="1"/>
  <c r="AR673" i="1"/>
  <c r="AR938" i="1"/>
  <c r="AR943" i="1"/>
  <c r="AR939" i="1"/>
  <c r="AR944" i="1"/>
  <c r="AR940" i="1"/>
  <c r="AR937" i="1"/>
  <c r="AR941" i="1"/>
  <c r="BA722" i="1"/>
  <c r="B942" i="1"/>
  <c r="B945" i="1" s="1"/>
  <c r="B946" i="1" s="1"/>
  <c r="BG334" i="1"/>
  <c r="AV830" i="1"/>
  <c r="AW819" i="1"/>
  <c r="CS452" i="1"/>
  <c r="CH452" i="1"/>
  <c r="CG455" i="1"/>
  <c r="CI448" i="1"/>
  <c r="BH410" i="1"/>
  <c r="X717" i="1"/>
  <c r="CQ859" i="1"/>
  <c r="CS838" i="1"/>
  <c r="CR838" i="1"/>
  <c r="CQ846" i="1"/>
  <c r="BA928" i="1"/>
  <c r="BA927" i="1"/>
  <c r="AU926" i="1"/>
  <c r="AT931" i="1"/>
  <c r="O714" i="1"/>
  <c r="N717" i="1"/>
  <c r="O717" i="1" s="1"/>
  <c r="AY932" i="1"/>
  <c r="BE723" i="1"/>
  <c r="BE722" i="1"/>
  <c r="AC715" i="1"/>
  <c r="Z456" i="1"/>
  <c r="AA456" i="1" s="1"/>
  <c r="BL320" i="1"/>
  <c r="BM318" i="1"/>
  <c r="AC691" i="1"/>
  <c r="CF713" i="1"/>
  <c r="CF715" i="1"/>
  <c r="CF637" i="1"/>
  <c r="CS873" i="1"/>
  <c r="CR873" i="1"/>
  <c r="AQ726" i="1"/>
  <c r="T802" i="1"/>
  <c r="U802" i="1" s="1"/>
  <c r="U801" i="1"/>
  <c r="S526" i="1"/>
  <c r="R530" i="1"/>
  <c r="R535" i="1"/>
  <c r="S535" i="1" s="1"/>
  <c r="R536" i="1"/>
  <c r="S536" i="1" s="1"/>
  <c r="R537" i="1"/>
  <c r="CB657" i="1"/>
  <c r="CA658" i="1"/>
  <c r="F942" i="1"/>
  <c r="F945" i="1" s="1"/>
  <c r="F946" i="1" s="1"/>
  <c r="AO721" i="1"/>
  <c r="AO726" i="1"/>
  <c r="R830" i="1"/>
  <c r="S819" i="1"/>
  <c r="AC727" i="1"/>
  <c r="AY722" i="1"/>
  <c r="AM933" i="1"/>
  <c r="AM930" i="1"/>
  <c r="N830" i="1"/>
  <c r="O830" i="1" s="1"/>
  <c r="O819" i="1"/>
  <c r="AO927" i="1"/>
  <c r="CJ670" i="1"/>
  <c r="AP705" i="1"/>
  <c r="AP704" i="1" s="1"/>
  <c r="AP706" i="1" s="1"/>
  <c r="AP673" i="1"/>
  <c r="AP938" i="1"/>
  <c r="AP943" i="1"/>
  <c r="AP939" i="1"/>
  <c r="AP944" i="1"/>
  <c r="AP940" i="1"/>
  <c r="AP941" i="1"/>
  <c r="AP937" i="1"/>
  <c r="CP299" i="1"/>
  <c r="AC712" i="1"/>
  <c r="AQ714" i="1"/>
  <c r="AP717" i="1"/>
  <c r="CP785" i="1"/>
  <c r="BM811" i="1"/>
  <c r="CI811" i="1"/>
  <c r="CJ811" i="1" s="1"/>
  <c r="CK821" i="1"/>
  <c r="CM793" i="1"/>
  <c r="CL793" i="1"/>
  <c r="AE714" i="1"/>
  <c r="AD717" i="1"/>
  <c r="AD931" i="1"/>
  <c r="AE926" i="1"/>
  <c r="AE928" i="1"/>
  <c r="AB725" i="1"/>
  <c r="AC726" i="1"/>
  <c r="BC723" i="1"/>
  <c r="BC726" i="1"/>
  <c r="Z674" i="1"/>
  <c r="AA658" i="1"/>
  <c r="Z676" i="1"/>
  <c r="AA676" i="1" s="1"/>
  <c r="Z928" i="1"/>
  <c r="AA928" i="1" s="1"/>
  <c r="Z932" i="1"/>
  <c r="AA932" i="1" s="1"/>
  <c r="Z927" i="1"/>
  <c r="AA927" i="1" s="1"/>
  <c r="Z926" i="1"/>
  <c r="Z929" i="1"/>
  <c r="AA929" i="1" s="1"/>
  <c r="Z930" i="1"/>
  <c r="AA930" i="1" s="1"/>
  <c r="Z933" i="1"/>
  <c r="AA933" i="1" s="1"/>
  <c r="AW928" i="1"/>
  <c r="AW676" i="1"/>
  <c r="AL725" i="1"/>
  <c r="AM720" i="1"/>
  <c r="AM724" i="1"/>
  <c r="BY658" i="1"/>
  <c r="BZ657" i="1"/>
  <c r="T674" i="1"/>
  <c r="U658" i="1"/>
  <c r="T676" i="1"/>
  <c r="U676" i="1" s="1"/>
  <c r="T932" i="1"/>
  <c r="U932" i="1" s="1"/>
  <c r="T928" i="1"/>
  <c r="U928" i="1" s="1"/>
  <c r="T929" i="1"/>
  <c r="U929" i="1" s="1"/>
  <c r="T930" i="1"/>
  <c r="U930" i="1" s="1"/>
  <c r="T927" i="1"/>
  <c r="U927" i="1" s="1"/>
  <c r="T933" i="1"/>
  <c r="U933" i="1" s="1"/>
  <c r="T926" i="1"/>
  <c r="BF652" i="1"/>
  <c r="BG417" i="1"/>
  <c r="BF422" i="1"/>
  <c r="BF418" i="1"/>
  <c r="BF10" i="1"/>
  <c r="BG10" i="1" s="1"/>
  <c r="CJ323" i="1"/>
  <c r="CI325" i="1"/>
  <c r="CJ325" i="1" s="1"/>
  <c r="CK323" i="1"/>
  <c r="AB758" i="1"/>
  <c r="AC661" i="1"/>
  <c r="BV672" i="1"/>
  <c r="BU726" i="1"/>
  <c r="BV726" i="1" s="1"/>
  <c r="BU727" i="1"/>
  <c r="BV727" i="1" s="1"/>
  <c r="BU722" i="1"/>
  <c r="BV722" i="1" s="1"/>
  <c r="BU721" i="1"/>
  <c r="BV721" i="1" s="1"/>
  <c r="BU720" i="1"/>
  <c r="CA819" i="1"/>
  <c r="CA661" i="1"/>
  <c r="CB659" i="1"/>
  <c r="H763" i="1"/>
  <c r="H733" i="1"/>
  <c r="H18" i="1"/>
  <c r="BW923" i="1"/>
  <c r="BW799" i="1"/>
  <c r="BW699" i="1"/>
  <c r="BW703" i="1" s="1"/>
  <c r="BW656" i="1"/>
  <c r="BX653" i="1"/>
  <c r="BZ653" i="1"/>
  <c r="AT802" i="1"/>
  <c r="AU801" i="1"/>
  <c r="V931" i="1"/>
  <c r="W926" i="1"/>
  <c r="M200" i="1"/>
  <c r="L201" i="1"/>
  <c r="M201" i="1" s="1"/>
  <c r="BZ63" i="1"/>
  <c r="BY65" i="1"/>
  <c r="BZ65" i="1" s="1"/>
  <c r="AZ758" i="1"/>
  <c r="BA661" i="1"/>
  <c r="X819" i="1"/>
  <c r="X661" i="1"/>
  <c r="Y659" i="1"/>
  <c r="CC800" i="1"/>
  <c r="AW800" i="1"/>
  <c r="AO800" i="1"/>
  <c r="H64" i="1"/>
  <c r="H69" i="1"/>
  <c r="H63" i="1"/>
  <c r="H68" i="1"/>
  <c r="H92" i="1"/>
  <c r="AI16" i="1"/>
  <c r="BD758" i="1"/>
  <c r="BE661" i="1"/>
  <c r="Y658" i="1"/>
  <c r="X674" i="1"/>
  <c r="X932" i="1"/>
  <c r="X676" i="1"/>
  <c r="X928" i="1"/>
  <c r="X929" i="1"/>
  <c r="X930" i="1"/>
  <c r="X926" i="1"/>
  <c r="X927" i="1"/>
  <c r="X933" i="1"/>
  <c r="Q133" i="1"/>
  <c r="P134" i="1"/>
  <c r="Q134" i="1" s="1"/>
  <c r="S722" i="1"/>
  <c r="CJ685" i="1"/>
  <c r="CL685" i="1"/>
  <c r="BA723" i="1"/>
  <c r="CQ427" i="1"/>
  <c r="CR426" i="1"/>
  <c r="CS426" i="1"/>
  <c r="CR839" i="1"/>
  <c r="CS839" i="1"/>
  <c r="N469" i="1"/>
  <c r="N452" i="1"/>
  <c r="O448" i="1"/>
  <c r="W448" i="1"/>
  <c r="AF802" i="1"/>
  <c r="AG801" i="1"/>
  <c r="BK320" i="1"/>
  <c r="BJ333" i="1"/>
  <c r="BK333" i="1" s="1"/>
  <c r="BJ332" i="1"/>
  <c r="CS365" i="1"/>
  <c r="CR365" i="1"/>
  <c r="F227" i="1"/>
  <c r="F262" i="1"/>
  <c r="Z819" i="1"/>
  <c r="Z661" i="1"/>
  <c r="AA659" i="1"/>
  <c r="BY115" i="1"/>
  <c r="BZ115" i="1" s="1"/>
  <c r="CA110" i="1"/>
  <c r="BZ114" i="1"/>
  <c r="CR355" i="1"/>
  <c r="CS355" i="1"/>
  <c r="CM670" i="1"/>
  <c r="CN443" i="1"/>
  <c r="BB802" i="1"/>
  <c r="BC802" i="1" s="1"/>
  <c r="BC801" i="1"/>
  <c r="BX667" i="1"/>
  <c r="BZ667" i="1"/>
  <c r="F887" i="1"/>
  <c r="F831" i="1"/>
  <c r="F761" i="1"/>
  <c r="F19" i="1" s="1"/>
  <c r="F677" i="1"/>
  <c r="F750" i="1"/>
  <c r="BZ102" i="1"/>
  <c r="BY106" i="1"/>
  <c r="BY118" i="1"/>
  <c r="CL670" i="1"/>
  <c r="AO720" i="1"/>
  <c r="AN725" i="1"/>
  <c r="R758" i="1"/>
  <c r="S661" i="1"/>
  <c r="BW669" i="1"/>
  <c r="AK691" i="1"/>
  <c r="AS691" i="1"/>
  <c r="N758" i="1"/>
  <c r="O661" i="1"/>
  <c r="AE800" i="1"/>
  <c r="AM800" i="1"/>
  <c r="Q720" i="1"/>
  <c r="P725" i="1"/>
  <c r="AG932" i="1"/>
  <c r="AD705" i="1"/>
  <c r="AD704" i="1" s="1"/>
  <c r="AD706" i="1" s="1"/>
  <c r="AD673" i="1"/>
  <c r="AE674" i="1"/>
  <c r="AD939" i="1"/>
  <c r="AD943" i="1"/>
  <c r="AD941" i="1"/>
  <c r="AD940" i="1"/>
  <c r="AD938" i="1"/>
  <c r="AD944" i="1"/>
  <c r="AD937" i="1"/>
  <c r="CS372" i="1"/>
  <c r="CR372" i="1"/>
  <c r="CQ373" i="1"/>
  <c r="BA800" i="1"/>
  <c r="AS800" i="1"/>
  <c r="AW714" i="1"/>
  <c r="AV717" i="1"/>
  <c r="BL407" i="1"/>
  <c r="BL408" i="1"/>
  <c r="BM408" i="1" s="1"/>
  <c r="BM398" i="1"/>
  <c r="CB713" i="1"/>
  <c r="D887" i="1"/>
  <c r="D831" i="1"/>
  <c r="D761" i="1"/>
  <c r="D19" i="1" s="1"/>
  <c r="D677" i="1"/>
  <c r="D750" i="1"/>
  <c r="CB672" i="1"/>
  <c r="CA726" i="1"/>
  <c r="CA722" i="1"/>
  <c r="CB722" i="1" s="1"/>
  <c r="CA721" i="1"/>
  <c r="CA724" i="1"/>
  <c r="CA723" i="1"/>
  <c r="CA720" i="1"/>
  <c r="AO714" i="1"/>
  <c r="AN717" i="1"/>
  <c r="AO717" i="1" s="1"/>
  <c r="AX830" i="1"/>
  <c r="AY819" i="1"/>
  <c r="CE204" i="1"/>
  <c r="CC222" i="1"/>
  <c r="CC211" i="1"/>
  <c r="CD211" i="1" s="1"/>
  <c r="CD210" i="1"/>
  <c r="AU714" i="1"/>
  <c r="AT717" i="1"/>
  <c r="CQ285" i="1"/>
  <c r="CS285" i="1" s="1"/>
  <c r="CS284" i="1"/>
  <c r="CF657" i="1"/>
  <c r="CD15" i="1"/>
  <c r="V758" i="1"/>
  <c r="W661" i="1"/>
  <c r="CC221" i="1"/>
  <c r="CE187" i="1"/>
  <c r="CC194" i="1"/>
  <c r="CD194" i="1" s="1"/>
  <c r="CD193" i="1"/>
  <c r="CA714" i="1"/>
  <c r="CB709" i="1"/>
  <c r="CM849" i="1"/>
  <c r="CN849" i="1" s="1"/>
  <c r="CN848" i="1"/>
  <c r="S674" i="1"/>
  <c r="R705" i="1"/>
  <c r="R704" i="1" s="1"/>
  <c r="R706" i="1" s="1"/>
  <c r="R673" i="1"/>
  <c r="R943" i="1"/>
  <c r="R939" i="1"/>
  <c r="R937" i="1"/>
  <c r="R938" i="1"/>
  <c r="R941" i="1"/>
  <c r="R940" i="1"/>
  <c r="R944" i="1"/>
  <c r="H887" i="1"/>
  <c r="H831" i="1"/>
  <c r="H761" i="1"/>
  <c r="H19" i="1" s="1"/>
  <c r="H677" i="1"/>
  <c r="H750" i="1"/>
  <c r="CK756" i="1"/>
  <c r="CL754" i="1"/>
  <c r="AW722" i="1"/>
  <c r="BH334" i="1"/>
  <c r="BI334" i="1" s="1"/>
  <c r="BI332" i="1"/>
  <c r="BE714" i="1"/>
  <c r="BD717" i="1"/>
  <c r="BE717" i="1" s="1"/>
  <c r="AE724" i="1"/>
  <c r="CG801" i="1"/>
  <c r="BD802" i="1"/>
  <c r="BE801" i="1"/>
  <c r="CR841" i="1"/>
  <c r="CS841" i="1"/>
  <c r="BL807" i="1"/>
  <c r="BM806" i="1"/>
  <c r="CI806" i="1"/>
  <c r="CJ806" i="1" s="1"/>
  <c r="AP803" i="1"/>
  <c r="AP802" i="1"/>
  <c r="AQ801" i="1"/>
  <c r="V830" i="1"/>
  <c r="W819" i="1"/>
  <c r="AA723" i="1"/>
  <c r="AA722" i="1"/>
  <c r="CE727" i="1"/>
  <c r="CE726" i="1"/>
  <c r="CE721" i="1"/>
  <c r="CE723" i="1"/>
  <c r="CE724" i="1"/>
  <c r="CE720" i="1"/>
  <c r="U716" i="1"/>
  <c r="AC716" i="1"/>
  <c r="CC714" i="1"/>
  <c r="CD709" i="1"/>
  <c r="CC659" i="1"/>
  <c r="L830" i="1"/>
  <c r="M830" i="1" s="1"/>
  <c r="M819" i="1"/>
  <c r="L194" i="1"/>
  <c r="M194" i="1" s="1"/>
  <c r="L221" i="1"/>
  <c r="M193" i="1"/>
  <c r="N187" i="1"/>
  <c r="CB510" i="1"/>
  <c r="CA514" i="1"/>
  <c r="AL758" i="1"/>
  <c r="AM661" i="1"/>
  <c r="CB689" i="1"/>
  <c r="CA691" i="1"/>
  <c r="W722" i="1"/>
  <c r="BU659" i="1"/>
  <c r="BV656" i="1"/>
  <c r="BU658" i="1"/>
  <c r="BU715" i="1"/>
  <c r="BV715" i="1" s="1"/>
  <c r="BU716" i="1"/>
  <c r="BV716" i="1" s="1"/>
  <c r="BU711" i="1"/>
  <c r="BV711" i="1" s="1"/>
  <c r="BU710" i="1"/>
  <c r="BV710" i="1" s="1"/>
  <c r="BU709" i="1"/>
  <c r="BU712" i="1"/>
  <c r="BV712" i="1" s="1"/>
  <c r="BU713" i="1"/>
  <c r="BV713" i="1" s="1"/>
  <c r="BZ689" i="1"/>
  <c r="BY691" i="1"/>
  <c r="BZ691" i="1" s="1"/>
  <c r="AI714" i="1"/>
  <c r="AH717" i="1"/>
  <c r="AZ830" i="1"/>
  <c r="BA819" i="1"/>
  <c r="CS874" i="1"/>
  <c r="CR874" i="1"/>
  <c r="AQ16" i="1"/>
  <c r="BE930" i="1"/>
  <c r="BD705" i="1"/>
  <c r="BD704" i="1" s="1"/>
  <c r="BD706" i="1" s="1"/>
  <c r="BE674" i="1"/>
  <c r="BD673" i="1"/>
  <c r="BD944" i="1"/>
  <c r="BD938" i="1"/>
  <c r="BD943" i="1"/>
  <c r="BD939" i="1"/>
  <c r="BD941" i="1"/>
  <c r="BD940" i="1"/>
  <c r="BD937" i="1"/>
  <c r="N705" i="1"/>
  <c r="N704" i="1" s="1"/>
  <c r="N706" i="1" s="1"/>
  <c r="N673" i="1"/>
  <c r="O674" i="1"/>
  <c r="N943" i="1"/>
  <c r="N937" i="1"/>
  <c r="N938" i="1"/>
  <c r="N939" i="1"/>
  <c r="N941" i="1"/>
  <c r="N944" i="1"/>
  <c r="N940" i="1"/>
  <c r="BY726" i="1"/>
  <c r="BY721" i="1"/>
  <c r="BY720" i="1"/>
  <c r="BY723" i="1"/>
  <c r="BY727" i="1"/>
  <c r="BY724" i="1"/>
  <c r="AB717" i="1"/>
  <c r="S721" i="1"/>
  <c r="AG659" i="1"/>
  <c r="AP830" i="1"/>
  <c r="AQ819" i="1"/>
  <c r="CB14" i="1"/>
  <c r="CC799" i="1"/>
  <c r="CD799" i="1" s="1"/>
  <c r="CC672" i="1"/>
  <c r="CF672" i="1" s="1"/>
  <c r="CD669" i="1"/>
  <c r="AU727" i="1"/>
  <c r="AR931" i="1"/>
  <c r="AS676" i="1"/>
  <c r="BA720" i="1"/>
  <c r="AZ725" i="1"/>
  <c r="BA726" i="1"/>
  <c r="BG335" i="1"/>
  <c r="BF342" i="1"/>
  <c r="M456" i="1"/>
  <c r="U456" i="1"/>
  <c r="N725" i="1"/>
  <c r="O720" i="1"/>
  <c r="AH758" i="1"/>
  <c r="AI661" i="1"/>
  <c r="BY714" i="1"/>
  <c r="CP859" i="1"/>
  <c r="CQ362" i="1"/>
  <c r="CS360" i="1"/>
  <c r="CR360" i="1"/>
  <c r="AZ931" i="1"/>
  <c r="BA926" i="1"/>
  <c r="BA932" i="1"/>
  <c r="CE801" i="1"/>
  <c r="CF801" i="1" s="1"/>
  <c r="AV802" i="1"/>
  <c r="AW801" i="1"/>
  <c r="Q541" i="1"/>
  <c r="P542" i="1"/>
  <c r="Q542" i="1" s="1"/>
  <c r="U514" i="1"/>
  <c r="V510" i="1"/>
  <c r="T515" i="1"/>
  <c r="U515" i="1" s="1"/>
  <c r="BE724" i="1"/>
  <c r="BE727" i="1"/>
  <c r="CK331" i="1"/>
  <c r="CL319" i="1"/>
  <c r="AC710" i="1"/>
  <c r="CF712" i="1"/>
  <c r="CF716" i="1"/>
  <c r="AP725" i="1"/>
  <c r="AQ720" i="1"/>
  <c r="AQ721" i="1"/>
  <c r="Z802" i="1"/>
  <c r="AA802" i="1" s="1"/>
  <c r="AA801" i="1"/>
  <c r="CN654" i="1"/>
  <c r="AB802" i="1"/>
  <c r="AC802" i="1" s="1"/>
  <c r="AC801" i="1"/>
  <c r="BZ518" i="1"/>
  <c r="BY522" i="1"/>
  <c r="BY526" i="1"/>
  <c r="CA41" i="1"/>
  <c r="CA36" i="1"/>
  <c r="CB35" i="1"/>
  <c r="CC28" i="1"/>
  <c r="CR379" i="1"/>
  <c r="CS379" i="1"/>
  <c r="S106" i="1"/>
  <c r="T102" i="1"/>
  <c r="R107" i="1"/>
  <c r="S107" i="1" s="1"/>
  <c r="CL328" i="1"/>
  <c r="CK317" i="1"/>
  <c r="CL317" i="1" s="1"/>
  <c r="CM328" i="1"/>
  <c r="AO724" i="1"/>
  <c r="F763" i="1"/>
  <c r="F733" i="1"/>
  <c r="F18" i="1"/>
  <c r="AY723" i="1"/>
  <c r="AL705" i="1"/>
  <c r="AL704" i="1" s="1"/>
  <c r="AL706" i="1" s="1"/>
  <c r="AL673" i="1"/>
  <c r="AM674" i="1"/>
  <c r="AL939" i="1"/>
  <c r="AL943" i="1"/>
  <c r="AM943" i="1" s="1"/>
  <c r="AL944" i="1"/>
  <c r="AM944" i="1" s="1"/>
  <c r="AL938" i="1"/>
  <c r="AL940" i="1"/>
  <c r="AM940" i="1" s="1"/>
  <c r="AL937" i="1"/>
  <c r="AL941" i="1"/>
  <c r="AM941" i="1" s="1"/>
  <c r="AO929" i="1"/>
  <c r="AN705" i="1"/>
  <c r="AN704" i="1" s="1"/>
  <c r="AN706" i="1" s="1"/>
  <c r="AO674" i="1"/>
  <c r="AN673" i="1"/>
  <c r="AN943" i="1"/>
  <c r="AN939" i="1"/>
  <c r="AN940" i="1"/>
  <c r="AN941" i="1"/>
  <c r="AO941" i="1" s="1"/>
  <c r="AN938" i="1"/>
  <c r="AN937" i="1"/>
  <c r="AN944" i="1"/>
  <c r="AQ929" i="1"/>
  <c r="AD801" i="1"/>
  <c r="AG933" i="1"/>
  <c r="AF931" i="1"/>
  <c r="AF705" i="1"/>
  <c r="AF704" i="1" s="1"/>
  <c r="AF706" i="1" s="1"/>
  <c r="AG674" i="1"/>
  <c r="AF673" i="1"/>
  <c r="AF943" i="1"/>
  <c r="AF939" i="1"/>
  <c r="AF938" i="1"/>
  <c r="AF937" i="1"/>
  <c r="AF941" i="1"/>
  <c r="AF940" i="1"/>
  <c r="AF944" i="1"/>
  <c r="AH674" i="1"/>
  <c r="AI658" i="1"/>
  <c r="AH676" i="1"/>
  <c r="AI676" i="1" s="1"/>
  <c r="AH932" i="1"/>
  <c r="AH928" i="1"/>
  <c r="AI928" i="1" s="1"/>
  <c r="AH929" i="1"/>
  <c r="AI929" i="1" s="1"/>
  <c r="AH930" i="1"/>
  <c r="AH926" i="1"/>
  <c r="AH927" i="1"/>
  <c r="AI927" i="1" s="1"/>
  <c r="AH933" i="1"/>
  <c r="AI933" i="1" s="1"/>
  <c r="AE927" i="1"/>
  <c r="AE932" i="1"/>
  <c r="AC721" i="1"/>
  <c r="AC672" i="1"/>
  <c r="AJ830" i="1"/>
  <c r="AK819" i="1"/>
  <c r="CO395" i="1"/>
  <c r="CP395" i="1" s="1"/>
  <c r="CP373" i="1"/>
  <c r="J758" i="1"/>
  <c r="K661" i="1"/>
  <c r="BB725" i="1"/>
  <c r="BC720" i="1"/>
  <c r="BC721" i="1"/>
  <c r="CS847" i="1"/>
  <c r="CR847" i="1"/>
  <c r="AV931" i="1"/>
  <c r="AW926" i="1"/>
  <c r="AW932" i="1"/>
  <c r="AV705" i="1"/>
  <c r="AV704" i="1" s="1"/>
  <c r="AV706" i="1" s="1"/>
  <c r="AW674" i="1"/>
  <c r="AV673" i="1"/>
  <c r="AV944" i="1"/>
  <c r="AW944" i="1" s="1"/>
  <c r="AV938" i="1"/>
  <c r="AW938" i="1" s="1"/>
  <c r="AV943" i="1"/>
  <c r="AW943" i="1" s="1"/>
  <c r="AV939" i="1"/>
  <c r="AW939" i="1" s="1"/>
  <c r="AV937" i="1"/>
  <c r="AV940" i="1"/>
  <c r="AW940" i="1" s="1"/>
  <c r="AV941" i="1"/>
  <c r="AM723" i="1"/>
  <c r="AM722" i="1"/>
  <c r="AL802" i="1"/>
  <c r="AM801" i="1"/>
  <c r="CD638" i="1"/>
  <c r="AC659" i="1"/>
  <c r="S727" i="1"/>
  <c r="AK714" i="1"/>
  <c r="AJ717" i="1"/>
  <c r="AK717" i="1" s="1"/>
  <c r="AZ802" i="1"/>
  <c r="BA802" i="1" s="1"/>
  <c r="BA801" i="1"/>
  <c r="CJ396" i="1"/>
  <c r="CI398" i="1"/>
  <c r="BB758" i="1"/>
  <c r="BC661" i="1"/>
  <c r="AN830" i="1"/>
  <c r="AO819" i="1"/>
  <c r="AF830" i="1"/>
  <c r="AG819" i="1"/>
  <c r="AT758" i="1"/>
  <c r="AU661" i="1"/>
  <c r="CQ261" i="1"/>
  <c r="CP261" i="1"/>
  <c r="CO248" i="1"/>
  <c r="CP248" i="1" s="1"/>
  <c r="CD689" i="1"/>
  <c r="CC691" i="1"/>
  <c r="AD758" i="1"/>
  <c r="AE661" i="1"/>
  <c r="BB931" i="1"/>
  <c r="BC926" i="1"/>
  <c r="AS929" i="1"/>
  <c r="AS928" i="1"/>
  <c r="AV758" i="1"/>
  <c r="AW661" i="1"/>
  <c r="BY819" i="1"/>
  <c r="BY661" i="1"/>
  <c r="BA929" i="1"/>
  <c r="AT705" i="1"/>
  <c r="AT704" i="1" s="1"/>
  <c r="AT706" i="1" s="1"/>
  <c r="AT673" i="1"/>
  <c r="AU674" i="1"/>
  <c r="AT938" i="1"/>
  <c r="AU938" i="1" s="1"/>
  <c r="AT939" i="1"/>
  <c r="AU939" i="1" s="1"/>
  <c r="AT943" i="1"/>
  <c r="AU943" i="1" s="1"/>
  <c r="AT944" i="1"/>
  <c r="AT940" i="1"/>
  <c r="AU940" i="1" s="1"/>
  <c r="AT941" i="1"/>
  <c r="AT937" i="1"/>
  <c r="AB469" i="1"/>
  <c r="AC469" i="1" s="1"/>
  <c r="AB452" i="1"/>
  <c r="AC448" i="1"/>
  <c r="BY802" i="1"/>
  <c r="Y802" i="1"/>
  <c r="P819" i="1"/>
  <c r="P661" i="1"/>
  <c r="Q659" i="1"/>
  <c r="CI812" i="1"/>
  <c r="CJ812" i="1" s="1"/>
  <c r="CJ810" i="1"/>
  <c r="M714" i="1"/>
  <c r="L717" i="1"/>
  <c r="M717" i="1" s="1"/>
  <c r="CS380" i="1"/>
  <c r="CR380" i="1"/>
  <c r="S522" i="1"/>
  <c r="T518" i="1"/>
  <c r="R523" i="1"/>
  <c r="S523" i="1" s="1"/>
  <c r="AN931" i="1"/>
  <c r="AO926" i="1"/>
  <c r="CQ299" i="1"/>
  <c r="CQ300" i="1" s="1"/>
  <c r="CS297" i="1"/>
  <c r="CR297" i="1"/>
  <c r="AG929" i="1"/>
  <c r="AC722" i="1"/>
  <c r="AJ758" i="1"/>
  <c r="AK661" i="1"/>
  <c r="K714" i="1"/>
  <c r="J717" i="1"/>
  <c r="K717" i="1" s="1"/>
  <c r="M720" i="1"/>
  <c r="L725" i="1"/>
  <c r="BW16" i="1"/>
  <c r="BX14" i="1"/>
  <c r="CH16" i="1"/>
  <c r="CP738" i="1"/>
  <c r="CO740" i="1"/>
  <c r="CP740" i="1" s="1"/>
  <c r="AG723" i="1"/>
  <c r="CR96" i="1"/>
  <c r="CQ97" i="1"/>
  <c r="CS97" i="1" s="1"/>
  <c r="CS96" i="1"/>
  <c r="Y16" i="1"/>
  <c r="CL753" i="1"/>
  <c r="CM754" i="1"/>
  <c r="CM753" i="1"/>
  <c r="AW720" i="1"/>
  <c r="AV725" i="1"/>
  <c r="AK722" i="1"/>
  <c r="CH672" i="1"/>
  <c r="CG727" i="1"/>
  <c r="CH727" i="1" s="1"/>
  <c r="CG721" i="1"/>
  <c r="CH721" i="1" s="1"/>
  <c r="CG726" i="1"/>
  <c r="CH726" i="1" s="1"/>
  <c r="CG724" i="1"/>
  <c r="CH724" i="1" s="1"/>
  <c r="CG723" i="1"/>
  <c r="CG720" i="1"/>
  <c r="AE723" i="1"/>
  <c r="J216" i="1"/>
  <c r="K216" i="1" s="1"/>
  <c r="J210" i="1"/>
  <c r="K204" i="1"/>
  <c r="J217" i="1"/>
  <c r="J215" i="1"/>
  <c r="K215" i="1" s="1"/>
  <c r="AI724" i="1"/>
  <c r="CQ755" i="1"/>
  <c r="CQ738" i="1"/>
  <c r="CS743" i="1"/>
  <c r="CR743" i="1"/>
  <c r="CQ742" i="1"/>
  <c r="AG720" i="1"/>
  <c r="AF725" i="1"/>
  <c r="CL255" i="1"/>
  <c r="CM255" i="1"/>
  <c r="CK244" i="1"/>
  <c r="S714" i="1"/>
  <c r="R717" i="1"/>
  <c r="D942" i="1"/>
  <c r="D945" i="1" s="1"/>
  <c r="D946" i="1" s="1"/>
  <c r="AK724" i="1"/>
  <c r="AD725" i="1"/>
  <c r="AE720" i="1"/>
  <c r="H259" i="1"/>
  <c r="H223" i="1"/>
  <c r="AH725" i="1"/>
  <c r="AI720" i="1"/>
  <c r="AY714" i="1"/>
  <c r="AX717" i="1"/>
  <c r="B763" i="1"/>
  <c r="B733" i="1"/>
  <c r="B18" i="1"/>
  <c r="AB674" i="1"/>
  <c r="AC658" i="1"/>
  <c r="AB676" i="1"/>
  <c r="AC676" i="1" s="1"/>
  <c r="AB932" i="1"/>
  <c r="AC932" i="1" s="1"/>
  <c r="AB928" i="1"/>
  <c r="AC928" i="1" s="1"/>
  <c r="AB927" i="1"/>
  <c r="AB929" i="1"/>
  <c r="AC929" i="1" s="1"/>
  <c r="AB930" i="1"/>
  <c r="AC930" i="1" s="1"/>
  <c r="AB926" i="1"/>
  <c r="AB933" i="1"/>
  <c r="AC933" i="1" s="1"/>
  <c r="CS870" i="1"/>
  <c r="CR870" i="1"/>
  <c r="CQ785" i="1"/>
  <c r="CS861" i="1"/>
  <c r="CR861" i="1"/>
  <c r="W714" i="1"/>
  <c r="V717" i="1"/>
  <c r="W717" i="1" s="1"/>
  <c r="BC800" i="1"/>
  <c r="AU800" i="1"/>
  <c r="CE800" i="1"/>
  <c r="Z725" i="1"/>
  <c r="AA720" i="1"/>
  <c r="CF799" i="1"/>
  <c r="U709" i="1"/>
  <c r="T714" i="1"/>
  <c r="AC714" i="1" s="1"/>
  <c r="CD713" i="1"/>
  <c r="CO654" i="1"/>
  <c r="CO631" i="1"/>
  <c r="CP631" i="1" s="1"/>
  <c r="CO443" i="1"/>
  <c r="CP440" i="1"/>
  <c r="CO12" i="1"/>
  <c r="CP12" i="1" s="1"/>
  <c r="W676" i="1"/>
  <c r="V705" i="1"/>
  <c r="V704" i="1" s="1"/>
  <c r="V706" i="1" s="1"/>
  <c r="V673" i="1"/>
  <c r="W674" i="1"/>
  <c r="V939" i="1"/>
  <c r="W939" i="1" s="1"/>
  <c r="V943" i="1"/>
  <c r="V937" i="1"/>
  <c r="V938" i="1"/>
  <c r="W938" i="1" s="1"/>
  <c r="V941" i="1"/>
  <c r="V944" i="1"/>
  <c r="W944" i="1" s="1"/>
  <c r="V940" i="1"/>
  <c r="W940" i="1" s="1"/>
  <c r="J931" i="1"/>
  <c r="J934" i="1" s="1"/>
  <c r="K674" i="1"/>
  <c r="J705" i="1"/>
  <c r="J704" i="1" s="1"/>
  <c r="J706" i="1" s="1"/>
  <c r="J673" i="1"/>
  <c r="J943" i="1"/>
  <c r="J941" i="1"/>
  <c r="J940" i="1"/>
  <c r="J938" i="1"/>
  <c r="J937" i="1"/>
  <c r="J939" i="1"/>
  <c r="J944" i="1"/>
  <c r="CK406" i="1"/>
  <c r="CL397" i="1"/>
  <c r="CM331" i="1"/>
  <c r="CN319" i="1"/>
  <c r="AL830" i="1"/>
  <c r="AM819" i="1"/>
  <c r="AS720" i="1"/>
  <c r="AR725" i="1"/>
  <c r="AS722" i="1"/>
  <c r="V725" i="1"/>
  <c r="W720" i="1"/>
  <c r="CA727" i="1"/>
  <c r="CB727" i="1" s="1"/>
  <c r="AR830" i="1"/>
  <c r="AS830" i="1" s="1"/>
  <c r="AS819" i="1"/>
  <c r="BC714" i="1"/>
  <c r="BB717" i="1"/>
  <c r="BC717" i="1" s="1"/>
  <c r="AA714" i="1"/>
  <c r="Z717" i="1"/>
  <c r="AA717" i="1" s="1"/>
  <c r="BD931" i="1"/>
  <c r="BE926" i="1"/>
  <c r="BE927" i="1"/>
  <c r="BK408" i="1"/>
  <c r="CI408" i="1"/>
  <c r="BZ799" i="1"/>
  <c r="AC709" i="1"/>
  <c r="R725" i="1"/>
  <c r="S720" i="1"/>
  <c r="AN758" i="1"/>
  <c r="AO661" i="1"/>
  <c r="AF758" i="1"/>
  <c r="AG661" i="1"/>
  <c r="AI691" i="1"/>
  <c r="CA16" i="1"/>
  <c r="AT725" i="1"/>
  <c r="AU720" i="1"/>
  <c r="M674" i="1"/>
  <c r="L705" i="1"/>
  <c r="L704" i="1" s="1"/>
  <c r="L706" i="1" s="1"/>
  <c r="L673" i="1"/>
  <c r="L943" i="1"/>
  <c r="L938" i="1"/>
  <c r="L937" i="1"/>
  <c r="L940" i="1"/>
  <c r="L941" i="1"/>
  <c r="L939" i="1"/>
  <c r="L944" i="1"/>
  <c r="AS933" i="1"/>
  <c r="AS927" i="1"/>
  <c r="BA724" i="1"/>
  <c r="BA727" i="1"/>
  <c r="B887" i="1"/>
  <c r="B831" i="1"/>
  <c r="B761" i="1"/>
  <c r="B19" i="1" s="1"/>
  <c r="B677" i="1"/>
  <c r="B750" i="1"/>
  <c r="BZ227" i="1"/>
  <c r="BY264" i="1"/>
  <c r="BZ264" i="1" s="1"/>
  <c r="BY228" i="1"/>
  <c r="BZ228" i="1" s="1"/>
  <c r="AH830" i="1"/>
  <c r="AI819" i="1"/>
  <c r="CO848" i="1"/>
  <c r="CP846" i="1"/>
  <c r="AG800" i="1"/>
  <c r="CA800" i="1"/>
  <c r="CP362" i="1"/>
  <c r="CQ363" i="1"/>
  <c r="Y720" i="1"/>
  <c r="X725" i="1"/>
  <c r="BA930" i="1"/>
  <c r="BA676" i="1"/>
  <c r="BA674" i="1"/>
  <c r="AZ705" i="1"/>
  <c r="AZ704" i="1" s="1"/>
  <c r="AZ706" i="1" s="1"/>
  <c r="AZ673" i="1"/>
  <c r="AZ944" i="1"/>
  <c r="BA944" i="1" s="1"/>
  <c r="AZ938" i="1"/>
  <c r="BA938" i="1" s="1"/>
  <c r="AZ943" i="1"/>
  <c r="BA943" i="1" s="1"/>
  <c r="AZ939" i="1"/>
  <c r="AZ937" i="1"/>
  <c r="AZ940" i="1"/>
  <c r="BA940" i="1" s="1"/>
  <c r="AZ941" i="1"/>
  <c r="BA941" i="1" s="1"/>
  <c r="AX931" i="1"/>
  <c r="AY926" i="1"/>
  <c r="AY933" i="1"/>
  <c r="AY674" i="1"/>
  <c r="AX705" i="1"/>
  <c r="AX704" i="1" s="1"/>
  <c r="AX706" i="1" s="1"/>
  <c r="AX673" i="1"/>
  <c r="AX944" i="1"/>
  <c r="AY944" i="1" s="1"/>
  <c r="AX938" i="1"/>
  <c r="AY938" i="1" s="1"/>
  <c r="AX939" i="1"/>
  <c r="AY939" i="1" s="1"/>
  <c r="AX943" i="1"/>
  <c r="AX941" i="1"/>
  <c r="AX937" i="1"/>
  <c r="AX940" i="1"/>
  <c r="AY940" i="1" s="1"/>
  <c r="P561" i="1"/>
  <c r="Q561" i="1" s="1"/>
  <c r="P557" i="1"/>
  <c r="Q557" i="1" s="1"/>
  <c r="Q531" i="1"/>
  <c r="P556" i="1"/>
  <c r="BE720" i="1"/>
  <c r="BD725" i="1"/>
  <c r="BE721" i="1"/>
  <c r="CO324" i="1"/>
  <c r="CN324" i="1"/>
  <c r="AH802" i="1"/>
  <c r="AI802" i="1" s="1"/>
  <c r="AI801" i="1"/>
  <c r="Q709" i="1"/>
  <c r="P714" i="1"/>
  <c r="Q658" i="1"/>
  <c r="P674" i="1"/>
  <c r="P676" i="1"/>
  <c r="Q676" i="1" s="1"/>
  <c r="P932" i="1"/>
  <c r="P928" i="1"/>
  <c r="P930" i="1"/>
  <c r="P926" i="1"/>
  <c r="P927" i="1"/>
  <c r="P929" i="1"/>
  <c r="P933" i="1"/>
  <c r="CK811" i="1"/>
  <c r="CL811" i="1" s="1"/>
  <c r="CK810" i="1"/>
  <c r="CM792" i="1"/>
  <c r="CK806" i="1"/>
  <c r="CL792" i="1"/>
  <c r="CE714" i="1"/>
  <c r="CF709" i="1"/>
  <c r="CE819" i="1"/>
  <c r="CE661" i="1"/>
  <c r="CF659" i="1"/>
  <c r="BM827" i="1"/>
  <c r="CI827" i="1"/>
  <c r="CJ827" i="1" s="1"/>
  <c r="CM864" i="1"/>
  <c r="CL864" i="1"/>
  <c r="AQ724" i="1"/>
  <c r="BM734" i="1"/>
  <c r="AC16" i="1"/>
  <c r="CB637" i="1"/>
  <c r="S118" i="1"/>
  <c r="R122" i="1"/>
  <c r="R128" i="1"/>
  <c r="S128" i="1" s="1"/>
  <c r="R127" i="1"/>
  <c r="S127" i="1" s="1"/>
  <c r="R129" i="1"/>
  <c r="AO723" i="1"/>
  <c r="CG722" i="1"/>
  <c r="CH722" i="1" s="1"/>
  <c r="AX725" i="1"/>
  <c r="AY720" i="1"/>
  <c r="AY721" i="1"/>
  <c r="CB716" i="1"/>
  <c r="AL931" i="1"/>
  <c r="AM926" i="1"/>
  <c r="AJ802" i="1"/>
  <c r="AK802" i="1" s="1"/>
  <c r="AK801" i="1"/>
  <c r="AP931" i="1"/>
  <c r="AQ926" i="1"/>
  <c r="CC16" i="1"/>
  <c r="CF16" i="1" s="1"/>
  <c r="AG927" i="1"/>
  <c r="AG928" i="1"/>
  <c r="AG658" i="1"/>
  <c r="Y727" i="1"/>
  <c r="AE930" i="1"/>
  <c r="AE929" i="1"/>
  <c r="CA225" i="1"/>
  <c r="CB223" i="1"/>
  <c r="CA260" i="1"/>
  <c r="CB260" i="1" s="1"/>
  <c r="AC723" i="1"/>
  <c r="CG659" i="1"/>
  <c r="CH656" i="1"/>
  <c r="CG716" i="1"/>
  <c r="CH716" i="1" s="1"/>
  <c r="CG710" i="1"/>
  <c r="CH710" i="1" s="1"/>
  <c r="CG715" i="1"/>
  <c r="CH715" i="1" s="1"/>
  <c r="CG709" i="1"/>
  <c r="CG713" i="1"/>
  <c r="CH713" i="1" s="1"/>
  <c r="CG712" i="1"/>
  <c r="CH712" i="1" s="1"/>
  <c r="CG711" i="1"/>
  <c r="CH711" i="1" s="1"/>
  <c r="J830" i="1"/>
  <c r="K830" i="1" s="1"/>
  <c r="K819" i="1"/>
  <c r="CG658" i="1"/>
  <c r="BC724" i="1"/>
  <c r="BC727" i="1"/>
  <c r="R808" i="1"/>
  <c r="S803" i="1"/>
  <c r="AM714" i="1"/>
  <c r="AL717" i="1"/>
  <c r="AM717" i="1" s="1"/>
  <c r="AW929" i="1"/>
  <c r="AW933" i="1"/>
  <c r="AM721" i="1"/>
  <c r="AM726" i="1"/>
  <c r="BA714" i="1"/>
  <c r="AZ717" i="1"/>
  <c r="BA717" i="1" s="1"/>
  <c r="CI320" i="1"/>
  <c r="CJ318" i="1"/>
  <c r="AB830" i="1"/>
  <c r="AC819" i="1"/>
  <c r="CD711" i="1"/>
  <c r="D22" i="23" l="1"/>
  <c r="AE939" i="1"/>
  <c r="AJ803" i="1"/>
  <c r="AB803" i="1"/>
  <c r="J942" i="1"/>
  <c r="J945" i="1" s="1"/>
  <c r="J946" i="1" s="1"/>
  <c r="BE943" i="1"/>
  <c r="AI717" i="1"/>
  <c r="BC941" i="1"/>
  <c r="AE830" i="1"/>
  <c r="Y676" i="1"/>
  <c r="BE830" i="1"/>
  <c r="AK676" i="1"/>
  <c r="BC830" i="1"/>
  <c r="CS300" i="1"/>
  <c r="CR300" i="1"/>
  <c r="Y725" i="1"/>
  <c r="X728" i="1"/>
  <c r="CO849" i="1"/>
  <c r="CP849" i="1" s="1"/>
  <c r="CP848" i="1"/>
  <c r="M673" i="1"/>
  <c r="L675" i="1"/>
  <c r="V728" i="1"/>
  <c r="W725" i="1"/>
  <c r="CR742" i="1"/>
  <c r="CS742" i="1"/>
  <c r="CM756" i="1"/>
  <c r="CN754" i="1"/>
  <c r="AF942" i="1"/>
  <c r="AO673" i="1"/>
  <c r="AN675" i="1"/>
  <c r="AM673" i="1"/>
  <c r="AL675" i="1"/>
  <c r="N728" i="1"/>
  <c r="O728" i="1" s="1"/>
  <c r="O725" i="1"/>
  <c r="CG802" i="1"/>
  <c r="BE802" i="1"/>
  <c r="AO725" i="1"/>
  <c r="AN728" i="1"/>
  <c r="Z758" i="1"/>
  <c r="AA661" i="1"/>
  <c r="BJ334" i="1"/>
  <c r="BK334" i="1" s="1"/>
  <c r="BK332" i="1"/>
  <c r="V934" i="1"/>
  <c r="W934" i="1" s="1"/>
  <c r="W931" i="1"/>
  <c r="BW801" i="1"/>
  <c r="BX799" i="1"/>
  <c r="BU725" i="1"/>
  <c r="BV720" i="1"/>
  <c r="AL728" i="1"/>
  <c r="AM725" i="1"/>
  <c r="AB728" i="1"/>
  <c r="BL332" i="1"/>
  <c r="CI332" i="1" s="1"/>
  <c r="BL333" i="1"/>
  <c r="BM320" i="1"/>
  <c r="BK410" i="1"/>
  <c r="BJ417" i="1"/>
  <c r="AX808" i="1"/>
  <c r="AY803" i="1"/>
  <c r="CC674" i="1"/>
  <c r="CD658" i="1"/>
  <c r="CC676" i="1"/>
  <c r="AR808" i="1"/>
  <c r="AS803" i="1"/>
  <c r="AP934" i="1"/>
  <c r="R130" i="1"/>
  <c r="S130" i="1" s="1"/>
  <c r="S129" i="1"/>
  <c r="CF714" i="1"/>
  <c r="CE717" i="1"/>
  <c r="CL810" i="1"/>
  <c r="CK812" i="1"/>
  <c r="CL812" i="1" s="1"/>
  <c r="Q714" i="1"/>
  <c r="P717" i="1"/>
  <c r="Q717" i="1" s="1"/>
  <c r="AH803" i="1"/>
  <c r="BE725" i="1"/>
  <c r="BD728" i="1"/>
  <c r="AY941" i="1"/>
  <c r="B907" i="1"/>
  <c r="B898" i="1"/>
  <c r="B886" i="1"/>
  <c r="B689" i="1"/>
  <c r="B679" i="1"/>
  <c r="B692" i="1" s="1"/>
  <c r="B17" i="1"/>
  <c r="L942" i="1"/>
  <c r="L945" i="1" s="1"/>
  <c r="CB16" i="1"/>
  <c r="AF763" i="1"/>
  <c r="AF733" i="1"/>
  <c r="AF18" i="1"/>
  <c r="CI414" i="1"/>
  <c r="CJ408" i="1"/>
  <c r="BD934" i="1"/>
  <c r="BE931" i="1"/>
  <c r="AM830" i="1"/>
  <c r="CL406" i="1"/>
  <c r="K673" i="1"/>
  <c r="J675" i="1"/>
  <c r="V942" i="1"/>
  <c r="W937" i="1"/>
  <c r="W673" i="1"/>
  <c r="V675" i="1"/>
  <c r="S717" i="1"/>
  <c r="K210" i="1"/>
  <c r="L204" i="1"/>
  <c r="J211" i="1"/>
  <c r="K211" i="1" s="1"/>
  <c r="J222" i="1"/>
  <c r="CH723" i="1"/>
  <c r="AW725" i="1"/>
  <c r="AV728" i="1"/>
  <c r="AW728" i="1" s="1"/>
  <c r="BX16" i="1"/>
  <c r="AN934" i="1"/>
  <c r="AO931" i="1"/>
  <c r="P830" i="1"/>
  <c r="Q830" i="1" s="1"/>
  <c r="Q819" i="1"/>
  <c r="AC452" i="1"/>
  <c r="AB455" i="1"/>
  <c r="AD448" i="1"/>
  <c r="AU941" i="1"/>
  <c r="BY830" i="1"/>
  <c r="AW673" i="1"/>
  <c r="AV675" i="1"/>
  <c r="AH931" i="1"/>
  <c r="AI926" i="1"/>
  <c r="AI932" i="1"/>
  <c r="AO944" i="1"/>
  <c r="AO940" i="1"/>
  <c r="AL942" i="1"/>
  <c r="AM937" i="1"/>
  <c r="F681" i="1"/>
  <c r="F20" i="1"/>
  <c r="CC35" i="1"/>
  <c r="CD28" i="1"/>
  <c r="CC44" i="1"/>
  <c r="CD44" i="1" s="1"/>
  <c r="CC45" i="1"/>
  <c r="CD45" i="1" s="1"/>
  <c r="CC46" i="1"/>
  <c r="CD46" i="1" s="1"/>
  <c r="CC43" i="1"/>
  <c r="CD43" i="1" s="1"/>
  <c r="BZ526" i="1"/>
  <c r="BY530" i="1"/>
  <c r="BY535" i="1"/>
  <c r="BZ535" i="1" s="1"/>
  <c r="BY536" i="1"/>
  <c r="BZ536" i="1" s="1"/>
  <c r="BY537" i="1"/>
  <c r="BZ537" i="1" s="1"/>
  <c r="CD672" i="1"/>
  <c r="CC726" i="1"/>
  <c r="CD726" i="1" s="1"/>
  <c r="CC720" i="1"/>
  <c r="CC721" i="1"/>
  <c r="CD721" i="1" s="1"/>
  <c r="CC723" i="1"/>
  <c r="CD723" i="1" s="1"/>
  <c r="CC724" i="1"/>
  <c r="CD724" i="1" s="1"/>
  <c r="CC727" i="1"/>
  <c r="CD727" i="1" s="1"/>
  <c r="CC722" i="1"/>
  <c r="AQ830" i="1"/>
  <c r="BY725" i="1"/>
  <c r="BE940" i="1"/>
  <c r="BE938" i="1"/>
  <c r="BU819" i="1"/>
  <c r="BU830" i="1" s="1"/>
  <c r="BU661" i="1"/>
  <c r="BV659" i="1"/>
  <c r="L258" i="1"/>
  <c r="M258" i="1" s="1"/>
  <c r="M221" i="1"/>
  <c r="CC819" i="1"/>
  <c r="CC661" i="1"/>
  <c r="CD659" i="1"/>
  <c r="W830" i="1"/>
  <c r="BD803" i="1"/>
  <c r="H907" i="1"/>
  <c r="H886" i="1"/>
  <c r="H898" i="1"/>
  <c r="H689" i="1"/>
  <c r="H679" i="1"/>
  <c r="H692" i="1" s="1"/>
  <c r="H17" i="1"/>
  <c r="R942" i="1"/>
  <c r="R945" i="1" s="1"/>
  <c r="CE193" i="1"/>
  <c r="CF187" i="1"/>
  <c r="CE198" i="1"/>
  <c r="CF198" i="1" s="1"/>
  <c r="CE200" i="1"/>
  <c r="CF200" i="1" s="1"/>
  <c r="CE199" i="1"/>
  <c r="CF199" i="1" s="1"/>
  <c r="V763" i="1"/>
  <c r="W758" i="1"/>
  <c r="V733" i="1"/>
  <c r="V18" i="1"/>
  <c r="AY830" i="1"/>
  <c r="CB723" i="1"/>
  <c r="CB726" i="1"/>
  <c r="D907" i="1"/>
  <c r="D886" i="1"/>
  <c r="D898" i="1"/>
  <c r="D689" i="1"/>
  <c r="D679" i="1"/>
  <c r="D692" i="1" s="1"/>
  <c r="D17" i="1"/>
  <c r="BL409" i="1"/>
  <c r="BM409" i="1" s="1"/>
  <c r="BM407" i="1"/>
  <c r="AC724" i="1"/>
  <c r="AE940" i="1"/>
  <c r="Q725" i="1"/>
  <c r="P728" i="1"/>
  <c r="Q728" i="1" s="1"/>
  <c r="AQ932" i="1"/>
  <c r="N763" i="1"/>
  <c r="O758" i="1"/>
  <c r="N733" i="1"/>
  <c r="O733" i="1" s="1"/>
  <c r="N18" i="1"/>
  <c r="O18" i="1" s="1"/>
  <c r="BZ118" i="1"/>
  <c r="BY122" i="1"/>
  <c r="BY128" i="1"/>
  <c r="BZ128" i="1" s="1"/>
  <c r="BY127" i="1"/>
  <c r="BZ127" i="1" s="1"/>
  <c r="BY129" i="1"/>
  <c r="BZ129" i="1" s="1"/>
  <c r="F907" i="1"/>
  <c r="F898" i="1"/>
  <c r="F886" i="1"/>
  <c r="F679" i="1"/>
  <c r="F692" i="1" s="1"/>
  <c r="F689" i="1"/>
  <c r="F17" i="1"/>
  <c r="CN670" i="1"/>
  <c r="CB110" i="1"/>
  <c r="CA114" i="1"/>
  <c r="Z830" i="1"/>
  <c r="AA830" i="1" s="1"/>
  <c r="AA819" i="1"/>
  <c r="AG802" i="1"/>
  <c r="CS427" i="1"/>
  <c r="CR427" i="1"/>
  <c r="Y930" i="1"/>
  <c r="Y932" i="1"/>
  <c r="AB763" i="1"/>
  <c r="AC758" i="1"/>
  <c r="AB733" i="1"/>
  <c r="AB18" i="1"/>
  <c r="BG652" i="1"/>
  <c r="BY674" i="1"/>
  <c r="BY676" i="1"/>
  <c r="AE717" i="1"/>
  <c r="CL821" i="1"/>
  <c r="CK827" i="1"/>
  <c r="CL827" i="1" s="1"/>
  <c r="AQ928" i="1"/>
  <c r="AU931" i="1"/>
  <c r="AT934" i="1"/>
  <c r="CR846" i="1"/>
  <c r="CS846" i="1"/>
  <c r="CQ848" i="1"/>
  <c r="AR942" i="1"/>
  <c r="BC940" i="1"/>
  <c r="BC938" i="1"/>
  <c r="AP763" i="1"/>
  <c r="AQ758" i="1"/>
  <c r="AP733" i="1"/>
  <c r="AP18" i="1"/>
  <c r="AK933" i="1"/>
  <c r="AK927" i="1"/>
  <c r="J36" i="1"/>
  <c r="J41" i="1"/>
  <c r="K35" i="1"/>
  <c r="L28" i="1"/>
  <c r="CQ402" i="1"/>
  <c r="CP402" i="1"/>
  <c r="T758" i="1"/>
  <c r="U661" i="1"/>
  <c r="CE673" i="1"/>
  <c r="CE705" i="1"/>
  <c r="CE704" i="1" s="1"/>
  <c r="CE706" i="1" s="1"/>
  <c r="CF674" i="1"/>
  <c r="CE944" i="1"/>
  <c r="CE943" i="1"/>
  <c r="CE938" i="1"/>
  <c r="CE940" i="1"/>
  <c r="CE941" i="1"/>
  <c r="CE937" i="1"/>
  <c r="CE939" i="1"/>
  <c r="AK725" i="1"/>
  <c r="AJ728" i="1"/>
  <c r="AK728" i="1" s="1"/>
  <c r="CO397" i="1"/>
  <c r="CC802" i="1"/>
  <c r="AO802" i="1"/>
  <c r="AJ808" i="1"/>
  <c r="AK803" i="1"/>
  <c r="R133" i="1"/>
  <c r="R154" i="1"/>
  <c r="S154" i="1" s="1"/>
  <c r="S122" i="1"/>
  <c r="R123" i="1"/>
  <c r="AT728" i="1"/>
  <c r="AU728" i="1" s="1"/>
  <c r="AU725" i="1"/>
  <c r="AN763" i="1"/>
  <c r="AO758" i="1"/>
  <c r="AN733" i="1"/>
  <c r="AO733" i="1" s="1"/>
  <c r="AN18" i="1"/>
  <c r="AO18" i="1" s="1"/>
  <c r="CG725" i="1"/>
  <c r="CH720" i="1"/>
  <c r="AU673" i="1"/>
  <c r="AT675" i="1"/>
  <c r="AW758" i="1"/>
  <c r="AV763" i="1"/>
  <c r="AV733" i="1"/>
  <c r="AW733" i="1" s="1"/>
  <c r="AV18" i="1"/>
  <c r="AW18" i="1" s="1"/>
  <c r="BB934" i="1"/>
  <c r="BC934" i="1" s="1"/>
  <c r="BC931" i="1"/>
  <c r="AV942" i="1"/>
  <c r="AW937" i="1"/>
  <c r="AF675" i="1"/>
  <c r="AF934" i="1"/>
  <c r="CL331" i="1"/>
  <c r="V514" i="1"/>
  <c r="W510" i="1"/>
  <c r="BD942" i="1"/>
  <c r="BE937" i="1"/>
  <c r="CB514" i="1"/>
  <c r="CA515" i="1"/>
  <c r="CB515" i="1" s="1"/>
  <c r="BW672" i="1"/>
  <c r="BX669" i="1"/>
  <c r="BZ669" i="1"/>
  <c r="AD934" i="1"/>
  <c r="AE934" i="1" s="1"/>
  <c r="AE931" i="1"/>
  <c r="CM821" i="1"/>
  <c r="CO793" i="1"/>
  <c r="CN793" i="1"/>
  <c r="AQ717" i="1"/>
  <c r="R538" i="1"/>
  <c r="S538" i="1" s="1"/>
  <c r="S537" i="1"/>
  <c r="CS859" i="1"/>
  <c r="CR859" i="1"/>
  <c r="BC943" i="1"/>
  <c r="BC673" i="1"/>
  <c r="BB675" i="1"/>
  <c r="CK403" i="1"/>
  <c r="CM401" i="1"/>
  <c r="CL401" i="1"/>
  <c r="J728" i="1"/>
  <c r="K728" i="1" s="1"/>
  <c r="K725" i="1"/>
  <c r="CF658" i="1"/>
  <c r="AX763" i="1"/>
  <c r="AY758" i="1"/>
  <c r="AX733" i="1"/>
  <c r="AY733" i="1" s="1"/>
  <c r="AX18" i="1"/>
  <c r="AY18" i="1" s="1"/>
  <c r="AS717" i="1"/>
  <c r="CG714" i="1"/>
  <c r="CH709" i="1"/>
  <c r="CN864" i="1"/>
  <c r="CO864" i="1"/>
  <c r="CE758" i="1"/>
  <c r="CF661" i="1"/>
  <c r="P931" i="1"/>
  <c r="P934" i="1" s="1"/>
  <c r="AY943" i="1"/>
  <c r="AY673" i="1"/>
  <c r="AX675" i="1"/>
  <c r="AZ942" i="1"/>
  <c r="BA937" i="1"/>
  <c r="CS363" i="1"/>
  <c r="CR363" i="1"/>
  <c r="R728" i="1"/>
  <c r="S725" i="1"/>
  <c r="AS725" i="1"/>
  <c r="AR728" i="1"/>
  <c r="W943" i="1"/>
  <c r="CO670" i="1"/>
  <c r="CP443" i="1"/>
  <c r="U714" i="1"/>
  <c r="T717" i="1"/>
  <c r="U717" i="1" s="1"/>
  <c r="Z728" i="1"/>
  <c r="AA728" i="1" s="1"/>
  <c r="AA725" i="1"/>
  <c r="CR785" i="1"/>
  <c r="AC927" i="1"/>
  <c r="B681" i="1"/>
  <c r="B20" i="1"/>
  <c r="AH728" i="1"/>
  <c r="AI725" i="1"/>
  <c r="AD728" i="1"/>
  <c r="AE728" i="1" s="1"/>
  <c r="AE725" i="1"/>
  <c r="AG725" i="1"/>
  <c r="AF728" i="1"/>
  <c r="M725" i="1"/>
  <c r="L728" i="1"/>
  <c r="M728" i="1" s="1"/>
  <c r="AJ763" i="1"/>
  <c r="AJ733" i="1"/>
  <c r="AK733" i="1" s="1"/>
  <c r="AK758" i="1"/>
  <c r="AJ18" i="1"/>
  <c r="AK18" i="1" s="1"/>
  <c r="BB763" i="1"/>
  <c r="BC758" i="1"/>
  <c r="BB733" i="1"/>
  <c r="BB18" i="1"/>
  <c r="AW941" i="1"/>
  <c r="AV934" i="1"/>
  <c r="AW934" i="1" s="1"/>
  <c r="AW931" i="1"/>
  <c r="J763" i="1"/>
  <c r="K758" i="1"/>
  <c r="J733" i="1"/>
  <c r="K733" i="1" s="1"/>
  <c r="J18" i="1"/>
  <c r="K18" i="1" s="1"/>
  <c r="AK830" i="1"/>
  <c r="AI930" i="1"/>
  <c r="AD802" i="1"/>
  <c r="AE802" i="1" s="1"/>
  <c r="AE801" i="1"/>
  <c r="AN942" i="1"/>
  <c r="AO937" i="1"/>
  <c r="AO939" i="1"/>
  <c r="AM939" i="1"/>
  <c r="CA518" i="1"/>
  <c r="BZ522" i="1"/>
  <c r="BY523" i="1"/>
  <c r="BZ523" i="1" s="1"/>
  <c r="AB808" i="1"/>
  <c r="AP728" i="1"/>
  <c r="AQ728" i="1" s="1"/>
  <c r="AQ725" i="1"/>
  <c r="CE802" i="1"/>
  <c r="CF802" i="1" s="1"/>
  <c r="AW802" i="1"/>
  <c r="CS362" i="1"/>
  <c r="CR362" i="1"/>
  <c r="AH763" i="1"/>
  <c r="AI758" i="1"/>
  <c r="AH733" i="1"/>
  <c r="AH18" i="1"/>
  <c r="BA725" i="1"/>
  <c r="AZ728" i="1"/>
  <c r="BA728" i="1" s="1"/>
  <c r="AR934" i="1"/>
  <c r="O673" i="1"/>
  <c r="N675" i="1"/>
  <c r="BE941" i="1"/>
  <c r="BE944" i="1"/>
  <c r="BU714" i="1"/>
  <c r="BV709" i="1"/>
  <c r="CE725" i="1"/>
  <c r="CF720" i="1"/>
  <c r="CF726" i="1"/>
  <c r="CH801" i="1"/>
  <c r="BH335" i="1"/>
  <c r="CB714" i="1"/>
  <c r="CA717" i="1"/>
  <c r="CC223" i="1"/>
  <c r="CD221" i="1"/>
  <c r="CC258" i="1"/>
  <c r="CD258" i="1" s="1"/>
  <c r="AU717" i="1"/>
  <c r="CD222" i="1"/>
  <c r="CC259" i="1"/>
  <c r="CD259" i="1" s="1"/>
  <c r="CB724" i="1"/>
  <c r="AW717" i="1"/>
  <c r="CR373" i="1"/>
  <c r="CQ395" i="1"/>
  <c r="CS373" i="1"/>
  <c r="AD942" i="1"/>
  <c r="AE937" i="1"/>
  <c r="AE941" i="1"/>
  <c r="AE673" i="1"/>
  <c r="AD675" i="1"/>
  <c r="AQ933" i="1"/>
  <c r="BZ106" i="1"/>
  <c r="BY107" i="1"/>
  <c r="BZ107" i="1" s="1"/>
  <c r="CA102" i="1"/>
  <c r="AF803" i="1"/>
  <c r="Y933" i="1"/>
  <c r="Y929" i="1"/>
  <c r="X705" i="1"/>
  <c r="X704" i="1" s="1"/>
  <c r="X706" i="1" s="1"/>
  <c r="Y674" i="1"/>
  <c r="X673" i="1"/>
  <c r="AG673" i="1" s="1"/>
  <c r="X943" i="1"/>
  <c r="X939" i="1"/>
  <c r="AG939" i="1" s="1"/>
  <c r="X940" i="1"/>
  <c r="X937" i="1"/>
  <c r="AG937" i="1" s="1"/>
  <c r="X938" i="1"/>
  <c r="AG938" i="1" s="1"/>
  <c r="X941" i="1"/>
  <c r="X944" i="1"/>
  <c r="BE758" i="1"/>
  <c r="BD763" i="1"/>
  <c r="BD733" i="1"/>
  <c r="BE733" i="1" s="1"/>
  <c r="BD18" i="1"/>
  <c r="BE18" i="1" s="1"/>
  <c r="X758" i="1"/>
  <c r="AG758" i="1" s="1"/>
  <c r="Y661" i="1"/>
  <c r="BA758" i="1"/>
  <c r="AZ763" i="1"/>
  <c r="AZ733" i="1"/>
  <c r="AZ18" i="1"/>
  <c r="AU802" i="1"/>
  <c r="BX656" i="1"/>
  <c r="BW659" i="1"/>
  <c r="BW658" i="1"/>
  <c r="BZ658" i="1" s="1"/>
  <c r="BW715" i="1"/>
  <c r="BW711" i="1"/>
  <c r="BW710" i="1"/>
  <c r="BW713" i="1"/>
  <c r="BW716" i="1"/>
  <c r="BW709" i="1"/>
  <c r="BZ656" i="1"/>
  <c r="BW712" i="1"/>
  <c r="CA758" i="1"/>
  <c r="CB661" i="1"/>
  <c r="CK325" i="1"/>
  <c r="CM323" i="1"/>
  <c r="CL323" i="1"/>
  <c r="BF922" i="1"/>
  <c r="BG418" i="1"/>
  <c r="T931" i="1"/>
  <c r="U926" i="1"/>
  <c r="Z931" i="1"/>
  <c r="AA926" i="1"/>
  <c r="AG676" i="1"/>
  <c r="AP675" i="1"/>
  <c r="AQ930" i="1"/>
  <c r="S830" i="1"/>
  <c r="CA674" i="1"/>
  <c r="CB658" i="1"/>
  <c r="CA676" i="1"/>
  <c r="CB676" i="1" s="1"/>
  <c r="Y714" i="1"/>
  <c r="CJ448" i="1"/>
  <c r="CI452" i="1"/>
  <c r="CI469" i="1"/>
  <c r="BB942" i="1"/>
  <c r="BC937" i="1"/>
  <c r="BC944" i="1"/>
  <c r="AU830" i="1"/>
  <c r="AG717" i="1"/>
  <c r="Q148" i="1"/>
  <c r="P150" i="1"/>
  <c r="Q150" i="1" s="1"/>
  <c r="W803" i="1"/>
  <c r="V808" i="1"/>
  <c r="BK409" i="1"/>
  <c r="CI409" i="1"/>
  <c r="AK930" i="1"/>
  <c r="AK928" i="1"/>
  <c r="AK674" i="1"/>
  <c r="AJ705" i="1"/>
  <c r="AJ704" i="1" s="1"/>
  <c r="AJ706" i="1" s="1"/>
  <c r="AJ673" i="1"/>
  <c r="AJ939" i="1"/>
  <c r="AS939" i="1" s="1"/>
  <c r="AJ943" i="1"/>
  <c r="AJ941" i="1"/>
  <c r="AJ938" i="1"/>
  <c r="AJ940" i="1"/>
  <c r="AS940" i="1" s="1"/>
  <c r="AJ937" i="1"/>
  <c r="AS937" i="1" s="1"/>
  <c r="AJ944" i="1"/>
  <c r="CJ734" i="1"/>
  <c r="L763" i="1"/>
  <c r="M758" i="1"/>
  <c r="L733" i="1"/>
  <c r="M733" i="1" s="1"/>
  <c r="L18" i="1"/>
  <c r="M18" i="1" s="1"/>
  <c r="CQ654" i="1"/>
  <c r="CQ631" i="1"/>
  <c r="CQ443" i="1"/>
  <c r="CS440" i="1"/>
  <c r="CR440" i="1"/>
  <c r="CQ12" i="1"/>
  <c r="T830" i="1"/>
  <c r="U830" i="1" s="1"/>
  <c r="U819" i="1"/>
  <c r="BV16" i="1"/>
  <c r="AN808" i="1"/>
  <c r="AO803" i="1"/>
  <c r="CG674" i="1"/>
  <c r="CH658" i="1"/>
  <c r="CG676" i="1"/>
  <c r="CH676" i="1" s="1"/>
  <c r="CM811" i="1"/>
  <c r="CN811" i="1" s="1"/>
  <c r="CO792" i="1"/>
  <c r="CM810" i="1"/>
  <c r="CM806" i="1"/>
  <c r="CN792" i="1"/>
  <c r="AX942" i="1"/>
  <c r="AY937" i="1"/>
  <c r="CP654" i="1"/>
  <c r="CO255" i="1"/>
  <c r="CN255" i="1"/>
  <c r="CM244" i="1"/>
  <c r="CS755" i="1"/>
  <c r="CR755" i="1"/>
  <c r="P758" i="1"/>
  <c r="Q661" i="1"/>
  <c r="AT942" i="1"/>
  <c r="AU937" i="1"/>
  <c r="BY758" i="1"/>
  <c r="CD691" i="1"/>
  <c r="CF691" i="1"/>
  <c r="CS261" i="1"/>
  <c r="CR261" i="1"/>
  <c r="CQ248" i="1"/>
  <c r="AI674" i="1"/>
  <c r="AH705" i="1"/>
  <c r="AH704" i="1" s="1"/>
  <c r="AH706" i="1" s="1"/>
  <c r="AH673" i="1"/>
  <c r="AH943" i="1"/>
  <c r="AQ943" i="1" s="1"/>
  <c r="AH939" i="1"/>
  <c r="AI939" i="1" s="1"/>
  <c r="AH940" i="1"/>
  <c r="AH937" i="1"/>
  <c r="AQ937" i="1" s="1"/>
  <c r="AH941" i="1"/>
  <c r="AH938" i="1"/>
  <c r="AH944" i="1"/>
  <c r="AQ944" i="1" s="1"/>
  <c r="AC717" i="1"/>
  <c r="AP808" i="1"/>
  <c r="AQ803" i="1"/>
  <c r="S673" i="1"/>
  <c r="R675" i="1"/>
  <c r="CA725" i="1"/>
  <c r="CB720" i="1"/>
  <c r="AE938" i="1"/>
  <c r="O469" i="1"/>
  <c r="W469" i="1"/>
  <c r="X931" i="1"/>
  <c r="Y926" i="1"/>
  <c r="H681" i="1"/>
  <c r="H20" i="1"/>
  <c r="AA674" i="1"/>
  <c r="Z705" i="1"/>
  <c r="Z704" i="1" s="1"/>
  <c r="Z706" i="1" s="1"/>
  <c r="Z673" i="1"/>
  <c r="Z939" i="1"/>
  <c r="AA939" i="1" s="1"/>
  <c r="Z943" i="1"/>
  <c r="AA943" i="1" s="1"/>
  <c r="Z940" i="1"/>
  <c r="AA940" i="1" s="1"/>
  <c r="Z938" i="1"/>
  <c r="AA938" i="1" s="1"/>
  <c r="Z941" i="1"/>
  <c r="AA941" i="1" s="1"/>
  <c r="Z937" i="1"/>
  <c r="Z944" i="1"/>
  <c r="AA944" i="1" s="1"/>
  <c r="AQ941" i="1"/>
  <c r="AQ674" i="1"/>
  <c r="U720" i="1"/>
  <c r="T725" i="1"/>
  <c r="AC725" i="1" s="1"/>
  <c r="AJ931" i="1"/>
  <c r="AS931" i="1" s="1"/>
  <c r="AK926" i="1"/>
  <c r="AR763" i="1"/>
  <c r="AS758" i="1"/>
  <c r="AR733" i="1"/>
  <c r="AS733" i="1" s="1"/>
  <c r="AR18" i="1"/>
  <c r="R815" i="1"/>
  <c r="S815" i="1" s="1"/>
  <c r="S808" i="1"/>
  <c r="CD16" i="1"/>
  <c r="AL934" i="1"/>
  <c r="AM934" i="1" s="1"/>
  <c r="AM931" i="1"/>
  <c r="AX728" i="1"/>
  <c r="AY728" i="1" s="1"/>
  <c r="AY725" i="1"/>
  <c r="CJ320" i="1"/>
  <c r="CG819" i="1"/>
  <c r="CG661" i="1"/>
  <c r="CH659" i="1"/>
  <c r="CA227" i="1"/>
  <c r="CB225" i="1"/>
  <c r="CA262" i="1"/>
  <c r="CB262" i="1" s="1"/>
  <c r="AQ927" i="1"/>
  <c r="CF819" i="1"/>
  <c r="CE830" i="1"/>
  <c r="CL806" i="1"/>
  <c r="CK807" i="1"/>
  <c r="P705" i="1"/>
  <c r="P704" i="1" s="1"/>
  <c r="P706" i="1" s="1"/>
  <c r="Q674" i="1"/>
  <c r="P673" i="1"/>
  <c r="P943" i="1"/>
  <c r="P939" i="1"/>
  <c r="P938" i="1"/>
  <c r="P941" i="1"/>
  <c r="P937" i="1"/>
  <c r="P944" i="1"/>
  <c r="P940" i="1"/>
  <c r="CP324" i="1"/>
  <c r="CQ324" i="1"/>
  <c r="CO319" i="1"/>
  <c r="Q556" i="1"/>
  <c r="P558" i="1"/>
  <c r="Q558" i="1" s="1"/>
  <c r="AX934" i="1"/>
  <c r="AY934" i="1" s="1"/>
  <c r="AY931" i="1"/>
  <c r="BA939" i="1"/>
  <c r="BA673" i="1"/>
  <c r="AZ675" i="1"/>
  <c r="AI830" i="1"/>
  <c r="CN331" i="1"/>
  <c r="W941" i="1"/>
  <c r="AB931" i="1"/>
  <c r="AC926" i="1"/>
  <c r="AC674" i="1"/>
  <c r="AB705" i="1"/>
  <c r="AB704" i="1" s="1"/>
  <c r="AB706" i="1" s="1"/>
  <c r="AB673" i="1"/>
  <c r="AB943" i="1"/>
  <c r="AB939" i="1"/>
  <c r="AB940" i="1"/>
  <c r="AB941" i="1"/>
  <c r="AB938" i="1"/>
  <c r="AB937" i="1"/>
  <c r="AB944" i="1"/>
  <c r="AY717" i="1"/>
  <c r="H225" i="1"/>
  <c r="H260" i="1"/>
  <c r="CL244" i="1"/>
  <c r="CR738" i="1"/>
  <c r="CS738" i="1"/>
  <c r="CQ740" i="1"/>
  <c r="J218" i="1"/>
  <c r="K218" i="1" s="1"/>
  <c r="K217" i="1"/>
  <c r="CO754" i="1"/>
  <c r="CO753" i="1"/>
  <c r="CN753" i="1"/>
  <c r="CS299" i="1"/>
  <c r="CR299" i="1"/>
  <c r="T522" i="1"/>
  <c r="U518" i="1"/>
  <c r="T526" i="1"/>
  <c r="AU944" i="1"/>
  <c r="AD763" i="1"/>
  <c r="AE758" i="1"/>
  <c r="AD733" i="1"/>
  <c r="AD18" i="1"/>
  <c r="AE18" i="1" s="1"/>
  <c r="AT763" i="1"/>
  <c r="AU758" i="1"/>
  <c r="AT733" i="1"/>
  <c r="AT18" i="1"/>
  <c r="AO830" i="1"/>
  <c r="CJ398" i="1"/>
  <c r="AZ803" i="1"/>
  <c r="AL803" i="1"/>
  <c r="CC803" i="1" s="1"/>
  <c r="BB728" i="1"/>
  <c r="BC728" i="1" s="1"/>
  <c r="BC725" i="1"/>
  <c r="AG941" i="1"/>
  <c r="AG943" i="1"/>
  <c r="AG926" i="1"/>
  <c r="AQ676" i="1"/>
  <c r="AO938" i="1"/>
  <c r="AO943" i="1"/>
  <c r="AM938" i="1"/>
  <c r="CO328" i="1"/>
  <c r="CN328" i="1"/>
  <c r="CM317" i="1"/>
  <c r="CN317" i="1" s="1"/>
  <c r="T118" i="1"/>
  <c r="U102" i="1"/>
  <c r="T106" i="1"/>
  <c r="CB36" i="1"/>
  <c r="CA64" i="1"/>
  <c r="CB64" i="1" s="1"/>
  <c r="CA69" i="1"/>
  <c r="CB69" i="1" s="1"/>
  <c r="CA68" i="1"/>
  <c r="CB68" i="1" s="1"/>
  <c r="CA63" i="1"/>
  <c r="CA92" i="1"/>
  <c r="Z803" i="1"/>
  <c r="AV803" i="1"/>
  <c r="AZ934" i="1"/>
  <c r="BA934" i="1" s="1"/>
  <c r="BA931" i="1"/>
  <c r="BY717" i="1"/>
  <c r="BF651" i="1"/>
  <c r="BF349" i="1"/>
  <c r="BF343" i="1"/>
  <c r="BG342" i="1"/>
  <c r="BF9" i="1"/>
  <c r="BG9" i="1" s="1"/>
  <c r="N942" i="1"/>
  <c r="N945" i="1" s="1"/>
  <c r="N946" i="1" s="1"/>
  <c r="BE939" i="1"/>
  <c r="BE673" i="1"/>
  <c r="BD675" i="1"/>
  <c r="BA830" i="1"/>
  <c r="BU674" i="1"/>
  <c r="BV658" i="1"/>
  <c r="BU676" i="1"/>
  <c r="BV676" i="1" s="1"/>
  <c r="CB691" i="1"/>
  <c r="AL763" i="1"/>
  <c r="AM758" i="1"/>
  <c r="AL733" i="1"/>
  <c r="AM733" i="1" s="1"/>
  <c r="AL18" i="1"/>
  <c r="AM18" i="1" s="1"/>
  <c r="N199" i="1"/>
  <c r="O199" i="1" s="1"/>
  <c r="N198" i="1"/>
  <c r="O198" i="1" s="1"/>
  <c r="N193" i="1"/>
  <c r="O187" i="1"/>
  <c r="N200" i="1"/>
  <c r="CC717" i="1"/>
  <c r="CD717" i="1" s="1"/>
  <c r="CD714" i="1"/>
  <c r="CF724" i="1"/>
  <c r="CF727" i="1"/>
  <c r="AQ802" i="1"/>
  <c r="BM807" i="1"/>
  <c r="CI807" i="1"/>
  <c r="CJ807" i="1" s="1"/>
  <c r="CL756" i="1"/>
  <c r="CK734" i="1"/>
  <c r="CF204" i="1"/>
  <c r="CE210" i="1"/>
  <c r="CE217" i="1"/>
  <c r="CF217" i="1" s="1"/>
  <c r="CE215" i="1"/>
  <c r="CF215" i="1" s="1"/>
  <c r="CE216" i="1"/>
  <c r="CF216" i="1" s="1"/>
  <c r="CB721" i="1"/>
  <c r="AE944" i="1"/>
  <c r="AE943" i="1"/>
  <c r="R763" i="1"/>
  <c r="S758" i="1"/>
  <c r="R733" i="1"/>
  <c r="S733" i="1" s="1"/>
  <c r="R18" i="1"/>
  <c r="S18" i="1" s="1"/>
  <c r="BB803" i="1"/>
  <c r="F264" i="1"/>
  <c r="F228" i="1"/>
  <c r="CA801" i="1"/>
  <c r="CB801" i="1" s="1"/>
  <c r="P448" i="1"/>
  <c r="O452" i="1"/>
  <c r="W452" i="1"/>
  <c r="N456" i="1"/>
  <c r="Y927" i="1"/>
  <c r="Y928" i="1"/>
  <c r="H65" i="1"/>
  <c r="X830" i="1"/>
  <c r="Y830" i="1" s="1"/>
  <c r="Y819" i="1"/>
  <c r="AT803" i="1"/>
  <c r="CA830" i="1"/>
  <c r="CB830" i="1" s="1"/>
  <c r="CB819" i="1"/>
  <c r="BF668" i="1"/>
  <c r="BF425" i="1"/>
  <c r="BG422" i="1"/>
  <c r="BF423" i="1"/>
  <c r="BG423" i="1" s="1"/>
  <c r="U674" i="1"/>
  <c r="T705" i="1"/>
  <c r="T704" i="1" s="1"/>
  <c r="T706" i="1" s="1"/>
  <c r="T673" i="1"/>
  <c r="T943" i="1"/>
  <c r="U943" i="1" s="1"/>
  <c r="T939" i="1"/>
  <c r="U939" i="1" s="1"/>
  <c r="T941" i="1"/>
  <c r="U941" i="1" s="1"/>
  <c r="T938" i="1"/>
  <c r="U938" i="1" s="1"/>
  <c r="T940" i="1"/>
  <c r="U940" i="1" s="1"/>
  <c r="T937" i="1"/>
  <c r="T944" i="1"/>
  <c r="U944" i="1" s="1"/>
  <c r="AG930" i="1"/>
  <c r="AP942" i="1"/>
  <c r="AQ939" i="1"/>
  <c r="R541" i="1"/>
  <c r="S530" i="1"/>
  <c r="R562" i="1"/>
  <c r="S562" i="1" s="1"/>
  <c r="R531" i="1"/>
  <c r="T803" i="1"/>
  <c r="BI410" i="1"/>
  <c r="BH417" i="1"/>
  <c r="CS455" i="1"/>
  <c r="CG456" i="1"/>
  <c r="AW830" i="1"/>
  <c r="AS944" i="1"/>
  <c r="AS673" i="1"/>
  <c r="AR675" i="1"/>
  <c r="BC939" i="1"/>
  <c r="D681" i="1"/>
  <c r="D20" i="1"/>
  <c r="CI407" i="1"/>
  <c r="AY802" i="1"/>
  <c r="AK929" i="1"/>
  <c r="AK932" i="1"/>
  <c r="CS263" i="1"/>
  <c r="CR263" i="1"/>
  <c r="CQ249" i="1"/>
  <c r="K46" i="1"/>
  <c r="J47" i="1"/>
  <c r="K47" i="1" s="1"/>
  <c r="CM406" i="1"/>
  <c r="CN397" i="1"/>
  <c r="BZ16" i="1"/>
  <c r="CF676" i="1"/>
  <c r="U114" i="1"/>
  <c r="V110" i="1"/>
  <c r="T115" i="1"/>
  <c r="U115" i="1" s="1"/>
  <c r="AS802" i="1"/>
  <c r="X815" i="1"/>
  <c r="Y815" i="1" s="1"/>
  <c r="Y808" i="1"/>
  <c r="CD801" i="1"/>
  <c r="D24" i="23" l="1"/>
  <c r="Y717" i="1"/>
  <c r="L946" i="1"/>
  <c r="AG728" i="1"/>
  <c r="S728" i="1"/>
  <c r="BJ335" i="1"/>
  <c r="AS18" i="1"/>
  <c r="AE733" i="1"/>
  <c r="AS728" i="1"/>
  <c r="W18" i="1"/>
  <c r="BL410" i="1"/>
  <c r="BM410" i="1" s="1"/>
  <c r="CI338" i="1"/>
  <c r="CJ332" i="1"/>
  <c r="CC808" i="1"/>
  <c r="AT808" i="1"/>
  <c r="AU803" i="1"/>
  <c r="CL734" i="1"/>
  <c r="O193" i="1"/>
  <c r="N221" i="1"/>
  <c r="N194" i="1"/>
  <c r="O194" i="1" s="1"/>
  <c r="P187" i="1"/>
  <c r="BD831" i="1"/>
  <c r="BD887" i="1"/>
  <c r="BD761" i="1"/>
  <c r="BE675" i="1"/>
  <c r="BD677" i="1"/>
  <c r="BD750" i="1"/>
  <c r="BF921" i="1"/>
  <c r="BG343" i="1"/>
  <c r="Z808" i="1"/>
  <c r="AA803" i="1"/>
  <c r="CP328" i="1"/>
  <c r="CQ328" i="1"/>
  <c r="CO317" i="1"/>
  <c r="CP317" i="1" s="1"/>
  <c r="AU733" i="1"/>
  <c r="CO756" i="1"/>
  <c r="CP754" i="1"/>
  <c r="AB942" i="1"/>
  <c r="AC937" i="1"/>
  <c r="AC939" i="1"/>
  <c r="Q673" i="1"/>
  <c r="P675" i="1"/>
  <c r="CG758" i="1"/>
  <c r="CH661" i="1"/>
  <c r="AA937" i="1"/>
  <c r="Z942" i="1"/>
  <c r="X934" i="1"/>
  <c r="Y934" i="1" s="1"/>
  <c r="Y931" i="1"/>
  <c r="AI938" i="1"/>
  <c r="P763" i="1"/>
  <c r="Q758" i="1"/>
  <c r="P733" i="1"/>
  <c r="Q733" i="1" s="1"/>
  <c r="P18" i="1"/>
  <c r="Q18" i="1" s="1"/>
  <c r="CN806" i="1"/>
  <c r="CM807" i="1"/>
  <c r="CN807" i="1" s="1"/>
  <c r="CS654" i="1"/>
  <c r="CR654" i="1"/>
  <c r="M763" i="1"/>
  <c r="L681" i="1"/>
  <c r="L682" i="1" s="1"/>
  <c r="L20" i="1"/>
  <c r="M20" i="1" s="1"/>
  <c r="AK944" i="1"/>
  <c r="AK941" i="1"/>
  <c r="CI415" i="1"/>
  <c r="CJ409" i="1"/>
  <c r="CB758" i="1"/>
  <c r="CA18" i="1"/>
  <c r="CA733" i="1"/>
  <c r="BX716" i="1"/>
  <c r="BZ716" i="1"/>
  <c r="BX715" i="1"/>
  <c r="BZ715" i="1"/>
  <c r="Y944" i="1"/>
  <c r="Y940" i="1"/>
  <c r="AF808" i="1"/>
  <c r="AG803" i="1"/>
  <c r="CC225" i="1"/>
  <c r="CD223" i="1"/>
  <c r="CC260" i="1"/>
  <c r="CD260" i="1" s="1"/>
  <c r="N887" i="1"/>
  <c r="O887" i="1" s="1"/>
  <c r="N831" i="1"/>
  <c r="O831" i="1" s="1"/>
  <c r="N761" i="1"/>
  <c r="O675" i="1"/>
  <c r="N677" i="1"/>
  <c r="N750" i="1"/>
  <c r="O750" i="1" s="1"/>
  <c r="AX887" i="1"/>
  <c r="AX831" i="1"/>
  <c r="AX761" i="1"/>
  <c r="AX677" i="1"/>
  <c r="AY675" i="1"/>
  <c r="AX750" i="1"/>
  <c r="AY763" i="1"/>
  <c r="AX681" i="1"/>
  <c r="AX682" i="1" s="1"/>
  <c r="AX20" i="1"/>
  <c r="CM827" i="1"/>
  <c r="CN827" i="1" s="1"/>
  <c r="CN821" i="1"/>
  <c r="AV945" i="1"/>
  <c r="AW942" i="1"/>
  <c r="S133" i="1"/>
  <c r="R134" i="1"/>
  <c r="S134" i="1" s="1"/>
  <c r="T763" i="1"/>
  <c r="T733" i="1"/>
  <c r="U733" i="1" s="1"/>
  <c r="U758" i="1"/>
  <c r="T18" i="1"/>
  <c r="U18" i="1" s="1"/>
  <c r="AQ763" i="1"/>
  <c r="AP681" i="1"/>
  <c r="AP682" i="1" s="1"/>
  <c r="AP20" i="1"/>
  <c r="AB681" i="1"/>
  <c r="AB682" i="1" s="1"/>
  <c r="AB20" i="1"/>
  <c r="O763" i="1"/>
  <c r="N681" i="1"/>
  <c r="N682" i="1" s="1"/>
  <c r="N20" i="1"/>
  <c r="O20" i="1" s="1"/>
  <c r="CF721" i="1"/>
  <c r="BU758" i="1"/>
  <c r="BV661" i="1"/>
  <c r="CC725" i="1"/>
  <c r="CD720" i="1"/>
  <c r="F696" i="1"/>
  <c r="F747" i="1" s="1"/>
  <c r="F682" i="1"/>
  <c r="AG830" i="1"/>
  <c r="AD469" i="1"/>
  <c r="AE469" i="1" s="1"/>
  <c r="AD452" i="1"/>
  <c r="AE448" i="1"/>
  <c r="J259" i="1"/>
  <c r="K259" i="1" s="1"/>
  <c r="K222" i="1"/>
  <c r="J223" i="1"/>
  <c r="V945" i="1"/>
  <c r="W942" i="1"/>
  <c r="BE728" i="1"/>
  <c r="BJ652" i="1"/>
  <c r="BK417" i="1"/>
  <c r="BJ422" i="1"/>
  <c r="BJ418" i="1"/>
  <c r="BJ10" i="1"/>
  <c r="BK10" i="1" s="1"/>
  <c r="BU728" i="1"/>
  <c r="BV728" i="1" s="1"/>
  <c r="BV725" i="1"/>
  <c r="AO728" i="1"/>
  <c r="CF723" i="1"/>
  <c r="AL887" i="1"/>
  <c r="AL831" i="1"/>
  <c r="AL761" i="1"/>
  <c r="AM675" i="1"/>
  <c r="AL677" i="1"/>
  <c r="AL750" i="1"/>
  <c r="L887" i="1"/>
  <c r="M887" i="1" s="1"/>
  <c r="L831" i="1"/>
  <c r="M831" i="1" s="1"/>
  <c r="L761" i="1"/>
  <c r="M675" i="1"/>
  <c r="L677" i="1"/>
  <c r="L750" i="1"/>
  <c r="M750" i="1" s="1"/>
  <c r="Y728" i="1"/>
  <c r="V114" i="1"/>
  <c r="W110" i="1"/>
  <c r="CS249" i="1"/>
  <c r="CR249" i="1"/>
  <c r="CN406" i="1"/>
  <c r="AP945" i="1"/>
  <c r="CI413" i="1"/>
  <c r="CJ407" i="1"/>
  <c r="CI410" i="1"/>
  <c r="AR887" i="1"/>
  <c r="AR831" i="1"/>
  <c r="AR761" i="1"/>
  <c r="AR677" i="1"/>
  <c r="AR750" i="1"/>
  <c r="CS456" i="1"/>
  <c r="CH456" i="1"/>
  <c r="T808" i="1"/>
  <c r="U803" i="1"/>
  <c r="S541" i="1"/>
  <c r="R542" i="1"/>
  <c r="S542" i="1" s="1"/>
  <c r="U673" i="1"/>
  <c r="T675" i="1"/>
  <c r="BF667" i="1"/>
  <c r="BF350" i="1"/>
  <c r="BG350" i="1" s="1"/>
  <c r="BF352" i="1"/>
  <c r="BG349" i="1"/>
  <c r="U118" i="1"/>
  <c r="T122" i="1"/>
  <c r="T127" i="1"/>
  <c r="U127" i="1" s="1"/>
  <c r="T128" i="1"/>
  <c r="U128" i="1" s="1"/>
  <c r="T129" i="1"/>
  <c r="U526" i="1"/>
  <c r="T530" i="1"/>
  <c r="T536" i="1"/>
  <c r="U536" i="1" s="1"/>
  <c r="T537" i="1"/>
  <c r="T535" i="1"/>
  <c r="U535" i="1" s="1"/>
  <c r="H227" i="1"/>
  <c r="H262" i="1"/>
  <c r="AC938" i="1"/>
  <c r="AC943" i="1"/>
  <c r="CH819" i="1"/>
  <c r="CG830" i="1"/>
  <c r="CH830" i="1" s="1"/>
  <c r="AK931" i="1"/>
  <c r="AJ934" i="1"/>
  <c r="AS934" i="1" s="1"/>
  <c r="CB725" i="1"/>
  <c r="CA728" i="1"/>
  <c r="AP815" i="1"/>
  <c r="AI941" i="1"/>
  <c r="AI943" i="1"/>
  <c r="CR248" i="1"/>
  <c r="CS248" i="1"/>
  <c r="AT945" i="1"/>
  <c r="AU942" i="1"/>
  <c r="CP255" i="1"/>
  <c r="CQ255" i="1"/>
  <c r="CO244" i="1"/>
  <c r="CM812" i="1"/>
  <c r="CN812" i="1" s="1"/>
  <c r="CN810" i="1"/>
  <c r="AN815" i="1"/>
  <c r="AO808" i="1"/>
  <c r="AJ942" i="1"/>
  <c r="AK937" i="1"/>
  <c r="AK943" i="1"/>
  <c r="U931" i="1"/>
  <c r="T934" i="1"/>
  <c r="U934" i="1" s="1"/>
  <c r="CN323" i="1"/>
  <c r="CM325" i="1"/>
  <c r="CO323" i="1"/>
  <c r="BX712" i="1"/>
  <c r="BZ712" i="1"/>
  <c r="BX713" i="1"/>
  <c r="BZ713" i="1"/>
  <c r="BW674" i="1"/>
  <c r="BX658" i="1"/>
  <c r="BW676" i="1"/>
  <c r="BX676" i="1" s="1"/>
  <c r="BA18" i="1"/>
  <c r="Y941" i="1"/>
  <c r="Y939" i="1"/>
  <c r="CA118" i="1"/>
  <c r="CB102" i="1"/>
  <c r="CA106" i="1"/>
  <c r="AD887" i="1"/>
  <c r="AD831" i="1"/>
  <c r="AD761" i="1"/>
  <c r="AE675" i="1"/>
  <c r="AD677" i="1"/>
  <c r="AD750" i="1"/>
  <c r="AD945" i="1"/>
  <c r="AE942" i="1"/>
  <c r="CB717" i="1"/>
  <c r="BU717" i="1"/>
  <c r="BV717" i="1" s="1"/>
  <c r="BV714" i="1"/>
  <c r="AD803" i="1"/>
  <c r="K763" i="1"/>
  <c r="J681" i="1"/>
  <c r="J682" i="1" s="1"/>
  <c r="J20" i="1"/>
  <c r="K20" i="1" s="1"/>
  <c r="AM802" i="1"/>
  <c r="BC763" i="1"/>
  <c r="BB681" i="1"/>
  <c r="BB682" i="1" s="1"/>
  <c r="BB20" i="1"/>
  <c r="AK763" i="1"/>
  <c r="AJ681" i="1"/>
  <c r="AJ682" i="1" s="1"/>
  <c r="AJ20" i="1"/>
  <c r="AK20" i="1" s="1"/>
  <c r="AI728" i="1"/>
  <c r="CE18" i="1"/>
  <c r="CE733" i="1"/>
  <c r="CN401" i="1"/>
  <c r="CM403" i="1"/>
  <c r="CO401" i="1"/>
  <c r="BX672" i="1"/>
  <c r="BW726" i="1"/>
  <c r="BW722" i="1"/>
  <c r="BW721" i="1"/>
  <c r="BW727" i="1"/>
  <c r="BW724" i="1"/>
  <c r="BW720" i="1"/>
  <c r="BW723" i="1"/>
  <c r="BZ672" i="1"/>
  <c r="BD945" i="1"/>
  <c r="BE942" i="1"/>
  <c r="AF887" i="1"/>
  <c r="AF831" i="1"/>
  <c r="AF761" i="1"/>
  <c r="AF677" i="1"/>
  <c r="AF750" i="1"/>
  <c r="AW763" i="1"/>
  <c r="AV681" i="1"/>
  <c r="AV682" i="1" s="1"/>
  <c r="AV20" i="1"/>
  <c r="R149" i="1"/>
  <c r="S149" i="1" s="1"/>
  <c r="R153" i="1"/>
  <c r="S153" i="1" s="1"/>
  <c r="S123" i="1"/>
  <c r="R148" i="1"/>
  <c r="CO406" i="1"/>
  <c r="CP397" i="1"/>
  <c r="CE942" i="1"/>
  <c r="CE675" i="1"/>
  <c r="AQ18" i="1"/>
  <c r="AR945" i="1"/>
  <c r="AS942" i="1"/>
  <c r="BY705" i="1"/>
  <c r="BY704" i="1" s="1"/>
  <c r="BY706" i="1" s="1"/>
  <c r="BZ674" i="1"/>
  <c r="BY673" i="1"/>
  <c r="BY943" i="1"/>
  <c r="BY938" i="1"/>
  <c r="BY944" i="1"/>
  <c r="BY941" i="1"/>
  <c r="BY937" i="1"/>
  <c r="BY940" i="1"/>
  <c r="BY939" i="1"/>
  <c r="AC18" i="1"/>
  <c r="CB114" i="1"/>
  <c r="CA115" i="1"/>
  <c r="CB115" i="1" s="1"/>
  <c r="W763" i="1"/>
  <c r="V681" i="1"/>
  <c r="V682" i="1" s="1"/>
  <c r="V20" i="1"/>
  <c r="W20" i="1" s="1"/>
  <c r="BY728" i="1"/>
  <c r="AH934" i="1"/>
  <c r="AQ934" i="1" s="1"/>
  <c r="AI931" i="1"/>
  <c r="AB456" i="1"/>
  <c r="AC456" i="1" s="1"/>
  <c r="V887" i="1"/>
  <c r="V831" i="1"/>
  <c r="W831" i="1" s="1"/>
  <c r="V761" i="1"/>
  <c r="W675" i="1"/>
  <c r="V677" i="1"/>
  <c r="V750" i="1"/>
  <c r="W750" i="1" s="1"/>
  <c r="J887" i="1"/>
  <c r="K887" i="1" s="1"/>
  <c r="J831" i="1"/>
  <c r="K831" i="1" s="1"/>
  <c r="J761" i="1"/>
  <c r="J677" i="1"/>
  <c r="K675" i="1"/>
  <c r="J750" i="1"/>
  <c r="K750" i="1" s="1"/>
  <c r="CK414" i="1"/>
  <c r="CJ414" i="1"/>
  <c r="AF681" i="1"/>
  <c r="AF682" i="1" s="1"/>
  <c r="AF20" i="1"/>
  <c r="CC705" i="1"/>
  <c r="CC704" i="1" s="1"/>
  <c r="CC706" i="1" s="1"/>
  <c r="CD674" i="1"/>
  <c r="CC673" i="1"/>
  <c r="CF673" i="1" s="1"/>
  <c r="CC943" i="1"/>
  <c r="CC938" i="1"/>
  <c r="CC940" i="1"/>
  <c r="CC941" i="1"/>
  <c r="CC944" i="1"/>
  <c r="CF944" i="1" s="1"/>
  <c r="CC937" i="1"/>
  <c r="CC939" i="1"/>
  <c r="CF939" i="1" s="1"/>
  <c r="BM333" i="1"/>
  <c r="CI333" i="1"/>
  <c r="AF945" i="1"/>
  <c r="R561" i="1"/>
  <c r="S561" i="1" s="1"/>
  <c r="R557" i="1"/>
  <c r="S557" i="1" s="1"/>
  <c r="S531" i="1"/>
  <c r="R556" i="1"/>
  <c r="O456" i="1"/>
  <c r="W456" i="1"/>
  <c r="P469" i="1"/>
  <c r="P452" i="1"/>
  <c r="Q448" i="1"/>
  <c r="Y448" i="1"/>
  <c r="CG204" i="1"/>
  <c r="CE222" i="1"/>
  <c r="CE211" i="1"/>
  <c r="CF211" i="1" s="1"/>
  <c r="CF210" i="1"/>
  <c r="O200" i="1"/>
  <c r="N201" i="1"/>
  <c r="O201" i="1" s="1"/>
  <c r="AM763" i="1"/>
  <c r="AL681" i="1"/>
  <c r="AL682" i="1" s="1"/>
  <c r="AL20" i="1"/>
  <c r="BU705" i="1"/>
  <c r="BU704" i="1" s="1"/>
  <c r="BU706" i="1" s="1"/>
  <c r="BV674" i="1"/>
  <c r="BU673" i="1"/>
  <c r="BU943" i="1"/>
  <c r="BU944" i="1"/>
  <c r="BU939" i="1"/>
  <c r="BU938" i="1"/>
  <c r="BU937" i="1"/>
  <c r="BU940" i="1"/>
  <c r="BU941" i="1"/>
  <c r="BG651" i="1"/>
  <c r="CA65" i="1"/>
  <c r="CB65" i="1" s="1"/>
  <c r="CB63" i="1"/>
  <c r="AL808" i="1"/>
  <c r="AM803" i="1"/>
  <c r="AU763" i="1"/>
  <c r="AT681" i="1"/>
  <c r="AT682" i="1" s="1"/>
  <c r="AT20" i="1"/>
  <c r="AE763" i="1"/>
  <c r="AD681" i="1"/>
  <c r="AD682" i="1" s="1"/>
  <c r="AD20" i="1"/>
  <c r="AC941" i="1"/>
  <c r="AC673" i="1"/>
  <c r="AB675" i="1"/>
  <c r="AC931" i="1"/>
  <c r="AB934" i="1"/>
  <c r="AC934" i="1" s="1"/>
  <c r="CO331" i="1"/>
  <c r="CP319" i="1"/>
  <c r="CB227" i="1"/>
  <c r="CA264" i="1"/>
  <c r="CB264" i="1" s="1"/>
  <c r="CA228" i="1"/>
  <c r="CB228" i="1" s="1"/>
  <c r="U725" i="1"/>
  <c r="T728" i="1"/>
  <c r="U728" i="1" s="1"/>
  <c r="AA673" i="1"/>
  <c r="Z675" i="1"/>
  <c r="H696" i="1"/>
  <c r="H747" i="1" s="1"/>
  <c r="H682" i="1"/>
  <c r="R887" i="1"/>
  <c r="S887" i="1" s="1"/>
  <c r="R831" i="1"/>
  <c r="R761" i="1"/>
  <c r="R677" i="1"/>
  <c r="S675" i="1"/>
  <c r="R750" i="1"/>
  <c r="AH942" i="1"/>
  <c r="AI937" i="1"/>
  <c r="AI673" i="1"/>
  <c r="AH675" i="1"/>
  <c r="AQ675" i="1" s="1"/>
  <c r="AX945" i="1"/>
  <c r="AY942" i="1"/>
  <c r="CQ792" i="1"/>
  <c r="CO811" i="1"/>
  <c r="CP811" i="1" s="1"/>
  <c r="CO810" i="1"/>
  <c r="CO806" i="1"/>
  <c r="CP792" i="1"/>
  <c r="CG705" i="1"/>
  <c r="CG704" i="1" s="1"/>
  <c r="CG706" i="1" s="1"/>
  <c r="CH674" i="1"/>
  <c r="CG673" i="1"/>
  <c r="CG944" i="1"/>
  <c r="CH944" i="1" s="1"/>
  <c r="CG938" i="1"/>
  <c r="CH938" i="1" s="1"/>
  <c r="CG943" i="1"/>
  <c r="CH943" i="1" s="1"/>
  <c r="CG940" i="1"/>
  <c r="CH940" i="1" s="1"/>
  <c r="CG937" i="1"/>
  <c r="CG941" i="1"/>
  <c r="CH941" i="1" s="1"/>
  <c r="CG939" i="1"/>
  <c r="CH939" i="1" s="1"/>
  <c r="BY803" i="1"/>
  <c r="CQ670" i="1"/>
  <c r="CS443" i="1"/>
  <c r="CR443" i="1"/>
  <c r="AK940" i="1"/>
  <c r="AK939" i="1"/>
  <c r="V815" i="1"/>
  <c r="W815" i="1" s="1"/>
  <c r="W808" i="1"/>
  <c r="BB945" i="1"/>
  <c r="BC942" i="1"/>
  <c r="CJ452" i="1"/>
  <c r="CI455" i="1"/>
  <c r="CI456" i="1" s="1"/>
  <c r="CJ456" i="1" s="1"/>
  <c r="AP887" i="1"/>
  <c r="AP831" i="1"/>
  <c r="AP761" i="1"/>
  <c r="AP677" i="1"/>
  <c r="AP750" i="1"/>
  <c r="CL325" i="1"/>
  <c r="CK309" i="1"/>
  <c r="BX710" i="1"/>
  <c r="BZ710" i="1"/>
  <c r="BW819" i="1"/>
  <c r="BW661" i="1"/>
  <c r="BX659" i="1"/>
  <c r="BZ659" i="1"/>
  <c r="BA733" i="1"/>
  <c r="BE763" i="1"/>
  <c r="BD681" i="1"/>
  <c r="BD682" i="1" s="1"/>
  <c r="BD20" i="1"/>
  <c r="BE20" i="1" s="1"/>
  <c r="Y938" i="1"/>
  <c r="Y943" i="1"/>
  <c r="AC803" i="1"/>
  <c r="CA522" i="1"/>
  <c r="CB518" i="1"/>
  <c r="CA526" i="1"/>
  <c r="AN945" i="1"/>
  <c r="AO942" i="1"/>
  <c r="BC18" i="1"/>
  <c r="CP670" i="1"/>
  <c r="CG717" i="1"/>
  <c r="CH717" i="1" s="1"/>
  <c r="CH714" i="1"/>
  <c r="CL403" i="1"/>
  <c r="CK394" i="1"/>
  <c r="AS941" i="1"/>
  <c r="CG728" i="1"/>
  <c r="CH725" i="1"/>
  <c r="AO763" i="1"/>
  <c r="AN681" i="1"/>
  <c r="AN682" i="1" s="1"/>
  <c r="AN20" i="1"/>
  <c r="AJ815" i="1"/>
  <c r="AK808" i="1"/>
  <c r="CF941" i="1"/>
  <c r="CS402" i="1"/>
  <c r="CR402" i="1"/>
  <c r="CQ397" i="1"/>
  <c r="J64" i="1"/>
  <c r="K64" i="1" s="1"/>
  <c r="J69" i="1"/>
  <c r="K69" i="1" s="1"/>
  <c r="K36" i="1"/>
  <c r="J68" i="1"/>
  <c r="K68" i="1" s="1"/>
  <c r="J63" i="1"/>
  <c r="J92" i="1"/>
  <c r="AQ733" i="1"/>
  <c r="AQ938" i="1"/>
  <c r="AC733" i="1"/>
  <c r="CA802" i="1"/>
  <c r="CB802" i="1" s="1"/>
  <c r="BL417" i="1"/>
  <c r="CE194" i="1"/>
  <c r="CF194" i="1" s="1"/>
  <c r="CF193" i="1"/>
  <c r="CE221" i="1"/>
  <c r="CG187" i="1"/>
  <c r="Q689" i="1"/>
  <c r="H691" i="1"/>
  <c r="Q691" i="1" s="1"/>
  <c r="BD808" i="1"/>
  <c r="CG803" i="1"/>
  <c r="BE803" i="1"/>
  <c r="CC758" i="1"/>
  <c r="CD661" i="1"/>
  <c r="CE28" i="1"/>
  <c r="CC41" i="1"/>
  <c r="CC36" i="1"/>
  <c r="CD35" i="1"/>
  <c r="AL945" i="1"/>
  <c r="AM942" i="1"/>
  <c r="AG944" i="1"/>
  <c r="AV887" i="1"/>
  <c r="AV831" i="1"/>
  <c r="AV761" i="1"/>
  <c r="AW675" i="1"/>
  <c r="AV677" i="1"/>
  <c r="AV750" i="1"/>
  <c r="AO934" i="1"/>
  <c r="L210" i="1"/>
  <c r="M204" i="1"/>
  <c r="L217" i="1"/>
  <c r="L216" i="1"/>
  <c r="M216" i="1" s="1"/>
  <c r="L215" i="1"/>
  <c r="M215" i="1" s="1"/>
  <c r="AH808" i="1"/>
  <c r="AQ808" i="1" s="1"/>
  <c r="AI803" i="1"/>
  <c r="AR815" i="1"/>
  <c r="AS815" i="1" s="1"/>
  <c r="AS808" i="1"/>
  <c r="BL334" i="1"/>
  <c r="BL335" i="1" s="1"/>
  <c r="BM332" i="1"/>
  <c r="AM728" i="1"/>
  <c r="BW802" i="1"/>
  <c r="BX801" i="1"/>
  <c r="BZ801" i="1"/>
  <c r="BK335" i="1"/>
  <c r="BJ342" i="1"/>
  <c r="AN887" i="1"/>
  <c r="AO887" i="1" s="1"/>
  <c r="AN831" i="1"/>
  <c r="AO831" i="1" s="1"/>
  <c r="AN761" i="1"/>
  <c r="AO675" i="1"/>
  <c r="AN677" i="1"/>
  <c r="AN750" i="1"/>
  <c r="AO750" i="1" s="1"/>
  <c r="D696" i="1"/>
  <c r="D747" i="1" s="1"/>
  <c r="D682" i="1"/>
  <c r="BH652" i="1"/>
  <c r="BI417" i="1"/>
  <c r="BH422" i="1"/>
  <c r="BH418" i="1"/>
  <c r="BH10" i="1"/>
  <c r="BI10" i="1" s="1"/>
  <c r="T942" i="1"/>
  <c r="U937" i="1"/>
  <c r="BG668" i="1"/>
  <c r="BB808" i="1"/>
  <c r="BC803" i="1"/>
  <c r="S763" i="1"/>
  <c r="R681" i="1"/>
  <c r="R682" i="1" s="1"/>
  <c r="R20" i="1"/>
  <c r="S20" i="1" s="1"/>
  <c r="AV808" i="1"/>
  <c r="CE803" i="1"/>
  <c r="AW803" i="1"/>
  <c r="T107" i="1"/>
  <c r="U107" i="1" s="1"/>
  <c r="U106" i="1"/>
  <c r="V102" i="1"/>
  <c r="AZ808" i="1"/>
  <c r="BA803" i="1"/>
  <c r="AU18" i="1"/>
  <c r="V518" i="1"/>
  <c r="T523" i="1"/>
  <c r="U523" i="1" s="1"/>
  <c r="U522" i="1"/>
  <c r="CP753" i="1"/>
  <c r="CQ754" i="1"/>
  <c r="CQ753" i="1"/>
  <c r="CR740" i="1"/>
  <c r="CS740" i="1"/>
  <c r="AC944" i="1"/>
  <c r="AC940" i="1"/>
  <c r="AZ887" i="1"/>
  <c r="BA887" i="1" s="1"/>
  <c r="AZ831" i="1"/>
  <c r="BA831" i="1" s="1"/>
  <c r="AZ761" i="1"/>
  <c r="BA675" i="1"/>
  <c r="AZ677" i="1"/>
  <c r="AZ750" i="1"/>
  <c r="BA750" i="1" s="1"/>
  <c r="CS324" i="1"/>
  <c r="CR324" i="1"/>
  <c r="CQ319" i="1"/>
  <c r="P942" i="1"/>
  <c r="P945" i="1" s="1"/>
  <c r="P946" i="1" s="1"/>
  <c r="CL807" i="1"/>
  <c r="AS763" i="1"/>
  <c r="AR681" i="1"/>
  <c r="AR682" i="1" s="1"/>
  <c r="AR20" i="1"/>
  <c r="AS20" i="1" s="1"/>
  <c r="AI944" i="1"/>
  <c r="AI940" i="1"/>
  <c r="BY18" i="1"/>
  <c r="BY733" i="1"/>
  <c r="CN244" i="1"/>
  <c r="CS12" i="1"/>
  <c r="CR12" i="1"/>
  <c r="CS631" i="1"/>
  <c r="CR631" i="1"/>
  <c r="AK938" i="1"/>
  <c r="AK673" i="1"/>
  <c r="AJ675" i="1"/>
  <c r="AS938" i="1"/>
  <c r="CA673" i="1"/>
  <c r="CA705" i="1"/>
  <c r="CA704" i="1" s="1"/>
  <c r="CA706" i="1" s="1"/>
  <c r="CB674" i="1"/>
  <c r="CA943" i="1"/>
  <c r="CA938" i="1"/>
  <c r="CB938" i="1" s="1"/>
  <c r="CA941" i="1"/>
  <c r="CB941" i="1" s="1"/>
  <c r="CA940" i="1"/>
  <c r="CB940" i="1" s="1"/>
  <c r="CA937" i="1"/>
  <c r="CA939" i="1"/>
  <c r="CB939" i="1" s="1"/>
  <c r="CA944" i="1"/>
  <c r="CB944" i="1" s="1"/>
  <c r="AQ673" i="1"/>
  <c r="Z934" i="1"/>
  <c r="AA934" i="1" s="1"/>
  <c r="AA931" i="1"/>
  <c r="BW714" i="1"/>
  <c r="BX709" i="1"/>
  <c r="BZ709" i="1"/>
  <c r="BX711" i="1"/>
  <c r="BZ711" i="1"/>
  <c r="BA763" i="1"/>
  <c r="AZ681" i="1"/>
  <c r="AZ682" i="1" s="1"/>
  <c r="AZ20" i="1"/>
  <c r="X763" i="1"/>
  <c r="Y758" i="1"/>
  <c r="X733" i="1"/>
  <c r="Y733" i="1" s="1"/>
  <c r="X18" i="1"/>
  <c r="Y18" i="1" s="1"/>
  <c r="X942" i="1"/>
  <c r="Y937" i="1"/>
  <c r="Y673" i="1"/>
  <c r="X675" i="1"/>
  <c r="AG675" i="1" s="1"/>
  <c r="CS395" i="1"/>
  <c r="CR395" i="1"/>
  <c r="BI335" i="1"/>
  <c r="BH342" i="1"/>
  <c r="CF725" i="1"/>
  <c r="CE728" i="1"/>
  <c r="AH681" i="1"/>
  <c r="AH682" i="1" s="1"/>
  <c r="AH20" i="1"/>
  <c r="AB815" i="1"/>
  <c r="AC808" i="1"/>
  <c r="AG940" i="1"/>
  <c r="BC733" i="1"/>
  <c r="B696" i="1"/>
  <c r="B682" i="1"/>
  <c r="AZ945" i="1"/>
  <c r="BA942" i="1"/>
  <c r="CQ864" i="1"/>
  <c r="CP864" i="1"/>
  <c r="AC830" i="1"/>
  <c r="BB887" i="1"/>
  <c r="BB831" i="1"/>
  <c r="BC831" i="1" s="1"/>
  <c r="BB761" i="1"/>
  <c r="BC675" i="1"/>
  <c r="BB677" i="1"/>
  <c r="BB750" i="1"/>
  <c r="BC750" i="1" s="1"/>
  <c r="CO821" i="1"/>
  <c r="CQ793" i="1"/>
  <c r="CP793" i="1"/>
  <c r="V515" i="1"/>
  <c r="W515" i="1" s="1"/>
  <c r="X510" i="1"/>
  <c r="W514" i="1"/>
  <c r="AG931" i="1"/>
  <c r="AT887" i="1"/>
  <c r="AU887" i="1" s="1"/>
  <c r="AT831" i="1"/>
  <c r="AU831" i="1" s="1"/>
  <c r="AT761" i="1"/>
  <c r="AU675" i="1"/>
  <c r="AT677" i="1"/>
  <c r="AT750" i="1"/>
  <c r="AU750" i="1" s="1"/>
  <c r="CF940" i="1"/>
  <c r="L45" i="1"/>
  <c r="M45" i="1" s="1"/>
  <c r="L44" i="1"/>
  <c r="M44" i="1" s="1"/>
  <c r="L43" i="1"/>
  <c r="M43" i="1" s="1"/>
  <c r="M28" i="1"/>
  <c r="L35" i="1"/>
  <c r="L46" i="1"/>
  <c r="AS943" i="1"/>
  <c r="CS848" i="1"/>
  <c r="CQ849" i="1"/>
  <c r="CR848" i="1"/>
  <c r="AU934" i="1"/>
  <c r="AQ940" i="1"/>
  <c r="BZ676" i="1"/>
  <c r="O689" i="1"/>
  <c r="F691" i="1"/>
  <c r="O691" i="1" s="1"/>
  <c r="BZ122" i="1"/>
  <c r="BY123" i="1"/>
  <c r="BY133" i="1"/>
  <c r="BY154" i="1"/>
  <c r="BZ154" i="1" s="1"/>
  <c r="M689" i="1"/>
  <c r="D691" i="1"/>
  <c r="M691" i="1" s="1"/>
  <c r="W733" i="1"/>
  <c r="R946" i="1"/>
  <c r="CD819" i="1"/>
  <c r="CC830" i="1"/>
  <c r="CD830" i="1" s="1"/>
  <c r="CD722" i="1"/>
  <c r="CF722" i="1"/>
  <c r="BY541" i="1"/>
  <c r="BY531" i="1"/>
  <c r="BZ530" i="1"/>
  <c r="BY562" i="1"/>
  <c r="BZ562" i="1" s="1"/>
  <c r="BE934" i="1"/>
  <c r="BU689" i="1"/>
  <c r="K689" i="1"/>
  <c r="B691" i="1"/>
  <c r="K691" i="1" s="1"/>
  <c r="CF717" i="1"/>
  <c r="AQ931" i="1"/>
  <c r="CD676" i="1"/>
  <c r="AX815" i="1"/>
  <c r="AY815" i="1" s="1"/>
  <c r="AY808" i="1"/>
  <c r="AC728" i="1"/>
  <c r="Z763" i="1"/>
  <c r="AI763" i="1" s="1"/>
  <c r="AA758" i="1"/>
  <c r="Z733" i="1"/>
  <c r="AA733" i="1" s="1"/>
  <c r="Z18" i="1"/>
  <c r="AA18" i="1" s="1"/>
  <c r="CH802" i="1"/>
  <c r="CN756" i="1"/>
  <c r="CM734" i="1"/>
  <c r="W728" i="1"/>
  <c r="CC682" i="1" l="1"/>
  <c r="BA20" i="1"/>
  <c r="AU20" i="1"/>
  <c r="AY20" i="1"/>
  <c r="AW831" i="1"/>
  <c r="BU682" i="1"/>
  <c r="CB943" i="1"/>
  <c r="AO20" i="1"/>
  <c r="AE20" i="1"/>
  <c r="W887" i="1"/>
  <c r="AG934" i="1"/>
  <c r="AW750" i="1"/>
  <c r="AW887" i="1"/>
  <c r="S750" i="1"/>
  <c r="S831" i="1"/>
  <c r="AE750" i="1"/>
  <c r="AE831" i="1"/>
  <c r="BM335" i="1"/>
  <c r="BL342" i="1"/>
  <c r="BV689" i="1"/>
  <c r="BX689" i="1"/>
  <c r="BU691" i="1"/>
  <c r="AG733" i="1"/>
  <c r="BZ531" i="1"/>
  <c r="BY561" i="1"/>
  <c r="BZ561" i="1" s="1"/>
  <c r="BY557" i="1"/>
  <c r="BZ557" i="1" s="1"/>
  <c r="BY556" i="1"/>
  <c r="BZ123" i="1"/>
  <c r="BY153" i="1"/>
  <c r="BZ153" i="1" s="1"/>
  <c r="BY149" i="1"/>
  <c r="BZ149" i="1" s="1"/>
  <c r="BY148" i="1"/>
  <c r="CS849" i="1"/>
  <c r="CR849" i="1"/>
  <c r="M35" i="1"/>
  <c r="L41" i="1"/>
  <c r="L36" i="1"/>
  <c r="N28" i="1"/>
  <c r="BB907" i="1"/>
  <c r="BB898" i="1"/>
  <c r="BB886" i="1"/>
  <c r="BB679" i="1"/>
  <c r="BC677" i="1"/>
  <c r="BB17" i="1"/>
  <c r="BC887" i="1"/>
  <c r="CR864" i="1"/>
  <c r="CS864" i="1"/>
  <c r="AJ887" i="1"/>
  <c r="AJ831" i="1"/>
  <c r="AS831" i="1" s="1"/>
  <c r="AJ761" i="1"/>
  <c r="AK675" i="1"/>
  <c r="AJ677" i="1"/>
  <c r="AJ750" i="1"/>
  <c r="AS750" i="1" s="1"/>
  <c r="BZ541" i="1"/>
  <c r="BY542" i="1"/>
  <c r="BZ542" i="1" s="1"/>
  <c r="AU761" i="1"/>
  <c r="AT19" i="1"/>
  <c r="CQ821" i="1"/>
  <c r="CR793" i="1"/>
  <c r="X945" i="1"/>
  <c r="Y942" i="1"/>
  <c r="Y763" i="1"/>
  <c r="X681" i="1"/>
  <c r="X682" i="1" s="1"/>
  <c r="X20" i="1"/>
  <c r="BX714" i="1"/>
  <c r="BW717" i="1"/>
  <c r="BZ714" i="1"/>
  <c r="BA761" i="1"/>
  <c r="AZ19" i="1"/>
  <c r="CS754" i="1"/>
  <c r="CR754" i="1"/>
  <c r="CQ756" i="1"/>
  <c r="V522" i="1"/>
  <c r="W518" i="1"/>
  <c r="V526" i="1"/>
  <c r="V106" i="1"/>
  <c r="W102" i="1"/>
  <c r="V118" i="1"/>
  <c r="CE808" i="1"/>
  <c r="CF803" i="1"/>
  <c r="BI652" i="1"/>
  <c r="AN907" i="1"/>
  <c r="AN898" i="1"/>
  <c r="AN886" i="1"/>
  <c r="AO677" i="1"/>
  <c r="AN679" i="1"/>
  <c r="AN17" i="1"/>
  <c r="L222" i="1"/>
  <c r="L211" i="1"/>
  <c r="M211" i="1" s="1"/>
  <c r="M210" i="1"/>
  <c r="N204" i="1"/>
  <c r="CD36" i="1"/>
  <c r="CC69" i="1"/>
  <c r="CD69" i="1" s="1"/>
  <c r="CC64" i="1"/>
  <c r="CD64" i="1" s="1"/>
  <c r="CC63" i="1"/>
  <c r="CC68" i="1"/>
  <c r="CD68" i="1" s="1"/>
  <c r="CC92" i="1"/>
  <c r="CD758" i="1"/>
  <c r="CC18" i="1"/>
  <c r="CD18" i="1" s="1"/>
  <c r="CC733" i="1"/>
  <c r="CD733" i="1" s="1"/>
  <c r="AK815" i="1"/>
  <c r="AN946" i="1"/>
  <c r="AO945" i="1"/>
  <c r="BB946" i="1"/>
  <c r="BC945" i="1"/>
  <c r="BY808" i="1"/>
  <c r="CH673" i="1"/>
  <c r="CG675" i="1"/>
  <c r="CO807" i="1"/>
  <c r="CP807" i="1" s="1"/>
  <c r="CP806" i="1"/>
  <c r="R907" i="1"/>
  <c r="R898" i="1"/>
  <c r="R886" i="1"/>
  <c r="S677" i="1"/>
  <c r="R679" i="1"/>
  <c r="R17" i="1"/>
  <c r="AL815" i="1"/>
  <c r="BU942" i="1"/>
  <c r="BU945" i="1" s="1"/>
  <c r="AM20" i="1"/>
  <c r="CG210" i="1"/>
  <c r="CH204" i="1"/>
  <c r="CG216" i="1"/>
  <c r="CH216" i="1" s="1"/>
  <c r="CG217" i="1"/>
  <c r="CH217" i="1" s="1"/>
  <c r="CG215" i="1"/>
  <c r="CH215" i="1" s="1"/>
  <c r="Q469" i="1"/>
  <c r="Y469" i="1"/>
  <c r="AF946" i="1"/>
  <c r="AG945" i="1"/>
  <c r="CC942" i="1"/>
  <c r="CF942" i="1" s="1"/>
  <c r="CD937" i="1"/>
  <c r="CD938" i="1"/>
  <c r="J907" i="1"/>
  <c r="K907" i="1" s="1"/>
  <c r="J898" i="1"/>
  <c r="K898" i="1" s="1"/>
  <c r="J886" i="1"/>
  <c r="K886" i="1" s="1"/>
  <c r="K677" i="1"/>
  <c r="J679" i="1"/>
  <c r="J17" i="1"/>
  <c r="CE887" i="1"/>
  <c r="CE831" i="1"/>
  <c r="CE761" i="1"/>
  <c r="CE677" i="1"/>
  <c r="CE750" i="1"/>
  <c r="CE945" i="1"/>
  <c r="BW725" i="1"/>
  <c r="BX720" i="1"/>
  <c r="BZ720" i="1"/>
  <c r="BX722" i="1"/>
  <c r="BZ722" i="1"/>
  <c r="CO403" i="1"/>
  <c r="CQ401" i="1"/>
  <c r="CP401" i="1"/>
  <c r="CF18" i="1"/>
  <c r="AD946" i="1"/>
  <c r="AE945" i="1"/>
  <c r="AE761" i="1"/>
  <c r="AD19" i="1"/>
  <c r="CO325" i="1"/>
  <c r="CQ323" i="1"/>
  <c r="CP323" i="1"/>
  <c r="CP244" i="1"/>
  <c r="AT946" i="1"/>
  <c r="AU945" i="1"/>
  <c r="T887" i="1"/>
  <c r="U887" i="1" s="1"/>
  <c r="T831" i="1"/>
  <c r="U831" i="1" s="1"/>
  <c r="T761" i="1"/>
  <c r="U675" i="1"/>
  <c r="T677" i="1"/>
  <c r="T750" i="1"/>
  <c r="U750" i="1" s="1"/>
  <c r="AS761" i="1"/>
  <c r="AR19" i="1"/>
  <c r="L907" i="1"/>
  <c r="M907" i="1" s="1"/>
  <c r="L898" i="1"/>
  <c r="M898" i="1" s="1"/>
  <c r="L886" i="1"/>
  <c r="M886" i="1" s="1"/>
  <c r="L679" i="1"/>
  <c r="M677" i="1"/>
  <c r="L17" i="1"/>
  <c r="AM761" i="1"/>
  <c r="AL19" i="1"/>
  <c r="BJ922" i="1"/>
  <c r="BK418" i="1"/>
  <c r="K223" i="1"/>
  <c r="J225" i="1"/>
  <c r="J260" i="1"/>
  <c r="K260" i="1" s="1"/>
  <c r="AD455" i="1"/>
  <c r="AE452" i="1"/>
  <c r="AF448" i="1"/>
  <c r="BV758" i="1"/>
  <c r="BU18" i="1"/>
  <c r="BV18" i="1" s="1"/>
  <c r="BU733" i="1"/>
  <c r="BV733" i="1" s="1"/>
  <c r="AQ20" i="1"/>
  <c r="AY761" i="1"/>
  <c r="AX19" i="1"/>
  <c r="CC227" i="1"/>
  <c r="CD225" i="1"/>
  <c r="CC262" i="1"/>
  <c r="CD262" i="1" s="1"/>
  <c r="Q763" i="1"/>
  <c r="P681" i="1"/>
  <c r="P682" i="1" s="1"/>
  <c r="P20" i="1"/>
  <c r="Q20" i="1" s="1"/>
  <c r="Z945" i="1"/>
  <c r="AA942" i="1"/>
  <c r="P887" i="1"/>
  <c r="Q887" i="1" s="1"/>
  <c r="P831" i="1"/>
  <c r="Q831" i="1" s="1"/>
  <c r="P761" i="1"/>
  <c r="Q675" i="1"/>
  <c r="P677" i="1"/>
  <c r="P750" i="1"/>
  <c r="Q750" i="1" s="1"/>
  <c r="AB945" i="1"/>
  <c r="AC942" i="1"/>
  <c r="Z815" i="1"/>
  <c r="AA815" i="1" s="1"/>
  <c r="AA808" i="1"/>
  <c r="BE750" i="1"/>
  <c r="BE887" i="1"/>
  <c r="N258" i="1"/>
  <c r="O258" i="1" s="1"/>
  <c r="O221" i="1"/>
  <c r="CC815" i="1"/>
  <c r="CN734" i="1"/>
  <c r="BZ133" i="1"/>
  <c r="BY134" i="1"/>
  <c r="BZ134" i="1" s="1"/>
  <c r="M46" i="1"/>
  <c r="L47" i="1"/>
  <c r="M47" i="1" s="1"/>
  <c r="AA763" i="1"/>
  <c r="Z681" i="1"/>
  <c r="Z682" i="1" s="1"/>
  <c r="CA682" i="1" s="1"/>
  <c r="Z20" i="1"/>
  <c r="AA20" i="1" s="1"/>
  <c r="X514" i="1"/>
  <c r="Y510" i="1"/>
  <c r="CO827" i="1"/>
  <c r="CP827" i="1" s="1"/>
  <c r="CP821" i="1"/>
  <c r="BC761" i="1"/>
  <c r="BB19" i="1"/>
  <c r="AZ946" i="1"/>
  <c r="BA945" i="1"/>
  <c r="CC763" i="1"/>
  <c r="BH651" i="1"/>
  <c r="BI342" i="1"/>
  <c r="BH349" i="1"/>
  <c r="BH343" i="1"/>
  <c r="BH9" i="1"/>
  <c r="BI9" i="1" s="1"/>
  <c r="X887" i="1"/>
  <c r="Y887" i="1" s="1"/>
  <c r="X831" i="1"/>
  <c r="Y831" i="1" s="1"/>
  <c r="X761" i="1"/>
  <c r="AG761" i="1" s="1"/>
  <c r="Y675" i="1"/>
  <c r="X677" i="1"/>
  <c r="X750" i="1"/>
  <c r="Y750" i="1" s="1"/>
  <c r="CB673" i="1"/>
  <c r="CA675" i="1"/>
  <c r="AV815" i="1"/>
  <c r="AW815" i="1" s="1"/>
  <c r="AW808" i="1"/>
  <c r="BH922" i="1"/>
  <c r="BI418" i="1"/>
  <c r="BJ651" i="1"/>
  <c r="BJ349" i="1"/>
  <c r="BJ343" i="1"/>
  <c r="BK342" i="1"/>
  <c r="BJ9" i="1"/>
  <c r="BK9" i="1" s="1"/>
  <c r="BX802" i="1"/>
  <c r="BZ802" i="1"/>
  <c r="AW761" i="1"/>
  <c r="AV19" i="1"/>
  <c r="K63" i="1"/>
  <c r="J65" i="1"/>
  <c r="K65" i="1" s="1"/>
  <c r="CH728" i="1"/>
  <c r="CB526" i="1"/>
  <c r="CA530" i="1"/>
  <c r="CA536" i="1"/>
  <c r="CB536" i="1" s="1"/>
  <c r="CA535" i="1"/>
  <c r="CB535" i="1" s="1"/>
  <c r="CA537" i="1"/>
  <c r="CB537" i="1" s="1"/>
  <c r="BW758" i="1"/>
  <c r="BX661" i="1"/>
  <c r="BZ661" i="1"/>
  <c r="CK318" i="1"/>
  <c r="CL309" i="1"/>
  <c r="AP907" i="1"/>
  <c r="AP898" i="1"/>
  <c r="AP886" i="1"/>
  <c r="AP679" i="1"/>
  <c r="AP17" i="1"/>
  <c r="CP810" i="1"/>
  <c r="CO812" i="1"/>
  <c r="CP812" i="1" s="1"/>
  <c r="AX946" i="1"/>
  <c r="AY945" i="1"/>
  <c r="AH945" i="1"/>
  <c r="AI942" i="1"/>
  <c r="S761" i="1"/>
  <c r="R19" i="1"/>
  <c r="BV673" i="1"/>
  <c r="BU675" i="1"/>
  <c r="CI339" i="1"/>
  <c r="CJ333" i="1"/>
  <c r="CD944" i="1"/>
  <c r="CD943" i="1"/>
  <c r="AG20" i="1"/>
  <c r="CL414" i="1"/>
  <c r="CM414" i="1"/>
  <c r="K761" i="1"/>
  <c r="J19" i="1"/>
  <c r="K19" i="1" s="1"/>
  <c r="V907" i="1"/>
  <c r="V898" i="1"/>
  <c r="V886" i="1"/>
  <c r="V679" i="1"/>
  <c r="W677" i="1"/>
  <c r="V17" i="1"/>
  <c r="BY942" i="1"/>
  <c r="AF19" i="1"/>
  <c r="BD946" i="1"/>
  <c r="BE945" i="1"/>
  <c r="BX724" i="1"/>
  <c r="BZ724" i="1"/>
  <c r="BX726" i="1"/>
  <c r="BZ726" i="1"/>
  <c r="CN403" i="1"/>
  <c r="CM394" i="1"/>
  <c r="CF758" i="1"/>
  <c r="AD808" i="1"/>
  <c r="AE803" i="1"/>
  <c r="CB118" i="1"/>
  <c r="CA122" i="1"/>
  <c r="CA129" i="1"/>
  <c r="CB129" i="1" s="1"/>
  <c r="CA127" i="1"/>
  <c r="CB127" i="1" s="1"/>
  <c r="CA128" i="1"/>
  <c r="CB128" i="1" s="1"/>
  <c r="CN325" i="1"/>
  <c r="CM309" i="1"/>
  <c r="CS255" i="1"/>
  <c r="CR255" i="1"/>
  <c r="CQ244" i="1"/>
  <c r="AK934" i="1"/>
  <c r="CF830" i="1"/>
  <c r="H264" i="1"/>
  <c r="H228" i="1"/>
  <c r="T531" i="1"/>
  <c r="T541" i="1"/>
  <c r="U530" i="1"/>
  <c r="T562" i="1"/>
  <c r="U562" i="1" s="1"/>
  <c r="CK413" i="1"/>
  <c r="CJ413" i="1"/>
  <c r="V115" i="1"/>
  <c r="W115" i="1" s="1"/>
  <c r="X110" i="1"/>
  <c r="W114" i="1"/>
  <c r="AM750" i="1"/>
  <c r="AM831" i="1"/>
  <c r="BJ668" i="1"/>
  <c r="BJ425" i="1"/>
  <c r="BK422" i="1"/>
  <c r="BJ423" i="1"/>
  <c r="BK423" i="1" s="1"/>
  <c r="CE682" i="1"/>
  <c r="CD802" i="1"/>
  <c r="AY750" i="1"/>
  <c r="AY831" i="1"/>
  <c r="N907" i="1"/>
  <c r="O907" i="1" s="1"/>
  <c r="N898" i="1"/>
  <c r="O898" i="1" s="1"/>
  <c r="N886" i="1"/>
  <c r="O886" i="1" s="1"/>
  <c r="N679" i="1"/>
  <c r="O677" i="1"/>
  <c r="N17" i="1"/>
  <c r="CS328" i="1"/>
  <c r="CR328" i="1"/>
  <c r="CQ317" i="1"/>
  <c r="BD907" i="1"/>
  <c r="BD898" i="1"/>
  <c r="BD886" i="1"/>
  <c r="BE677" i="1"/>
  <c r="BD679" i="1"/>
  <c r="BD17" i="1"/>
  <c r="BE831" i="1"/>
  <c r="BU763" i="1"/>
  <c r="CA942" i="1"/>
  <c r="CB937" i="1"/>
  <c r="CQ331" i="1"/>
  <c r="CS319" i="1"/>
  <c r="CR319" i="1"/>
  <c r="AZ907" i="1"/>
  <c r="AZ898" i="1"/>
  <c r="AZ886" i="1"/>
  <c r="AZ679" i="1"/>
  <c r="BA677" i="1"/>
  <c r="AZ17" i="1"/>
  <c r="BB815" i="1"/>
  <c r="BC808" i="1"/>
  <c r="BH668" i="1"/>
  <c r="BH425" i="1"/>
  <c r="BI422" i="1"/>
  <c r="BH423" i="1"/>
  <c r="BI423" i="1" s="1"/>
  <c r="AO761" i="1"/>
  <c r="AN19" i="1"/>
  <c r="BW803" i="1"/>
  <c r="BM334" i="1"/>
  <c r="CI334" i="1"/>
  <c r="AH815" i="1"/>
  <c r="AI815" i="1" s="1"/>
  <c r="AI808" i="1"/>
  <c r="L218" i="1"/>
  <c r="M218" i="1" s="1"/>
  <c r="M217" i="1"/>
  <c r="AL946" i="1"/>
  <c r="AM945" i="1"/>
  <c r="CF28" i="1"/>
  <c r="CE35" i="1"/>
  <c r="CE44" i="1"/>
  <c r="CF44" i="1" s="1"/>
  <c r="CE46" i="1"/>
  <c r="CF46" i="1" s="1"/>
  <c r="CE43" i="1"/>
  <c r="CF43" i="1" s="1"/>
  <c r="CE45" i="1"/>
  <c r="CF45" i="1" s="1"/>
  <c r="CG808" i="1"/>
  <c r="CH803" i="1"/>
  <c r="CG193" i="1"/>
  <c r="CH187" i="1"/>
  <c r="CG198" i="1"/>
  <c r="CH198" i="1" s="1"/>
  <c r="CG199" i="1"/>
  <c r="CH199" i="1" s="1"/>
  <c r="CG200" i="1"/>
  <c r="CH200" i="1" s="1"/>
  <c r="BL652" i="1"/>
  <c r="BM417" i="1"/>
  <c r="BL422" i="1"/>
  <c r="BL418" i="1"/>
  <c r="BL10" i="1"/>
  <c r="BM10" i="1" s="1"/>
  <c r="CQ406" i="1"/>
  <c r="CS397" i="1"/>
  <c r="CR397" i="1"/>
  <c r="BX819" i="1"/>
  <c r="BW830" i="1"/>
  <c r="BZ819" i="1"/>
  <c r="AP19" i="1"/>
  <c r="AH887" i="1"/>
  <c r="AQ887" i="1" s="1"/>
  <c r="AH831" i="1"/>
  <c r="AH761" i="1"/>
  <c r="AH677" i="1"/>
  <c r="AI675" i="1"/>
  <c r="AH750" i="1"/>
  <c r="Z887" i="1"/>
  <c r="AA887" i="1" s="1"/>
  <c r="Z831" i="1"/>
  <c r="AA831" i="1" s="1"/>
  <c r="Z761" i="1"/>
  <c r="Z677" i="1"/>
  <c r="AA675" i="1"/>
  <c r="Z750" i="1"/>
  <c r="AA750" i="1" s="1"/>
  <c r="AB887" i="1"/>
  <c r="AC887" i="1" s="1"/>
  <c r="AB831" i="1"/>
  <c r="AB761" i="1"/>
  <c r="AC675" i="1"/>
  <c r="AB677" i="1"/>
  <c r="AB750" i="1"/>
  <c r="CD941" i="1"/>
  <c r="CD673" i="1"/>
  <c r="CC675" i="1"/>
  <c r="CF675" i="1" s="1"/>
  <c r="AI934" i="1"/>
  <c r="BY675" i="1"/>
  <c r="AR946" i="1"/>
  <c r="CF943" i="1"/>
  <c r="CP406" i="1"/>
  <c r="AG750" i="1"/>
  <c r="AG831" i="1"/>
  <c r="BX727" i="1"/>
  <c r="BZ727" i="1"/>
  <c r="BC20" i="1"/>
  <c r="AI733" i="1"/>
  <c r="AD907" i="1"/>
  <c r="AD898" i="1"/>
  <c r="AE898" i="1" s="1"/>
  <c r="AD886" i="1"/>
  <c r="AE886" i="1" s="1"/>
  <c r="AD679" i="1"/>
  <c r="AE677" i="1"/>
  <c r="AD17" i="1"/>
  <c r="AE887" i="1"/>
  <c r="AQ815" i="1"/>
  <c r="T154" i="1"/>
  <c r="U154" i="1" s="1"/>
  <c r="U122" i="1"/>
  <c r="T123" i="1"/>
  <c r="T133" i="1"/>
  <c r="T815" i="1"/>
  <c r="U815" i="1" s="1"/>
  <c r="U808" i="1"/>
  <c r="AR907" i="1"/>
  <c r="AR898" i="1"/>
  <c r="AR886" i="1"/>
  <c r="AR679" i="1"/>
  <c r="AS677" i="1"/>
  <c r="AR17" i="1"/>
  <c r="AS887" i="1"/>
  <c r="AQ942" i="1"/>
  <c r="M761" i="1"/>
  <c r="L19" i="1"/>
  <c r="M19" i="1" s="1"/>
  <c r="AL907" i="1"/>
  <c r="AM907" i="1" s="1"/>
  <c r="AL898" i="1"/>
  <c r="AM898" i="1" s="1"/>
  <c r="AL886" i="1"/>
  <c r="AM886" i="1" s="1"/>
  <c r="AL679" i="1"/>
  <c r="AM677" i="1"/>
  <c r="AL17" i="1"/>
  <c r="AM887" i="1"/>
  <c r="CC728" i="1"/>
  <c r="CD728" i="1" s="1"/>
  <c r="CD725" i="1"/>
  <c r="U763" i="1"/>
  <c r="T681" i="1"/>
  <c r="T682" i="1" s="1"/>
  <c r="BY682" i="1" s="1"/>
  <c r="T20" i="1"/>
  <c r="U20" i="1" s="1"/>
  <c r="AV946" i="1"/>
  <c r="AW945" i="1"/>
  <c r="AY887" i="1"/>
  <c r="CA803" i="1"/>
  <c r="CB733" i="1"/>
  <c r="CK415" i="1"/>
  <c r="CJ415" i="1"/>
  <c r="CP756" i="1"/>
  <c r="CO734" i="1"/>
  <c r="P193" i="1"/>
  <c r="Q187" i="1"/>
  <c r="P200" i="1"/>
  <c r="P199" i="1"/>
  <c r="Q199" i="1" s="1"/>
  <c r="P198" i="1"/>
  <c r="Q198" i="1" s="1"/>
  <c r="AT815" i="1"/>
  <c r="AU808" i="1"/>
  <c r="AT907" i="1"/>
  <c r="AU907" i="1" s="1"/>
  <c r="AT898" i="1"/>
  <c r="AU898" i="1" s="1"/>
  <c r="AT886" i="1"/>
  <c r="AT679" i="1"/>
  <c r="AU677" i="1"/>
  <c r="AT17" i="1"/>
  <c r="CS753" i="1"/>
  <c r="CR753" i="1"/>
  <c r="AZ815" i="1"/>
  <c r="BA815" i="1" s="1"/>
  <c r="BA808" i="1"/>
  <c r="T945" i="1"/>
  <c r="U942" i="1"/>
  <c r="AG18" i="1"/>
  <c r="AV907" i="1"/>
  <c r="AW907" i="1" s="1"/>
  <c r="AV898" i="1"/>
  <c r="AW898" i="1" s="1"/>
  <c r="AV886" i="1"/>
  <c r="AW886" i="1" s="1"/>
  <c r="AW677" i="1"/>
  <c r="AV679" i="1"/>
  <c r="AV17" i="1"/>
  <c r="BD815" i="1"/>
  <c r="BE815" i="1" s="1"/>
  <c r="BE808" i="1"/>
  <c r="CE223" i="1"/>
  <c r="CF221" i="1"/>
  <c r="CE258" i="1"/>
  <c r="CF258" i="1" s="1"/>
  <c r="CL394" i="1"/>
  <c r="CK396" i="1"/>
  <c r="CA523" i="1"/>
  <c r="CB523" i="1" s="1"/>
  <c r="CB522" i="1"/>
  <c r="AQ750" i="1"/>
  <c r="AQ831" i="1"/>
  <c r="CR670" i="1"/>
  <c r="CS670" i="1"/>
  <c r="CG942" i="1"/>
  <c r="CH937" i="1"/>
  <c r="CQ811" i="1"/>
  <c r="CR811" i="1" s="1"/>
  <c r="CQ810" i="1"/>
  <c r="CQ806" i="1"/>
  <c r="CR792" i="1"/>
  <c r="CP331" i="1"/>
  <c r="CF222" i="1"/>
  <c r="CE259" i="1"/>
  <c r="CF259" i="1" s="1"/>
  <c r="Q452" i="1"/>
  <c r="Y452" i="1"/>
  <c r="P456" i="1"/>
  <c r="R558" i="1"/>
  <c r="S558" i="1" s="1"/>
  <c r="S556" i="1"/>
  <c r="AG942" i="1"/>
  <c r="CD939" i="1"/>
  <c r="CD940" i="1"/>
  <c r="AG763" i="1"/>
  <c r="W761" i="1"/>
  <c r="V19" i="1"/>
  <c r="CF937" i="1"/>
  <c r="S148" i="1"/>
  <c r="R150" i="1"/>
  <c r="S150" i="1" s="1"/>
  <c r="AW20" i="1"/>
  <c r="AF907" i="1"/>
  <c r="AF898" i="1"/>
  <c r="AF886" i="1"/>
  <c r="AG677" i="1"/>
  <c r="AF679" i="1"/>
  <c r="AF17" i="1"/>
  <c r="AG887" i="1"/>
  <c r="BX723" i="1"/>
  <c r="BZ723" i="1"/>
  <c r="BX721" i="1"/>
  <c r="BZ721" i="1"/>
  <c r="CF733" i="1"/>
  <c r="BW682" i="1"/>
  <c r="CB106" i="1"/>
  <c r="CA107" i="1"/>
  <c r="CB107" i="1" s="1"/>
  <c r="BW673" i="1"/>
  <c r="BZ673" i="1" s="1"/>
  <c r="BW705" i="1"/>
  <c r="BW704" i="1" s="1"/>
  <c r="BW706" i="1" s="1"/>
  <c r="BX674" i="1"/>
  <c r="BW943" i="1"/>
  <c r="BZ943" i="1" s="1"/>
  <c r="BW939" i="1"/>
  <c r="BZ939" i="1" s="1"/>
  <c r="BW938" i="1"/>
  <c r="BZ938" i="1" s="1"/>
  <c r="BW937" i="1"/>
  <c r="BW944" i="1"/>
  <c r="BZ944" i="1" s="1"/>
  <c r="BW941" i="1"/>
  <c r="BZ941" i="1" s="1"/>
  <c r="BW940" i="1"/>
  <c r="BZ940" i="1" s="1"/>
  <c r="AJ945" i="1"/>
  <c r="AS945" i="1" s="1"/>
  <c r="AK942" i="1"/>
  <c r="CB728" i="1"/>
  <c r="T538" i="1"/>
  <c r="U538" i="1" s="1"/>
  <c r="U537" i="1"/>
  <c r="U129" i="1"/>
  <c r="T130" i="1"/>
  <c r="U130" i="1" s="1"/>
  <c r="BG667" i="1"/>
  <c r="AS675" i="1"/>
  <c r="CJ410" i="1"/>
  <c r="CI417" i="1"/>
  <c r="AP946" i="1"/>
  <c r="AQ945" i="1"/>
  <c r="BK652" i="1"/>
  <c r="V946" i="1"/>
  <c r="W945" i="1"/>
  <c r="AC763" i="1"/>
  <c r="CF938" i="1"/>
  <c r="CG682" i="1"/>
  <c r="AX907" i="1"/>
  <c r="AX898" i="1"/>
  <c r="AY898" i="1" s="1"/>
  <c r="AX886" i="1"/>
  <c r="AY886" i="1" s="1"/>
  <c r="AY677" i="1"/>
  <c r="AX679" i="1"/>
  <c r="AX17" i="1"/>
  <c r="AI18" i="1"/>
  <c r="O761" i="1"/>
  <c r="N19" i="1"/>
  <c r="O19" i="1" s="1"/>
  <c r="AF815" i="1"/>
  <c r="AG815" i="1" s="1"/>
  <c r="AG808" i="1"/>
  <c r="CB18" i="1"/>
  <c r="CH758" i="1"/>
  <c r="CG18" i="1"/>
  <c r="CH18" i="1" s="1"/>
  <c r="CG733" i="1"/>
  <c r="CH733" i="1" s="1"/>
  <c r="BE761" i="1"/>
  <c r="BD19" i="1"/>
  <c r="BE19" i="1" s="1"/>
  <c r="CJ338" i="1"/>
  <c r="CK338" i="1"/>
  <c r="AU815" i="1" l="1"/>
  <c r="AY907" i="1"/>
  <c r="AC750" i="1"/>
  <c r="AC831" i="1"/>
  <c r="AI750" i="1"/>
  <c r="AI831" i="1"/>
  <c r="AO19" i="1"/>
  <c r="AM19" i="1"/>
  <c r="AE907" i="1"/>
  <c r="BC19" i="1"/>
  <c r="BY763" i="1"/>
  <c r="BW942" i="1"/>
  <c r="BW945" i="1" s="1"/>
  <c r="AY679" i="1"/>
  <c r="AX694" i="1"/>
  <c r="AX692" i="1"/>
  <c r="BW763" i="1"/>
  <c r="AF694" i="1"/>
  <c r="AF692" i="1"/>
  <c r="CQ812" i="1"/>
  <c r="CR812" i="1" s="1"/>
  <c r="CR810" i="1"/>
  <c r="CK398" i="1"/>
  <c r="CL396" i="1"/>
  <c r="CE225" i="1"/>
  <c r="CF223" i="1"/>
  <c r="CE260" i="1"/>
  <c r="CF260" i="1" s="1"/>
  <c r="AW679" i="1"/>
  <c r="AV694" i="1"/>
  <c r="AV692" i="1"/>
  <c r="AU886" i="1"/>
  <c r="CA808" i="1"/>
  <c r="CB803" i="1"/>
  <c r="CD803" i="1"/>
  <c r="AM679" i="1"/>
  <c r="AL694" i="1"/>
  <c r="AL692" i="1"/>
  <c r="U133" i="1"/>
  <c r="T134" i="1"/>
  <c r="U134" i="1" s="1"/>
  <c r="AE679" i="1"/>
  <c r="AD694" i="1"/>
  <c r="AD692" i="1"/>
  <c r="AH907" i="1"/>
  <c r="AH898" i="1"/>
  <c r="AQ898" i="1" s="1"/>
  <c r="AH886" i="1"/>
  <c r="AI677" i="1"/>
  <c r="AH679" i="1"/>
  <c r="AH17" i="1"/>
  <c r="BM652" i="1"/>
  <c r="CE41" i="1"/>
  <c r="CE36" i="1"/>
  <c r="CF35" i="1"/>
  <c r="CG28" i="1"/>
  <c r="CJ334" i="1"/>
  <c r="CI340" i="1"/>
  <c r="BI668" i="1"/>
  <c r="BA907" i="1"/>
  <c r="CI335" i="1"/>
  <c r="CS317" i="1"/>
  <c r="CR317" i="1"/>
  <c r="CE763" i="1"/>
  <c r="CE681" i="1"/>
  <c r="CM413" i="1"/>
  <c r="CL413" i="1"/>
  <c r="CR244" i="1"/>
  <c r="CS244" i="1"/>
  <c r="CN309" i="1"/>
  <c r="CM318" i="1"/>
  <c r="AD815" i="1"/>
  <c r="AE815" i="1" s="1"/>
  <c r="AE808" i="1"/>
  <c r="W907" i="1"/>
  <c r="S19" i="1"/>
  <c r="X907" i="1"/>
  <c r="Y907" i="1" s="1"/>
  <c r="X898" i="1"/>
  <c r="X886" i="1"/>
  <c r="AG886" i="1" s="1"/>
  <c r="Y677" i="1"/>
  <c r="X679" i="1"/>
  <c r="X17" i="1"/>
  <c r="Y514" i="1"/>
  <c r="X515" i="1"/>
  <c r="Y515" i="1" s="1"/>
  <c r="Z510" i="1"/>
  <c r="P907" i="1"/>
  <c r="Q907" i="1" s="1"/>
  <c r="P898" i="1"/>
  <c r="Q898" i="1" s="1"/>
  <c r="P886" i="1"/>
  <c r="Q886" i="1" s="1"/>
  <c r="Q677" i="1"/>
  <c r="P679" i="1"/>
  <c r="P17" i="1"/>
  <c r="CD227" i="1"/>
  <c r="CC264" i="1"/>
  <c r="CD264" i="1" s="1"/>
  <c r="CC228" i="1"/>
  <c r="CD228" i="1" s="1"/>
  <c r="U761" i="1"/>
  <c r="T19" i="1"/>
  <c r="U19" i="1" s="1"/>
  <c r="CR323" i="1"/>
  <c r="CQ325" i="1"/>
  <c r="CS323" i="1"/>
  <c r="CR401" i="1"/>
  <c r="CQ403" i="1"/>
  <c r="CS401" i="1"/>
  <c r="CE946" i="1"/>
  <c r="CE19" i="1"/>
  <c r="S898" i="1"/>
  <c r="CG887" i="1"/>
  <c r="CH887" i="1" s="1"/>
  <c r="CG831" i="1"/>
  <c r="CH831" i="1" s="1"/>
  <c r="CG761" i="1"/>
  <c r="CH675" i="1"/>
  <c r="CG677" i="1"/>
  <c r="CG750" i="1"/>
  <c r="CH750" i="1" s="1"/>
  <c r="AO679" i="1"/>
  <c r="AN694" i="1"/>
  <c r="AN692" i="1"/>
  <c r="AO692" i="1" s="1"/>
  <c r="AO907" i="1"/>
  <c r="W106" i="1"/>
  <c r="V107" i="1"/>
  <c r="W107" i="1" s="1"/>
  <c r="X102" i="1"/>
  <c r="CS756" i="1"/>
  <c r="CR756" i="1"/>
  <c r="CQ734" i="1"/>
  <c r="CQ827" i="1"/>
  <c r="CR827" i="1" s="1"/>
  <c r="CR821" i="1"/>
  <c r="CF728" i="1"/>
  <c r="BC679" i="1"/>
  <c r="BB694" i="1"/>
  <c r="BB692" i="1"/>
  <c r="N35" i="1"/>
  <c r="N46" i="1"/>
  <c r="O28" i="1"/>
  <c r="N45" i="1"/>
  <c r="O45" i="1" s="1"/>
  <c r="N44" i="1"/>
  <c r="O44" i="1" s="1"/>
  <c r="N43" i="1"/>
  <c r="O43" i="1" s="1"/>
  <c r="CG763" i="1"/>
  <c r="CG681" i="1"/>
  <c r="BX673" i="1"/>
  <c r="BW675" i="1"/>
  <c r="BZ675" i="1" s="1"/>
  <c r="P194" i="1"/>
  <c r="Q194" i="1" s="1"/>
  <c r="R187" i="1"/>
  <c r="P221" i="1"/>
  <c r="Q193" i="1"/>
  <c r="T153" i="1"/>
  <c r="U153" i="1" s="1"/>
  <c r="U123" i="1"/>
  <c r="T149" i="1"/>
  <c r="U149" i="1" s="1"/>
  <c r="T148" i="1"/>
  <c r="AC761" i="1"/>
  <c r="AB19" i="1"/>
  <c r="AC19" i="1" s="1"/>
  <c r="AI761" i="1"/>
  <c r="AH19" i="1"/>
  <c r="AQ761" i="1"/>
  <c r="BL922" i="1"/>
  <c r="BM418" i="1"/>
  <c r="CG221" i="1"/>
  <c r="CI187" i="1"/>
  <c r="CG194" i="1"/>
  <c r="CH194" i="1" s="1"/>
  <c r="CH193" i="1"/>
  <c r="BA679" i="1"/>
  <c r="AZ694" i="1"/>
  <c r="AZ692" i="1"/>
  <c r="CA945" i="1"/>
  <c r="CB942" i="1"/>
  <c r="BE886" i="1"/>
  <c r="O679" i="1"/>
  <c r="N694" i="1"/>
  <c r="N692" i="1"/>
  <c r="O692" i="1" s="1"/>
  <c r="AC20" i="1"/>
  <c r="BK668" i="1"/>
  <c r="Y110" i="1"/>
  <c r="X114" i="1"/>
  <c r="U541" i="1"/>
  <c r="T542" i="1"/>
  <c r="U542" i="1" s="1"/>
  <c r="CB122" i="1"/>
  <c r="CA123" i="1"/>
  <c r="CC118" i="1"/>
  <c r="CA133" i="1"/>
  <c r="CA154" i="1"/>
  <c r="CB154" i="1" s="1"/>
  <c r="BZ937" i="1"/>
  <c r="W679" i="1"/>
  <c r="V694" i="1"/>
  <c r="V692" i="1"/>
  <c r="CK339" i="1"/>
  <c r="CJ339" i="1"/>
  <c r="AQ679" i="1"/>
  <c r="AP694" i="1"/>
  <c r="AP692" i="1"/>
  <c r="AQ907" i="1"/>
  <c r="BJ921" i="1"/>
  <c r="BK343" i="1"/>
  <c r="CA887" i="1"/>
  <c r="CA831" i="1"/>
  <c r="CA761" i="1"/>
  <c r="CA677" i="1"/>
  <c r="CB675" i="1"/>
  <c r="CA750" i="1"/>
  <c r="BI651" i="1"/>
  <c r="AY19" i="1"/>
  <c r="AD456" i="1"/>
  <c r="AE456" i="1" s="1"/>
  <c r="CP325" i="1"/>
  <c r="CO309" i="1"/>
  <c r="CP403" i="1"/>
  <c r="CO394" i="1"/>
  <c r="BU946" i="1"/>
  <c r="S679" i="1"/>
  <c r="R694" i="1"/>
  <c r="R692" i="1"/>
  <c r="S907" i="1"/>
  <c r="CE815" i="1"/>
  <c r="CF815" i="1" s="1"/>
  <c r="CF808" i="1"/>
  <c r="W526" i="1"/>
  <c r="V530" i="1"/>
  <c r="V537" i="1"/>
  <c r="V536" i="1"/>
  <c r="W536" i="1" s="1"/>
  <c r="V535" i="1"/>
  <c r="W535" i="1" s="1"/>
  <c r="Y20" i="1"/>
  <c r="X946" i="1"/>
  <c r="Y945" i="1"/>
  <c r="AU19" i="1"/>
  <c r="AK761" i="1"/>
  <c r="AJ19" i="1"/>
  <c r="AK19" i="1" s="1"/>
  <c r="AC815" i="1"/>
  <c r="BC886" i="1"/>
  <c r="L69" i="1"/>
  <c r="M69" i="1" s="1"/>
  <c r="M36" i="1"/>
  <c r="L64" i="1"/>
  <c r="M64" i="1" s="1"/>
  <c r="L68" i="1"/>
  <c r="M68" i="1" s="1"/>
  <c r="L63" i="1"/>
  <c r="L92" i="1"/>
  <c r="CP734" i="1"/>
  <c r="CM415" i="1"/>
  <c r="CL415" i="1"/>
  <c r="AR694" i="1"/>
  <c r="AR692" i="1"/>
  <c r="Z907" i="1"/>
  <c r="AA907" i="1" s="1"/>
  <c r="Z898" i="1"/>
  <c r="AA898" i="1" s="1"/>
  <c r="Z886" i="1"/>
  <c r="AA886" i="1" s="1"/>
  <c r="AA677" i="1"/>
  <c r="Z679" i="1"/>
  <c r="Z17" i="1"/>
  <c r="BL668" i="1"/>
  <c r="BL425" i="1"/>
  <c r="CI425" i="1" s="1"/>
  <c r="CJ425" i="1" s="1"/>
  <c r="BM422" i="1"/>
  <c r="BL423" i="1"/>
  <c r="BM423" i="1" s="1"/>
  <c r="BW808" i="1"/>
  <c r="BX803" i="1"/>
  <c r="BC815" i="1"/>
  <c r="BA886" i="1"/>
  <c r="BE898" i="1"/>
  <c r="T561" i="1"/>
  <c r="U561" i="1" s="1"/>
  <c r="T557" i="1"/>
  <c r="U557" i="1" s="1"/>
  <c r="U531" i="1"/>
  <c r="T556" i="1"/>
  <c r="CM396" i="1"/>
  <c r="CN394" i="1"/>
  <c r="BY945" i="1"/>
  <c r="W886" i="1"/>
  <c r="BU887" i="1"/>
  <c r="BV887" i="1" s="1"/>
  <c r="BU761" i="1"/>
  <c r="BV675" i="1"/>
  <c r="BU677" i="1"/>
  <c r="BU750" i="1"/>
  <c r="BV750" i="1" s="1"/>
  <c r="AQ677" i="1"/>
  <c r="BX758" i="1"/>
  <c r="BW18" i="1"/>
  <c r="BW733" i="1"/>
  <c r="BZ758" i="1"/>
  <c r="CB530" i="1"/>
  <c r="CA541" i="1"/>
  <c r="CA531" i="1"/>
  <c r="CC526" i="1"/>
  <c r="CA562" i="1"/>
  <c r="CB562" i="1" s="1"/>
  <c r="BJ667" i="1"/>
  <c r="BJ350" i="1"/>
  <c r="BK350" i="1" s="1"/>
  <c r="BJ352" i="1"/>
  <c r="BK349" i="1"/>
  <c r="Y761" i="1"/>
  <c r="X19" i="1"/>
  <c r="BH921" i="1"/>
  <c r="BI343" i="1"/>
  <c r="CA763" i="1"/>
  <c r="CA681" i="1"/>
  <c r="AB946" i="1"/>
  <c r="AC945" i="1"/>
  <c r="Q761" i="1"/>
  <c r="P19" i="1"/>
  <c r="Q19" i="1" s="1"/>
  <c r="Z946" i="1"/>
  <c r="AA945" i="1"/>
  <c r="T907" i="1"/>
  <c r="U907" i="1" s="1"/>
  <c r="T898" i="1"/>
  <c r="U898" i="1" s="1"/>
  <c r="T886" i="1"/>
  <c r="U886" i="1" s="1"/>
  <c r="T679" i="1"/>
  <c r="U677" i="1"/>
  <c r="T17" i="1"/>
  <c r="AE19" i="1"/>
  <c r="BX725" i="1"/>
  <c r="BW728" i="1"/>
  <c r="BZ725" i="1"/>
  <c r="CC945" i="1"/>
  <c r="CD942" i="1"/>
  <c r="AM808" i="1"/>
  <c r="BZ803" i="1"/>
  <c r="M222" i="1"/>
  <c r="L259" i="1"/>
  <c r="M259" i="1" s="1"/>
  <c r="L223" i="1"/>
  <c r="AO886" i="1"/>
  <c r="W118" i="1"/>
  <c r="V122" i="1"/>
  <c r="V127" i="1"/>
  <c r="W127" i="1" s="1"/>
  <c r="V128" i="1"/>
  <c r="W128" i="1" s="1"/>
  <c r="V129" i="1"/>
  <c r="AI20" i="1"/>
  <c r="AK750" i="1"/>
  <c r="AK831" i="1"/>
  <c r="BC898" i="1"/>
  <c r="BZ148" i="1"/>
  <c r="BY150" i="1"/>
  <c r="BZ150" i="1" s="1"/>
  <c r="BY558" i="1"/>
  <c r="BZ558" i="1" s="1"/>
  <c r="BZ556" i="1"/>
  <c r="BL651" i="1"/>
  <c r="BM342" i="1"/>
  <c r="BL349" i="1"/>
  <c r="BL343" i="1"/>
  <c r="BL9" i="1"/>
  <c r="BM9" i="1" s="1"/>
  <c r="CM338" i="1"/>
  <c r="CL338" i="1"/>
  <c r="CI652" i="1"/>
  <c r="CI422" i="1"/>
  <c r="CI418" i="1"/>
  <c r="CJ417" i="1"/>
  <c r="CI10" i="1"/>
  <c r="CJ10" i="1" s="1"/>
  <c r="AJ946" i="1"/>
  <c r="AK945" i="1"/>
  <c r="AG898" i="1"/>
  <c r="W19" i="1"/>
  <c r="Q456" i="1"/>
  <c r="Y456" i="1"/>
  <c r="CQ807" i="1"/>
  <c r="CR807" i="1" s="1"/>
  <c r="CR806" i="1"/>
  <c r="CG945" i="1"/>
  <c r="CH942" i="1"/>
  <c r="T946" i="1"/>
  <c r="U945" i="1"/>
  <c r="AU679" i="1"/>
  <c r="AT694" i="1"/>
  <c r="AT692" i="1"/>
  <c r="AU692" i="1" s="1"/>
  <c r="Q200" i="1"/>
  <c r="P201" i="1"/>
  <c r="Q201" i="1" s="1"/>
  <c r="BY887" i="1"/>
  <c r="BY831" i="1"/>
  <c r="BY761" i="1"/>
  <c r="BY677" i="1"/>
  <c r="BY750" i="1"/>
  <c r="CC887" i="1"/>
  <c r="CC831" i="1"/>
  <c r="CD831" i="1" s="1"/>
  <c r="CC761" i="1"/>
  <c r="CF761" i="1" s="1"/>
  <c r="CD675" i="1"/>
  <c r="CC677" i="1"/>
  <c r="CC750" i="1"/>
  <c r="CD750" i="1" s="1"/>
  <c r="AB907" i="1"/>
  <c r="AC907" i="1" s="1"/>
  <c r="AB898" i="1"/>
  <c r="AC898" i="1" s="1"/>
  <c r="AB886" i="1"/>
  <c r="AC886" i="1" s="1"/>
  <c r="AB679" i="1"/>
  <c r="AC677" i="1"/>
  <c r="AB17" i="1"/>
  <c r="AA761" i="1"/>
  <c r="Z19" i="1"/>
  <c r="AA19" i="1" s="1"/>
  <c r="AI887" i="1"/>
  <c r="BX830" i="1"/>
  <c r="BZ830" i="1"/>
  <c r="CS406" i="1"/>
  <c r="CR406" i="1"/>
  <c r="CG815" i="1"/>
  <c r="CH815" i="1" s="1"/>
  <c r="CH808" i="1"/>
  <c r="BA898" i="1"/>
  <c r="CR331" i="1"/>
  <c r="CS331" i="1"/>
  <c r="BV763" i="1"/>
  <c r="BU20" i="1"/>
  <c r="BV20" i="1" s="1"/>
  <c r="BE679" i="1"/>
  <c r="BD694" i="1"/>
  <c r="BD692" i="1"/>
  <c r="BE907" i="1"/>
  <c r="AO815" i="1"/>
  <c r="W898" i="1"/>
  <c r="CO414" i="1"/>
  <c r="CN414" i="1"/>
  <c r="AH946" i="1"/>
  <c r="AI945" i="1"/>
  <c r="AQ886" i="1"/>
  <c r="CL318" i="1"/>
  <c r="CK320" i="1"/>
  <c r="AW19" i="1"/>
  <c r="BK651" i="1"/>
  <c r="BH667" i="1"/>
  <c r="BI349" i="1"/>
  <c r="BH352" i="1"/>
  <c r="BH350" i="1"/>
  <c r="BI350" i="1" s="1"/>
  <c r="CD763" i="1"/>
  <c r="CC20" i="1"/>
  <c r="AF469" i="1"/>
  <c r="AG469" i="1" s="1"/>
  <c r="AF452" i="1"/>
  <c r="AG448" i="1"/>
  <c r="K225" i="1"/>
  <c r="J227" i="1"/>
  <c r="J262" i="1"/>
  <c r="K262" i="1" s="1"/>
  <c r="M679" i="1"/>
  <c r="L694" i="1"/>
  <c r="L692" i="1"/>
  <c r="M692" i="1" s="1"/>
  <c r="AS19" i="1"/>
  <c r="CE907" i="1"/>
  <c r="CE898" i="1"/>
  <c r="CE886" i="1"/>
  <c r="CE679" i="1"/>
  <c r="CF677" i="1"/>
  <c r="CE17" i="1"/>
  <c r="K679" i="1"/>
  <c r="J694" i="1"/>
  <c r="J692" i="1"/>
  <c r="K692" i="1" s="1"/>
  <c r="CI204" i="1"/>
  <c r="CG222" i="1"/>
  <c r="CG211" i="1"/>
  <c r="CH211" i="1" s="1"/>
  <c r="CH210" i="1"/>
  <c r="AM815" i="1"/>
  <c r="S886" i="1"/>
  <c r="BY815" i="1"/>
  <c r="BZ808" i="1"/>
  <c r="CD63" i="1"/>
  <c r="CC65" i="1"/>
  <c r="CD65" i="1" s="1"/>
  <c r="N216" i="1"/>
  <c r="O216" i="1" s="1"/>
  <c r="N210" i="1"/>
  <c r="O204" i="1"/>
  <c r="N217" i="1"/>
  <c r="N215" i="1"/>
  <c r="O215" i="1" s="1"/>
  <c r="AO898" i="1"/>
  <c r="W522" i="1"/>
  <c r="V523" i="1"/>
  <c r="W523" i="1" s="1"/>
  <c r="X518" i="1"/>
  <c r="BA19" i="1"/>
  <c r="BX717" i="1"/>
  <c r="BZ717" i="1"/>
  <c r="AJ907" i="1"/>
  <c r="AK907" i="1" s="1"/>
  <c r="AJ898" i="1"/>
  <c r="AJ886" i="1"/>
  <c r="AK886" i="1" s="1"/>
  <c r="AJ679" i="1"/>
  <c r="AK677" i="1"/>
  <c r="AJ17" i="1"/>
  <c r="AK887" i="1"/>
  <c r="BC907" i="1"/>
  <c r="BV691" i="1"/>
  <c r="BX691" i="1"/>
  <c r="W692" i="1" l="1"/>
  <c r="AK898" i="1"/>
  <c r="BZ942" i="1"/>
  <c r="CD887" i="1"/>
  <c r="BD889" i="1"/>
  <c r="BD888" i="1"/>
  <c r="BD759" i="1"/>
  <c r="BE694" i="1"/>
  <c r="BD696" i="1"/>
  <c r="BD747" i="1" s="1"/>
  <c r="BD751" i="1"/>
  <c r="X522" i="1"/>
  <c r="Y518" i="1"/>
  <c r="X526" i="1"/>
  <c r="J889" i="1"/>
  <c r="K889" i="1" s="1"/>
  <c r="J888" i="1"/>
  <c r="K888" i="1" s="1"/>
  <c r="J759" i="1"/>
  <c r="K759" i="1" s="1"/>
  <c r="J696" i="1"/>
  <c r="J747" i="1" s="1"/>
  <c r="K694" i="1"/>
  <c r="J751" i="1"/>
  <c r="K751" i="1" s="1"/>
  <c r="CE694" i="1"/>
  <c r="CE692" i="1"/>
  <c r="AG452" i="1"/>
  <c r="AF455" i="1"/>
  <c r="AH448" i="1"/>
  <c r="CK333" i="1"/>
  <c r="CL333" i="1" s="1"/>
  <c r="CK332" i="1"/>
  <c r="CL320" i="1"/>
  <c r="CC907" i="1"/>
  <c r="CF907" i="1" s="1"/>
  <c r="CC898" i="1"/>
  <c r="CC886" i="1"/>
  <c r="CC679" i="1"/>
  <c r="CD677" i="1"/>
  <c r="CC17" i="1"/>
  <c r="CC681" i="1"/>
  <c r="BY19" i="1"/>
  <c r="CG946" i="1"/>
  <c r="CH945" i="1"/>
  <c r="CI668" i="1"/>
  <c r="CI423" i="1"/>
  <c r="CJ423" i="1" s="1"/>
  <c r="CJ422" i="1"/>
  <c r="BM651" i="1"/>
  <c r="V133" i="1"/>
  <c r="V154" i="1"/>
  <c r="W154" i="1" s="1"/>
  <c r="W122" i="1"/>
  <c r="V123" i="1"/>
  <c r="BX728" i="1"/>
  <c r="BZ728" i="1"/>
  <c r="CB763" i="1"/>
  <c r="CA20" i="1"/>
  <c r="BK667" i="1"/>
  <c r="CB541" i="1"/>
  <c r="CA542" i="1"/>
  <c r="CB542" i="1" s="1"/>
  <c r="BX18" i="1"/>
  <c r="BZ18" i="1"/>
  <c r="BU907" i="1"/>
  <c r="BV907" i="1" s="1"/>
  <c r="BU886" i="1"/>
  <c r="BV886" i="1" s="1"/>
  <c r="BU898" i="1"/>
  <c r="BV898" i="1" s="1"/>
  <c r="BU679" i="1"/>
  <c r="BV677" i="1"/>
  <c r="BU17" i="1"/>
  <c r="BU681" i="1"/>
  <c r="AA679" i="1"/>
  <c r="Z694" i="1"/>
  <c r="Z692" i="1"/>
  <c r="AA692" i="1" s="1"/>
  <c r="R889" i="1"/>
  <c r="S889" i="1" s="1"/>
  <c r="R888" i="1"/>
  <c r="S888" i="1" s="1"/>
  <c r="R759" i="1"/>
  <c r="R696" i="1"/>
  <c r="R747" i="1" s="1"/>
  <c r="S694" i="1"/>
  <c r="R751" i="1"/>
  <c r="S751" i="1" s="1"/>
  <c r="CF750" i="1"/>
  <c r="CB750" i="1"/>
  <c r="CB831" i="1"/>
  <c r="CD118" i="1"/>
  <c r="CC122" i="1"/>
  <c r="CC127" i="1"/>
  <c r="CD127" i="1" s="1"/>
  <c r="CC128" i="1"/>
  <c r="CD128" i="1" s="1"/>
  <c r="CC129" i="1"/>
  <c r="CD129" i="1" s="1"/>
  <c r="CG223" i="1"/>
  <c r="CH221" i="1"/>
  <c r="CG258" i="1"/>
  <c r="CH258" i="1" s="1"/>
  <c r="AI19" i="1"/>
  <c r="U148" i="1"/>
  <c r="T150" i="1"/>
  <c r="U150" i="1" s="1"/>
  <c r="AS907" i="1"/>
  <c r="CH763" i="1"/>
  <c r="CG20" i="1"/>
  <c r="BB889" i="1"/>
  <c r="BB888" i="1"/>
  <c r="BB759" i="1"/>
  <c r="BB696" i="1"/>
  <c r="BB747" i="1" s="1"/>
  <c r="BC694" i="1"/>
  <c r="BB751" i="1"/>
  <c r="CS403" i="1"/>
  <c r="CR403" i="1"/>
  <c r="CQ394" i="1"/>
  <c r="Q679" i="1"/>
  <c r="P694" i="1"/>
  <c r="P692" i="1"/>
  <c r="Q692" i="1" s="1"/>
  <c r="Y898" i="1"/>
  <c r="AQ19" i="1"/>
  <c r="AI886" i="1"/>
  <c r="AD889" i="1"/>
  <c r="AD888" i="1"/>
  <c r="AD759" i="1"/>
  <c r="AD696" i="1"/>
  <c r="AD747" i="1" s="1"/>
  <c r="AE694" i="1"/>
  <c r="AD751" i="1"/>
  <c r="CL398" i="1"/>
  <c r="CK408" i="1"/>
  <c r="CL408" i="1" s="1"/>
  <c r="CK407" i="1"/>
  <c r="BX763" i="1"/>
  <c r="BW20" i="1"/>
  <c r="BX20" i="1" s="1"/>
  <c r="BW946" i="1"/>
  <c r="AK679" i="1"/>
  <c r="AJ694" i="1"/>
  <c r="AJ692" i="1"/>
  <c r="N218" i="1"/>
  <c r="O218" i="1" s="1"/>
  <c r="O217" i="1"/>
  <c r="CH222" i="1"/>
  <c r="CG259" i="1"/>
  <c r="CH259" i="1" s="1"/>
  <c r="CF886" i="1"/>
  <c r="K227" i="1"/>
  <c r="J264" i="1"/>
  <c r="K264" i="1" s="1"/>
  <c r="J228" i="1"/>
  <c r="K228" i="1" s="1"/>
  <c r="CJ652" i="1"/>
  <c r="BL921" i="1"/>
  <c r="BM343" i="1"/>
  <c r="V130" i="1"/>
  <c r="W130" i="1" s="1"/>
  <c r="W129" i="1"/>
  <c r="CC946" i="1"/>
  <c r="CD945" i="1"/>
  <c r="U679" i="1"/>
  <c r="T694" i="1"/>
  <c r="T692" i="1"/>
  <c r="U692" i="1" s="1"/>
  <c r="CN396" i="1"/>
  <c r="CM398" i="1"/>
  <c r="AS692" i="1"/>
  <c r="CO415" i="1"/>
  <c r="CN415" i="1"/>
  <c r="V538" i="1"/>
  <c r="W538" i="1" s="1"/>
  <c r="W537" i="1"/>
  <c r="CP394" i="1"/>
  <c r="CO396" i="1"/>
  <c r="CB887" i="1"/>
  <c r="CM339" i="1"/>
  <c r="CL339" i="1"/>
  <c r="CB123" i="1"/>
  <c r="CA149" i="1"/>
  <c r="CB149" i="1" s="1"/>
  <c r="CA153" i="1"/>
  <c r="CB153" i="1" s="1"/>
  <c r="CA148" i="1"/>
  <c r="N889" i="1"/>
  <c r="O889" i="1" s="1"/>
  <c r="N888" i="1"/>
  <c r="O888" i="1" s="1"/>
  <c r="N759" i="1"/>
  <c r="O759" i="1" s="1"/>
  <c r="N696" i="1"/>
  <c r="N747" i="1" s="1"/>
  <c r="O694" i="1"/>
  <c r="N751" i="1"/>
  <c r="O751" i="1" s="1"/>
  <c r="CA946" i="1"/>
  <c r="CB945" i="1"/>
  <c r="BW887" i="1"/>
  <c r="BX887" i="1" s="1"/>
  <c r="BW831" i="1"/>
  <c r="BX831" i="1" s="1"/>
  <c r="BW761" i="1"/>
  <c r="BW677" i="1"/>
  <c r="BX675" i="1"/>
  <c r="BW750" i="1"/>
  <c r="BX750" i="1" s="1"/>
  <c r="O46" i="1"/>
  <c r="N47" i="1"/>
  <c r="O47" i="1" s="1"/>
  <c r="CS734" i="1"/>
  <c r="CR734" i="1"/>
  <c r="X118" i="1"/>
  <c r="Y102" i="1"/>
  <c r="X106" i="1"/>
  <c r="CG907" i="1"/>
  <c r="CH907" i="1" s="1"/>
  <c r="CG886" i="1"/>
  <c r="CH886" i="1" s="1"/>
  <c r="CG898" i="1"/>
  <c r="CH898" i="1" s="1"/>
  <c r="CG679" i="1"/>
  <c r="CH677" i="1"/>
  <c r="CG17" i="1"/>
  <c r="CF945" i="1"/>
  <c r="Z514" i="1"/>
  <c r="AA510" i="1"/>
  <c r="Y679" i="1"/>
  <c r="X694" i="1"/>
  <c r="X692" i="1"/>
  <c r="Y692" i="1" s="1"/>
  <c r="CO413" i="1"/>
  <c r="CN413" i="1"/>
  <c r="CG35" i="1"/>
  <c r="CH28" i="1"/>
  <c r="CG43" i="1"/>
  <c r="CH43" i="1" s="1"/>
  <c r="CG46" i="1"/>
  <c r="CH46" i="1" s="1"/>
  <c r="CG45" i="1"/>
  <c r="CG44" i="1"/>
  <c r="CH44" i="1" s="1"/>
  <c r="AI898" i="1"/>
  <c r="AS898" i="1"/>
  <c r="AW692" i="1"/>
  <c r="AF889" i="1"/>
  <c r="AF888" i="1"/>
  <c r="AF759" i="1"/>
  <c r="AG694" i="1"/>
  <c r="AF696" i="1"/>
  <c r="AF747" i="1" s="1"/>
  <c r="AF751" i="1"/>
  <c r="BG692" i="1"/>
  <c r="AY692" i="1"/>
  <c r="CJ204" i="1"/>
  <c r="CF898" i="1"/>
  <c r="L888" i="1"/>
  <c r="M888" i="1" s="1"/>
  <c r="L889" i="1"/>
  <c r="M889" i="1" s="1"/>
  <c r="L759" i="1"/>
  <c r="M759" i="1" s="1"/>
  <c r="M694" i="1"/>
  <c r="L696" i="1"/>
  <c r="L747" i="1" s="1"/>
  <c r="L751" i="1"/>
  <c r="M751" i="1" s="1"/>
  <c r="CD20" i="1"/>
  <c r="CP414" i="1"/>
  <c r="CQ414" i="1"/>
  <c r="BE692" i="1"/>
  <c r="BM692" i="1"/>
  <c r="CD761" i="1"/>
  <c r="CC19" i="1"/>
  <c r="BY907" i="1"/>
  <c r="BY886" i="1"/>
  <c r="BY898" i="1"/>
  <c r="BY679" i="1"/>
  <c r="BZ677" i="1"/>
  <c r="BY17" i="1"/>
  <c r="BL667" i="1"/>
  <c r="BM349" i="1"/>
  <c r="BL352" i="1"/>
  <c r="BL350" i="1"/>
  <c r="BM350" i="1" s="1"/>
  <c r="CF887" i="1"/>
  <c r="CD526" i="1"/>
  <c r="CC530" i="1"/>
  <c r="CC535" i="1"/>
  <c r="CD535" i="1" s="1"/>
  <c r="CC536" i="1"/>
  <c r="CD536" i="1" s="1"/>
  <c r="CC537" i="1"/>
  <c r="CD537" i="1" s="1"/>
  <c r="BV761" i="1"/>
  <c r="BU19" i="1"/>
  <c r="BV19" i="1" s="1"/>
  <c r="BY946" i="1"/>
  <c r="BZ945" i="1"/>
  <c r="U556" i="1"/>
  <c r="T558" i="1"/>
  <c r="U558" i="1" s="1"/>
  <c r="BW815" i="1"/>
  <c r="BX815" i="1" s="1"/>
  <c r="BX808" i="1"/>
  <c r="BM668" i="1"/>
  <c r="AR889" i="1"/>
  <c r="AR888" i="1"/>
  <c r="AR759" i="1"/>
  <c r="AS694" i="1"/>
  <c r="AR696" i="1"/>
  <c r="AR747" i="1" s="1"/>
  <c r="AR751" i="1"/>
  <c r="M63" i="1"/>
  <c r="L65" i="1"/>
  <c r="M65" i="1" s="1"/>
  <c r="V541" i="1"/>
  <c r="W530" i="1"/>
  <c r="V562" i="1"/>
  <c r="W562" i="1" s="1"/>
  <c r="V531" i="1"/>
  <c r="CA907" i="1"/>
  <c r="CB907" i="1" s="1"/>
  <c r="CA898" i="1"/>
  <c r="CA886" i="1"/>
  <c r="CA679" i="1"/>
  <c r="CB677" i="1"/>
  <c r="CA17" i="1"/>
  <c r="AP889" i="1"/>
  <c r="AP888" i="1"/>
  <c r="AP759" i="1"/>
  <c r="AP696" i="1"/>
  <c r="AP747" i="1" s="1"/>
  <c r="AP751" i="1"/>
  <c r="Z110" i="1"/>
  <c r="Y114" i="1"/>
  <c r="X115" i="1"/>
  <c r="Y115" i="1" s="1"/>
  <c r="BA692" i="1"/>
  <c r="BI692" i="1"/>
  <c r="P258" i="1"/>
  <c r="Q258" i="1" s="1"/>
  <c r="Q221" i="1"/>
  <c r="N36" i="1"/>
  <c r="N41" i="1"/>
  <c r="P28" i="1"/>
  <c r="O35" i="1"/>
  <c r="AN889" i="1"/>
  <c r="AO889" i="1" s="1"/>
  <c r="AN888" i="1"/>
  <c r="AO888" i="1" s="1"/>
  <c r="AN759" i="1"/>
  <c r="AO759" i="1" s="1"/>
  <c r="AO694" i="1"/>
  <c r="AN696" i="1"/>
  <c r="AN747" i="1" s="1"/>
  <c r="AN751" i="1"/>
  <c r="AO751" i="1" s="1"/>
  <c r="CJ335" i="1"/>
  <c r="CI342" i="1"/>
  <c r="AI679" i="1"/>
  <c r="AH694" i="1"/>
  <c r="AQ694" i="1" s="1"/>
  <c r="AH692" i="1"/>
  <c r="AI907" i="1"/>
  <c r="AM692" i="1"/>
  <c r="AV889" i="1"/>
  <c r="AV888" i="1"/>
  <c r="AW888" i="1" s="1"/>
  <c r="AV759" i="1"/>
  <c r="AW694" i="1"/>
  <c r="AV696" i="1"/>
  <c r="AV747" i="1" s="1"/>
  <c r="AV751" i="1"/>
  <c r="AW751" i="1" s="1"/>
  <c r="CE227" i="1"/>
  <c r="CF225" i="1"/>
  <c r="CE262" i="1"/>
  <c r="CF262" i="1" s="1"/>
  <c r="AG679" i="1"/>
  <c r="AX889" i="1"/>
  <c r="AY889" i="1" s="1"/>
  <c r="AX888" i="1"/>
  <c r="AY888" i="1" s="1"/>
  <c r="AX759" i="1"/>
  <c r="AY759" i="1" s="1"/>
  <c r="AX696" i="1"/>
  <c r="AX747" i="1" s="1"/>
  <c r="AY694" i="1"/>
  <c r="AX751" i="1"/>
  <c r="AY751" i="1" s="1"/>
  <c r="BY681" i="1"/>
  <c r="N222" i="1"/>
  <c r="O210" i="1"/>
  <c r="P204" i="1"/>
  <c r="N211" i="1"/>
  <c r="O211" i="1" s="1"/>
  <c r="BI667" i="1"/>
  <c r="AC679" i="1"/>
  <c r="AB694" i="1"/>
  <c r="AB692" i="1"/>
  <c r="AC692" i="1" s="1"/>
  <c r="AS886" i="1"/>
  <c r="AT889" i="1"/>
  <c r="AT888" i="1"/>
  <c r="AT759" i="1"/>
  <c r="AT696" i="1"/>
  <c r="AT747" i="1" s="1"/>
  <c r="AU694" i="1"/>
  <c r="AT751" i="1"/>
  <c r="CI922" i="1"/>
  <c r="CJ418" i="1"/>
  <c r="CN338" i="1"/>
  <c r="CO338" i="1"/>
  <c r="M223" i="1"/>
  <c r="L225" i="1"/>
  <c r="L260" i="1"/>
  <c r="M260" i="1" s="1"/>
  <c r="Y19" i="1"/>
  <c r="CB531" i="1"/>
  <c r="CA557" i="1"/>
  <c r="CB557" i="1" s="1"/>
  <c r="CA561" i="1"/>
  <c r="CB561" i="1" s="1"/>
  <c r="CA556" i="1"/>
  <c r="BX733" i="1"/>
  <c r="BZ733" i="1"/>
  <c r="AG19" i="1"/>
  <c r="AS679" i="1"/>
  <c r="S692" i="1"/>
  <c r="CF831" i="1"/>
  <c r="CO318" i="1"/>
  <c r="CP309" i="1"/>
  <c r="CB761" i="1"/>
  <c r="CA19" i="1"/>
  <c r="CB19" i="1" s="1"/>
  <c r="V889" i="1"/>
  <c r="W889" i="1" s="1"/>
  <c r="V888" i="1"/>
  <c r="W888" i="1" s="1"/>
  <c r="V759" i="1"/>
  <c r="W759" i="1" s="1"/>
  <c r="V696" i="1"/>
  <c r="V747" i="1" s="1"/>
  <c r="W694" i="1"/>
  <c r="V751" i="1"/>
  <c r="W751" i="1" s="1"/>
  <c r="CB133" i="1"/>
  <c r="CA134" i="1"/>
  <c r="CB134" i="1" s="1"/>
  <c r="AZ888" i="1"/>
  <c r="BA888" i="1" s="1"/>
  <c r="AZ889" i="1"/>
  <c r="BA889" i="1" s="1"/>
  <c r="AZ759" i="1"/>
  <c r="BA759" i="1" s="1"/>
  <c r="BA694" i="1"/>
  <c r="AZ696" i="1"/>
  <c r="AZ747" i="1" s="1"/>
  <c r="AZ751" i="1"/>
  <c r="BA751" i="1" s="1"/>
  <c r="CJ187" i="1"/>
  <c r="R199" i="1"/>
  <c r="S199" i="1" s="1"/>
  <c r="R193" i="1"/>
  <c r="S187" i="1"/>
  <c r="R200" i="1"/>
  <c r="R198" i="1"/>
  <c r="S198" i="1" s="1"/>
  <c r="BC692" i="1"/>
  <c r="BK692" i="1"/>
  <c r="CH761" i="1"/>
  <c r="CG19" i="1"/>
  <c r="CH19" i="1" s="1"/>
  <c r="CF19" i="1"/>
  <c r="CS325" i="1"/>
  <c r="CR325" i="1"/>
  <c r="CQ309" i="1"/>
  <c r="Y886" i="1"/>
  <c r="CM320" i="1"/>
  <c r="CN318" i="1"/>
  <c r="CF763" i="1"/>
  <c r="CE20" i="1"/>
  <c r="CF20" i="1" s="1"/>
  <c r="CK340" i="1"/>
  <c r="CJ340" i="1"/>
  <c r="CF36" i="1"/>
  <c r="CE64" i="1"/>
  <c r="CF64" i="1" s="1"/>
  <c r="CE69" i="1"/>
  <c r="CF69" i="1" s="1"/>
  <c r="CE63" i="1"/>
  <c r="CE68" i="1"/>
  <c r="CF68" i="1" s="1"/>
  <c r="CE92" i="1"/>
  <c r="AE692" i="1"/>
  <c r="AL889" i="1"/>
  <c r="AM889" i="1" s="1"/>
  <c r="AL888" i="1"/>
  <c r="AL759" i="1"/>
  <c r="AM759" i="1" s="1"/>
  <c r="AL696" i="1"/>
  <c r="AL747" i="1" s="1"/>
  <c r="AM694" i="1"/>
  <c r="AL751" i="1"/>
  <c r="CA815" i="1"/>
  <c r="CB808" i="1"/>
  <c r="CD808" i="1"/>
  <c r="AG907" i="1"/>
  <c r="BZ763" i="1"/>
  <c r="BY20" i="1"/>
  <c r="BZ20" i="1" s="1"/>
  <c r="AM751" i="1" l="1"/>
  <c r="AM888" i="1"/>
  <c r="AW759" i="1"/>
  <c r="CB886" i="1"/>
  <c r="AI692" i="1"/>
  <c r="BZ887" i="1"/>
  <c r="CL340" i="1"/>
  <c r="CM340" i="1"/>
  <c r="CM332" i="1"/>
  <c r="CM333" i="1"/>
  <c r="CN333" i="1" s="1"/>
  <c r="CN320" i="1"/>
  <c r="L227" i="1"/>
  <c r="M225" i="1"/>
  <c r="L262" i="1"/>
  <c r="M262" i="1" s="1"/>
  <c r="AW889" i="1"/>
  <c r="AH889" i="1"/>
  <c r="AQ889" i="1" s="1"/>
  <c r="AH888" i="1"/>
  <c r="AH759" i="1"/>
  <c r="AH696" i="1"/>
  <c r="AH747" i="1" s="1"/>
  <c r="AI694" i="1"/>
  <c r="AH751" i="1"/>
  <c r="CB898" i="1"/>
  <c r="CC541" i="1"/>
  <c r="CC531" i="1"/>
  <c r="CE526" i="1"/>
  <c r="CD530" i="1"/>
  <c r="CC562" i="1"/>
  <c r="CD562" i="1" s="1"/>
  <c r="CQ413" i="1"/>
  <c r="CP413" i="1"/>
  <c r="Y118" i="1"/>
  <c r="X122" i="1"/>
  <c r="X127" i="1"/>
  <c r="Y127" i="1" s="1"/>
  <c r="X128" i="1"/>
  <c r="Y128" i="1" s="1"/>
  <c r="X129" i="1"/>
  <c r="CM408" i="1"/>
  <c r="CN408" i="1" s="1"/>
  <c r="CM407" i="1"/>
  <c r="CN398" i="1"/>
  <c r="AK692" i="1"/>
  <c r="AE889" i="1"/>
  <c r="CH20" i="1"/>
  <c r="CG225" i="1"/>
  <c r="CH223" i="1"/>
  <c r="CG260" i="1"/>
  <c r="CH260" i="1" s="1"/>
  <c r="CE118" i="1"/>
  <c r="CD122" i="1"/>
  <c r="CC123" i="1"/>
  <c r="CC154" i="1"/>
  <c r="CD154" i="1" s="1"/>
  <c r="CC133" i="1"/>
  <c r="S759" i="1"/>
  <c r="Z889" i="1"/>
  <c r="AA889" i="1" s="1"/>
  <c r="Z888" i="1"/>
  <c r="AA888" i="1" s="1"/>
  <c r="Z759" i="1"/>
  <c r="AA759" i="1" s="1"/>
  <c r="Z696" i="1"/>
  <c r="Z747" i="1" s="1"/>
  <c r="AA694" i="1"/>
  <c r="Z751" i="1"/>
  <c r="AA751" i="1" s="1"/>
  <c r="W133" i="1"/>
  <c r="V134" i="1"/>
  <c r="W134" i="1" s="1"/>
  <c r="CD898" i="1"/>
  <c r="R221" i="1"/>
  <c r="S193" i="1"/>
  <c r="R194" i="1"/>
  <c r="S194" i="1" s="1"/>
  <c r="T187" i="1"/>
  <c r="AU759" i="1"/>
  <c r="P210" i="1"/>
  <c r="Q204" i="1"/>
  <c r="P217" i="1"/>
  <c r="P216" i="1"/>
  <c r="Q216" i="1" s="1"/>
  <c r="P215" i="1"/>
  <c r="Q215" i="1" s="1"/>
  <c r="N64" i="1"/>
  <c r="O64" i="1" s="1"/>
  <c r="N69" i="1"/>
  <c r="O69" i="1" s="1"/>
  <c r="O36" i="1"/>
  <c r="N68" i="1"/>
  <c r="O68" i="1" s="1"/>
  <c r="N63" i="1"/>
  <c r="N92" i="1"/>
  <c r="Z114" i="1"/>
  <c r="AA110" i="1"/>
  <c r="AQ759" i="1"/>
  <c r="W541" i="1"/>
  <c r="V542" i="1"/>
  <c r="W542" i="1" s="1"/>
  <c r="Z515" i="1"/>
  <c r="AA515" i="1" s="1"/>
  <c r="AA514" i="1"/>
  <c r="AB510" i="1"/>
  <c r="BW907" i="1"/>
  <c r="BX907" i="1" s="1"/>
  <c r="BW898" i="1"/>
  <c r="BX898" i="1" s="1"/>
  <c r="BW886" i="1"/>
  <c r="BX886" i="1" s="1"/>
  <c r="BW679" i="1"/>
  <c r="BX677" i="1"/>
  <c r="BW17" i="1"/>
  <c r="BW681" i="1"/>
  <c r="CB148" i="1"/>
  <c r="CA150" i="1"/>
  <c r="CB150" i="1" s="1"/>
  <c r="CO398" i="1"/>
  <c r="CP396" i="1"/>
  <c r="BZ831" i="1"/>
  <c r="AJ888" i="1"/>
  <c r="AJ889" i="1"/>
  <c r="AS889" i="1" s="1"/>
  <c r="AJ759" i="1"/>
  <c r="AK694" i="1"/>
  <c r="AJ696" i="1"/>
  <c r="AJ747" i="1" s="1"/>
  <c r="AJ751" i="1"/>
  <c r="P889" i="1"/>
  <c r="Q889" i="1" s="1"/>
  <c r="P888" i="1"/>
  <c r="Q888" i="1" s="1"/>
  <c r="P759" i="1"/>
  <c r="Q759" i="1" s="1"/>
  <c r="Q694" i="1"/>
  <c r="P696" i="1"/>
  <c r="P747" i="1" s="1"/>
  <c r="P751" i="1"/>
  <c r="Q751" i="1" s="1"/>
  <c r="BC759" i="1"/>
  <c r="BV679" i="1"/>
  <c r="BU694" i="1"/>
  <c r="BU692" i="1"/>
  <c r="BV692" i="1" s="1"/>
  <c r="CB20" i="1"/>
  <c r="V149" i="1"/>
  <c r="W149" i="1" s="1"/>
  <c r="V153" i="1"/>
  <c r="W153" i="1" s="1"/>
  <c r="W123" i="1"/>
  <c r="V148" i="1"/>
  <c r="CD907" i="1"/>
  <c r="X523" i="1"/>
  <c r="Y523" i="1" s="1"/>
  <c r="Z518" i="1"/>
  <c r="Y522" i="1"/>
  <c r="BE759" i="1"/>
  <c r="CB815" i="1"/>
  <c r="CD815" i="1"/>
  <c r="CR309" i="1"/>
  <c r="CS309" i="1"/>
  <c r="CQ318" i="1"/>
  <c r="CA558" i="1"/>
  <c r="CB558" i="1" s="1"/>
  <c r="CB556" i="1"/>
  <c r="CQ338" i="1"/>
  <c r="CP338" i="1"/>
  <c r="AU751" i="1"/>
  <c r="AU888" i="1"/>
  <c r="AB888" i="1"/>
  <c r="AB889" i="1"/>
  <c r="AB759" i="1"/>
  <c r="AC694" i="1"/>
  <c r="AB696" i="1"/>
  <c r="AB747" i="1" s="1"/>
  <c r="AB751" i="1"/>
  <c r="CF227" i="1"/>
  <c r="CE264" i="1"/>
  <c r="CF264" i="1" s="1"/>
  <c r="CE228" i="1"/>
  <c r="CF228" i="1" s="1"/>
  <c r="CI651" i="1"/>
  <c r="CI349" i="1"/>
  <c r="CI343" i="1"/>
  <c r="CJ342" i="1"/>
  <c r="CI9" i="1"/>
  <c r="CJ9" i="1" s="1"/>
  <c r="AQ751" i="1"/>
  <c r="AQ888" i="1"/>
  <c r="CA694" i="1"/>
  <c r="CB679" i="1"/>
  <c r="CA692" i="1"/>
  <c r="V561" i="1"/>
  <c r="W561" i="1" s="1"/>
  <c r="V557" i="1"/>
  <c r="W557" i="1" s="1"/>
  <c r="W531" i="1"/>
  <c r="V556" i="1"/>
  <c r="BM667" i="1"/>
  <c r="BZ679" i="1"/>
  <c r="BY694" i="1"/>
  <c r="BY692" i="1"/>
  <c r="CD19" i="1"/>
  <c r="CS414" i="1"/>
  <c r="CR414" i="1"/>
  <c r="CH45" i="1"/>
  <c r="CS45" i="1"/>
  <c r="CI28" i="1"/>
  <c r="CG36" i="1"/>
  <c r="CH35" i="1"/>
  <c r="X889" i="1"/>
  <c r="Y889" i="1" s="1"/>
  <c r="X888" i="1"/>
  <c r="Y888" i="1" s="1"/>
  <c r="X759" i="1"/>
  <c r="Y759" i="1" s="1"/>
  <c r="Y694" i="1"/>
  <c r="X696" i="1"/>
  <c r="X747" i="1" s="1"/>
  <c r="X751" i="1"/>
  <c r="Y751" i="1" s="1"/>
  <c r="CH679" i="1"/>
  <c r="CG694" i="1"/>
  <c r="CG692" i="1"/>
  <c r="CH692" i="1" s="1"/>
  <c r="X107" i="1"/>
  <c r="Y107" i="1" s="1"/>
  <c r="Z102" i="1"/>
  <c r="Y106" i="1"/>
  <c r="BX761" i="1"/>
  <c r="BW19" i="1"/>
  <c r="BX19" i="1" s="1"/>
  <c r="CO339" i="1"/>
  <c r="CN339" i="1"/>
  <c r="CQ415" i="1"/>
  <c r="CP415" i="1"/>
  <c r="BZ750" i="1"/>
  <c r="AG692" i="1"/>
  <c r="AE759" i="1"/>
  <c r="BC751" i="1"/>
  <c r="BC888" i="1"/>
  <c r="CJ668" i="1"/>
  <c r="BZ761" i="1"/>
  <c r="CD679" i="1"/>
  <c r="CC694" i="1"/>
  <c r="CF694" i="1" s="1"/>
  <c r="CC692" i="1"/>
  <c r="CD692" i="1" s="1"/>
  <c r="AH469" i="1"/>
  <c r="AI469" i="1" s="1"/>
  <c r="AH452" i="1"/>
  <c r="AI448" i="1"/>
  <c r="CF679" i="1"/>
  <c r="BZ815" i="1"/>
  <c r="BE751" i="1"/>
  <c r="BE888" i="1"/>
  <c r="CE65" i="1"/>
  <c r="CF65" i="1" s="1"/>
  <c r="CF63" i="1"/>
  <c r="S200" i="1"/>
  <c r="R201" i="1"/>
  <c r="S201" i="1" s="1"/>
  <c r="CP318" i="1"/>
  <c r="CO320" i="1"/>
  <c r="AU889" i="1"/>
  <c r="N259" i="1"/>
  <c r="O259" i="1" s="1"/>
  <c r="O222" i="1"/>
  <c r="N223" i="1"/>
  <c r="P45" i="1"/>
  <c r="Q45" i="1" s="1"/>
  <c r="P44" i="1"/>
  <c r="Q44" i="1" s="1"/>
  <c r="P43" i="1"/>
  <c r="Q43" i="1" s="1"/>
  <c r="P35" i="1"/>
  <c r="P46" i="1"/>
  <c r="Q28" i="1"/>
  <c r="AS759" i="1"/>
  <c r="BZ898" i="1"/>
  <c r="AG759" i="1"/>
  <c r="AQ692" i="1"/>
  <c r="T888" i="1"/>
  <c r="U888" i="1" s="1"/>
  <c r="T889" i="1"/>
  <c r="U889" i="1" s="1"/>
  <c r="T759" i="1"/>
  <c r="U759" i="1" s="1"/>
  <c r="U694" i="1"/>
  <c r="T696" i="1"/>
  <c r="T747" i="1" s="1"/>
  <c r="T751" i="1"/>
  <c r="U751" i="1" s="1"/>
  <c r="CK409" i="1"/>
  <c r="CL409" i="1" s="1"/>
  <c r="CL407" i="1"/>
  <c r="AE751" i="1"/>
  <c r="AE888" i="1"/>
  <c r="CQ396" i="1"/>
  <c r="CS394" i="1"/>
  <c r="CR394" i="1"/>
  <c r="BC889" i="1"/>
  <c r="CD886" i="1"/>
  <c r="CK334" i="1"/>
  <c r="CL334" i="1" s="1"/>
  <c r="CL332" i="1"/>
  <c r="AF456" i="1"/>
  <c r="AG456" i="1" s="1"/>
  <c r="CE888" i="1"/>
  <c r="CE889" i="1"/>
  <c r="CE759" i="1"/>
  <c r="CE696" i="1"/>
  <c r="CE747" i="1" s="1"/>
  <c r="CE751" i="1"/>
  <c r="Y526" i="1"/>
  <c r="X530" i="1"/>
  <c r="X535" i="1"/>
  <c r="Y535" i="1" s="1"/>
  <c r="X536" i="1"/>
  <c r="Y536" i="1" s="1"/>
  <c r="X537" i="1"/>
  <c r="BE889" i="1"/>
  <c r="AK888" i="1" l="1"/>
  <c r="CK335" i="1"/>
  <c r="CR396" i="1"/>
  <c r="CQ398" i="1"/>
  <c r="CS396" i="1"/>
  <c r="AH455" i="1"/>
  <c r="AJ448" i="1"/>
  <c r="AI452" i="1"/>
  <c r="X531" i="1"/>
  <c r="X541" i="1"/>
  <c r="Y530" i="1"/>
  <c r="X562" i="1"/>
  <c r="Y562" i="1" s="1"/>
  <c r="CK410" i="1"/>
  <c r="P41" i="1"/>
  <c r="R28" i="1"/>
  <c r="Q35" i="1"/>
  <c r="P36" i="1"/>
  <c r="N225" i="1"/>
  <c r="O223" i="1"/>
  <c r="N260" i="1"/>
  <c r="O260" i="1" s="1"/>
  <c r="CO333" i="1"/>
  <c r="CP333" i="1" s="1"/>
  <c r="CP320" i="1"/>
  <c r="CO332" i="1"/>
  <c r="CQ339" i="1"/>
  <c r="CP339" i="1"/>
  <c r="Z106" i="1"/>
  <c r="AA102" i="1"/>
  <c r="Z118" i="1"/>
  <c r="CH36" i="1"/>
  <c r="CG64" i="1"/>
  <c r="CH64" i="1" s="1"/>
  <c r="CG69" i="1"/>
  <c r="CH69" i="1" s="1"/>
  <c r="CG63" i="1"/>
  <c r="CG68" i="1"/>
  <c r="CH68" i="1" s="1"/>
  <c r="CG92" i="1"/>
  <c r="BY889" i="1"/>
  <c r="BY888" i="1"/>
  <c r="BY759" i="1"/>
  <c r="BY696" i="1"/>
  <c r="BY747" i="1" s="1"/>
  <c r="BY751" i="1"/>
  <c r="CI921" i="1"/>
  <c r="CJ343" i="1"/>
  <c r="AC888" i="1"/>
  <c r="CR338" i="1"/>
  <c r="CS338" i="1"/>
  <c r="CF692" i="1"/>
  <c r="BW694" i="1"/>
  <c r="BX679" i="1"/>
  <c r="BW692" i="1"/>
  <c r="BX692" i="1" s="1"/>
  <c r="AB514" i="1"/>
  <c r="AC510" i="1"/>
  <c r="BZ907" i="1"/>
  <c r="P218" i="1"/>
  <c r="Q218" i="1" s="1"/>
  <c r="Q217" i="1"/>
  <c r="T193" i="1"/>
  <c r="U187" i="1"/>
  <c r="T200" i="1"/>
  <c r="T199" i="1"/>
  <c r="U199" i="1" s="1"/>
  <c r="T198" i="1"/>
  <c r="U198" i="1" s="1"/>
  <c r="CN407" i="1"/>
  <c r="CM409" i="1"/>
  <c r="CN409" i="1" s="1"/>
  <c r="CS413" i="1"/>
  <c r="CR413" i="1"/>
  <c r="CD541" i="1"/>
  <c r="CC542" i="1"/>
  <c r="CD542" i="1" s="1"/>
  <c r="AI751" i="1"/>
  <c r="AI888" i="1"/>
  <c r="CN332" i="1"/>
  <c r="CM334" i="1"/>
  <c r="CN334" i="1" s="1"/>
  <c r="CJ28" i="1"/>
  <c r="V558" i="1"/>
  <c r="W558" i="1" s="1"/>
  <c r="W556" i="1"/>
  <c r="CB692" i="1"/>
  <c r="CI667" i="1"/>
  <c r="CI352" i="1"/>
  <c r="CJ352" i="1" s="1"/>
  <c r="CI350" i="1"/>
  <c r="CJ350" i="1" s="1"/>
  <c r="CJ349" i="1"/>
  <c r="BU889" i="1"/>
  <c r="BV889" i="1" s="1"/>
  <c r="BU888" i="1"/>
  <c r="BV888" i="1" s="1"/>
  <c r="BU759" i="1"/>
  <c r="BV759" i="1" s="1"/>
  <c r="BU696" i="1"/>
  <c r="BV694" i="1"/>
  <c r="BU751" i="1"/>
  <c r="BV751" i="1" s="1"/>
  <c r="AK759" i="1"/>
  <c r="O63" i="1"/>
  <c r="N65" i="1"/>
  <c r="O65" i="1" s="1"/>
  <c r="CD123" i="1"/>
  <c r="CC149" i="1"/>
  <c r="CD149" i="1" s="1"/>
  <c r="CC153" i="1"/>
  <c r="CD153" i="1" s="1"/>
  <c r="CC148" i="1"/>
  <c r="X154" i="1"/>
  <c r="Y154" i="1" s="1"/>
  <c r="Y122" i="1"/>
  <c r="X123" i="1"/>
  <c r="X133" i="1"/>
  <c r="AG888" i="1"/>
  <c r="AS888" i="1"/>
  <c r="AI889" i="1"/>
  <c r="M227" i="1"/>
  <c r="L264" i="1"/>
  <c r="M264" i="1" s="1"/>
  <c r="L228" i="1"/>
  <c r="M228" i="1" s="1"/>
  <c r="X538" i="1"/>
  <c r="Y538" i="1" s="1"/>
  <c r="Y537" i="1"/>
  <c r="CL335" i="1"/>
  <c r="CK342" i="1"/>
  <c r="CC889" i="1"/>
  <c r="CC888" i="1"/>
  <c r="CC759" i="1"/>
  <c r="CC696" i="1"/>
  <c r="CC747" i="1" s="1"/>
  <c r="CD694" i="1"/>
  <c r="CC751" i="1"/>
  <c r="CS415" i="1"/>
  <c r="CR415" i="1"/>
  <c r="CJ651" i="1"/>
  <c r="AC759" i="1"/>
  <c r="Z522" i="1"/>
  <c r="AA518" i="1"/>
  <c r="Z526" i="1"/>
  <c r="BZ19" i="1"/>
  <c r="AK751" i="1"/>
  <c r="AK889" i="1"/>
  <c r="CP398" i="1"/>
  <c r="CO408" i="1"/>
  <c r="CP408" i="1" s="1"/>
  <c r="CO407" i="1"/>
  <c r="P211" i="1"/>
  <c r="Q211" i="1" s="1"/>
  <c r="P222" i="1"/>
  <c r="Q210" i="1"/>
  <c r="R204" i="1"/>
  <c r="CG227" i="1"/>
  <c r="CH225" i="1"/>
  <c r="CG262" i="1"/>
  <c r="CH262" i="1" s="1"/>
  <c r="Y129" i="1"/>
  <c r="X130" i="1"/>
  <c r="Y130" i="1" s="1"/>
  <c r="AG751" i="1"/>
  <c r="CF526" i="1"/>
  <c r="CE530" i="1"/>
  <c r="CE536" i="1"/>
  <c r="CF536" i="1" s="1"/>
  <c r="CE537" i="1"/>
  <c r="CF537" i="1" s="1"/>
  <c r="CE535" i="1"/>
  <c r="CF535" i="1" s="1"/>
  <c r="AS751" i="1"/>
  <c r="CO340" i="1"/>
  <c r="CN340" i="1"/>
  <c r="Q46" i="1"/>
  <c r="P47" i="1"/>
  <c r="Q47" i="1" s="1"/>
  <c r="CG889" i="1"/>
  <c r="CH889" i="1" s="1"/>
  <c r="CG888" i="1"/>
  <c r="CH888" i="1" s="1"/>
  <c r="CG759" i="1"/>
  <c r="CH759" i="1" s="1"/>
  <c r="CG696" i="1"/>
  <c r="CG747" i="1" s="1"/>
  <c r="CH694" i="1"/>
  <c r="CG751" i="1"/>
  <c r="CH751" i="1" s="1"/>
  <c r="BZ692" i="1"/>
  <c r="CA888" i="1"/>
  <c r="CB888" i="1" s="1"/>
  <c r="CA889" i="1"/>
  <c r="CB889" i="1" s="1"/>
  <c r="CA759" i="1"/>
  <c r="CB759" i="1" s="1"/>
  <c r="CB694" i="1"/>
  <c r="CA696" i="1"/>
  <c r="CA747" i="1" s="1"/>
  <c r="CA751" i="1"/>
  <c r="CB751" i="1" s="1"/>
  <c r="AC751" i="1"/>
  <c r="AC889" i="1"/>
  <c r="CQ320" i="1"/>
  <c r="CS318" i="1"/>
  <c r="CR318" i="1"/>
  <c r="W148" i="1"/>
  <c r="V150" i="1"/>
  <c r="W150" i="1" s="1"/>
  <c r="AG889" i="1"/>
  <c r="Z115" i="1"/>
  <c r="AA115" i="1" s="1"/>
  <c r="AA114" i="1"/>
  <c r="AB110" i="1"/>
  <c r="R258" i="1"/>
  <c r="S258" i="1" s="1"/>
  <c r="S221" i="1"/>
  <c r="CD133" i="1"/>
  <c r="CC134" i="1"/>
  <c r="CD134" i="1" s="1"/>
  <c r="CF118" i="1"/>
  <c r="CE122" i="1"/>
  <c r="CH118" i="1"/>
  <c r="CE127" i="1"/>
  <c r="CE128" i="1"/>
  <c r="CE129" i="1"/>
  <c r="BZ886" i="1"/>
  <c r="CD531" i="1"/>
  <c r="CC561" i="1"/>
  <c r="CD561" i="1" s="1"/>
  <c r="CC557" i="1"/>
  <c r="CD557" i="1" s="1"/>
  <c r="CC556" i="1"/>
  <c r="AI759" i="1"/>
  <c r="CD759" i="1" l="1"/>
  <c r="CF530" i="1"/>
  <c r="CE541" i="1"/>
  <c r="CE531" i="1"/>
  <c r="CG526" i="1"/>
  <c r="CE562" i="1"/>
  <c r="CF562" i="1" s="1"/>
  <c r="R216" i="1"/>
  <c r="S216" i="1" s="1"/>
  <c r="R210" i="1"/>
  <c r="S204" i="1"/>
  <c r="R217" i="1"/>
  <c r="R215" i="1"/>
  <c r="S215" i="1" s="1"/>
  <c r="CD889" i="1"/>
  <c r="CH127" i="1"/>
  <c r="CF127" i="1"/>
  <c r="CF889" i="1"/>
  <c r="AA522" i="1"/>
  <c r="AB518" i="1"/>
  <c r="Z523" i="1"/>
  <c r="AA523" i="1" s="1"/>
  <c r="CK651" i="1"/>
  <c r="CK349" i="1"/>
  <c r="CK343" i="1"/>
  <c r="CL342" i="1"/>
  <c r="CK9" i="1"/>
  <c r="CL9" i="1" s="1"/>
  <c r="Y133" i="1"/>
  <c r="X134" i="1"/>
  <c r="Y134" i="1" s="1"/>
  <c r="CD148" i="1"/>
  <c r="CC150" i="1"/>
  <c r="CD150" i="1" s="1"/>
  <c r="CJ667" i="1"/>
  <c r="CM410" i="1"/>
  <c r="BW888" i="1"/>
  <c r="BX888" i="1" s="1"/>
  <c r="BW889" i="1"/>
  <c r="BX889" i="1" s="1"/>
  <c r="BW759" i="1"/>
  <c r="BX759" i="1" s="1"/>
  <c r="BX694" i="1"/>
  <c r="BW696" i="1"/>
  <c r="BW747" i="1" s="1"/>
  <c r="BW751" i="1"/>
  <c r="BX751" i="1" s="1"/>
  <c r="BZ694" i="1"/>
  <c r="BZ889" i="1"/>
  <c r="CO334" i="1"/>
  <c r="CP334" i="1" s="1"/>
  <c r="CP332" i="1"/>
  <c r="CC558" i="1"/>
  <c r="CD558" i="1" s="1"/>
  <c r="CD556" i="1"/>
  <c r="Q222" i="1"/>
  <c r="P259" i="1"/>
  <c r="Q259" i="1" s="1"/>
  <c r="P223" i="1"/>
  <c r="X153" i="1"/>
  <c r="Y153" i="1" s="1"/>
  <c r="Y123" i="1"/>
  <c r="X149" i="1"/>
  <c r="Y149" i="1" s="1"/>
  <c r="X148" i="1"/>
  <c r="U200" i="1"/>
  <c r="T201" i="1"/>
  <c r="U201" i="1" s="1"/>
  <c r="AC514" i="1"/>
  <c r="AD510" i="1"/>
  <c r="AB515" i="1"/>
  <c r="AC515" i="1" s="1"/>
  <c r="AA106" i="1"/>
  <c r="AB102" i="1"/>
  <c r="Z107" i="1"/>
  <c r="AA107" i="1" s="1"/>
  <c r="R35" i="1"/>
  <c r="S28" i="1"/>
  <c r="R46" i="1"/>
  <c r="R45" i="1"/>
  <c r="S45" i="1" s="1"/>
  <c r="R44" i="1"/>
  <c r="S44" i="1" s="1"/>
  <c r="R43" i="1"/>
  <c r="S43" i="1" s="1"/>
  <c r="AJ469" i="1"/>
  <c r="AK469" i="1" s="1"/>
  <c r="AJ452" i="1"/>
  <c r="AK448" i="1"/>
  <c r="CQ408" i="1"/>
  <c r="CQ407" i="1"/>
  <c r="CS398" i="1"/>
  <c r="CR398" i="1"/>
  <c r="CF129" i="1"/>
  <c r="CH129" i="1"/>
  <c r="CF122" i="1"/>
  <c r="CE123" i="1"/>
  <c r="CH122" i="1"/>
  <c r="CE133" i="1"/>
  <c r="CE154" i="1"/>
  <c r="AC110" i="1"/>
  <c r="AB114" i="1"/>
  <c r="CQ332" i="1"/>
  <c r="CQ333" i="1"/>
  <c r="CR320" i="1"/>
  <c r="CS320" i="1"/>
  <c r="CP340" i="1"/>
  <c r="CQ340" i="1"/>
  <c r="CH227" i="1"/>
  <c r="CG264" i="1"/>
  <c r="CH264" i="1" s="1"/>
  <c r="CG228" i="1"/>
  <c r="CH228" i="1" s="1"/>
  <c r="AA526" i="1"/>
  <c r="Z530" i="1"/>
  <c r="Z537" i="1"/>
  <c r="Z536" i="1"/>
  <c r="AA536" i="1" s="1"/>
  <c r="Z535" i="1"/>
  <c r="AA535" i="1" s="1"/>
  <c r="CD751" i="1"/>
  <c r="CD888" i="1"/>
  <c r="CF751" i="1"/>
  <c r="CM335" i="1"/>
  <c r="BZ759" i="1"/>
  <c r="O225" i="1"/>
  <c r="N227" i="1"/>
  <c r="N262" i="1"/>
  <c r="O262" i="1" s="1"/>
  <c r="Y541" i="1"/>
  <c r="X542" i="1"/>
  <c r="Y542" i="1" s="1"/>
  <c r="AH456" i="1"/>
  <c r="AI456" i="1" s="1"/>
  <c r="CF128" i="1"/>
  <c r="CH128" i="1"/>
  <c r="CO409" i="1"/>
  <c r="CP409" i="1" s="1"/>
  <c r="CP407" i="1"/>
  <c r="T194" i="1"/>
  <c r="U194" i="1" s="1"/>
  <c r="T221" i="1"/>
  <c r="V187" i="1"/>
  <c r="U193" i="1"/>
  <c r="BZ751" i="1"/>
  <c r="CH63" i="1"/>
  <c r="CG65" i="1"/>
  <c r="CH65" i="1" s="1"/>
  <c r="AA118" i="1"/>
  <c r="Z122" i="1"/>
  <c r="Z127" i="1"/>
  <c r="AA127" i="1" s="1"/>
  <c r="Z129" i="1"/>
  <c r="Z128" i="1"/>
  <c r="AA128" i="1" s="1"/>
  <c r="CS339" i="1"/>
  <c r="CR339" i="1"/>
  <c r="P69" i="1"/>
  <c r="Q69" i="1" s="1"/>
  <c r="Q36" i="1"/>
  <c r="P64" i="1"/>
  <c r="Q64" i="1" s="1"/>
  <c r="P63" i="1"/>
  <c r="P68" i="1"/>
  <c r="Q68" i="1" s="1"/>
  <c r="P92" i="1"/>
  <c r="CL410" i="1"/>
  <c r="CK417" i="1"/>
  <c r="X561" i="1"/>
  <c r="Y561" i="1" s="1"/>
  <c r="X557" i="1"/>
  <c r="Y557" i="1" s="1"/>
  <c r="Y531" i="1"/>
  <c r="X556" i="1"/>
  <c r="CF888" i="1"/>
  <c r="CF759" i="1"/>
  <c r="BZ888" i="1" l="1"/>
  <c r="CO335" i="1"/>
  <c r="CO342" i="1" s="1"/>
  <c r="CN335" i="1"/>
  <c r="CM342" i="1"/>
  <c r="O227" i="1"/>
  <c r="N264" i="1"/>
  <c r="O264" i="1" s="1"/>
  <c r="N228" i="1"/>
  <c r="O228" i="1" s="1"/>
  <c r="Z130" i="1"/>
  <c r="AA130" i="1" s="1"/>
  <c r="AA129" i="1"/>
  <c r="CO410" i="1"/>
  <c r="Z538" i="1"/>
  <c r="AA538" i="1" s="1"/>
  <c r="AA537" i="1"/>
  <c r="CR332" i="1"/>
  <c r="CQ334" i="1"/>
  <c r="CQ335" i="1" s="1"/>
  <c r="CS332" i="1"/>
  <c r="CF154" i="1"/>
  <c r="CH154" i="1"/>
  <c r="R36" i="1"/>
  <c r="R41" i="1"/>
  <c r="S35" i="1"/>
  <c r="T28" i="1"/>
  <c r="CK921" i="1"/>
  <c r="CL343" i="1"/>
  <c r="AB522" i="1"/>
  <c r="AC518" i="1"/>
  <c r="AB526" i="1"/>
  <c r="CS526" i="1"/>
  <c r="CH526" i="1"/>
  <c r="CG530" i="1"/>
  <c r="CG535" i="1"/>
  <c r="CG537" i="1"/>
  <c r="CG536" i="1"/>
  <c r="CK652" i="1"/>
  <c r="CK418" i="1"/>
  <c r="CL417" i="1"/>
  <c r="CK422" i="1"/>
  <c r="CK10" i="1"/>
  <c r="CL10" i="1" s="1"/>
  <c r="V199" i="1"/>
  <c r="W199" i="1" s="1"/>
  <c r="V198" i="1"/>
  <c r="W198" i="1" s="1"/>
  <c r="V193" i="1"/>
  <c r="W187" i="1"/>
  <c r="V200" i="1"/>
  <c r="Z541" i="1"/>
  <c r="AA530" i="1"/>
  <c r="Z562" i="1"/>
  <c r="AA562" i="1" s="1"/>
  <c r="Z531" i="1"/>
  <c r="CH133" i="1"/>
  <c r="CF133" i="1"/>
  <c r="CE134" i="1"/>
  <c r="AK452" i="1"/>
  <c r="AJ455" i="1"/>
  <c r="AL448" i="1"/>
  <c r="AD514" i="1"/>
  <c r="AE510" i="1"/>
  <c r="Y148" i="1"/>
  <c r="X150" i="1"/>
  <c r="Y150" i="1" s="1"/>
  <c r="Q223" i="1"/>
  <c r="P225" i="1"/>
  <c r="P260" i="1"/>
  <c r="Q260" i="1" s="1"/>
  <c r="CN410" i="1"/>
  <c r="CM417" i="1"/>
  <c r="CK667" i="1"/>
  <c r="CK350" i="1"/>
  <c r="CL350" i="1" s="1"/>
  <c r="CL349" i="1"/>
  <c r="CK352" i="1"/>
  <c r="CL352" i="1" s="1"/>
  <c r="S210" i="1"/>
  <c r="T204" i="1"/>
  <c r="R211" i="1"/>
  <c r="S211" i="1" s="1"/>
  <c r="R222" i="1"/>
  <c r="CF531" i="1"/>
  <c r="CE557" i="1"/>
  <c r="CF557" i="1" s="1"/>
  <c r="CE561" i="1"/>
  <c r="CF561" i="1" s="1"/>
  <c r="CE556" i="1"/>
  <c r="Y556" i="1"/>
  <c r="X558" i="1"/>
  <c r="Y558" i="1" s="1"/>
  <c r="AC114" i="1"/>
  <c r="AD110" i="1"/>
  <c r="AB115" i="1"/>
  <c r="AC115" i="1" s="1"/>
  <c r="CR407" i="1"/>
  <c r="CQ409" i="1"/>
  <c r="CQ410" i="1" s="1"/>
  <c r="CS407" i="1"/>
  <c r="S46" i="1"/>
  <c r="R47" i="1"/>
  <c r="S47" i="1" s="1"/>
  <c r="AB118" i="1"/>
  <c r="AC102" i="1"/>
  <c r="AB106" i="1"/>
  <c r="CL651" i="1"/>
  <c r="CF541" i="1"/>
  <c r="CE542" i="1"/>
  <c r="CF542" i="1" s="1"/>
  <c r="Q63" i="1"/>
  <c r="P65" i="1"/>
  <c r="Q65" i="1" s="1"/>
  <c r="Z133" i="1"/>
  <c r="Z154" i="1"/>
  <c r="AA154" i="1" s="1"/>
  <c r="AA122" i="1"/>
  <c r="Z123" i="1"/>
  <c r="T258" i="1"/>
  <c r="U258" i="1" s="1"/>
  <c r="U221" i="1"/>
  <c r="CS340" i="1"/>
  <c r="CR340" i="1"/>
  <c r="CS333" i="1"/>
  <c r="CR333" i="1"/>
  <c r="CF123" i="1"/>
  <c r="CH123" i="1"/>
  <c r="CE153" i="1"/>
  <c r="CE149" i="1"/>
  <c r="CE148" i="1"/>
  <c r="CS408" i="1"/>
  <c r="CR408" i="1"/>
  <c r="R218" i="1"/>
  <c r="S218" i="1" s="1"/>
  <c r="S217" i="1"/>
  <c r="CP335" i="1" l="1"/>
  <c r="P227" i="1"/>
  <c r="Q225" i="1"/>
  <c r="P262" i="1"/>
  <c r="Q262" i="1" s="1"/>
  <c r="CH149" i="1"/>
  <c r="CF149" i="1"/>
  <c r="AB107" i="1"/>
  <c r="AC107" i="1" s="1"/>
  <c r="AC106" i="1"/>
  <c r="AD102" i="1"/>
  <c r="T210" i="1"/>
  <c r="U204" i="1"/>
  <c r="T217" i="1"/>
  <c r="T216" i="1"/>
  <c r="U216" i="1" s="1"/>
  <c r="T215" i="1"/>
  <c r="U215" i="1" s="1"/>
  <c r="AL469" i="1"/>
  <c r="AM469" i="1" s="1"/>
  <c r="AL452" i="1"/>
  <c r="AM448" i="1"/>
  <c r="X187" i="1"/>
  <c r="W193" i="1"/>
  <c r="V221" i="1"/>
  <c r="V194" i="1"/>
  <c r="W194" i="1" s="1"/>
  <c r="CK668" i="1"/>
  <c r="CK425" i="1"/>
  <c r="CL425" i="1" s="1"/>
  <c r="CK423" i="1"/>
  <c r="CL423" i="1" s="1"/>
  <c r="CL422" i="1"/>
  <c r="CS536" i="1"/>
  <c r="CH536" i="1"/>
  <c r="AD518" i="1"/>
  <c r="AB523" i="1"/>
  <c r="AC523" i="1" s="1"/>
  <c r="AC522" i="1"/>
  <c r="CS410" i="1"/>
  <c r="CR410" i="1"/>
  <c r="CQ417" i="1"/>
  <c r="AJ456" i="1"/>
  <c r="AK456" i="1" s="1"/>
  <c r="AA541" i="1"/>
  <c r="Z542" i="1"/>
  <c r="AA542" i="1" s="1"/>
  <c r="CS537" i="1"/>
  <c r="CH537" i="1"/>
  <c r="CR335" i="1"/>
  <c r="CS335" i="1"/>
  <c r="CQ342" i="1"/>
  <c r="CL667" i="1"/>
  <c r="AA133" i="1"/>
  <c r="Z134" i="1"/>
  <c r="AA134" i="1" s="1"/>
  <c r="CO651" i="1"/>
  <c r="CO349" i="1"/>
  <c r="CO343" i="1"/>
  <c r="CP342" i="1"/>
  <c r="CO9" i="1"/>
  <c r="AC118" i="1"/>
  <c r="AB122" i="1"/>
  <c r="AB127" i="1"/>
  <c r="AC127" i="1" s="1"/>
  <c r="AB128" i="1"/>
  <c r="AC128" i="1" s="1"/>
  <c r="AB129" i="1"/>
  <c r="AD114" i="1"/>
  <c r="AE110" i="1"/>
  <c r="CE558" i="1"/>
  <c r="CF558" i="1" s="1"/>
  <c r="CF556" i="1"/>
  <c r="R259" i="1"/>
  <c r="S259" i="1" s="1"/>
  <c r="S222" i="1"/>
  <c r="R223" i="1"/>
  <c r="CM652" i="1"/>
  <c r="CM422" i="1"/>
  <c r="CM418" i="1"/>
  <c r="CN417" i="1"/>
  <c r="CM10" i="1"/>
  <c r="CN10" i="1" s="1"/>
  <c r="AD515" i="1"/>
  <c r="AE515" i="1" s="1"/>
  <c r="AF510" i="1"/>
  <c r="AE514" i="1"/>
  <c r="Z561" i="1"/>
  <c r="AA561" i="1" s="1"/>
  <c r="Z557" i="1"/>
  <c r="AA557" i="1" s="1"/>
  <c r="AA531" i="1"/>
  <c r="Z556" i="1"/>
  <c r="W200" i="1"/>
  <c r="V201" i="1"/>
  <c r="W201" i="1" s="1"/>
  <c r="CK922" i="1"/>
  <c r="CL418" i="1"/>
  <c r="CH535" i="1"/>
  <c r="CS535" i="1"/>
  <c r="AC526" i="1"/>
  <c r="AB530" i="1"/>
  <c r="AB536" i="1"/>
  <c r="AC536" i="1" s="1"/>
  <c r="AB535" i="1"/>
  <c r="AC535" i="1" s="1"/>
  <c r="AB537" i="1"/>
  <c r="R64" i="1"/>
  <c r="S64" i="1" s="1"/>
  <c r="R69" i="1"/>
  <c r="S69" i="1" s="1"/>
  <c r="S36" i="1"/>
  <c r="R68" i="1"/>
  <c r="S68" i="1" s="1"/>
  <c r="R63" i="1"/>
  <c r="R92" i="1"/>
  <c r="CM651" i="1"/>
  <c r="CM349" i="1"/>
  <c r="CM343" i="1"/>
  <c r="CN342" i="1"/>
  <c r="CM9" i="1"/>
  <c r="CN9" i="1" s="1"/>
  <c r="CH153" i="1"/>
  <c r="CF153" i="1"/>
  <c r="CH148" i="1"/>
  <c r="CF148" i="1"/>
  <c r="CE150" i="1"/>
  <c r="Z149" i="1"/>
  <c r="AA149" i="1" s="1"/>
  <c r="Z153" i="1"/>
  <c r="AA153" i="1" s="1"/>
  <c r="AA123" i="1"/>
  <c r="Z148" i="1"/>
  <c r="CS409" i="1"/>
  <c r="CR409" i="1"/>
  <c r="CH134" i="1"/>
  <c r="CF134" i="1"/>
  <c r="CL652" i="1"/>
  <c r="CG541" i="1"/>
  <c r="CS530" i="1"/>
  <c r="CG531" i="1"/>
  <c r="CI526" i="1"/>
  <c r="CH530" i="1"/>
  <c r="CG562" i="1"/>
  <c r="T45" i="1"/>
  <c r="U45" i="1" s="1"/>
  <c r="T44" i="1"/>
  <c r="U44" i="1" s="1"/>
  <c r="T43" i="1"/>
  <c r="U43" i="1" s="1"/>
  <c r="U28" i="1"/>
  <c r="T35" i="1"/>
  <c r="T46" i="1"/>
  <c r="CS334" i="1"/>
  <c r="CR334" i="1"/>
  <c r="CP410" i="1"/>
  <c r="CO417" i="1"/>
  <c r="S223" i="1" l="1"/>
  <c r="R225" i="1"/>
  <c r="R260" i="1"/>
  <c r="S260" i="1" s="1"/>
  <c r="CS562" i="1"/>
  <c r="CH562" i="1"/>
  <c r="AA148" i="1"/>
  <c r="Z150" i="1"/>
  <c r="AA150" i="1" s="1"/>
  <c r="CF150" i="1"/>
  <c r="CH150" i="1"/>
  <c r="CM667" i="1"/>
  <c r="CM352" i="1"/>
  <c r="CN352" i="1" s="1"/>
  <c r="CM350" i="1"/>
  <c r="CN350" i="1" s="1"/>
  <c r="CN349" i="1"/>
  <c r="AB538" i="1"/>
  <c r="AC538" i="1" s="1"/>
  <c r="AC537" i="1"/>
  <c r="AF514" i="1"/>
  <c r="AG510" i="1"/>
  <c r="CM922" i="1"/>
  <c r="CN418" i="1"/>
  <c r="CQ652" i="1"/>
  <c r="CQ422" i="1"/>
  <c r="CS417" i="1"/>
  <c r="CQ418" i="1"/>
  <c r="CR417" i="1"/>
  <c r="CQ10" i="1"/>
  <c r="AD106" i="1"/>
  <c r="AE102" i="1"/>
  <c r="AD118" i="1"/>
  <c r="CS541" i="1"/>
  <c r="CH541" i="1"/>
  <c r="CG542" i="1"/>
  <c r="CN651" i="1"/>
  <c r="CM668" i="1"/>
  <c r="CM425" i="1"/>
  <c r="CN425" i="1" s="1"/>
  <c r="CM423" i="1"/>
  <c r="CN423" i="1" s="1"/>
  <c r="CN422" i="1"/>
  <c r="AD115" i="1"/>
  <c r="AE115" i="1" s="1"/>
  <c r="AF110" i="1"/>
  <c r="AE114" i="1"/>
  <c r="AB154" i="1"/>
  <c r="AC154" i="1" s="1"/>
  <c r="AC122" i="1"/>
  <c r="AB123" i="1"/>
  <c r="AB133" i="1"/>
  <c r="CO921" i="1"/>
  <c r="CP343" i="1"/>
  <c r="AD522" i="1"/>
  <c r="AE518" i="1"/>
  <c r="AD526" i="1"/>
  <c r="V258" i="1"/>
  <c r="W258" i="1" s="1"/>
  <c r="W221" i="1"/>
  <c r="AL455" i="1"/>
  <c r="AM452" i="1"/>
  <c r="AN448" i="1"/>
  <c r="T218" i="1"/>
  <c r="U218" i="1" s="1"/>
  <c r="U217" i="1"/>
  <c r="CO652" i="1"/>
  <c r="CO418" i="1"/>
  <c r="CP417" i="1"/>
  <c r="CO422" i="1"/>
  <c r="CO10" i="1"/>
  <c r="CP10" i="1" s="1"/>
  <c r="CN652" i="1"/>
  <c r="AC129" i="1"/>
  <c r="AB130" i="1"/>
  <c r="AC130" i="1" s="1"/>
  <c r="CO667" i="1"/>
  <c r="CO350" i="1"/>
  <c r="CP350" i="1" s="1"/>
  <c r="CP349" i="1"/>
  <c r="CO352" i="1"/>
  <c r="CP352" i="1" s="1"/>
  <c r="CQ651" i="1"/>
  <c r="CS342" i="1"/>
  <c r="CQ349" i="1"/>
  <c r="CQ343" i="1"/>
  <c r="CR342" i="1"/>
  <c r="CQ9" i="1"/>
  <c r="U46" i="1"/>
  <c r="T47" i="1"/>
  <c r="U47" i="1" s="1"/>
  <c r="U35" i="1"/>
  <c r="T41" i="1"/>
  <c r="T36" i="1"/>
  <c r="V28" i="1"/>
  <c r="CS531" i="1"/>
  <c r="CH531" i="1"/>
  <c r="CG557" i="1"/>
  <c r="CG561" i="1"/>
  <c r="CG556" i="1"/>
  <c r="CM921" i="1"/>
  <c r="CN343" i="1"/>
  <c r="S63" i="1"/>
  <c r="R65" i="1"/>
  <c r="S65" i="1" s="1"/>
  <c r="AB531" i="1"/>
  <c r="AB541" i="1"/>
  <c r="AC530" i="1"/>
  <c r="AB562" i="1"/>
  <c r="AC562" i="1" s="1"/>
  <c r="Z558" i="1"/>
  <c r="AA558" i="1" s="1"/>
  <c r="AA556" i="1"/>
  <c r="CP9" i="1"/>
  <c r="CP651" i="1"/>
  <c r="CL668" i="1"/>
  <c r="X193" i="1"/>
  <c r="Y187" i="1"/>
  <c r="X200" i="1"/>
  <c r="X199" i="1"/>
  <c r="Y199" i="1" s="1"/>
  <c r="X198" i="1"/>
  <c r="Y198" i="1" s="1"/>
  <c r="T222" i="1"/>
  <c r="T211" i="1"/>
  <c r="U211" i="1" s="1"/>
  <c r="U210" i="1"/>
  <c r="V204" i="1"/>
  <c r="Q227" i="1"/>
  <c r="P264" i="1"/>
  <c r="Q264" i="1" s="1"/>
  <c r="P228" i="1"/>
  <c r="Q228" i="1" s="1"/>
  <c r="Y200" i="1" l="1"/>
  <c r="X201" i="1"/>
  <c r="Y201" i="1" s="1"/>
  <c r="U222" i="1"/>
  <c r="T259" i="1"/>
  <c r="U259" i="1" s="1"/>
  <c r="T223" i="1"/>
  <c r="AC541" i="1"/>
  <c r="AB542" i="1"/>
  <c r="AC542" i="1" s="1"/>
  <c r="CS557" i="1"/>
  <c r="CH557" i="1"/>
  <c r="T69" i="1"/>
  <c r="U69" i="1" s="1"/>
  <c r="U36" i="1"/>
  <c r="T64" i="1"/>
  <c r="U64" i="1" s="1"/>
  <c r="T68" i="1"/>
  <c r="U68" i="1" s="1"/>
  <c r="T63" i="1"/>
  <c r="T92" i="1"/>
  <c r="U92" i="1" s="1"/>
  <c r="CQ667" i="1"/>
  <c r="CQ352" i="1"/>
  <c r="CS349" i="1"/>
  <c r="CQ350" i="1"/>
  <c r="CR349" i="1"/>
  <c r="CO668" i="1"/>
  <c r="CO425" i="1"/>
  <c r="CP425" i="1" s="1"/>
  <c r="CO423" i="1"/>
  <c r="CP423" i="1" s="1"/>
  <c r="CP422" i="1"/>
  <c r="AL456" i="1"/>
  <c r="AM456" i="1" s="1"/>
  <c r="AE526" i="1"/>
  <c r="AD530" i="1"/>
  <c r="AD535" i="1"/>
  <c r="AE535" i="1" s="1"/>
  <c r="AD537" i="1"/>
  <c r="AD536" i="1"/>
  <c r="AE536" i="1" s="1"/>
  <c r="AE106" i="1"/>
  <c r="AD107" i="1"/>
  <c r="AE107" i="1" s="1"/>
  <c r="AF102" i="1"/>
  <c r="V216" i="1"/>
  <c r="W216" i="1" s="1"/>
  <c r="V210" i="1"/>
  <c r="W204" i="1"/>
  <c r="V217" i="1"/>
  <c r="V215" i="1"/>
  <c r="W215" i="1" s="1"/>
  <c r="X194" i="1"/>
  <c r="Y194" i="1" s="1"/>
  <c r="X221" i="1"/>
  <c r="Y193" i="1"/>
  <c r="Z187" i="1"/>
  <c r="AB561" i="1"/>
  <c r="AC561" i="1" s="1"/>
  <c r="AB557" i="1"/>
  <c r="AC557" i="1" s="1"/>
  <c r="AC531" i="1"/>
  <c r="AB556" i="1"/>
  <c r="CR9" i="1"/>
  <c r="CS9" i="1"/>
  <c r="AC133" i="1"/>
  <c r="AB134" i="1"/>
  <c r="AC134" i="1" s="1"/>
  <c r="CR10" i="1"/>
  <c r="CS10" i="1"/>
  <c r="CQ668" i="1"/>
  <c r="CQ425" i="1"/>
  <c r="CS422" i="1"/>
  <c r="CQ423" i="1"/>
  <c r="CR422" i="1"/>
  <c r="CN667" i="1"/>
  <c r="S225" i="1"/>
  <c r="R227" i="1"/>
  <c r="R262" i="1"/>
  <c r="S262" i="1" s="1"/>
  <c r="CS556" i="1"/>
  <c r="CG558" i="1"/>
  <c r="CH556" i="1"/>
  <c r="CS651" i="1"/>
  <c r="CR651" i="1"/>
  <c r="CP667" i="1"/>
  <c r="CO922" i="1"/>
  <c r="CP418" i="1"/>
  <c r="AN469" i="1"/>
  <c r="AO469" i="1" s="1"/>
  <c r="AN452" i="1"/>
  <c r="AO448" i="1"/>
  <c r="AE522" i="1"/>
  <c r="AD523" i="1"/>
  <c r="AE523" i="1" s="1"/>
  <c r="AF518" i="1"/>
  <c r="AB153" i="1"/>
  <c r="AC153" i="1" s="1"/>
  <c r="AC123" i="1"/>
  <c r="AB149" i="1"/>
  <c r="AC149" i="1" s="1"/>
  <c r="AB148" i="1"/>
  <c r="AG110" i="1"/>
  <c r="AF114" i="1"/>
  <c r="CH542" i="1"/>
  <c r="CS542" i="1"/>
  <c r="AE118" i="1"/>
  <c r="AD122" i="1"/>
  <c r="AD127" i="1"/>
  <c r="AE127" i="1" s="1"/>
  <c r="AD128" i="1"/>
  <c r="AE128" i="1" s="1"/>
  <c r="AD129" i="1"/>
  <c r="CR652" i="1"/>
  <c r="CS652" i="1"/>
  <c r="CH561" i="1"/>
  <c r="CS561" i="1"/>
  <c r="V35" i="1"/>
  <c r="V46" i="1"/>
  <c r="W28" i="1"/>
  <c r="V45" i="1"/>
  <c r="W45" i="1" s="1"/>
  <c r="V44" i="1"/>
  <c r="W44" i="1" s="1"/>
  <c r="V43" i="1"/>
  <c r="W43" i="1" s="1"/>
  <c r="CQ921" i="1"/>
  <c r="CS343" i="1"/>
  <c r="CR343" i="1"/>
  <c r="CP652" i="1"/>
  <c r="CN668" i="1"/>
  <c r="CQ922" i="1"/>
  <c r="CS418" i="1"/>
  <c r="CR418" i="1"/>
  <c r="AG514" i="1"/>
  <c r="AF515" i="1"/>
  <c r="AG515" i="1" s="1"/>
  <c r="AH510" i="1"/>
  <c r="A95" i="14"/>
  <c r="A94" i="14"/>
  <c r="A93" i="14"/>
  <c r="A92" i="14"/>
  <c r="A91" i="14"/>
  <c r="A90" i="14"/>
  <c r="A89" i="14"/>
  <c r="A88" i="14"/>
  <c r="A85" i="14"/>
  <c r="A84" i="14"/>
  <c r="A83" i="14"/>
  <c r="A82" i="14"/>
  <c r="A81" i="14"/>
  <c r="A80" i="14"/>
  <c r="A79" i="14"/>
  <c r="A78" i="14"/>
  <c r="CE86" i="14"/>
  <c r="BK73" i="14"/>
  <c r="BD73" i="14"/>
  <c r="BB73" i="14"/>
  <c r="AZ73" i="14"/>
  <c r="AX73" i="14"/>
  <c r="AV73" i="14"/>
  <c r="AT73" i="14"/>
  <c r="AR73" i="14"/>
  <c r="AP73" i="14"/>
  <c r="AN73" i="14"/>
  <c r="AL73" i="14"/>
  <c r="AJ73" i="14"/>
  <c r="AH73" i="14"/>
  <c r="AF73" i="14"/>
  <c r="AD73" i="14"/>
  <c r="AB73" i="14"/>
  <c r="Z73" i="14"/>
  <c r="X73" i="14"/>
  <c r="V73" i="14"/>
  <c r="A76" i="14"/>
  <c r="A75" i="14"/>
  <c r="A74" i="14"/>
  <c r="A73" i="14"/>
  <c r="A72" i="14"/>
  <c r="A71" i="14"/>
  <c r="A70" i="14"/>
  <c r="A69" i="14"/>
  <c r="A68" i="14"/>
  <c r="H64" i="14"/>
  <c r="H63" i="14"/>
  <c r="F64" i="14"/>
  <c r="F63" i="14"/>
  <c r="D64" i="14"/>
  <c r="D63" i="14"/>
  <c r="B64" i="14"/>
  <c r="B63" i="14"/>
  <c r="BK65" i="14"/>
  <c r="BD65" i="14"/>
  <c r="BB65" i="14"/>
  <c r="AZ65" i="14"/>
  <c r="AX65" i="14"/>
  <c r="AV65" i="14"/>
  <c r="AT65" i="14"/>
  <c r="AR65" i="14"/>
  <c r="AP65" i="14"/>
  <c r="AN65" i="14"/>
  <c r="AL65" i="14"/>
  <c r="AJ65" i="14"/>
  <c r="AH65" i="14"/>
  <c r="AF65" i="14"/>
  <c r="AD65" i="14"/>
  <c r="AB65" i="14"/>
  <c r="Z65" i="14"/>
  <c r="X65" i="14"/>
  <c r="V65" i="14"/>
  <c r="BD64" i="14"/>
  <c r="AZ64" i="14"/>
  <c r="AX64" i="14"/>
  <c r="AV64" i="14"/>
  <c r="AT64" i="14"/>
  <c r="AR64" i="14"/>
  <c r="AP64" i="14"/>
  <c r="AN64" i="14"/>
  <c r="AL64" i="14"/>
  <c r="AJ64" i="14"/>
  <c r="AH64" i="14"/>
  <c r="AF64" i="14"/>
  <c r="AD64" i="14"/>
  <c r="AB64" i="14"/>
  <c r="Z64" i="14"/>
  <c r="X64" i="14"/>
  <c r="V64" i="14"/>
  <c r="T64" i="14"/>
  <c r="R64" i="14"/>
  <c r="P64" i="14"/>
  <c r="N64" i="14"/>
  <c r="L64" i="14"/>
  <c r="J64" i="14"/>
  <c r="BD63" i="14"/>
  <c r="BB63" i="14"/>
  <c r="AZ63" i="14"/>
  <c r="AX63" i="14"/>
  <c r="AV63" i="14"/>
  <c r="AT63" i="14"/>
  <c r="AR63" i="14"/>
  <c r="AP63" i="14"/>
  <c r="AN63" i="14"/>
  <c r="AL63" i="14"/>
  <c r="AJ63" i="14"/>
  <c r="AH63" i="14"/>
  <c r="AF63" i="14"/>
  <c r="AD63" i="14"/>
  <c r="AB63" i="14"/>
  <c r="Z63" i="14"/>
  <c r="X63" i="14"/>
  <c r="V63" i="14"/>
  <c r="T63" i="14"/>
  <c r="R63" i="14"/>
  <c r="P63" i="14"/>
  <c r="N63" i="14"/>
  <c r="L63" i="14"/>
  <c r="J63" i="14"/>
  <c r="X60" i="14"/>
  <c r="V60" i="14"/>
  <c r="T60" i="14"/>
  <c r="R60" i="14"/>
  <c r="P60" i="14"/>
  <c r="N60" i="14"/>
  <c r="L60" i="14"/>
  <c r="CE59" i="14"/>
  <c r="A56" i="14"/>
  <c r="H50" i="14"/>
  <c r="F50" i="14"/>
  <c r="D50" i="14"/>
  <c r="B50" i="14"/>
  <c r="BD50" i="14"/>
  <c r="BB50" i="14"/>
  <c r="AZ50" i="14"/>
  <c r="AX50" i="14"/>
  <c r="AV50" i="14"/>
  <c r="AT50" i="14"/>
  <c r="AR50" i="14"/>
  <c r="AP50" i="14"/>
  <c r="AN50" i="14"/>
  <c r="AL50" i="14"/>
  <c r="AJ50" i="14"/>
  <c r="AH50" i="14"/>
  <c r="AF50" i="14"/>
  <c r="AD50" i="14"/>
  <c r="AB50" i="14"/>
  <c r="Z50" i="14"/>
  <c r="X50" i="14"/>
  <c r="V50" i="14"/>
  <c r="T50" i="14"/>
  <c r="R50" i="14"/>
  <c r="P50" i="14"/>
  <c r="N50" i="14"/>
  <c r="L50" i="14"/>
  <c r="J50" i="14"/>
  <c r="CE47" i="14"/>
  <c r="CE46" i="14"/>
  <c r="CE45" i="14"/>
  <c r="CE44" i="14"/>
  <c r="CE42" i="14"/>
  <c r="CC34" i="14"/>
  <c r="CC33" i="14"/>
  <c r="CC29" i="14"/>
  <c r="CA34" i="14"/>
  <c r="CA33" i="14"/>
  <c r="CA29" i="14"/>
  <c r="BY34" i="14"/>
  <c r="BY33" i="14"/>
  <c r="BY29" i="14"/>
  <c r="BW34" i="14"/>
  <c r="BW33" i="14"/>
  <c r="BW29" i="14"/>
  <c r="BD34" i="14"/>
  <c r="BD32" i="14"/>
  <c r="BD31" i="14"/>
  <c r="BD30" i="14"/>
  <c r="BB34" i="14"/>
  <c r="BB31" i="14"/>
  <c r="BB30" i="14"/>
  <c r="AZ34" i="14"/>
  <c r="AZ31" i="14"/>
  <c r="AZ30" i="14"/>
  <c r="AX34" i="14"/>
  <c r="AX31" i="14"/>
  <c r="AX30" i="14"/>
  <c r="AV34" i="14"/>
  <c r="AV31" i="14"/>
  <c r="AV30" i="14"/>
  <c r="AT34" i="14"/>
  <c r="AT31" i="14"/>
  <c r="AT30" i="14"/>
  <c r="AR34" i="14"/>
  <c r="AR31" i="14"/>
  <c r="AR30" i="14"/>
  <c r="AP34" i="14"/>
  <c r="AP31" i="14"/>
  <c r="AP30" i="14"/>
  <c r="AN34" i="14"/>
  <c r="AN31" i="14"/>
  <c r="AN30" i="14"/>
  <c r="AL34" i="14"/>
  <c r="AL31" i="14"/>
  <c r="AL30" i="14"/>
  <c r="AJ34" i="14"/>
  <c r="AJ31" i="14"/>
  <c r="AJ30" i="14"/>
  <c r="AH34" i="14"/>
  <c r="AH31" i="14"/>
  <c r="AH30" i="14"/>
  <c r="AF34" i="14"/>
  <c r="AF31" i="14"/>
  <c r="AF30" i="14"/>
  <c r="AD34" i="14"/>
  <c r="AD31" i="14"/>
  <c r="AD30" i="14"/>
  <c r="AB34" i="14"/>
  <c r="AB31" i="14"/>
  <c r="AB30" i="14"/>
  <c r="Z34" i="14"/>
  <c r="Z31" i="14"/>
  <c r="Z30" i="14"/>
  <c r="X34" i="14"/>
  <c r="X31" i="14"/>
  <c r="X30" i="14"/>
  <c r="V34" i="14"/>
  <c r="V32" i="14"/>
  <c r="V31" i="14"/>
  <c r="V30" i="14"/>
  <c r="T34" i="14"/>
  <c r="T32" i="14"/>
  <c r="T31" i="14"/>
  <c r="T30" i="14"/>
  <c r="R34" i="14"/>
  <c r="R32" i="14"/>
  <c r="R31" i="14"/>
  <c r="R30" i="14"/>
  <c r="P34" i="14"/>
  <c r="P32" i="14"/>
  <c r="P31" i="14"/>
  <c r="P30" i="14"/>
  <c r="N34" i="14"/>
  <c r="N32" i="14"/>
  <c r="N31" i="14"/>
  <c r="N30" i="14"/>
  <c r="L34" i="14"/>
  <c r="L32" i="14"/>
  <c r="L31" i="14"/>
  <c r="L30" i="14"/>
  <c r="J34" i="14"/>
  <c r="J32" i="14"/>
  <c r="J31" i="14"/>
  <c r="J30" i="14"/>
  <c r="H35" i="14"/>
  <c r="H34" i="14"/>
  <c r="H31" i="14"/>
  <c r="H30" i="14"/>
  <c r="F35" i="14"/>
  <c r="F34" i="14"/>
  <c r="F31" i="14"/>
  <c r="F30" i="14"/>
  <c r="D35" i="14"/>
  <c r="D34" i="14"/>
  <c r="D31" i="14"/>
  <c r="D30" i="14"/>
  <c r="B35" i="14"/>
  <c r="B34" i="14"/>
  <c r="B31" i="14"/>
  <c r="B30" i="14"/>
  <c r="BK23" i="14"/>
  <c r="BD23" i="14"/>
  <c r="BB23" i="14"/>
  <c r="AZ23" i="14"/>
  <c r="AX23" i="14"/>
  <c r="AV23" i="14"/>
  <c r="AT23" i="14"/>
  <c r="AR23" i="14"/>
  <c r="AP23" i="14"/>
  <c r="AN23" i="14"/>
  <c r="AL23" i="14"/>
  <c r="AJ23" i="14"/>
  <c r="AH23" i="14"/>
  <c r="AF23" i="14"/>
  <c r="AD23" i="14"/>
  <c r="AB23" i="14"/>
  <c r="Z23" i="14"/>
  <c r="X23" i="14"/>
  <c r="V23" i="14"/>
  <c r="CE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CE9" i="14"/>
  <c r="CD9" i="14"/>
  <c r="CC9" i="14"/>
  <c r="CB9" i="14"/>
  <c r="CA9" i="14"/>
  <c r="BZ9" i="14"/>
  <c r="BY9" i="14"/>
  <c r="BX9" i="14"/>
  <c r="BW9" i="14"/>
  <c r="BV9" i="14"/>
  <c r="BU9" i="14"/>
  <c r="BS9" i="14"/>
  <c r="BE15" i="14"/>
  <c r="BD15" i="14"/>
  <c r="BC15" i="14"/>
  <c r="BB15" i="14"/>
  <c r="BA15" i="14"/>
  <c r="AZ15" i="14"/>
  <c r="AY15" i="14"/>
  <c r="AX15" i="14"/>
  <c r="AV15" i="14"/>
  <c r="BD9" i="14"/>
  <c r="BB9" i="14"/>
  <c r="BA9" i="14"/>
  <c r="AZ9" i="14"/>
  <c r="AY9" i="14"/>
  <c r="AX9" i="14"/>
  <c r="AV9" i="14"/>
  <c r="AU9" i="14"/>
  <c r="AT9" i="14"/>
  <c r="AS9" i="14"/>
  <c r="AR9" i="14"/>
  <c r="AQ9" i="14"/>
  <c r="AP9" i="14"/>
  <c r="CE5" i="14"/>
  <c r="CE60" i="14" s="1"/>
  <c r="CD5" i="14"/>
  <c r="CD60" i="14" s="1"/>
  <c r="CC5" i="14"/>
  <c r="CC60" i="14" s="1"/>
  <c r="CB5" i="14"/>
  <c r="CB60" i="14" s="1"/>
  <c r="CA5" i="14"/>
  <c r="CA60" i="14" s="1"/>
  <c r="BZ5" i="14"/>
  <c r="BZ60" i="14" s="1"/>
  <c r="BY5" i="14"/>
  <c r="BY60" i="14" s="1"/>
  <c r="BX5" i="14"/>
  <c r="BX60" i="14" s="1"/>
  <c r="BW5" i="14"/>
  <c r="BW60" i="14" s="1"/>
  <c r="BV5" i="14"/>
  <c r="BV60" i="14" s="1"/>
  <c r="BU5" i="14"/>
  <c r="BU60" i="14" s="1"/>
  <c r="BT5" i="14"/>
  <c r="BT60" i="14" s="1"/>
  <c r="BS5" i="14"/>
  <c r="BS60" i="14" s="1"/>
  <c r="BR5" i="14"/>
  <c r="BR60" i="14" s="1"/>
  <c r="BQ5" i="14"/>
  <c r="BQ60" i="14" s="1"/>
  <c r="BP5" i="14"/>
  <c r="BP60" i="14" s="1"/>
  <c r="BO5" i="14"/>
  <c r="BO60" i="14" s="1"/>
  <c r="BN5" i="14"/>
  <c r="BN60" i="14" s="1"/>
  <c r="BM5" i="14"/>
  <c r="BM60" i="14" s="1"/>
  <c r="BL5" i="14"/>
  <c r="BL60" i="14" s="1"/>
  <c r="BK5" i="14"/>
  <c r="BK60" i="14" s="1"/>
  <c r="BJ5" i="14"/>
  <c r="BJ60" i="14" s="1"/>
  <c r="BI5" i="14"/>
  <c r="BI60" i="14" s="1"/>
  <c r="BH5" i="14"/>
  <c r="BH60" i="14" s="1"/>
  <c r="BG5" i="14"/>
  <c r="BG60" i="14" s="1"/>
  <c r="BE5" i="14"/>
  <c r="BE60" i="14" s="1"/>
  <c r="BD5" i="14"/>
  <c r="BD60" i="14" s="1"/>
  <c r="BC5" i="14"/>
  <c r="BC60" i="14" s="1"/>
  <c r="BB5" i="14"/>
  <c r="BB60" i="14" s="1"/>
  <c r="BA5" i="14"/>
  <c r="BA60" i="14" s="1"/>
  <c r="AZ5" i="14"/>
  <c r="AZ60" i="14" s="1"/>
  <c r="AY5" i="14"/>
  <c r="AY60" i="14" s="1"/>
  <c r="AX5" i="14"/>
  <c r="AX60" i="14" s="1"/>
  <c r="AW5" i="14"/>
  <c r="AW60" i="14" s="1"/>
  <c r="AV5" i="14"/>
  <c r="AV60" i="14" s="1"/>
  <c r="AU5" i="14"/>
  <c r="AU60" i="14" s="1"/>
  <c r="AT5" i="14"/>
  <c r="AT60" i="14" s="1"/>
  <c r="AS5" i="14"/>
  <c r="AS60" i="14" s="1"/>
  <c r="AR5" i="14"/>
  <c r="AR60" i="14" s="1"/>
  <c r="AQ5" i="14"/>
  <c r="AQ60" i="14" s="1"/>
  <c r="AP5" i="14"/>
  <c r="AP60" i="14" s="1"/>
  <c r="AO5" i="14"/>
  <c r="AO60" i="14" s="1"/>
  <c r="AN5" i="14"/>
  <c r="AN60" i="14" s="1"/>
  <c r="AM5" i="14"/>
  <c r="AM60" i="14" s="1"/>
  <c r="AL5" i="14"/>
  <c r="AL60" i="14" s="1"/>
  <c r="AK5" i="14"/>
  <c r="AK60" i="14" s="1"/>
  <c r="AJ5" i="14"/>
  <c r="AJ60" i="14" s="1"/>
  <c r="AI5" i="14"/>
  <c r="AI60" i="14" s="1"/>
  <c r="AH5" i="14"/>
  <c r="AH60" i="14" s="1"/>
  <c r="AG5" i="14"/>
  <c r="AG60" i="14" s="1"/>
  <c r="AF5" i="14"/>
  <c r="AF60" i="14" s="1"/>
  <c r="AE5" i="14"/>
  <c r="AE60" i="14" s="1"/>
  <c r="AD5" i="14"/>
  <c r="AD60" i="14" s="1"/>
  <c r="AC5" i="14"/>
  <c r="AC60" i="14" s="1"/>
  <c r="AB5" i="14"/>
  <c r="AB60" i="14" s="1"/>
  <c r="AA5" i="14"/>
  <c r="AA60" i="14" s="1"/>
  <c r="Z5" i="14"/>
  <c r="Z60" i="14" s="1"/>
  <c r="Y5" i="14"/>
  <c r="Y60" i="14" s="1"/>
  <c r="W5" i="14"/>
  <c r="W60" i="14" s="1"/>
  <c r="U5" i="14"/>
  <c r="U60" i="14" s="1"/>
  <c r="S5" i="14"/>
  <c r="S60" i="14" s="1"/>
  <c r="Q5" i="14"/>
  <c r="Q60" i="14" s="1"/>
  <c r="O5" i="14"/>
  <c r="O60" i="14" s="1"/>
  <c r="M5" i="14"/>
  <c r="M60" i="14" s="1"/>
  <c r="K5" i="14"/>
  <c r="K60" i="14" s="1"/>
  <c r="J5" i="14"/>
  <c r="J60" i="14" s="1"/>
  <c r="H5" i="14"/>
  <c r="H60" i="14" s="1"/>
  <c r="F5" i="14"/>
  <c r="F60" i="14" s="1"/>
  <c r="D5" i="14"/>
  <c r="D60" i="14" s="1"/>
  <c r="B5" i="14"/>
  <c r="B60" i="14" s="1"/>
  <c r="CE4" i="14"/>
  <c r="CE3" i="14"/>
  <c r="A98" i="13"/>
  <c r="A97" i="13"/>
  <c r="A96" i="13"/>
  <c r="A95" i="13"/>
  <c r="A94" i="13"/>
  <c r="A93" i="13"/>
  <c r="A92" i="13"/>
  <c r="A91" i="13"/>
  <c r="CM99" i="13"/>
  <c r="A87" i="13"/>
  <c r="A86" i="13"/>
  <c r="A85" i="13"/>
  <c r="A84" i="13"/>
  <c r="A83" i="13"/>
  <c r="A82" i="13"/>
  <c r="A81" i="13"/>
  <c r="A80" i="13"/>
  <c r="CM89" i="13"/>
  <c r="CM88" i="13"/>
  <c r="A78" i="13"/>
  <c r="A77" i="13"/>
  <c r="A76" i="13"/>
  <c r="A75" i="13"/>
  <c r="A74" i="13"/>
  <c r="A73" i="13"/>
  <c r="A72" i="13"/>
  <c r="A71" i="13"/>
  <c r="A70" i="13"/>
  <c r="H66" i="13"/>
  <c r="H65" i="13"/>
  <c r="F66" i="13"/>
  <c r="F65" i="13"/>
  <c r="D66" i="13"/>
  <c r="D65" i="13"/>
  <c r="B66" i="13"/>
  <c r="B65" i="13"/>
  <c r="BS67" i="13"/>
  <c r="BD67" i="13"/>
  <c r="BB67" i="13"/>
  <c r="AZ67" i="13"/>
  <c r="AX67" i="13"/>
  <c r="AV67" i="13"/>
  <c r="AT67" i="13"/>
  <c r="AR67" i="13"/>
  <c r="AP67" i="13"/>
  <c r="AN67" i="13"/>
  <c r="AL67" i="13"/>
  <c r="AJ67" i="13"/>
  <c r="AH67" i="13"/>
  <c r="AF67" i="13"/>
  <c r="AD67" i="13"/>
  <c r="AB67" i="13"/>
  <c r="Z67" i="13"/>
  <c r="X67" i="13"/>
  <c r="V67" i="13"/>
  <c r="BD66" i="13"/>
  <c r="AZ66" i="13"/>
  <c r="AX66" i="13"/>
  <c r="AV66" i="13"/>
  <c r="AT66" i="13"/>
  <c r="AR66" i="13"/>
  <c r="AP66" i="13"/>
  <c r="AN66" i="13"/>
  <c r="AL66" i="13"/>
  <c r="AJ66" i="13"/>
  <c r="AH66" i="13"/>
  <c r="AF66" i="13"/>
  <c r="AD66" i="13"/>
  <c r="AB66" i="13"/>
  <c r="Z66" i="13"/>
  <c r="X66" i="13"/>
  <c r="V66" i="13"/>
  <c r="T66" i="13"/>
  <c r="R66" i="13"/>
  <c r="P66" i="13"/>
  <c r="N66" i="13"/>
  <c r="L66" i="13"/>
  <c r="J66" i="13"/>
  <c r="BD65" i="13"/>
  <c r="BB65" i="13"/>
  <c r="AZ65" i="13"/>
  <c r="AX65" i="13"/>
  <c r="AV65" i="13"/>
  <c r="AT65" i="13"/>
  <c r="AR65" i="13"/>
  <c r="AP65" i="13"/>
  <c r="AN65" i="13"/>
  <c r="AL65" i="13"/>
  <c r="AJ65" i="13"/>
  <c r="AH65" i="13"/>
  <c r="AF65" i="13"/>
  <c r="AD65" i="13"/>
  <c r="AB65" i="13"/>
  <c r="Z65" i="13"/>
  <c r="X65" i="13"/>
  <c r="V65" i="13"/>
  <c r="T65" i="13"/>
  <c r="R65" i="13"/>
  <c r="P65" i="13"/>
  <c r="N65" i="13"/>
  <c r="L65" i="13"/>
  <c r="J65" i="13"/>
  <c r="X63" i="13"/>
  <c r="V63" i="13"/>
  <c r="T63" i="13"/>
  <c r="R63" i="13"/>
  <c r="P63" i="13"/>
  <c r="N63" i="13"/>
  <c r="L63" i="13"/>
  <c r="A59" i="13"/>
  <c r="H53" i="13"/>
  <c r="F53" i="13"/>
  <c r="D53" i="13"/>
  <c r="B53" i="13"/>
  <c r="BD53" i="13"/>
  <c r="BB53" i="13"/>
  <c r="AZ53" i="13"/>
  <c r="AX53" i="13"/>
  <c r="AV53" i="13"/>
  <c r="AT53" i="13"/>
  <c r="AR53" i="13"/>
  <c r="AP53" i="13"/>
  <c r="AN53" i="13"/>
  <c r="AL53" i="13"/>
  <c r="AJ53" i="13"/>
  <c r="AH53" i="13"/>
  <c r="AF53" i="13"/>
  <c r="AD53" i="13"/>
  <c r="AB53" i="13"/>
  <c r="Z53" i="13"/>
  <c r="X53" i="13"/>
  <c r="V53" i="13"/>
  <c r="T53" i="13"/>
  <c r="R53" i="13"/>
  <c r="P53" i="13"/>
  <c r="N53" i="13"/>
  <c r="L53" i="13"/>
  <c r="J53" i="13"/>
  <c r="CM50" i="13"/>
  <c r="CM49" i="13"/>
  <c r="CM48" i="13"/>
  <c r="CM47" i="13"/>
  <c r="CM45" i="13"/>
  <c r="CM44" i="13"/>
  <c r="CE38" i="13"/>
  <c r="CE37" i="13"/>
  <c r="CE33" i="13"/>
  <c r="BD38" i="13"/>
  <c r="BD36" i="13"/>
  <c r="BD35" i="13"/>
  <c r="BD34" i="13"/>
  <c r="BB38" i="13"/>
  <c r="BB35" i="13"/>
  <c r="BB34" i="13"/>
  <c r="AZ38" i="13"/>
  <c r="AZ35" i="13"/>
  <c r="AZ34" i="13"/>
  <c r="AX38" i="13"/>
  <c r="AX35" i="13"/>
  <c r="AX34" i="13"/>
  <c r="AV38" i="13"/>
  <c r="AV35" i="13"/>
  <c r="AV34" i="13"/>
  <c r="AT38" i="13"/>
  <c r="AT35" i="13"/>
  <c r="AT34" i="13"/>
  <c r="AR38" i="13"/>
  <c r="AR35" i="13"/>
  <c r="AR34" i="13"/>
  <c r="AP38" i="13"/>
  <c r="AP35" i="13"/>
  <c r="AP34" i="13"/>
  <c r="AN38" i="13"/>
  <c r="AN35" i="13"/>
  <c r="AN34" i="13"/>
  <c r="AL38" i="13"/>
  <c r="AL35" i="13"/>
  <c r="AL34" i="13"/>
  <c r="AJ38" i="13"/>
  <c r="AJ35" i="13"/>
  <c r="AJ34" i="13"/>
  <c r="AH38" i="13"/>
  <c r="AH35" i="13"/>
  <c r="AH34" i="13"/>
  <c r="AF38" i="13"/>
  <c r="AF35" i="13"/>
  <c r="AF34" i="13"/>
  <c r="AD38" i="13"/>
  <c r="AD35" i="13"/>
  <c r="AD34" i="13"/>
  <c r="AB38" i="13"/>
  <c r="AB35" i="13"/>
  <c r="AB34" i="13"/>
  <c r="Z38" i="13"/>
  <c r="Z35" i="13"/>
  <c r="Z34" i="13"/>
  <c r="X38" i="13"/>
  <c r="X35" i="13"/>
  <c r="X34" i="13"/>
  <c r="V38" i="13"/>
  <c r="V36" i="13"/>
  <c r="V35" i="13"/>
  <c r="V34" i="13"/>
  <c r="T38" i="13"/>
  <c r="T36" i="13"/>
  <c r="T35" i="13"/>
  <c r="T34" i="13"/>
  <c r="R38" i="13"/>
  <c r="R36" i="13"/>
  <c r="R35" i="13"/>
  <c r="R34" i="13"/>
  <c r="P38" i="13"/>
  <c r="P36" i="13"/>
  <c r="P35" i="13"/>
  <c r="P34" i="13"/>
  <c r="N38" i="13"/>
  <c r="N36" i="13"/>
  <c r="N35" i="13"/>
  <c r="N34" i="13"/>
  <c r="L38" i="13"/>
  <c r="L36" i="13"/>
  <c r="L35" i="13"/>
  <c r="L34" i="13"/>
  <c r="J38" i="13"/>
  <c r="J36" i="13"/>
  <c r="J35" i="13"/>
  <c r="J34" i="13"/>
  <c r="H39" i="13"/>
  <c r="H38" i="13"/>
  <c r="H35" i="13"/>
  <c r="H34" i="13"/>
  <c r="F39" i="13"/>
  <c r="F38" i="13"/>
  <c r="F35" i="13"/>
  <c r="F34" i="13"/>
  <c r="D39" i="13"/>
  <c r="D38" i="13"/>
  <c r="D35" i="13"/>
  <c r="D34" i="13"/>
  <c r="B39" i="13"/>
  <c r="B38" i="13"/>
  <c r="B35" i="13"/>
  <c r="B34" i="13"/>
  <c r="CK38" i="13"/>
  <c r="CI38" i="13"/>
  <c r="CG38" i="13"/>
  <c r="CK37" i="13"/>
  <c r="CI37" i="13"/>
  <c r="CG37" i="13"/>
  <c r="CK33" i="13"/>
  <c r="CI33" i="13"/>
  <c r="CG33" i="13"/>
  <c r="BS24" i="13"/>
  <c r="BD24" i="13"/>
  <c r="BB24" i="13"/>
  <c r="AZ24" i="13"/>
  <c r="AX24" i="13"/>
  <c r="AV24" i="13"/>
  <c r="AT24" i="13"/>
  <c r="AR24" i="13"/>
  <c r="AP24" i="13"/>
  <c r="AN24" i="13"/>
  <c r="AL24" i="13"/>
  <c r="AJ24" i="13"/>
  <c r="AH24" i="13"/>
  <c r="AF24" i="13"/>
  <c r="AD24" i="13"/>
  <c r="AB24" i="13"/>
  <c r="Z24" i="13"/>
  <c r="X24" i="13"/>
  <c r="V24" i="13"/>
  <c r="CM14" i="13"/>
  <c r="CL14" i="13"/>
  <c r="CK14" i="13"/>
  <c r="CJ14" i="13"/>
  <c r="CI14" i="13"/>
  <c r="CH14" i="13"/>
  <c r="CG14" i="13"/>
  <c r="CF14" i="13"/>
  <c r="CE14" i="13"/>
  <c r="CD14" i="13"/>
  <c r="CC14" i="13"/>
  <c r="CB14" i="13"/>
  <c r="CA14" i="13"/>
  <c r="BZ14" i="13"/>
  <c r="CM8" i="13"/>
  <c r="CL8" i="13"/>
  <c r="CK8" i="13"/>
  <c r="CJ8" i="13"/>
  <c r="CI8" i="13"/>
  <c r="CH8" i="13"/>
  <c r="CG8" i="13"/>
  <c r="CF8" i="13"/>
  <c r="CE8" i="13"/>
  <c r="CD8" i="13"/>
  <c r="CC8" i="13"/>
  <c r="CA8" i="13"/>
  <c r="BE14" i="13"/>
  <c r="BD14" i="13"/>
  <c r="BC14" i="13"/>
  <c r="BB14" i="13"/>
  <c r="BA14" i="13"/>
  <c r="AZ14" i="13"/>
  <c r="AY14" i="13"/>
  <c r="AX14" i="13"/>
  <c r="AV14" i="13"/>
  <c r="BD8" i="13"/>
  <c r="BB8" i="13"/>
  <c r="BA8" i="13"/>
  <c r="AZ8" i="13"/>
  <c r="AY8" i="13"/>
  <c r="AX8" i="13"/>
  <c r="AV8" i="13"/>
  <c r="AU8" i="13"/>
  <c r="AT8" i="13"/>
  <c r="AS8" i="13"/>
  <c r="AR8" i="13"/>
  <c r="AQ8" i="13"/>
  <c r="AP8" i="13"/>
  <c r="CM5" i="13"/>
  <c r="CM63" i="13" s="1"/>
  <c r="CL5" i="13"/>
  <c r="CL63" i="13" s="1"/>
  <c r="CK5" i="13"/>
  <c r="CK63" i="13" s="1"/>
  <c r="CJ5" i="13"/>
  <c r="CJ63" i="13" s="1"/>
  <c r="CI5" i="13"/>
  <c r="CI63" i="13" s="1"/>
  <c r="CH5" i="13"/>
  <c r="CH63" i="13" s="1"/>
  <c r="CG5" i="13"/>
  <c r="CG63" i="13" s="1"/>
  <c r="CF5" i="13"/>
  <c r="CF63" i="13" s="1"/>
  <c r="CE5" i="13"/>
  <c r="CE63" i="13" s="1"/>
  <c r="CD5" i="13"/>
  <c r="CD63" i="13" s="1"/>
  <c r="CC5" i="13"/>
  <c r="CC63" i="13" s="1"/>
  <c r="CB5" i="13"/>
  <c r="CB63" i="13" s="1"/>
  <c r="CA5" i="13"/>
  <c r="CA63" i="13" s="1"/>
  <c r="BZ5" i="13"/>
  <c r="BZ63" i="13" s="1"/>
  <c r="BY5" i="13"/>
  <c r="BY63" i="13" s="1"/>
  <c r="BX5" i="13"/>
  <c r="BX63" i="13" s="1"/>
  <c r="BW5" i="13"/>
  <c r="BW63" i="13" s="1"/>
  <c r="BV5" i="13"/>
  <c r="BV63" i="13" s="1"/>
  <c r="BU5" i="13"/>
  <c r="BU63" i="13" s="1"/>
  <c r="BT5" i="13"/>
  <c r="BT63" i="13" s="1"/>
  <c r="BS5" i="13"/>
  <c r="BS63" i="13" s="1"/>
  <c r="BR5" i="13"/>
  <c r="BR63" i="13" s="1"/>
  <c r="BQ5" i="13"/>
  <c r="BQ63" i="13" s="1"/>
  <c r="BP5" i="13"/>
  <c r="BP63" i="13" s="1"/>
  <c r="BO5" i="13"/>
  <c r="BO63" i="13" s="1"/>
  <c r="BE5" i="13"/>
  <c r="BE63" i="13" s="1"/>
  <c r="BD5" i="13"/>
  <c r="BD63" i="13" s="1"/>
  <c r="BC5" i="13"/>
  <c r="BC63" i="13" s="1"/>
  <c r="BB5" i="13"/>
  <c r="BB63" i="13" s="1"/>
  <c r="BA5" i="13"/>
  <c r="BA63" i="13" s="1"/>
  <c r="AZ5" i="13"/>
  <c r="AZ63" i="13" s="1"/>
  <c r="AY5" i="13"/>
  <c r="AY63" i="13" s="1"/>
  <c r="AX5" i="13"/>
  <c r="AX63" i="13" s="1"/>
  <c r="AW5" i="13"/>
  <c r="AW63" i="13" s="1"/>
  <c r="AV5" i="13"/>
  <c r="AV63" i="13" s="1"/>
  <c r="AU5" i="13"/>
  <c r="AU63" i="13" s="1"/>
  <c r="AT5" i="13"/>
  <c r="AT63" i="13" s="1"/>
  <c r="AS5" i="13"/>
  <c r="AS63" i="13" s="1"/>
  <c r="AR5" i="13"/>
  <c r="AR63" i="13" s="1"/>
  <c r="AQ5" i="13"/>
  <c r="AQ63" i="13" s="1"/>
  <c r="AP5" i="13"/>
  <c r="AP63" i="13" s="1"/>
  <c r="AO5" i="13"/>
  <c r="AO63" i="13" s="1"/>
  <c r="AN5" i="13"/>
  <c r="AN63" i="13" s="1"/>
  <c r="AM5" i="13"/>
  <c r="AM63" i="13" s="1"/>
  <c r="AL5" i="13"/>
  <c r="AL63" i="13" s="1"/>
  <c r="AK5" i="13"/>
  <c r="AK63" i="13" s="1"/>
  <c r="AJ5" i="13"/>
  <c r="AJ63" i="13" s="1"/>
  <c r="AI5" i="13"/>
  <c r="AI63" i="13" s="1"/>
  <c r="AH5" i="13"/>
  <c r="AH63" i="13" s="1"/>
  <c r="AG5" i="13"/>
  <c r="AG63" i="13" s="1"/>
  <c r="AF5" i="13"/>
  <c r="AF63" i="13" s="1"/>
  <c r="AE5" i="13"/>
  <c r="AE63" i="13" s="1"/>
  <c r="AD5" i="13"/>
  <c r="AD63" i="13" s="1"/>
  <c r="AC5" i="13"/>
  <c r="AC63" i="13" s="1"/>
  <c r="AB5" i="13"/>
  <c r="AB63" i="13" s="1"/>
  <c r="AA5" i="13"/>
  <c r="AA63" i="13" s="1"/>
  <c r="Z5" i="13"/>
  <c r="Z63" i="13" s="1"/>
  <c r="Y5" i="13"/>
  <c r="Y63" i="13" s="1"/>
  <c r="W5" i="13"/>
  <c r="W63" i="13" s="1"/>
  <c r="U5" i="13"/>
  <c r="U63" i="13" s="1"/>
  <c r="S5" i="13"/>
  <c r="S63" i="13" s="1"/>
  <c r="Q5" i="13"/>
  <c r="Q63" i="13" s="1"/>
  <c r="O5" i="13"/>
  <c r="O63" i="13" s="1"/>
  <c r="M5" i="13"/>
  <c r="M63" i="13" s="1"/>
  <c r="K5" i="13"/>
  <c r="K63" i="13" s="1"/>
  <c r="J5" i="13"/>
  <c r="J63" i="13" s="1"/>
  <c r="H5" i="13"/>
  <c r="H63" i="13" s="1"/>
  <c r="F5" i="13"/>
  <c r="F63" i="13" s="1"/>
  <c r="D5" i="13"/>
  <c r="D63" i="13" s="1"/>
  <c r="B5" i="13"/>
  <c r="B63" i="13" s="1"/>
  <c r="CM4" i="13"/>
  <c r="CM62" i="13" s="1"/>
  <c r="CM3" i="13"/>
  <c r="CM61" i="13" s="1"/>
  <c r="BE23" i="14"/>
  <c r="BA24" i="13"/>
  <c r="AW24" i="13"/>
  <c r="AS24" i="13"/>
  <c r="BE64" i="14"/>
  <c r="BE63" i="14"/>
  <c r="BS50" i="14"/>
  <c r="BE50" i="14"/>
  <c r="CB34" i="14"/>
  <c r="CB33" i="14"/>
  <c r="CB29" i="14"/>
  <c r="BZ34" i="14"/>
  <c r="BZ33" i="14"/>
  <c r="BZ29" i="14"/>
  <c r="BE34" i="14"/>
  <c r="BE31" i="14"/>
  <c r="BE30" i="14"/>
  <c r="BC34" i="14"/>
  <c r="BC31" i="14"/>
  <c r="BC30" i="14"/>
  <c r="BA34" i="14"/>
  <c r="BA31" i="14"/>
  <c r="BA30" i="14"/>
  <c r="AY34" i="14"/>
  <c r="AY31" i="14"/>
  <c r="AY30" i="14"/>
  <c r="AW34" i="14"/>
  <c r="AW31" i="14"/>
  <c r="AW30" i="14"/>
  <c r="AU34" i="14"/>
  <c r="AU31" i="14"/>
  <c r="AU30" i="14"/>
  <c r="AS34" i="14"/>
  <c r="AS31" i="14"/>
  <c r="AS30" i="14"/>
  <c r="AQ34" i="14"/>
  <c r="AQ31" i="14"/>
  <c r="AQ30" i="14"/>
  <c r="AO34" i="14"/>
  <c r="AO31" i="14"/>
  <c r="AO30" i="14"/>
  <c r="AM34" i="14"/>
  <c r="AM31" i="14"/>
  <c r="AM30" i="14"/>
  <c r="AK34" i="14"/>
  <c r="AK31" i="14"/>
  <c r="AK30" i="14"/>
  <c r="AI34" i="14"/>
  <c r="AI31" i="14"/>
  <c r="AI30" i="14"/>
  <c r="AG34" i="14"/>
  <c r="AG31" i="14"/>
  <c r="AG30" i="14"/>
  <c r="AE34" i="14"/>
  <c r="AE31" i="14"/>
  <c r="AE30" i="14"/>
  <c r="AC34" i="14"/>
  <c r="AC31" i="14"/>
  <c r="AC30" i="14"/>
  <c r="AA34" i="14"/>
  <c r="AA31" i="14"/>
  <c r="AA30" i="14"/>
  <c r="Y34" i="14"/>
  <c r="Y31" i="14"/>
  <c r="Y30" i="14"/>
  <c r="W34" i="14"/>
  <c r="W32" i="14"/>
  <c r="W31" i="14"/>
  <c r="W30" i="14"/>
  <c r="U34" i="14"/>
  <c r="U32" i="14"/>
  <c r="U31" i="14"/>
  <c r="U30" i="14"/>
  <c r="S34" i="14"/>
  <c r="S32" i="14"/>
  <c r="S31" i="14"/>
  <c r="S30" i="14"/>
  <c r="Q34" i="14"/>
  <c r="Q31" i="14"/>
  <c r="Q30" i="14"/>
  <c r="O34" i="14"/>
  <c r="O31" i="14"/>
  <c r="O30" i="14"/>
  <c r="M34" i="14"/>
  <c r="M31" i="14"/>
  <c r="M30" i="14"/>
  <c r="K34" i="14"/>
  <c r="K31" i="14"/>
  <c r="K30" i="14"/>
  <c r="BS34" i="14"/>
  <c r="BH34" i="14"/>
  <c r="Q32" i="14"/>
  <c r="M32" i="14"/>
  <c r="BS30" i="14"/>
  <c r="BH30" i="14"/>
  <c r="CD34" i="14"/>
  <c r="CD33" i="14"/>
  <c r="CD29" i="14"/>
  <c r="R18" i="14"/>
  <c r="P18" i="14"/>
  <c r="N18" i="14"/>
  <c r="L18" i="14"/>
  <c r="J18" i="14"/>
  <c r="F18" i="14"/>
  <c r="D18" i="14"/>
  <c r="B18" i="14"/>
  <c r="BI18" i="14"/>
  <c r="H15" i="14"/>
  <c r="F15" i="14"/>
  <c r="B15" i="14"/>
  <c r="BD14" i="14"/>
  <c r="AN14" i="14"/>
  <c r="AF14" i="14"/>
  <c r="AB14" i="14"/>
  <c r="X14" i="14"/>
  <c r="T14" i="14"/>
  <c r="P14" i="14"/>
  <c r="L14" i="14"/>
  <c r="H14" i="14"/>
  <c r="F14" i="14"/>
  <c r="D14" i="14"/>
  <c r="BE8" i="13"/>
  <c r="BC8" i="13"/>
  <c r="BE9" i="14"/>
  <c r="BC9" i="14"/>
  <c r="AD130" i="1" l="1"/>
  <c r="AE130" i="1" s="1"/>
  <c r="AE129" i="1"/>
  <c r="CS558" i="1"/>
  <c r="CH558" i="1"/>
  <c r="CS668" i="1"/>
  <c r="CR668" i="1"/>
  <c r="AC556" i="1"/>
  <c r="AB558" i="1"/>
  <c r="AC558" i="1" s="1"/>
  <c r="Z199" i="1"/>
  <c r="AA199" i="1" s="1"/>
  <c r="Z198" i="1"/>
  <c r="AA198" i="1" s="1"/>
  <c r="Z193" i="1"/>
  <c r="AA187" i="1"/>
  <c r="Z200" i="1"/>
  <c r="CS350" i="1"/>
  <c r="CR350" i="1"/>
  <c r="W46" i="1"/>
  <c r="V47" i="1"/>
  <c r="W47" i="1" s="1"/>
  <c r="AC148" i="1"/>
  <c r="AB150" i="1"/>
  <c r="AC150" i="1" s="1"/>
  <c r="AF522" i="1"/>
  <c r="AG518" i="1"/>
  <c r="AF526" i="1"/>
  <c r="AO452" i="1"/>
  <c r="AN455" i="1"/>
  <c r="AP448" i="1"/>
  <c r="CS423" i="1"/>
  <c r="CR423" i="1"/>
  <c r="V218" i="1"/>
  <c r="W218" i="1" s="1"/>
  <c r="W217" i="1"/>
  <c r="AF118" i="1"/>
  <c r="AG102" i="1"/>
  <c r="AF106" i="1"/>
  <c r="AD538" i="1"/>
  <c r="AE538" i="1" s="1"/>
  <c r="AE537" i="1"/>
  <c r="U63" i="1"/>
  <c r="T65" i="1"/>
  <c r="U65" i="1" s="1"/>
  <c r="V36" i="1"/>
  <c r="V41" i="1"/>
  <c r="X28" i="1"/>
  <c r="W35" i="1"/>
  <c r="X258" i="1"/>
  <c r="Y258" i="1" s="1"/>
  <c r="Y221" i="1"/>
  <c r="CP668" i="1"/>
  <c r="CS352" i="1"/>
  <c r="CR352" i="1"/>
  <c r="AH514" i="1"/>
  <c r="AI510" i="1"/>
  <c r="AD133" i="1"/>
  <c r="AD154" i="1"/>
  <c r="AE154" i="1" s="1"/>
  <c r="AE122" i="1"/>
  <c r="AD123" i="1"/>
  <c r="AH110" i="1"/>
  <c r="AG114" i="1"/>
  <c r="AF115" i="1"/>
  <c r="AG115" i="1" s="1"/>
  <c r="S227" i="1"/>
  <c r="R264" i="1"/>
  <c r="S264" i="1" s="1"/>
  <c r="R228" i="1"/>
  <c r="S228" i="1" s="1"/>
  <c r="CS425" i="1"/>
  <c r="CR425" i="1"/>
  <c r="V222" i="1"/>
  <c r="W210" i="1"/>
  <c r="X204" i="1"/>
  <c r="V211" i="1"/>
  <c r="W211" i="1" s="1"/>
  <c r="AD541" i="1"/>
  <c r="AE530" i="1"/>
  <c r="AD562" i="1"/>
  <c r="AE562" i="1" s="1"/>
  <c r="AD531" i="1"/>
  <c r="CS667" i="1"/>
  <c r="CR667" i="1"/>
  <c r="U223" i="1"/>
  <c r="T225" i="1"/>
  <c r="T260" i="1"/>
  <c r="U260" i="1" s="1"/>
  <c r="BZ24" i="13"/>
  <c r="M18" i="14"/>
  <c r="BT64" i="14"/>
  <c r="Q4" i="14"/>
  <c r="Q59" i="14" s="1"/>
  <c r="Q4" i="13"/>
  <c r="Q62" i="13" s="1"/>
  <c r="AO4" i="14"/>
  <c r="AO59" i="14" s="1"/>
  <c r="AO4" i="13"/>
  <c r="AO62" i="13" s="1"/>
  <c r="BE4" i="14"/>
  <c r="BE59" i="14" s="1"/>
  <c r="BE4" i="13"/>
  <c r="BE62" i="13" s="1"/>
  <c r="BN4" i="14"/>
  <c r="BN59" i="14" s="1"/>
  <c r="BV4" i="13"/>
  <c r="BV62" i="13" s="1"/>
  <c r="BV4" i="14"/>
  <c r="BV59" i="14" s="1"/>
  <c r="CD4" i="13"/>
  <c r="CD62" i="13" s="1"/>
  <c r="M4" i="14"/>
  <c r="M59" i="14" s="1"/>
  <c r="M4" i="13"/>
  <c r="M62" i="13" s="1"/>
  <c r="Y4" i="14"/>
  <c r="Y59" i="14" s="1"/>
  <c r="Y4" i="13"/>
  <c r="Y62" i="13" s="1"/>
  <c r="AG4" i="14"/>
  <c r="AG59" i="14" s="1"/>
  <c r="AG4" i="13"/>
  <c r="AG62" i="13" s="1"/>
  <c r="AW4" i="14"/>
  <c r="AW59" i="14" s="1"/>
  <c r="AW4" i="13"/>
  <c r="AW62" i="13" s="1"/>
  <c r="BR4" i="14"/>
  <c r="BR59" i="14" s="1"/>
  <c r="BZ4" i="13"/>
  <c r="BZ62" i="13" s="1"/>
  <c r="CD4" i="14"/>
  <c r="CD59" i="14" s="1"/>
  <c r="CL4" i="13"/>
  <c r="CL62" i="13" s="1"/>
  <c r="O3" i="14"/>
  <c r="O58" i="14" s="1"/>
  <c r="O3" i="13"/>
  <c r="O61" i="13" s="1"/>
  <c r="W3" i="14"/>
  <c r="W58" i="14" s="1"/>
  <c r="W3" i="13"/>
  <c r="W61" i="13" s="1"/>
  <c r="AI3" i="14"/>
  <c r="AI58" i="14" s="1"/>
  <c r="AI3" i="13"/>
  <c r="AI61" i="13" s="1"/>
  <c r="AQ3" i="14"/>
  <c r="AQ58" i="14" s="1"/>
  <c r="AQ3" i="13"/>
  <c r="AQ61" i="13" s="1"/>
  <c r="AY3" i="14"/>
  <c r="AY58" i="14" s="1"/>
  <c r="AY3" i="13"/>
  <c r="AY61" i="13" s="1"/>
  <c r="BH3" i="14"/>
  <c r="BH58" i="14" s="1"/>
  <c r="BP3" i="13"/>
  <c r="BP61" i="13" s="1"/>
  <c r="BP3" i="14"/>
  <c r="BP58" i="14" s="1"/>
  <c r="BX3" i="13"/>
  <c r="BX61" i="13" s="1"/>
  <c r="BX3" i="14"/>
  <c r="BX58" i="14" s="1"/>
  <c r="CF3" i="13"/>
  <c r="CF61" i="13" s="1"/>
  <c r="AC4" i="14"/>
  <c r="AC59" i="14" s="1"/>
  <c r="AC4" i="13"/>
  <c r="AC62" i="13" s="1"/>
  <c r="AS4" i="14"/>
  <c r="AS59" i="14" s="1"/>
  <c r="AS4" i="13"/>
  <c r="AS62" i="13" s="1"/>
  <c r="BZ4" i="14"/>
  <c r="BZ59" i="14" s="1"/>
  <c r="CH4" i="13"/>
  <c r="CH62" i="13" s="1"/>
  <c r="K3" i="14"/>
  <c r="K58" i="14" s="1"/>
  <c r="K3" i="13"/>
  <c r="K61" i="13" s="1"/>
  <c r="S3" i="14"/>
  <c r="S58" i="14" s="1"/>
  <c r="S3" i="13"/>
  <c r="S61" i="13" s="1"/>
  <c r="AA3" i="14"/>
  <c r="AA58" i="14" s="1"/>
  <c r="AA3" i="13"/>
  <c r="AA61" i="13" s="1"/>
  <c r="AE3" i="14"/>
  <c r="AE58" i="14" s="1"/>
  <c r="AE3" i="13"/>
  <c r="AE61" i="13" s="1"/>
  <c r="AM3" i="14"/>
  <c r="AM58" i="14" s="1"/>
  <c r="AM3" i="13"/>
  <c r="AM61" i="13" s="1"/>
  <c r="AU3" i="14"/>
  <c r="AU58" i="14" s="1"/>
  <c r="AU3" i="13"/>
  <c r="AU61" i="13" s="1"/>
  <c r="BC3" i="14"/>
  <c r="BC58" i="14" s="1"/>
  <c r="BC3" i="13"/>
  <c r="BC61" i="13" s="1"/>
  <c r="BL3" i="14"/>
  <c r="BL58" i="14" s="1"/>
  <c r="BT3" i="13"/>
  <c r="BT61" i="13" s="1"/>
  <c r="BT3" i="14"/>
  <c r="BT58" i="14" s="1"/>
  <c r="CB3" i="13"/>
  <c r="CB61" i="13" s="1"/>
  <c r="CB3" i="14"/>
  <c r="CB58" i="14" s="1"/>
  <c r="CJ3" i="13"/>
  <c r="CJ61" i="13" s="1"/>
  <c r="K4" i="14"/>
  <c r="K59" i="14" s="1"/>
  <c r="K4" i="13"/>
  <c r="K62" i="13" s="1"/>
  <c r="O4" i="14"/>
  <c r="O59" i="14" s="1"/>
  <c r="O4" i="13"/>
  <c r="O62" i="13" s="1"/>
  <c r="S4" i="14"/>
  <c r="S59" i="14" s="1"/>
  <c r="S4" i="13"/>
  <c r="S62" i="13" s="1"/>
  <c r="W4" i="14"/>
  <c r="W59" i="14" s="1"/>
  <c r="W4" i="13"/>
  <c r="W62" i="13" s="1"/>
  <c r="AA4" i="14"/>
  <c r="AA59" i="14" s="1"/>
  <c r="AA4" i="13"/>
  <c r="AA62" i="13" s="1"/>
  <c r="AE4" i="14"/>
  <c r="AE59" i="14" s="1"/>
  <c r="AE4" i="13"/>
  <c r="AE62" i="13" s="1"/>
  <c r="AI4" i="14"/>
  <c r="AI59" i="14" s="1"/>
  <c r="AI4" i="13"/>
  <c r="AI62" i="13" s="1"/>
  <c r="AM4" i="14"/>
  <c r="AM59" i="14" s="1"/>
  <c r="AM4" i="13"/>
  <c r="AM62" i="13" s="1"/>
  <c r="AQ4" i="14"/>
  <c r="AQ59" i="14" s="1"/>
  <c r="AQ4" i="13"/>
  <c r="AQ62" i="13" s="1"/>
  <c r="AU4" i="14"/>
  <c r="AU59" i="14" s="1"/>
  <c r="AU4" i="13"/>
  <c r="AU62" i="13" s="1"/>
  <c r="AY4" i="14"/>
  <c r="AY59" i="14" s="1"/>
  <c r="AY4" i="13"/>
  <c r="AY62" i="13" s="1"/>
  <c r="BC4" i="14"/>
  <c r="BC59" i="14" s="1"/>
  <c r="BC4" i="13"/>
  <c r="BC62" i="13" s="1"/>
  <c r="BH4" i="14"/>
  <c r="BH59" i="14" s="1"/>
  <c r="BP4" i="13"/>
  <c r="BP62" i="13" s="1"/>
  <c r="BL4" i="14"/>
  <c r="BL59" i="14" s="1"/>
  <c r="BT4" i="13"/>
  <c r="BT62" i="13" s="1"/>
  <c r="BP4" i="14"/>
  <c r="BP59" i="14" s="1"/>
  <c r="BX4" i="13"/>
  <c r="BX62" i="13" s="1"/>
  <c r="BT4" i="14"/>
  <c r="BT59" i="14" s="1"/>
  <c r="CB4" i="13"/>
  <c r="CB62" i="13" s="1"/>
  <c r="BX4" i="14"/>
  <c r="BX59" i="14" s="1"/>
  <c r="CF4" i="13"/>
  <c r="CF62" i="13" s="1"/>
  <c r="CB4" i="14"/>
  <c r="CB59" i="14" s="1"/>
  <c r="CJ4" i="13"/>
  <c r="CJ62" i="13" s="1"/>
  <c r="U4" i="14"/>
  <c r="U59" i="14" s="1"/>
  <c r="U4" i="13"/>
  <c r="U62" i="13" s="1"/>
  <c r="AK4" i="14"/>
  <c r="AK59" i="14" s="1"/>
  <c r="AK4" i="13"/>
  <c r="AK62" i="13" s="1"/>
  <c r="BA4" i="14"/>
  <c r="BA59" i="14" s="1"/>
  <c r="BA4" i="13"/>
  <c r="BA62" i="13" s="1"/>
  <c r="BJ4" i="14"/>
  <c r="BJ59" i="14" s="1"/>
  <c r="BR4" i="13"/>
  <c r="BR62" i="13" s="1"/>
  <c r="M3" i="14"/>
  <c r="M58" i="14" s="1"/>
  <c r="M3" i="13"/>
  <c r="M61" i="13" s="1"/>
  <c r="Q3" i="14"/>
  <c r="Q58" i="14" s="1"/>
  <c r="Q3" i="13"/>
  <c r="Q61" i="13" s="1"/>
  <c r="U3" i="14"/>
  <c r="U58" i="14" s="1"/>
  <c r="U3" i="13"/>
  <c r="U61" i="13" s="1"/>
  <c r="Y3" i="14"/>
  <c r="Y58" i="14" s="1"/>
  <c r="Y3" i="13"/>
  <c r="Y61" i="13" s="1"/>
  <c r="AC3" i="14"/>
  <c r="AC58" i="14" s="1"/>
  <c r="AC3" i="13"/>
  <c r="AC61" i="13" s="1"/>
  <c r="AG3" i="14"/>
  <c r="AG58" i="14" s="1"/>
  <c r="AG3" i="13"/>
  <c r="AG61" i="13" s="1"/>
  <c r="AK3" i="14"/>
  <c r="AK58" i="14" s="1"/>
  <c r="AK3" i="13"/>
  <c r="AK61" i="13" s="1"/>
  <c r="AO3" i="14"/>
  <c r="AO58" i="14" s="1"/>
  <c r="AO3" i="13"/>
  <c r="AO61" i="13" s="1"/>
  <c r="AS3" i="14"/>
  <c r="AS58" i="14" s="1"/>
  <c r="AS3" i="13"/>
  <c r="AS61" i="13" s="1"/>
  <c r="AW3" i="14"/>
  <c r="AW58" i="14" s="1"/>
  <c r="AW3" i="13"/>
  <c r="AW61" i="13" s="1"/>
  <c r="BA3" i="14"/>
  <c r="BA58" i="14" s="1"/>
  <c r="BA3" i="13"/>
  <c r="BA61" i="13" s="1"/>
  <c r="BE3" i="14"/>
  <c r="BE58" i="14" s="1"/>
  <c r="BE3" i="13"/>
  <c r="BE61" i="13" s="1"/>
  <c r="BJ3" i="14"/>
  <c r="BJ58" i="14" s="1"/>
  <c r="BR3" i="13"/>
  <c r="BR61" i="13" s="1"/>
  <c r="BN3" i="14"/>
  <c r="BN58" i="14" s="1"/>
  <c r="BV3" i="13"/>
  <c r="BV61" i="13" s="1"/>
  <c r="BR3" i="14"/>
  <c r="BR58" i="14" s="1"/>
  <c r="BZ3" i="13"/>
  <c r="BZ61" i="13" s="1"/>
  <c r="BV3" i="14"/>
  <c r="BV58" i="14" s="1"/>
  <c r="CD3" i="13"/>
  <c r="CD61" i="13" s="1"/>
  <c r="BZ3" i="14"/>
  <c r="BZ58" i="14" s="1"/>
  <c r="CH3" i="13"/>
  <c r="CH61" i="13" s="1"/>
  <c r="CD3" i="14"/>
  <c r="CD58" i="14" s="1"/>
  <c r="CL3" i="13"/>
  <c r="CL61" i="13" s="1"/>
  <c r="AD46" i="14"/>
  <c r="AD49" i="13"/>
  <c r="AT46" i="14"/>
  <c r="AT49" i="13"/>
  <c r="F38" i="14"/>
  <c r="F41" i="13"/>
  <c r="B14" i="14"/>
  <c r="J13" i="13"/>
  <c r="J14" i="14"/>
  <c r="R13" i="13"/>
  <c r="R14" i="14"/>
  <c r="Z13" i="13"/>
  <c r="Z14" i="14"/>
  <c r="AH13" i="13"/>
  <c r="AH14" i="14"/>
  <c r="CE34" i="14"/>
  <c r="BM30" i="14"/>
  <c r="BU34" i="13"/>
  <c r="BL31" i="14"/>
  <c r="BK31" i="14"/>
  <c r="BS35" i="13"/>
  <c r="BT31" i="14"/>
  <c r="BU32" i="14"/>
  <c r="CC36" i="13"/>
  <c r="H32" i="14"/>
  <c r="H36" i="13"/>
  <c r="P33" i="14"/>
  <c r="P37" i="13"/>
  <c r="AC32" i="14"/>
  <c r="AB32" i="14"/>
  <c r="AB36" i="13"/>
  <c r="AK32" i="14"/>
  <c r="AJ32" i="14"/>
  <c r="AJ36" i="13"/>
  <c r="AS32" i="14"/>
  <c r="AR32" i="14"/>
  <c r="AR36" i="13"/>
  <c r="AZ32" i="14"/>
  <c r="AZ36" i="13"/>
  <c r="BJ34" i="14"/>
  <c r="BI34" i="14"/>
  <c r="BQ38" i="13"/>
  <c r="BR34" i="14"/>
  <c r="BQ34" i="14"/>
  <c r="BY38" i="13"/>
  <c r="AA50" i="14"/>
  <c r="AA53" i="13"/>
  <c r="AI50" i="14"/>
  <c r="AI53" i="13"/>
  <c r="BK50" i="14"/>
  <c r="BS53" i="13"/>
  <c r="BP50" i="14"/>
  <c r="BJ63" i="14"/>
  <c r="BI63" i="14"/>
  <c r="BQ65" i="13"/>
  <c r="BO63" i="14"/>
  <c r="BW65" i="13"/>
  <c r="BG64" i="14"/>
  <c r="BO66" i="13"/>
  <c r="BO64" i="14"/>
  <c r="BW66" i="13"/>
  <c r="AW65" i="14"/>
  <c r="B73" i="14"/>
  <c r="B65" i="14"/>
  <c r="B23" i="14"/>
  <c r="B24" i="13"/>
  <c r="B67" i="13"/>
  <c r="J73" i="14"/>
  <c r="J65" i="14"/>
  <c r="J23" i="14"/>
  <c r="J24" i="13"/>
  <c r="J67" i="13"/>
  <c r="P73" i="14"/>
  <c r="P65" i="14"/>
  <c r="P23" i="14"/>
  <c r="P24" i="13"/>
  <c r="P67" i="13"/>
  <c r="Y24" i="13"/>
  <c r="AC64" i="14"/>
  <c r="AC66" i="13"/>
  <c r="AE73" i="14"/>
  <c r="AE23" i="14"/>
  <c r="AE24" i="13"/>
  <c r="AI63" i="14"/>
  <c r="AI65" i="13"/>
  <c r="AK64" i="14"/>
  <c r="AK66" i="13"/>
  <c r="AM73" i="14"/>
  <c r="AM23" i="14"/>
  <c r="AM24" i="13"/>
  <c r="BQ73" i="14"/>
  <c r="BQ65" i="14"/>
  <c r="BQ23" i="14"/>
  <c r="BY24" i="13"/>
  <c r="BY67" i="13"/>
  <c r="X46" i="14"/>
  <c r="X49" i="13"/>
  <c r="AL13" i="13"/>
  <c r="AL14" i="14"/>
  <c r="BI30" i="14"/>
  <c r="BQ34" i="13"/>
  <c r="BO30" i="14"/>
  <c r="BW34" i="13"/>
  <c r="BM31" i="14"/>
  <c r="BU35" i="13"/>
  <c r="BU31" i="14"/>
  <c r="CC35" i="13"/>
  <c r="K32" i="14"/>
  <c r="B32" i="14"/>
  <c r="B36" i="13"/>
  <c r="J33" i="14"/>
  <c r="J37" i="13"/>
  <c r="S33" i="14"/>
  <c r="R33" i="14"/>
  <c r="R37" i="13"/>
  <c r="AE32" i="14"/>
  <c r="AD32" i="14"/>
  <c r="AD36" i="13"/>
  <c r="AM32" i="14"/>
  <c r="AL32" i="14"/>
  <c r="AL36" i="13"/>
  <c r="AU32" i="14"/>
  <c r="AT32" i="14"/>
  <c r="AT36" i="13"/>
  <c r="BB32" i="14"/>
  <c r="BB36" i="13"/>
  <c r="BK34" i="14"/>
  <c r="BS38" i="13"/>
  <c r="AC50" i="14"/>
  <c r="AC53" i="13"/>
  <c r="AK50" i="14"/>
  <c r="AK53" i="13"/>
  <c r="BG50" i="14"/>
  <c r="BO53" i="13"/>
  <c r="BQ50" i="14"/>
  <c r="BY53" i="13"/>
  <c r="BK63" i="14"/>
  <c r="BS65" i="13"/>
  <c r="BQ64" i="14"/>
  <c r="BY66" i="13"/>
  <c r="AA65" i="14"/>
  <c r="AA67" i="13"/>
  <c r="D73" i="14"/>
  <c r="D65" i="14"/>
  <c r="D23" i="14"/>
  <c r="D67" i="13"/>
  <c r="D24" i="13"/>
  <c r="L73" i="14"/>
  <c r="L65" i="14"/>
  <c r="L23" i="14"/>
  <c r="L24" i="13"/>
  <c r="L67" i="13"/>
  <c r="S24" i="13"/>
  <c r="R73" i="14"/>
  <c r="R65" i="14"/>
  <c r="R23" i="14"/>
  <c r="R24" i="13"/>
  <c r="R67" i="13"/>
  <c r="AA63" i="14"/>
  <c r="AA65" i="13"/>
  <c r="AC73" i="14"/>
  <c r="AC23" i="14"/>
  <c r="AC24" i="13"/>
  <c r="AG63" i="14"/>
  <c r="AG65" i="13"/>
  <c r="AI64" i="14"/>
  <c r="AI66" i="13"/>
  <c r="AK73" i="14"/>
  <c r="AK23" i="14"/>
  <c r="AK24" i="13"/>
  <c r="AO63" i="14"/>
  <c r="AO65" i="13"/>
  <c r="BM73" i="14"/>
  <c r="BM65" i="14"/>
  <c r="BM23" i="14"/>
  <c r="BU24" i="13"/>
  <c r="BU67" i="13"/>
  <c r="T46" i="14"/>
  <c r="T49" i="13"/>
  <c r="AF46" i="14"/>
  <c r="AF49" i="13"/>
  <c r="AN46" i="14"/>
  <c r="AN49" i="13"/>
  <c r="N13" i="13"/>
  <c r="N14" i="14"/>
  <c r="V13" i="13"/>
  <c r="V14" i="14"/>
  <c r="AD13" i="13"/>
  <c r="AD14" i="14"/>
  <c r="BN30" i="14"/>
  <c r="BK30" i="14"/>
  <c r="BS34" i="13"/>
  <c r="BX34" i="13"/>
  <c r="BH31" i="14"/>
  <c r="BG31" i="14"/>
  <c r="BO35" i="13"/>
  <c r="BP31" i="14"/>
  <c r="BO31" i="14"/>
  <c r="BW35" i="13"/>
  <c r="D32" i="14"/>
  <c r="D36" i="13"/>
  <c r="L33" i="14"/>
  <c r="L37" i="13"/>
  <c r="X32" i="14"/>
  <c r="X36" i="13"/>
  <c r="AG32" i="14"/>
  <c r="AF32" i="14"/>
  <c r="AF36" i="13"/>
  <c r="AO32" i="14"/>
  <c r="AN32" i="14"/>
  <c r="AN36" i="13"/>
  <c r="BE32" i="14"/>
  <c r="AV32" i="14"/>
  <c r="AV36" i="13"/>
  <c r="BG34" i="14"/>
  <c r="BO38" i="13"/>
  <c r="BN34" i="14"/>
  <c r="BM34" i="14"/>
  <c r="BU38" i="13"/>
  <c r="BU34" i="14"/>
  <c r="CC38" i="13"/>
  <c r="AE50" i="14"/>
  <c r="AE53" i="13"/>
  <c r="AM50" i="14"/>
  <c r="AM53" i="13"/>
  <c r="BH50" i="14"/>
  <c r="BM50" i="14"/>
  <c r="BU53" i="13"/>
  <c r="BG63" i="14"/>
  <c r="BO65" i="13"/>
  <c r="BT65" i="13"/>
  <c r="BZ65" i="13"/>
  <c r="BQ63" i="14"/>
  <c r="BY65" i="13"/>
  <c r="BK64" i="14"/>
  <c r="BS66" i="13"/>
  <c r="AC65" i="14"/>
  <c r="AC67" i="13"/>
  <c r="F65" i="14"/>
  <c r="F39" i="14" s="1"/>
  <c r="F73" i="14"/>
  <c r="F23" i="14"/>
  <c r="F67" i="13"/>
  <c r="F24" i="13"/>
  <c r="M73" i="14"/>
  <c r="T73" i="14"/>
  <c r="T65" i="14"/>
  <c r="T23" i="14"/>
  <c r="T67" i="13"/>
  <c r="T24" i="13"/>
  <c r="AA64" i="14"/>
  <c r="AA66" i="13"/>
  <c r="AE63" i="14"/>
  <c r="AE65" i="13"/>
  <c r="AG64" i="14"/>
  <c r="AG66" i="13"/>
  <c r="AI73" i="14"/>
  <c r="AI23" i="14"/>
  <c r="AI24" i="13"/>
  <c r="AM63" i="14"/>
  <c r="AM65" i="13"/>
  <c r="AO64" i="14"/>
  <c r="AO66" i="13"/>
  <c r="BN73" i="14"/>
  <c r="BT73" i="14"/>
  <c r="AB46" i="14"/>
  <c r="AB49" i="13"/>
  <c r="AH46" i="14"/>
  <c r="AH49" i="13"/>
  <c r="AW46" i="14"/>
  <c r="AV46" i="14"/>
  <c r="AV49" i="13"/>
  <c r="BR34" i="13"/>
  <c r="BG30" i="14"/>
  <c r="BO34" i="13"/>
  <c r="BL30" i="14"/>
  <c r="BQ30" i="14"/>
  <c r="BY34" i="13"/>
  <c r="BI31" i="14"/>
  <c r="BQ35" i="13"/>
  <c r="BQ31" i="14"/>
  <c r="BY35" i="13"/>
  <c r="BI32" i="14"/>
  <c r="BQ36" i="13"/>
  <c r="O32" i="14"/>
  <c r="F32" i="14"/>
  <c r="F36" i="13"/>
  <c r="N33" i="14"/>
  <c r="N37" i="13"/>
  <c r="AA32" i="14"/>
  <c r="Z32" i="14"/>
  <c r="Z36" i="13"/>
  <c r="AI32" i="14"/>
  <c r="AH32" i="14"/>
  <c r="AH36" i="13"/>
  <c r="AQ32" i="14"/>
  <c r="AP32" i="14"/>
  <c r="AP36" i="13"/>
  <c r="AX32" i="14"/>
  <c r="AX36" i="13"/>
  <c r="BO34" i="14"/>
  <c r="BW38" i="13"/>
  <c r="AG50" i="14"/>
  <c r="AG53" i="13"/>
  <c r="AO50" i="14"/>
  <c r="AO53" i="13"/>
  <c r="BI50" i="14"/>
  <c r="BQ53" i="13"/>
  <c r="BO50" i="14"/>
  <c r="BW53" i="13"/>
  <c r="BV65" i="13"/>
  <c r="BM63" i="14"/>
  <c r="BU65" i="13"/>
  <c r="BN64" i="14"/>
  <c r="BM64" i="14"/>
  <c r="BU66" i="13"/>
  <c r="BB64" i="14"/>
  <c r="BB66" i="13"/>
  <c r="H65" i="14"/>
  <c r="H73" i="14"/>
  <c r="H23" i="14"/>
  <c r="H67" i="13"/>
  <c r="H24" i="13"/>
  <c r="O73" i="14"/>
  <c r="N73" i="14"/>
  <c r="N65" i="14"/>
  <c r="N23" i="14"/>
  <c r="N67" i="13"/>
  <c r="N24" i="13"/>
  <c r="U73" i="14"/>
  <c r="AC63" i="14"/>
  <c r="AC65" i="13"/>
  <c r="AE64" i="14"/>
  <c r="AE66" i="13"/>
  <c r="AG73" i="14"/>
  <c r="AG23" i="14"/>
  <c r="AG24" i="13"/>
  <c r="AK63" i="14"/>
  <c r="AK65" i="13"/>
  <c r="AM64" i="14"/>
  <c r="AM66" i="13"/>
  <c r="AO73" i="14"/>
  <c r="AO23" i="14"/>
  <c r="AO24" i="13"/>
  <c r="BX24" i="13"/>
  <c r="BO73" i="14"/>
  <c r="BO65" i="14"/>
  <c r="BO23" i="14"/>
  <c r="BW24" i="13"/>
  <c r="BW67" i="13"/>
  <c r="AJ46" i="14"/>
  <c r="AJ49" i="13"/>
  <c r="AS46" i="14"/>
  <c r="AR46" i="14"/>
  <c r="AR49" i="13"/>
  <c r="AX46" i="14"/>
  <c r="AX49" i="13"/>
  <c r="CA99" i="13"/>
  <c r="BV34" i="13"/>
  <c r="BP30" i="14"/>
  <c r="BP35" i="13"/>
  <c r="BX35" i="13"/>
  <c r="O50" i="14"/>
  <c r="O53" i="13"/>
  <c r="W50" i="14"/>
  <c r="W53" i="13"/>
  <c r="AU50" i="14"/>
  <c r="AU53" i="13"/>
  <c r="BC50" i="14"/>
  <c r="BC53" i="13"/>
  <c r="BL63" i="14"/>
  <c r="U64" i="14"/>
  <c r="U66" i="13"/>
  <c r="M63" i="14"/>
  <c r="M65" i="13"/>
  <c r="O64" i="14"/>
  <c r="O66" i="13"/>
  <c r="Q65" i="14"/>
  <c r="Q67" i="13"/>
  <c r="U65" i="14"/>
  <c r="U67" i="13"/>
  <c r="M23" i="14"/>
  <c r="Y63" i="14"/>
  <c r="Y65" i="13"/>
  <c r="AQ73" i="14"/>
  <c r="AQ23" i="14"/>
  <c r="AU63" i="14"/>
  <c r="AU65" i="13"/>
  <c r="AW64" i="14"/>
  <c r="AW66" i="13"/>
  <c r="AY73" i="14"/>
  <c r="AY23" i="14"/>
  <c r="BC63" i="14"/>
  <c r="BC65" i="13"/>
  <c r="CH38" i="13"/>
  <c r="CL38" i="13"/>
  <c r="K38" i="13"/>
  <c r="M38" i="13"/>
  <c r="O38" i="13"/>
  <c r="Q38" i="13"/>
  <c r="S37" i="13"/>
  <c r="U36" i="13"/>
  <c r="W36" i="13"/>
  <c r="AA36" i="13"/>
  <c r="AE36" i="13"/>
  <c r="AI36" i="13"/>
  <c r="AO36" i="13"/>
  <c r="AQ36" i="13"/>
  <c r="AS36" i="13"/>
  <c r="AU36" i="13"/>
  <c r="BJ30" i="14"/>
  <c r="Q50" i="14"/>
  <c r="Q53" i="13"/>
  <c r="Y50" i="14"/>
  <c r="Y53" i="13"/>
  <c r="AW50" i="14"/>
  <c r="AW53" i="13"/>
  <c r="BH63" i="14"/>
  <c r="BP65" i="13"/>
  <c r="BV66" i="13"/>
  <c r="K63" i="14"/>
  <c r="K65" i="13"/>
  <c r="M64" i="14"/>
  <c r="M66" i="13"/>
  <c r="O65" i="14"/>
  <c r="O67" i="13"/>
  <c r="S63" i="14"/>
  <c r="S65" i="13"/>
  <c r="W65" i="14"/>
  <c r="W67" i="13"/>
  <c r="Y64" i="14"/>
  <c r="Y66" i="13"/>
  <c r="AS63" i="14"/>
  <c r="AS65" i="13"/>
  <c r="AU64" i="14"/>
  <c r="AU66" i="13"/>
  <c r="AW73" i="14"/>
  <c r="AW23" i="14"/>
  <c r="BA63" i="14"/>
  <c r="BA65" i="13"/>
  <c r="BC73" i="14"/>
  <c r="BC23" i="14"/>
  <c r="AQ24" i="13"/>
  <c r="AY24" i="13"/>
  <c r="CH33" i="13"/>
  <c r="CL33" i="13"/>
  <c r="CH37" i="13"/>
  <c r="CL37" i="13"/>
  <c r="K34" i="13"/>
  <c r="M34" i="13"/>
  <c r="O34" i="13"/>
  <c r="Q34" i="13"/>
  <c r="S34" i="13"/>
  <c r="S38" i="13"/>
  <c r="U38" i="13"/>
  <c r="W38" i="13"/>
  <c r="Y38" i="13"/>
  <c r="AA38" i="13"/>
  <c r="AC38" i="13"/>
  <c r="AE38" i="13"/>
  <c r="AG38" i="13"/>
  <c r="AI38" i="13"/>
  <c r="AK38" i="13"/>
  <c r="AM38" i="13"/>
  <c r="AO38" i="13"/>
  <c r="AQ38" i="13"/>
  <c r="AS38" i="13"/>
  <c r="AU38" i="13"/>
  <c r="AW38" i="13"/>
  <c r="AY38" i="13"/>
  <c r="BA38" i="13"/>
  <c r="BC38" i="13"/>
  <c r="BP38" i="13"/>
  <c r="BT35" i="13"/>
  <c r="K50" i="14"/>
  <c r="K53" i="13"/>
  <c r="S50" i="14"/>
  <c r="S53" i="13"/>
  <c r="AQ50" i="14"/>
  <c r="AQ53" i="13"/>
  <c r="AY50" i="14"/>
  <c r="AY53" i="13"/>
  <c r="BR65" i="13"/>
  <c r="BP64" i="14"/>
  <c r="BX66" i="13"/>
  <c r="K64" i="14"/>
  <c r="K66" i="13"/>
  <c r="M65" i="14"/>
  <c r="M67" i="13"/>
  <c r="Q63" i="14"/>
  <c r="Q65" i="13"/>
  <c r="S64" i="14"/>
  <c r="S66" i="13"/>
  <c r="Y65" i="14"/>
  <c r="Y67" i="13"/>
  <c r="W63" i="14"/>
  <c r="W65" i="13"/>
  <c r="AQ63" i="14"/>
  <c r="AQ65" i="13"/>
  <c r="AS64" i="14"/>
  <c r="AS66" i="13"/>
  <c r="AU73" i="14"/>
  <c r="AU23" i="14"/>
  <c r="AY63" i="14"/>
  <c r="AY65" i="13"/>
  <c r="BA64" i="14"/>
  <c r="BA66" i="13"/>
  <c r="CJ38" i="13"/>
  <c r="K35" i="13"/>
  <c r="M35" i="13"/>
  <c r="O35" i="13"/>
  <c r="Q35" i="13"/>
  <c r="S35" i="13"/>
  <c r="U34" i="13"/>
  <c r="W34" i="13"/>
  <c r="Y34" i="13"/>
  <c r="AA34" i="13"/>
  <c r="AC34" i="13"/>
  <c r="AE34" i="13"/>
  <c r="AG34" i="13"/>
  <c r="AI34" i="13"/>
  <c r="AK34" i="13"/>
  <c r="AM34" i="13"/>
  <c r="AO34" i="13"/>
  <c r="AQ34" i="13"/>
  <c r="AS34" i="13"/>
  <c r="AU34" i="13"/>
  <c r="AW34" i="13"/>
  <c r="AY34" i="13"/>
  <c r="BA34" i="13"/>
  <c r="BC34" i="13"/>
  <c r="BE34" i="13"/>
  <c r="BV38" i="13"/>
  <c r="BR30" i="14"/>
  <c r="BZ34" i="13"/>
  <c r="BT30" i="14"/>
  <c r="CB34" i="13"/>
  <c r="M50" i="14"/>
  <c r="M53" i="13"/>
  <c r="U50" i="14"/>
  <c r="U53" i="13"/>
  <c r="AS50" i="14"/>
  <c r="AS53" i="13"/>
  <c r="BA50" i="14"/>
  <c r="BA53" i="13"/>
  <c r="BL50" i="14"/>
  <c r="BT53" i="13"/>
  <c r="BP63" i="14"/>
  <c r="BX65" i="13"/>
  <c r="BH64" i="14"/>
  <c r="BP66" i="13"/>
  <c r="U63" i="14"/>
  <c r="U65" i="13"/>
  <c r="K65" i="14"/>
  <c r="K67" i="13"/>
  <c r="O63" i="14"/>
  <c r="O65" i="13"/>
  <c r="Q64" i="14"/>
  <c r="Q66" i="13"/>
  <c r="S65" i="14"/>
  <c r="S67" i="13"/>
  <c r="AQ65" i="14"/>
  <c r="AQ67" i="13"/>
  <c r="AY65" i="14"/>
  <c r="AY67" i="13"/>
  <c r="S73" i="14"/>
  <c r="S23" i="14"/>
  <c r="W64" i="14"/>
  <c r="W66" i="13"/>
  <c r="AQ64" i="14"/>
  <c r="AQ66" i="13"/>
  <c r="AS73" i="14"/>
  <c r="AS23" i="14"/>
  <c r="AW63" i="14"/>
  <c r="AW65" i="13"/>
  <c r="AY64" i="14"/>
  <c r="AY66" i="13"/>
  <c r="BA73" i="14"/>
  <c r="BA23" i="14"/>
  <c r="BR73" i="14"/>
  <c r="BR23" i="14"/>
  <c r="U46" i="14"/>
  <c r="U49" i="13"/>
  <c r="O24" i="13"/>
  <c r="AU24" i="13"/>
  <c r="BC24" i="13"/>
  <c r="CJ33" i="13"/>
  <c r="CJ37" i="13"/>
  <c r="K36" i="13"/>
  <c r="M36" i="13"/>
  <c r="Q36" i="13"/>
  <c r="S36" i="13"/>
  <c r="U35" i="13"/>
  <c r="W35" i="13"/>
  <c r="Y35" i="13"/>
  <c r="AA35" i="13"/>
  <c r="AC35" i="13"/>
  <c r="AE35" i="13"/>
  <c r="AG35" i="13"/>
  <c r="AI35" i="13"/>
  <c r="AK35" i="13"/>
  <c r="AM35" i="13"/>
  <c r="AO35" i="13"/>
  <c r="AQ35" i="13"/>
  <c r="AS35" i="13"/>
  <c r="AU35" i="13"/>
  <c r="AW35" i="13"/>
  <c r="AY35" i="13"/>
  <c r="BA35" i="13"/>
  <c r="BC35" i="13"/>
  <c r="BP34" i="13"/>
  <c r="BE24" i="13"/>
  <c r="CA67" i="13"/>
  <c r="BS23" i="14"/>
  <c r="BE73" i="14"/>
  <c r="BT23" i="14"/>
  <c r="BS73" i="14"/>
  <c r="CA24" i="13"/>
  <c r="BS65" i="14"/>
  <c r="BE66" i="13"/>
  <c r="CA66" i="13"/>
  <c r="CB66" i="13"/>
  <c r="BS64" i="14"/>
  <c r="BT63" i="14"/>
  <c r="CB65" i="13"/>
  <c r="CA65" i="13"/>
  <c r="BS63" i="14"/>
  <c r="BE65" i="13"/>
  <c r="BE53" i="13"/>
  <c r="CA53" i="13"/>
  <c r="BE38" i="13"/>
  <c r="CM38" i="13"/>
  <c r="CA38" i="13"/>
  <c r="BE36" i="13"/>
  <c r="BS31" i="14"/>
  <c r="BE35" i="13"/>
  <c r="CA35" i="13"/>
  <c r="CA34" i="13"/>
  <c r="H8" i="14"/>
  <c r="B9" i="14"/>
  <c r="D9" i="14"/>
  <c r="B11" i="14"/>
  <c r="H9" i="14"/>
  <c r="X10" i="14"/>
  <c r="AB10" i="14"/>
  <c r="AF10" i="14"/>
  <c r="AJ10" i="14"/>
  <c r="AN10" i="14"/>
  <c r="AR10" i="14"/>
  <c r="AV10" i="14"/>
  <c r="AZ10" i="14"/>
  <c r="BD10" i="14"/>
  <c r="F10" i="14"/>
  <c r="D12" i="14"/>
  <c r="H12" i="14"/>
  <c r="W13" i="13"/>
  <c r="AE13" i="13"/>
  <c r="BQ13" i="13"/>
  <c r="BJ14" i="14"/>
  <c r="BU13" i="13"/>
  <c r="BN14" i="14"/>
  <c r="R10" i="14"/>
  <c r="V10" i="14"/>
  <c r="Z10" i="14"/>
  <c r="AD10" i="14"/>
  <c r="AH10" i="14"/>
  <c r="AL10" i="14"/>
  <c r="AP10" i="14"/>
  <c r="AT10" i="14"/>
  <c r="BB10" i="14"/>
  <c r="B12" i="14"/>
  <c r="F12" i="14"/>
  <c r="K13" i="13"/>
  <c r="S13" i="13"/>
  <c r="AA13" i="13"/>
  <c r="AI13" i="13"/>
  <c r="BH14" i="14"/>
  <c r="BO13" i="13"/>
  <c r="BL14" i="14"/>
  <c r="BS13" i="13"/>
  <c r="AM13" i="13"/>
  <c r="BS14" i="14"/>
  <c r="AJ14" i="14"/>
  <c r="AR14" i="14"/>
  <c r="AZ14" i="14"/>
  <c r="M14" i="14"/>
  <c r="Q14" i="14"/>
  <c r="U14" i="14"/>
  <c r="Y14" i="14"/>
  <c r="AC14" i="14"/>
  <c r="AG14" i="14"/>
  <c r="AO14" i="14"/>
  <c r="BE14" i="14"/>
  <c r="AP14" i="14"/>
  <c r="AT14" i="14"/>
  <c r="BB14" i="14"/>
  <c r="K14" i="14"/>
  <c r="O14" i="14"/>
  <c r="S14" i="14"/>
  <c r="W14" i="14"/>
  <c r="AA14" i="14"/>
  <c r="AE14" i="14"/>
  <c r="AI14" i="14"/>
  <c r="AM14" i="14"/>
  <c r="L13" i="13"/>
  <c r="P13" i="13"/>
  <c r="T13" i="13"/>
  <c r="X13" i="13"/>
  <c r="AB13" i="13"/>
  <c r="AF13" i="13"/>
  <c r="AN13" i="13"/>
  <c r="BD13" i="13"/>
  <c r="H18" i="14"/>
  <c r="BG18" i="14"/>
  <c r="K18" i="14"/>
  <c r="S18" i="14"/>
  <c r="O18" i="14"/>
  <c r="AT99" i="13"/>
  <c r="BS99" i="13"/>
  <c r="BW99" i="13"/>
  <c r="AX99" i="13"/>
  <c r="AT88" i="13"/>
  <c r="D99" i="13"/>
  <c r="H99" i="13"/>
  <c r="B99" i="13"/>
  <c r="F99" i="13"/>
  <c r="T227" i="1" l="1"/>
  <c r="U225" i="1"/>
  <c r="T262" i="1"/>
  <c r="U262" i="1" s="1"/>
  <c r="AH515" i="1"/>
  <c r="AI515" i="1" s="1"/>
  <c r="AI514" i="1"/>
  <c r="AJ510" i="1"/>
  <c r="AG118" i="1"/>
  <c r="AF122" i="1"/>
  <c r="AF127" i="1"/>
  <c r="AG127" i="1" s="1"/>
  <c r="AF128" i="1"/>
  <c r="AG128" i="1" s="1"/>
  <c r="AF129" i="1"/>
  <c r="AG526" i="1"/>
  <c r="AF530" i="1"/>
  <c r="AF536" i="1"/>
  <c r="AG536" i="1" s="1"/>
  <c r="AF537" i="1"/>
  <c r="AF535" i="1"/>
  <c r="AG535" i="1" s="1"/>
  <c r="AE541" i="1"/>
  <c r="AD542" i="1"/>
  <c r="AE542" i="1" s="1"/>
  <c r="V259" i="1"/>
  <c r="W259" i="1" s="1"/>
  <c r="W222" i="1"/>
  <c r="V223" i="1"/>
  <c r="V64" i="1"/>
  <c r="W64" i="1" s="1"/>
  <c r="V69" i="1"/>
  <c r="W69" i="1" s="1"/>
  <c r="W36" i="1"/>
  <c r="V68" i="1"/>
  <c r="W68" i="1" s="1"/>
  <c r="V63" i="1"/>
  <c r="V92" i="1"/>
  <c r="AP469" i="1"/>
  <c r="AQ469" i="1" s="1"/>
  <c r="AP452" i="1"/>
  <c r="AQ448" i="1"/>
  <c r="AA200" i="1"/>
  <c r="Z201" i="1"/>
  <c r="AA201" i="1" s="1"/>
  <c r="AD561" i="1"/>
  <c r="AE561" i="1" s="1"/>
  <c r="AD557" i="1"/>
  <c r="AE557" i="1" s="1"/>
  <c r="AE531" i="1"/>
  <c r="AD556" i="1"/>
  <c r="AH114" i="1"/>
  <c r="AI110" i="1"/>
  <c r="AE133" i="1"/>
  <c r="AD134" i="1"/>
  <c r="AE134" i="1" s="1"/>
  <c r="AF107" i="1"/>
  <c r="AG107" i="1" s="1"/>
  <c r="AH102" i="1"/>
  <c r="AG106" i="1"/>
  <c r="AN456" i="1"/>
  <c r="AO456" i="1" s="1"/>
  <c r="AF523" i="1"/>
  <c r="AG523" i="1" s="1"/>
  <c r="AH518" i="1"/>
  <c r="AG522" i="1"/>
  <c r="X210" i="1"/>
  <c r="Y204" i="1"/>
  <c r="X217" i="1"/>
  <c r="X216" i="1"/>
  <c r="Y216" i="1" s="1"/>
  <c r="X215" i="1"/>
  <c r="Y215" i="1" s="1"/>
  <c r="AD149" i="1"/>
  <c r="AE149" i="1" s="1"/>
  <c r="AD153" i="1"/>
  <c r="AE153" i="1" s="1"/>
  <c r="AE123" i="1"/>
  <c r="AD148" i="1"/>
  <c r="X45" i="1"/>
  <c r="Y45" i="1" s="1"/>
  <c r="X44" i="1"/>
  <c r="Y44" i="1" s="1"/>
  <c r="X43" i="1"/>
  <c r="Y43" i="1" s="1"/>
  <c r="X35" i="1"/>
  <c r="X46" i="1"/>
  <c r="Y28" i="1"/>
  <c r="Z221" i="1"/>
  <c r="AA193" i="1"/>
  <c r="Z194" i="1"/>
  <c r="AA194" i="1" s="1"/>
  <c r="AB187" i="1"/>
  <c r="AG36" i="13"/>
  <c r="BP53" i="13"/>
  <c r="Y23" i="14"/>
  <c r="AW67" i="13"/>
  <c r="BZ38" i="13"/>
  <c r="AW49" i="13"/>
  <c r="Y73" i="14"/>
  <c r="AK36" i="13"/>
  <c r="Q18" i="14"/>
  <c r="BT34" i="13"/>
  <c r="BP73" i="14"/>
  <c r="BN63" i="14"/>
  <c r="BM14" i="14"/>
  <c r="D15" i="14"/>
  <c r="BG14" i="14"/>
  <c r="BV24" i="13"/>
  <c r="BP23" i="14"/>
  <c r="BR63" i="14"/>
  <c r="BK14" i="14"/>
  <c r="AS49" i="13"/>
  <c r="U23" i="14"/>
  <c r="BN23" i="14"/>
  <c r="BK80" i="14"/>
  <c r="O36" i="13"/>
  <c r="U24" i="13"/>
  <c r="BI14" i="14"/>
  <c r="F42" i="13"/>
  <c r="CB35" i="13"/>
  <c r="CB24" i="13"/>
  <c r="M24" i="13"/>
  <c r="BR38" i="13"/>
  <c r="BX53" i="13"/>
  <c r="O23" i="14"/>
  <c r="AM36" i="13"/>
  <c r="AC36" i="13"/>
  <c r="BG81" i="14"/>
  <c r="BO83" i="13"/>
  <c r="AP81" i="14"/>
  <c r="AP83" i="13"/>
  <c r="Z81" i="14"/>
  <c r="Z83" i="13"/>
  <c r="BD81" i="14"/>
  <c r="BD83" i="13"/>
  <c r="AE46" i="14"/>
  <c r="AE49" i="13"/>
  <c r="N95" i="14"/>
  <c r="N98" i="13"/>
  <c r="F89" i="14"/>
  <c r="F92" i="13"/>
  <c r="AJ93" i="14"/>
  <c r="AJ96" i="13"/>
  <c r="T93" i="14"/>
  <c r="T96" i="13"/>
  <c r="L95" i="14"/>
  <c r="L98" i="13"/>
  <c r="AB80" i="14"/>
  <c r="AB82" i="13"/>
  <c r="J90" i="14"/>
  <c r="J93" i="13"/>
  <c r="X89" i="14"/>
  <c r="X92" i="13"/>
  <c r="AP91" i="14"/>
  <c r="AP94" i="13"/>
  <c r="Z90" i="14"/>
  <c r="Z93" i="13"/>
  <c r="N81" i="14"/>
  <c r="N83" i="13"/>
  <c r="F85" i="14"/>
  <c r="F87" i="13"/>
  <c r="BK81" i="14"/>
  <c r="BS83" i="13"/>
  <c r="AB85" i="14"/>
  <c r="AB87" i="13"/>
  <c r="BQ32" i="14"/>
  <c r="BY36" i="13"/>
  <c r="AL89" i="14"/>
  <c r="AL92" i="13"/>
  <c r="V93" i="14"/>
  <c r="V96" i="13"/>
  <c r="AT95" i="14"/>
  <c r="AT98" i="13"/>
  <c r="AL93" i="14"/>
  <c r="AL96" i="13"/>
  <c r="AD92" i="14"/>
  <c r="AD95" i="13"/>
  <c r="V89" i="14"/>
  <c r="V92" i="13"/>
  <c r="N89" i="14"/>
  <c r="N92" i="13"/>
  <c r="N92" i="14"/>
  <c r="N95" i="13"/>
  <c r="F95" i="14"/>
  <c r="F98" i="13"/>
  <c r="F92" i="14"/>
  <c r="F95" i="13"/>
  <c r="AV93" i="14"/>
  <c r="AV96" i="13"/>
  <c r="AR89" i="14"/>
  <c r="AR92" i="13"/>
  <c r="AJ89" i="14"/>
  <c r="AJ92" i="13"/>
  <c r="AB89" i="14"/>
  <c r="AB92" i="13"/>
  <c r="T89" i="14"/>
  <c r="T92" i="13"/>
  <c r="T91" i="14"/>
  <c r="T94" i="13"/>
  <c r="L92" i="14"/>
  <c r="L95" i="13"/>
  <c r="D93" i="14"/>
  <c r="D96" i="13"/>
  <c r="BI91" i="14"/>
  <c r="BQ94" i="13"/>
  <c r="BD90" i="14"/>
  <c r="BD93" i="13"/>
  <c r="AV91" i="14"/>
  <c r="AV94" i="13"/>
  <c r="AR91" i="14"/>
  <c r="AR94" i="13"/>
  <c r="AJ90" i="14"/>
  <c r="AJ93" i="13"/>
  <c r="AB81" i="14"/>
  <c r="AB83" i="13"/>
  <c r="AP89" i="14"/>
  <c r="AP92" i="13"/>
  <c r="AH95" i="14"/>
  <c r="AH98" i="13"/>
  <c r="Z93" i="14"/>
  <c r="Z96" i="13"/>
  <c r="R91" i="14"/>
  <c r="R94" i="13"/>
  <c r="J89" i="14"/>
  <c r="J92" i="13"/>
  <c r="J92" i="14"/>
  <c r="J95" i="13"/>
  <c r="B89" i="14"/>
  <c r="B92" i="13"/>
  <c r="B92" i="14"/>
  <c r="B95" i="13"/>
  <c r="BB91" i="14"/>
  <c r="BB94" i="13"/>
  <c r="AX95" i="14"/>
  <c r="AX98" i="13"/>
  <c r="AN95" i="14"/>
  <c r="AN98" i="13"/>
  <c r="AF92" i="14"/>
  <c r="AF95" i="13"/>
  <c r="X95" i="14"/>
  <c r="X98" i="13"/>
  <c r="P91" i="14"/>
  <c r="P94" i="13"/>
  <c r="H90" i="14"/>
  <c r="H93" i="13"/>
  <c r="H93" i="14"/>
  <c r="H96" i="13"/>
  <c r="AT90" i="14"/>
  <c r="AT93" i="13"/>
  <c r="AP90" i="14"/>
  <c r="AP93" i="13"/>
  <c r="AL91" i="14"/>
  <c r="AL94" i="13"/>
  <c r="AH91" i="14"/>
  <c r="AH94" i="13"/>
  <c r="AD81" i="14"/>
  <c r="AD83" i="13"/>
  <c r="V90" i="14"/>
  <c r="V93" i="13"/>
  <c r="BO89" i="14"/>
  <c r="BW92" i="13"/>
  <c r="AT79" i="14"/>
  <c r="AT81" i="13"/>
  <c r="AL79" i="14"/>
  <c r="AL81" i="13"/>
  <c r="AD79" i="14"/>
  <c r="AD81" i="13"/>
  <c r="V83" i="14"/>
  <c r="V85" i="13"/>
  <c r="N80" i="14"/>
  <c r="N82" i="13"/>
  <c r="F83" i="14"/>
  <c r="F85" i="13"/>
  <c r="F81" i="14"/>
  <c r="F83" i="13"/>
  <c r="BS91" i="14"/>
  <c r="CA94" i="13"/>
  <c r="BO91" i="14"/>
  <c r="BW94" i="13"/>
  <c r="AR85" i="14"/>
  <c r="AR87" i="13"/>
  <c r="AB83" i="14"/>
  <c r="AB85" i="13"/>
  <c r="B80" i="14"/>
  <c r="B82" i="13"/>
  <c r="B85" i="14"/>
  <c r="B87" i="13"/>
  <c r="S49" i="13"/>
  <c r="R46" i="14"/>
  <c r="R49" i="13"/>
  <c r="BV49" i="13"/>
  <c r="BM46" i="14"/>
  <c r="BU49" i="13"/>
  <c r="BR66" i="13"/>
  <c r="BI64" i="14"/>
  <c r="BQ66" i="13"/>
  <c r="BY31" i="14"/>
  <c r="CG35" i="13"/>
  <c r="BY32" i="14"/>
  <c r="CG36" i="13"/>
  <c r="AX14" i="14"/>
  <c r="B38" i="14"/>
  <c r="B39" i="14" s="1"/>
  <c r="B41" i="13"/>
  <c r="B42" i="13" s="1"/>
  <c r="AG65" i="14"/>
  <c r="AG67" i="13"/>
  <c r="H13" i="13"/>
  <c r="AD93" i="14"/>
  <c r="AD96" i="13"/>
  <c r="AV95" i="14"/>
  <c r="AV98" i="13"/>
  <c r="H91" i="14"/>
  <c r="H94" i="13"/>
  <c r="F80" i="14"/>
  <c r="F82" i="13"/>
  <c r="B79" i="14"/>
  <c r="B81" i="13"/>
  <c r="W46" i="14"/>
  <c r="V46" i="14"/>
  <c r="V49" i="13"/>
  <c r="H38" i="14"/>
  <c r="H39" i="14" s="1"/>
  <c r="H41" i="13"/>
  <c r="H42" i="13" s="1"/>
  <c r="BK32" i="14"/>
  <c r="BS36" i="13"/>
  <c r="AG46" i="14"/>
  <c r="AG49" i="13"/>
  <c r="AL95" i="14"/>
  <c r="AL98" i="13"/>
  <c r="N90" i="14"/>
  <c r="N93" i="13"/>
  <c r="AR92" i="14"/>
  <c r="AR95" i="13"/>
  <c r="T92" i="14"/>
  <c r="T95" i="13"/>
  <c r="D90" i="14"/>
  <c r="D93" i="13"/>
  <c r="D91" i="14"/>
  <c r="D94" i="13"/>
  <c r="BD91" i="14"/>
  <c r="BD94" i="13"/>
  <c r="AN80" i="14"/>
  <c r="AN82" i="13"/>
  <c r="X81" i="14"/>
  <c r="X83" i="13"/>
  <c r="AP92" i="14"/>
  <c r="AP95" i="13"/>
  <c r="R92" i="14"/>
  <c r="R95" i="13"/>
  <c r="B90" i="14"/>
  <c r="B93" i="13"/>
  <c r="AN89" i="14"/>
  <c r="AN92" i="13"/>
  <c r="P89" i="14"/>
  <c r="P92" i="13"/>
  <c r="AL80" i="14"/>
  <c r="AL82" i="13"/>
  <c r="V91" i="14"/>
  <c r="V94" i="13"/>
  <c r="V85" i="14"/>
  <c r="V87" i="13"/>
  <c r="BS80" i="14"/>
  <c r="CA82" i="13"/>
  <c r="BO90" i="14"/>
  <c r="BW93" i="13"/>
  <c r="BK95" i="14"/>
  <c r="BS98" i="13"/>
  <c r="BI73" i="14"/>
  <c r="BI65" i="14"/>
  <c r="BI23" i="14"/>
  <c r="BQ24" i="13"/>
  <c r="BQ67" i="13"/>
  <c r="AA73" i="14"/>
  <c r="AA23" i="14"/>
  <c r="AA24" i="13"/>
  <c r="AT92" i="14"/>
  <c r="AT95" i="13"/>
  <c r="AD95" i="14"/>
  <c r="AD98" i="13"/>
  <c r="F93" i="14"/>
  <c r="F96" i="13"/>
  <c r="AJ80" i="14"/>
  <c r="AJ82" i="13"/>
  <c r="AV92" i="14"/>
  <c r="AV95" i="13"/>
  <c r="AR93" i="14"/>
  <c r="AR96" i="13"/>
  <c r="AJ95" i="14"/>
  <c r="AJ98" i="13"/>
  <c r="AB93" i="14"/>
  <c r="AB96" i="13"/>
  <c r="T95" i="14"/>
  <c r="T98" i="13"/>
  <c r="L89" i="14"/>
  <c r="L92" i="13"/>
  <c r="L91" i="14"/>
  <c r="L94" i="13"/>
  <c r="D92" i="14"/>
  <c r="D95" i="13"/>
  <c r="D95" i="14"/>
  <c r="D98" i="13"/>
  <c r="AR80" i="14"/>
  <c r="AR82" i="13"/>
  <c r="AN90" i="14"/>
  <c r="AN93" i="13"/>
  <c r="AF90" i="14"/>
  <c r="AF93" i="13"/>
  <c r="AB90" i="14"/>
  <c r="AB93" i="13"/>
  <c r="X90" i="14"/>
  <c r="X93" i="13"/>
  <c r="AP93" i="14"/>
  <c r="AP96" i="13"/>
  <c r="AH92" i="14"/>
  <c r="AH95" i="13"/>
  <c r="Z89" i="14"/>
  <c r="Z92" i="13"/>
  <c r="R89" i="14"/>
  <c r="R92" i="13"/>
  <c r="R93" i="14"/>
  <c r="R96" i="13"/>
  <c r="J91" i="14"/>
  <c r="J94" i="13"/>
  <c r="B91" i="14"/>
  <c r="B94" i="13"/>
  <c r="AX92" i="14"/>
  <c r="AX95" i="13"/>
  <c r="AN92" i="14"/>
  <c r="AN95" i="13"/>
  <c r="AF93" i="14"/>
  <c r="AF96" i="13"/>
  <c r="X92" i="14"/>
  <c r="X95" i="13"/>
  <c r="P90" i="14"/>
  <c r="P93" i="13"/>
  <c r="P92" i="14"/>
  <c r="P95" i="13"/>
  <c r="H95" i="14"/>
  <c r="H98" i="13"/>
  <c r="BG80" i="14"/>
  <c r="BO82" i="13"/>
  <c r="AX90" i="14"/>
  <c r="AX93" i="13"/>
  <c r="AT80" i="14"/>
  <c r="AT82" i="13"/>
  <c r="AL81" i="14"/>
  <c r="AL83" i="13"/>
  <c r="AD91" i="14"/>
  <c r="AD94" i="13"/>
  <c r="Z91" i="14"/>
  <c r="Z94" i="13"/>
  <c r="V80" i="14"/>
  <c r="V82" i="13"/>
  <c r="BG89" i="14"/>
  <c r="BO92" i="13"/>
  <c r="AT83" i="14"/>
  <c r="AT85" i="13"/>
  <c r="AL83" i="14"/>
  <c r="AL85" i="13"/>
  <c r="AD83" i="14"/>
  <c r="AD85" i="13"/>
  <c r="N79" i="14"/>
  <c r="N81" i="13"/>
  <c r="N83" i="14"/>
  <c r="N85" i="13"/>
  <c r="F79" i="14"/>
  <c r="F81" i="13"/>
  <c r="BS81" i="14"/>
  <c r="CA83" i="13"/>
  <c r="BK90" i="14"/>
  <c r="BS93" i="13"/>
  <c r="AR82" i="14"/>
  <c r="AR84" i="13"/>
  <c r="AB79" i="14"/>
  <c r="AB81" i="13"/>
  <c r="BS89" i="14"/>
  <c r="CA92" i="13"/>
  <c r="BK89" i="14"/>
  <c r="BS92" i="13"/>
  <c r="B82" i="14"/>
  <c r="B84" i="13"/>
  <c r="AL82" i="14"/>
  <c r="AL84" i="13"/>
  <c r="AQ46" i="14"/>
  <c r="AP46" i="14"/>
  <c r="AP49" i="13"/>
  <c r="BZ49" i="13"/>
  <c r="BQ46" i="14"/>
  <c r="BY49" i="13"/>
  <c r="AM65" i="14"/>
  <c r="AM67" i="13"/>
  <c r="AK65" i="14"/>
  <c r="AK67" i="13"/>
  <c r="BG32" i="14"/>
  <c r="BO36" i="13"/>
  <c r="BM32" i="14"/>
  <c r="BU36" i="13"/>
  <c r="D13" i="13"/>
  <c r="AK46" i="14"/>
  <c r="AK49" i="13"/>
  <c r="BW31" i="14"/>
  <c r="CE35" i="13"/>
  <c r="AO46" i="14"/>
  <c r="AO49" i="13"/>
  <c r="AI65" i="14"/>
  <c r="AI67" i="13"/>
  <c r="AT89" i="14"/>
  <c r="AT92" i="13"/>
  <c r="V92" i="14"/>
  <c r="V95" i="13"/>
  <c r="AB92" i="14"/>
  <c r="AB95" i="13"/>
  <c r="AR81" i="14"/>
  <c r="AR83" i="13"/>
  <c r="AJ91" i="14"/>
  <c r="AJ94" i="13"/>
  <c r="AH89" i="14"/>
  <c r="AH92" i="13"/>
  <c r="Z95" i="14"/>
  <c r="Z98" i="13"/>
  <c r="J95" i="14"/>
  <c r="J98" i="13"/>
  <c r="B93" i="14"/>
  <c r="B96" i="13"/>
  <c r="AX89" i="14"/>
  <c r="AX92" i="13"/>
  <c r="AF89" i="14"/>
  <c r="AF92" i="13"/>
  <c r="P95" i="14"/>
  <c r="P98" i="13"/>
  <c r="BG90" i="14"/>
  <c r="BO93" i="13"/>
  <c r="AT91" i="14"/>
  <c r="AT94" i="13"/>
  <c r="AD90" i="14"/>
  <c r="AD93" i="13"/>
  <c r="BO80" i="14"/>
  <c r="BW82" i="13"/>
  <c r="BG95" i="14"/>
  <c r="BO98" i="13"/>
  <c r="V79" i="14"/>
  <c r="V81" i="13"/>
  <c r="AR79" i="14"/>
  <c r="AR81" i="13"/>
  <c r="BO46" i="14"/>
  <c r="BW49" i="13"/>
  <c r="BO32" i="14"/>
  <c r="BW36" i="13"/>
  <c r="N91" i="14"/>
  <c r="N94" i="13"/>
  <c r="AF81" i="14"/>
  <c r="AF83" i="13"/>
  <c r="AT93" i="14"/>
  <c r="AT96" i="13"/>
  <c r="AL92" i="14"/>
  <c r="AL95" i="13"/>
  <c r="AD89" i="14"/>
  <c r="AD92" i="13"/>
  <c r="V95" i="14"/>
  <c r="V98" i="13"/>
  <c r="N93" i="14"/>
  <c r="N96" i="13"/>
  <c r="F91" i="14"/>
  <c r="F94" i="13"/>
  <c r="F90" i="14"/>
  <c r="F93" i="13"/>
  <c r="AV89" i="14"/>
  <c r="AV92" i="13"/>
  <c r="AZ91" i="14"/>
  <c r="AZ94" i="13"/>
  <c r="AR95" i="14"/>
  <c r="AR98" i="13"/>
  <c r="AJ92" i="14"/>
  <c r="AJ95" i="13"/>
  <c r="AB95" i="14"/>
  <c r="AB98" i="13"/>
  <c r="T90" i="14"/>
  <c r="T93" i="13"/>
  <c r="L90" i="14"/>
  <c r="L93" i="13"/>
  <c r="L93" i="14"/>
  <c r="L96" i="13"/>
  <c r="D89" i="14"/>
  <c r="D92" i="13"/>
  <c r="BI90" i="14"/>
  <c r="BQ93" i="13"/>
  <c r="AV90" i="14"/>
  <c r="AV93" i="13"/>
  <c r="AR90" i="14"/>
  <c r="AR93" i="13"/>
  <c r="AN91" i="14"/>
  <c r="AN94" i="13"/>
  <c r="AF91" i="14"/>
  <c r="AF94" i="13"/>
  <c r="AB91" i="14"/>
  <c r="AB94" i="13"/>
  <c r="X91" i="14"/>
  <c r="X94" i="13"/>
  <c r="AN81" i="14"/>
  <c r="AN83" i="13"/>
  <c r="BD89" i="14"/>
  <c r="BD92" i="13"/>
  <c r="AP95" i="14"/>
  <c r="AP98" i="13"/>
  <c r="AH93" i="14"/>
  <c r="AH96" i="13"/>
  <c r="Z92" i="14"/>
  <c r="Z95" i="13"/>
  <c r="R90" i="14"/>
  <c r="R93" i="13"/>
  <c r="R95" i="14"/>
  <c r="R98" i="13"/>
  <c r="J93" i="14"/>
  <c r="J96" i="13"/>
  <c r="B95" i="14"/>
  <c r="B98" i="13"/>
  <c r="AX93" i="14"/>
  <c r="AX96" i="13"/>
  <c r="AN93" i="14"/>
  <c r="AN96" i="13"/>
  <c r="AF95" i="14"/>
  <c r="AF98" i="13"/>
  <c r="X93" i="14"/>
  <c r="X96" i="13"/>
  <c r="P93" i="14"/>
  <c r="P96" i="13"/>
  <c r="H92" i="14"/>
  <c r="H95" i="13"/>
  <c r="H89" i="14"/>
  <c r="H92" i="13"/>
  <c r="BG91" i="14"/>
  <c r="BO94" i="13"/>
  <c r="AX91" i="14"/>
  <c r="AX94" i="13"/>
  <c r="AT81" i="14"/>
  <c r="AT83" i="13"/>
  <c r="AL90" i="14"/>
  <c r="AL93" i="13"/>
  <c r="AH90" i="14"/>
  <c r="AH93" i="13"/>
  <c r="AD80" i="14"/>
  <c r="AD82" i="13"/>
  <c r="V81" i="14"/>
  <c r="V83" i="13"/>
  <c r="BO95" i="14"/>
  <c r="BW98" i="13"/>
  <c r="AT85" i="14"/>
  <c r="AT87" i="13"/>
  <c r="AL85" i="14"/>
  <c r="AL87" i="13"/>
  <c r="AD85" i="14"/>
  <c r="AD87" i="13"/>
  <c r="V82" i="14"/>
  <c r="V84" i="13"/>
  <c r="N85" i="14"/>
  <c r="N87" i="13"/>
  <c r="F82" i="14"/>
  <c r="F84" i="13"/>
  <c r="BS90" i="14"/>
  <c r="CA93" i="13"/>
  <c r="BK91" i="14"/>
  <c r="BS94" i="13"/>
  <c r="AR83" i="14"/>
  <c r="AR85" i="13"/>
  <c r="AB82" i="14"/>
  <c r="AB84" i="13"/>
  <c r="B83" i="14"/>
  <c r="B85" i="13"/>
  <c r="B81" i="14"/>
  <c r="B83" i="13"/>
  <c r="AL46" i="14"/>
  <c r="AL49" i="13"/>
  <c r="AC46" i="14"/>
  <c r="AC49" i="13"/>
  <c r="Z46" i="14"/>
  <c r="Z49" i="13"/>
  <c r="AY46" i="14"/>
  <c r="BK46" i="14"/>
  <c r="BS49" i="13"/>
  <c r="BG73" i="14"/>
  <c r="BG65" i="14"/>
  <c r="BG23" i="14"/>
  <c r="BO24" i="13"/>
  <c r="BO67" i="13"/>
  <c r="AE65" i="14"/>
  <c r="AE67" i="13"/>
  <c r="BI33" i="14"/>
  <c r="BQ37" i="13"/>
  <c r="F13" i="13"/>
  <c r="AV14" i="14"/>
  <c r="AX10" i="14"/>
  <c r="D38" i="14"/>
  <c r="D39" i="14" s="1"/>
  <c r="D41" i="13"/>
  <c r="D42" i="13" s="1"/>
  <c r="AO65" i="14"/>
  <c r="AO67" i="13"/>
  <c r="BW32" i="14"/>
  <c r="CE36" i="13"/>
  <c r="B13" i="13"/>
  <c r="BO93" i="14"/>
  <c r="BW96" i="13"/>
  <c r="BA65" i="14"/>
  <c r="BA67" i="13"/>
  <c r="AY32" i="14"/>
  <c r="AY36" i="13"/>
  <c r="AW32" i="14"/>
  <c r="AW36" i="13"/>
  <c r="BK93" i="14"/>
  <c r="BS96" i="13"/>
  <c r="BR65" i="14"/>
  <c r="BZ67" i="13"/>
  <c r="BJ50" i="14"/>
  <c r="BR53" i="13"/>
  <c r="AU65" i="14"/>
  <c r="AU67" i="13"/>
  <c r="AS65" i="14"/>
  <c r="AS67" i="13"/>
  <c r="BP32" i="14"/>
  <c r="BX36" i="13"/>
  <c r="BX34" i="14"/>
  <c r="CF38" i="13"/>
  <c r="BN31" i="14"/>
  <c r="BV35" i="13"/>
  <c r="BX32" i="14"/>
  <c r="CF36" i="13"/>
  <c r="BR50" i="14"/>
  <c r="BZ53" i="13"/>
  <c r="W73" i="14"/>
  <c r="W23" i="14"/>
  <c r="W24" i="13"/>
  <c r="BR64" i="14"/>
  <c r="BZ66" i="13"/>
  <c r="BL34" i="14"/>
  <c r="BT38" i="13"/>
  <c r="BO92" i="14"/>
  <c r="BW95" i="13"/>
  <c r="AU46" i="14"/>
  <c r="AU49" i="13"/>
  <c r="Y46" i="14"/>
  <c r="Y49" i="13"/>
  <c r="BK92" i="14"/>
  <c r="BS95" i="13"/>
  <c r="BN65" i="14"/>
  <c r="BV67" i="13"/>
  <c r="K73" i="14"/>
  <c r="K23" i="14"/>
  <c r="K24" i="13"/>
  <c r="Q73" i="14"/>
  <c r="Q23" i="14"/>
  <c r="Q24" i="13"/>
  <c r="BC32" i="14"/>
  <c r="BC36" i="13"/>
  <c r="BA32" i="14"/>
  <c r="BA36" i="13"/>
  <c r="BP34" i="14"/>
  <c r="BX38" i="13"/>
  <c r="BN32" i="14"/>
  <c r="BV36" i="13"/>
  <c r="BJ31" i="14"/>
  <c r="BR35" i="13"/>
  <c r="BN50" i="14"/>
  <c r="BV53" i="13"/>
  <c r="BC64" i="14"/>
  <c r="BC66" i="13"/>
  <c r="Y32" i="14"/>
  <c r="Y36" i="13"/>
  <c r="BR31" i="14"/>
  <c r="BZ35" i="13"/>
  <c r="BO14" i="14"/>
  <c r="BD95" i="13"/>
  <c r="BD92" i="14"/>
  <c r="BS93" i="14"/>
  <c r="CA96" i="13"/>
  <c r="BD96" i="13"/>
  <c r="BD93" i="14"/>
  <c r="BE65" i="14"/>
  <c r="BE67" i="13"/>
  <c r="BD95" i="14"/>
  <c r="BD98" i="13"/>
  <c r="BS95" i="14"/>
  <c r="CA98" i="13"/>
  <c r="BT50" i="14"/>
  <c r="CB53" i="13"/>
  <c r="CB38" i="13"/>
  <c r="BT34" i="14"/>
  <c r="CD38" i="13"/>
  <c r="BV34" i="14"/>
  <c r="BS32" i="14"/>
  <c r="CA36" i="13"/>
  <c r="BV31" i="14"/>
  <c r="CD35" i="13"/>
  <c r="F14" i="13"/>
  <c r="D14" i="13"/>
  <c r="B14" i="13"/>
  <c r="P29" i="14"/>
  <c r="P33" i="13"/>
  <c r="R29" i="14"/>
  <c r="R33" i="13"/>
  <c r="D29" i="14"/>
  <c r="D33" i="13"/>
  <c r="H14" i="13"/>
  <c r="B29" i="14"/>
  <c r="B33" i="13"/>
  <c r="H29" i="14"/>
  <c r="H33" i="13"/>
  <c r="L29" i="14"/>
  <c r="L33" i="13"/>
  <c r="F29" i="14"/>
  <c r="F33" i="13"/>
  <c r="T29" i="14"/>
  <c r="T33" i="13"/>
  <c r="J29" i="14"/>
  <c r="J33" i="13"/>
  <c r="N29" i="14"/>
  <c r="N33" i="13"/>
  <c r="CA13" i="13"/>
  <c r="AJ15" i="14"/>
  <c r="N88" i="13"/>
  <c r="AL99" i="13"/>
  <c r="V99" i="13"/>
  <c r="X99" i="13"/>
  <c r="R9" i="13"/>
  <c r="H11" i="13"/>
  <c r="L10" i="14"/>
  <c r="Z99" i="13"/>
  <c r="AR88" i="13"/>
  <c r="AR99" i="13"/>
  <c r="F88" i="13"/>
  <c r="AC13" i="13"/>
  <c r="M13" i="13"/>
  <c r="BC14" i="14"/>
  <c r="BB13" i="13"/>
  <c r="AW14" i="14"/>
  <c r="AJ13" i="13"/>
  <c r="AK14" i="14"/>
  <c r="F11" i="13"/>
  <c r="BC10" i="14"/>
  <c r="BB9" i="13"/>
  <c r="AM10" i="14"/>
  <c r="AL9" i="13"/>
  <c r="V9" i="13"/>
  <c r="BI10" i="14"/>
  <c r="BA10" i="14"/>
  <c r="AJ9" i="13"/>
  <c r="AK10" i="14"/>
  <c r="V11" i="14"/>
  <c r="H8" i="13"/>
  <c r="B10" i="13"/>
  <c r="BD11" i="14"/>
  <c r="F8" i="14"/>
  <c r="H7" i="13"/>
  <c r="B88" i="13"/>
  <c r="BG15" i="14"/>
  <c r="Y13" i="13"/>
  <c r="AR13" i="13"/>
  <c r="AS14" i="14"/>
  <c r="AY10" i="14"/>
  <c r="AI10" i="14"/>
  <c r="AH9" i="13"/>
  <c r="BV13" i="13"/>
  <c r="X11" i="14"/>
  <c r="D8" i="13"/>
  <c r="AL88" i="13"/>
  <c r="BD99" i="13"/>
  <c r="AB88" i="13"/>
  <c r="BH18" i="14"/>
  <c r="AR15" i="14"/>
  <c r="AO13" i="13"/>
  <c r="U13" i="13"/>
  <c r="AU14" i="14"/>
  <c r="AT13" i="13"/>
  <c r="BT13" i="13"/>
  <c r="BP13" i="13"/>
  <c r="AJ11" i="14"/>
  <c r="B11" i="13"/>
  <c r="AU10" i="14"/>
  <c r="AT9" i="13"/>
  <c r="AE10" i="14"/>
  <c r="AD9" i="13"/>
  <c r="F9" i="13"/>
  <c r="AR9" i="13"/>
  <c r="AS10" i="14"/>
  <c r="AB9" i="13"/>
  <c r="BG10" i="14"/>
  <c r="P10" i="14"/>
  <c r="BE13" i="13"/>
  <c r="AY14" i="14"/>
  <c r="F11" i="14"/>
  <c r="BR13" i="13"/>
  <c r="AW10" i="14"/>
  <c r="AF9" i="13"/>
  <c r="AG10" i="14"/>
  <c r="AN11" i="14"/>
  <c r="D8" i="14"/>
  <c r="B8" i="13"/>
  <c r="BJ18" i="14"/>
  <c r="BQ15" i="14"/>
  <c r="AT15" i="14"/>
  <c r="AG13" i="13"/>
  <c r="Q13" i="13"/>
  <c r="AQ14" i="14"/>
  <c r="AP13" i="13"/>
  <c r="BA14" i="14"/>
  <c r="AQ10" i="14"/>
  <c r="AP9" i="13"/>
  <c r="AA10" i="14"/>
  <c r="Z9" i="13"/>
  <c r="T10" i="14"/>
  <c r="O13" i="13"/>
  <c r="D11" i="13"/>
  <c r="BD9" i="13"/>
  <c r="BE10" i="14"/>
  <c r="AN9" i="13"/>
  <c r="AO10" i="14"/>
  <c r="X9" i="13"/>
  <c r="Y10" i="14"/>
  <c r="N10" i="14"/>
  <c r="R11" i="14"/>
  <c r="B8" i="14"/>
  <c r="F9" i="14"/>
  <c r="N9" i="14"/>
  <c r="Y46" i="1" l="1"/>
  <c r="X47" i="1"/>
  <c r="Y47" i="1" s="1"/>
  <c r="AH106" i="1"/>
  <c r="AI102" i="1"/>
  <c r="AH118" i="1"/>
  <c r="AF154" i="1"/>
  <c r="AG154" i="1" s="1"/>
  <c r="AG122" i="1"/>
  <c r="AF123" i="1"/>
  <c r="AF133" i="1"/>
  <c r="X41" i="1"/>
  <c r="Z28" i="1"/>
  <c r="Y35" i="1"/>
  <c r="X36" i="1"/>
  <c r="AE148" i="1"/>
  <c r="AD150" i="1"/>
  <c r="AE150" i="1" s="1"/>
  <c r="X211" i="1"/>
  <c r="Y211" i="1" s="1"/>
  <c r="X222" i="1"/>
  <c r="Y210" i="1"/>
  <c r="Z204" i="1"/>
  <c r="W63" i="1"/>
  <c r="V65" i="1"/>
  <c r="W65" i="1" s="1"/>
  <c r="AF538" i="1"/>
  <c r="AG538" i="1" s="1"/>
  <c r="AG537" i="1"/>
  <c r="AG129" i="1"/>
  <c r="AF130" i="1"/>
  <c r="AG130" i="1" s="1"/>
  <c r="Z258" i="1"/>
  <c r="AA258" i="1" s="1"/>
  <c r="AA221" i="1"/>
  <c r="AH115" i="1"/>
  <c r="AI115" i="1" s="1"/>
  <c r="AI114" i="1"/>
  <c r="AJ110" i="1"/>
  <c r="AJ114" i="1" s="1"/>
  <c r="AP455" i="1"/>
  <c r="AR448" i="1"/>
  <c r="AQ452" i="1"/>
  <c r="V225" i="1"/>
  <c r="W223" i="1"/>
  <c r="V260" i="1"/>
  <c r="W260" i="1" s="1"/>
  <c r="AJ514" i="1"/>
  <c r="AB193" i="1"/>
  <c r="AC187" i="1"/>
  <c r="AB200" i="1"/>
  <c r="AB199" i="1"/>
  <c r="AC199" i="1" s="1"/>
  <c r="AB198" i="1"/>
  <c r="AC198" i="1" s="1"/>
  <c r="X218" i="1"/>
  <c r="Y218" i="1" s="1"/>
  <c r="Y217" i="1"/>
  <c r="AH522" i="1"/>
  <c r="AI518" i="1"/>
  <c r="AH526" i="1"/>
  <c r="AD558" i="1"/>
  <c r="AE558" i="1" s="1"/>
  <c r="AE556" i="1"/>
  <c r="AF531" i="1"/>
  <c r="AF541" i="1"/>
  <c r="AG530" i="1"/>
  <c r="AF562" i="1"/>
  <c r="AG562" i="1" s="1"/>
  <c r="U227" i="1"/>
  <c r="T264" i="1"/>
  <c r="U264" i="1" s="1"/>
  <c r="T228" i="1"/>
  <c r="U228" i="1" s="1"/>
  <c r="S46" i="14"/>
  <c r="BS82" i="13"/>
  <c r="AU99" i="13"/>
  <c r="BJ64" i="14"/>
  <c r="J84" i="13"/>
  <c r="W49" i="13"/>
  <c r="BU14" i="14"/>
  <c r="AQ49" i="13"/>
  <c r="AY49" i="13"/>
  <c r="BN46" i="14"/>
  <c r="BR46" i="14"/>
  <c r="AS82" i="14"/>
  <c r="AS84" i="13"/>
  <c r="W90" i="14"/>
  <c r="W93" i="13"/>
  <c r="AH80" i="14"/>
  <c r="AH82" i="13"/>
  <c r="AX81" i="14"/>
  <c r="AX83" i="13"/>
  <c r="AY95" i="14"/>
  <c r="AY98" i="13"/>
  <c r="X79" i="14"/>
  <c r="X81" i="13"/>
  <c r="AF80" i="14"/>
  <c r="AF82" i="13"/>
  <c r="BE90" i="14"/>
  <c r="BE93" i="13"/>
  <c r="AZ93" i="14"/>
  <c r="AZ96" i="13"/>
  <c r="T83" i="14"/>
  <c r="T85" i="13"/>
  <c r="H80" i="14"/>
  <c r="H82" i="13"/>
  <c r="H85" i="14"/>
  <c r="H87" i="13"/>
  <c r="AM92" i="14"/>
  <c r="AM95" i="13"/>
  <c r="AF85" i="14"/>
  <c r="AF87" i="13"/>
  <c r="J80" i="14"/>
  <c r="J82" i="13"/>
  <c r="J83" i="14"/>
  <c r="J85" i="13"/>
  <c r="BP89" i="14"/>
  <c r="BX92" i="13"/>
  <c r="AN83" i="14"/>
  <c r="AN85" i="13"/>
  <c r="P82" i="14"/>
  <c r="P84" i="13"/>
  <c r="BL89" i="14"/>
  <c r="BT92" i="13"/>
  <c r="BK79" i="14"/>
  <c r="BS81" i="13"/>
  <c r="BI89" i="14"/>
  <c r="BQ92" i="13"/>
  <c r="AO93" i="14"/>
  <c r="AO96" i="13"/>
  <c r="BB93" i="14"/>
  <c r="BB96" i="13"/>
  <c r="L85" i="14"/>
  <c r="L87" i="13"/>
  <c r="AH82" i="14"/>
  <c r="AH84" i="13"/>
  <c r="AS80" i="14"/>
  <c r="AS82" i="13"/>
  <c r="BM91" i="14"/>
  <c r="BU94" i="13"/>
  <c r="AS93" i="14"/>
  <c r="AS96" i="13"/>
  <c r="AJ79" i="14"/>
  <c r="AJ81" i="13"/>
  <c r="AP85" i="14"/>
  <c r="AP87" i="13"/>
  <c r="CA32" i="14"/>
  <c r="CI36" i="13"/>
  <c r="BO79" i="14"/>
  <c r="BW81" i="13"/>
  <c r="AA81" i="14"/>
  <c r="AA83" i="13"/>
  <c r="BM95" i="14"/>
  <c r="BU98" i="13"/>
  <c r="BQ90" i="14"/>
  <c r="BY93" i="13"/>
  <c r="W47" i="14"/>
  <c r="V47" i="14"/>
  <c r="V50" i="13"/>
  <c r="BG85" i="14"/>
  <c r="BO87" i="13"/>
  <c r="BQ95" i="14"/>
  <c r="BY98" i="13"/>
  <c r="S93" i="14"/>
  <c r="S96" i="13"/>
  <c r="R79" i="14"/>
  <c r="R81" i="13"/>
  <c r="R85" i="14"/>
  <c r="R87" i="13"/>
  <c r="AX82" i="14"/>
  <c r="AX84" i="13"/>
  <c r="AV81" i="14"/>
  <c r="AV83" i="13"/>
  <c r="D82" i="14"/>
  <c r="D84" i="13"/>
  <c r="AU95" i="14"/>
  <c r="AU98" i="13"/>
  <c r="Z85" i="14"/>
  <c r="Z87" i="13"/>
  <c r="AV83" i="14"/>
  <c r="AV85" i="13"/>
  <c r="AM85" i="14"/>
  <c r="AM87" i="13"/>
  <c r="W81" i="14"/>
  <c r="W83" i="13"/>
  <c r="BH91" i="14"/>
  <c r="BP94" i="13"/>
  <c r="AA92" i="14"/>
  <c r="AA95" i="13"/>
  <c r="AG91" i="14"/>
  <c r="AG94" i="13"/>
  <c r="AW90" i="14"/>
  <c r="AW93" i="13"/>
  <c r="U90" i="14"/>
  <c r="U93" i="13"/>
  <c r="AS95" i="14"/>
  <c r="AS98" i="13"/>
  <c r="AG81" i="14"/>
  <c r="AG83" i="13"/>
  <c r="BH90" i="14"/>
  <c r="BP93" i="13"/>
  <c r="AI89" i="14"/>
  <c r="AI92" i="13"/>
  <c r="AC92" i="14"/>
  <c r="AC95" i="13"/>
  <c r="O83" i="14"/>
  <c r="O85" i="13"/>
  <c r="AM83" i="14"/>
  <c r="AM85" i="13"/>
  <c r="W80" i="14"/>
  <c r="W82" i="13"/>
  <c r="AM81" i="14"/>
  <c r="AM83" i="13"/>
  <c r="BH80" i="14"/>
  <c r="BP82" i="13"/>
  <c r="Q90" i="14"/>
  <c r="Q93" i="13"/>
  <c r="AY92" i="14"/>
  <c r="AY95" i="13"/>
  <c r="AG90" i="14"/>
  <c r="AG93" i="13"/>
  <c r="BE91" i="14"/>
  <c r="BE94" i="13"/>
  <c r="AM95" i="14"/>
  <c r="AM98" i="13"/>
  <c r="AE79" i="14"/>
  <c r="AE81" i="13"/>
  <c r="AI91" i="14"/>
  <c r="AI94" i="13"/>
  <c r="AU90" i="14"/>
  <c r="AU93" i="13"/>
  <c r="AA93" i="14"/>
  <c r="AA96" i="13"/>
  <c r="AW91" i="14"/>
  <c r="AW94" i="13"/>
  <c r="U89" i="14"/>
  <c r="U92" i="13"/>
  <c r="AW93" i="14"/>
  <c r="AW96" i="13"/>
  <c r="W89" i="14"/>
  <c r="W92" i="13"/>
  <c r="AM89" i="14"/>
  <c r="AM92" i="13"/>
  <c r="AQ91" i="14"/>
  <c r="AQ94" i="13"/>
  <c r="AZ13" i="13"/>
  <c r="AC99" i="13"/>
  <c r="AB99" i="13"/>
  <c r="O99" i="13"/>
  <c r="N99" i="13"/>
  <c r="BT89" i="14"/>
  <c r="CB92" i="13"/>
  <c r="AU83" i="14"/>
  <c r="AU85" i="13"/>
  <c r="AA90" i="14"/>
  <c r="AA93" i="13"/>
  <c r="AM90" i="14"/>
  <c r="AM93" i="13"/>
  <c r="AX80" i="14"/>
  <c r="AX82" i="13"/>
  <c r="X82" i="14"/>
  <c r="X84" i="13"/>
  <c r="AO90" i="14"/>
  <c r="AO93" i="13"/>
  <c r="M90" i="14"/>
  <c r="M93" i="13"/>
  <c r="AZ95" i="14"/>
  <c r="AZ98" i="13"/>
  <c r="T85" i="14"/>
  <c r="T87" i="13"/>
  <c r="H79" i="14"/>
  <c r="H81" i="13"/>
  <c r="W95" i="14"/>
  <c r="W98" i="13"/>
  <c r="AU93" i="14"/>
  <c r="AU96" i="13"/>
  <c r="AF79" i="14"/>
  <c r="AF81" i="13"/>
  <c r="J79" i="14"/>
  <c r="J81" i="13"/>
  <c r="J85" i="14"/>
  <c r="J87" i="13"/>
  <c r="AN85" i="14"/>
  <c r="AN87" i="13"/>
  <c r="P80" i="14"/>
  <c r="P82" i="13"/>
  <c r="P83" i="14"/>
  <c r="P85" i="13"/>
  <c r="AI99" i="13"/>
  <c r="AH99" i="13"/>
  <c r="AL47" i="14"/>
  <c r="AL50" i="13"/>
  <c r="BT91" i="14"/>
  <c r="CB94" i="13"/>
  <c r="AY93" i="14"/>
  <c r="AY96" i="13"/>
  <c r="BB95" i="14"/>
  <c r="BB98" i="13"/>
  <c r="L81" i="14"/>
  <c r="L83" i="13"/>
  <c r="L80" i="14"/>
  <c r="L82" i="13"/>
  <c r="AH83" i="14"/>
  <c r="AH85" i="13"/>
  <c r="BE81" i="14"/>
  <c r="BE83" i="13"/>
  <c r="M91" i="14"/>
  <c r="M94" i="13"/>
  <c r="AW92" i="14"/>
  <c r="AW95" i="13"/>
  <c r="AJ82" i="14"/>
  <c r="AJ84" i="13"/>
  <c r="AP79" i="14"/>
  <c r="AP81" i="13"/>
  <c r="BO85" i="14"/>
  <c r="BW87" i="13"/>
  <c r="BM89" i="14"/>
  <c r="BU92" i="13"/>
  <c r="BQ91" i="14"/>
  <c r="BY94" i="13"/>
  <c r="K99" i="13"/>
  <c r="J99" i="13"/>
  <c r="BR49" i="13"/>
  <c r="BI46" i="14"/>
  <c r="BQ49" i="13"/>
  <c r="W91" i="14"/>
  <c r="W94" i="13"/>
  <c r="BQ89" i="14"/>
  <c r="BY92" i="13"/>
  <c r="Q95" i="14"/>
  <c r="Q98" i="13"/>
  <c r="AI92" i="14"/>
  <c r="AI95" i="13"/>
  <c r="R81" i="14"/>
  <c r="R83" i="13"/>
  <c r="AX83" i="14"/>
  <c r="AX85" i="13"/>
  <c r="D83" i="14"/>
  <c r="D85" i="13"/>
  <c r="D81" i="14"/>
  <c r="D83" i="13"/>
  <c r="O89" i="14"/>
  <c r="O92" i="13"/>
  <c r="Z79" i="14"/>
  <c r="Z81" i="13"/>
  <c r="AU88" i="13"/>
  <c r="AV85" i="14"/>
  <c r="AV87" i="13"/>
  <c r="AE85" i="14"/>
  <c r="AE87" i="13"/>
  <c r="AI90" i="14"/>
  <c r="AI93" i="13"/>
  <c r="AY91" i="14"/>
  <c r="AY94" i="13"/>
  <c r="AG95" i="14"/>
  <c r="AG98" i="13"/>
  <c r="S90" i="14"/>
  <c r="S93" i="13"/>
  <c r="BE89" i="14"/>
  <c r="BE92" i="13"/>
  <c r="O93" i="14"/>
  <c r="O96" i="13"/>
  <c r="BH95" i="14"/>
  <c r="BP98" i="13"/>
  <c r="AU91" i="14"/>
  <c r="AU94" i="13"/>
  <c r="AG89" i="14"/>
  <c r="AG92" i="13"/>
  <c r="BX31" i="14"/>
  <c r="CF35" i="13"/>
  <c r="BL90" i="14"/>
  <c r="BT93" i="13"/>
  <c r="BH89" i="14"/>
  <c r="BP92" i="13"/>
  <c r="AE91" i="14"/>
  <c r="AE94" i="13"/>
  <c r="AY90" i="14"/>
  <c r="AY93" i="13"/>
  <c r="Q92" i="14"/>
  <c r="Q95" i="13"/>
  <c r="AO92" i="14"/>
  <c r="AO95" i="13"/>
  <c r="K91" i="14"/>
  <c r="K94" i="13"/>
  <c r="AA89" i="14"/>
  <c r="AA92" i="13"/>
  <c r="AZ90" i="14"/>
  <c r="AZ93" i="13"/>
  <c r="AK80" i="14"/>
  <c r="AK82" i="13"/>
  <c r="AU92" i="14"/>
  <c r="AU95" i="13"/>
  <c r="AO89" i="14"/>
  <c r="AO92" i="13"/>
  <c r="AQ92" i="14"/>
  <c r="AQ95" i="13"/>
  <c r="O90" i="14"/>
  <c r="O93" i="13"/>
  <c r="BL32" i="14"/>
  <c r="BT36" i="13"/>
  <c r="W83" i="14"/>
  <c r="W85" i="13"/>
  <c r="AE81" i="14"/>
  <c r="AE83" i="13"/>
  <c r="Y95" i="14"/>
  <c r="Y98" i="13"/>
  <c r="S91" i="14"/>
  <c r="S94" i="13"/>
  <c r="X80" i="14"/>
  <c r="X82" i="13"/>
  <c r="AS91" i="14"/>
  <c r="AS94" i="13"/>
  <c r="BJ91" i="14"/>
  <c r="BR94" i="13"/>
  <c r="U91" i="14"/>
  <c r="U94" i="13"/>
  <c r="AS89" i="14"/>
  <c r="AS92" i="13"/>
  <c r="W93" i="14"/>
  <c r="W96" i="13"/>
  <c r="AK93" i="14"/>
  <c r="AK96" i="13"/>
  <c r="AK99" i="13"/>
  <c r="AJ99" i="13"/>
  <c r="AE88" i="13"/>
  <c r="AD88" i="13"/>
  <c r="BP90" i="14"/>
  <c r="BX93" i="13"/>
  <c r="AE80" i="14"/>
  <c r="AE82" i="13"/>
  <c r="AQ90" i="14"/>
  <c r="AQ93" i="13"/>
  <c r="BB90" i="14"/>
  <c r="BB93" i="13"/>
  <c r="Q91" i="14"/>
  <c r="Q94" i="13"/>
  <c r="K95" i="14"/>
  <c r="K98" i="13"/>
  <c r="X83" i="14"/>
  <c r="X85" i="13"/>
  <c r="BD79" i="14"/>
  <c r="BD81" i="13"/>
  <c r="Y90" i="14"/>
  <c r="Y93" i="13"/>
  <c r="AS90" i="14"/>
  <c r="AS93" i="13"/>
  <c r="AK92" i="14"/>
  <c r="AK95" i="13"/>
  <c r="AZ92" i="14"/>
  <c r="AZ95" i="13"/>
  <c r="T81" i="14"/>
  <c r="T83" i="13"/>
  <c r="T80" i="14"/>
  <c r="T82" i="13"/>
  <c r="H82" i="14"/>
  <c r="H84" i="13"/>
  <c r="AF82" i="14"/>
  <c r="AF84" i="13"/>
  <c r="J81" i="14"/>
  <c r="J83" i="13"/>
  <c r="AV9" i="13"/>
  <c r="CA31" i="14"/>
  <c r="CI35" i="13"/>
  <c r="AN79" i="14"/>
  <c r="AN81" i="13"/>
  <c r="P79" i="14"/>
  <c r="P81" i="13"/>
  <c r="P85" i="14"/>
  <c r="P87" i="13"/>
  <c r="U99" i="13"/>
  <c r="T99" i="13"/>
  <c r="AG99" i="13"/>
  <c r="AF99" i="13"/>
  <c r="BK85" i="14"/>
  <c r="BS87" i="13"/>
  <c r="BL91" i="14"/>
  <c r="BT94" i="13"/>
  <c r="O85" i="14"/>
  <c r="O87" i="13"/>
  <c r="Z80" i="14"/>
  <c r="Z82" i="13"/>
  <c r="BB89" i="14"/>
  <c r="BB92" i="13"/>
  <c r="L82" i="14"/>
  <c r="L84" i="13"/>
  <c r="L79" i="14"/>
  <c r="L81" i="13"/>
  <c r="AH85" i="14"/>
  <c r="AH87" i="13"/>
  <c r="BJ90" i="14"/>
  <c r="BR93" i="13"/>
  <c r="BM81" i="14"/>
  <c r="BU83" i="13"/>
  <c r="U95" i="14"/>
  <c r="U98" i="13"/>
  <c r="AJ83" i="14"/>
  <c r="AJ85" i="13"/>
  <c r="AP82" i="14"/>
  <c r="AP84" i="13"/>
  <c r="AX9" i="13"/>
  <c r="W10" i="14"/>
  <c r="AV13" i="13"/>
  <c r="AA91" i="14"/>
  <c r="AA94" i="13"/>
  <c r="AY89" i="14"/>
  <c r="AY92" i="13"/>
  <c r="AQ93" i="14"/>
  <c r="AQ96" i="13"/>
  <c r="R80" i="14"/>
  <c r="R82" i="13"/>
  <c r="R82" i="14"/>
  <c r="R84" i="13"/>
  <c r="AX85" i="14"/>
  <c r="AX87" i="13"/>
  <c r="D80" i="14"/>
  <c r="D82" i="13"/>
  <c r="D85" i="14"/>
  <c r="D87" i="13"/>
  <c r="AE92" i="14"/>
  <c r="AE95" i="13"/>
  <c r="M99" i="13"/>
  <c r="L99" i="13"/>
  <c r="AV79" i="14"/>
  <c r="AV81" i="13"/>
  <c r="AM46" i="14"/>
  <c r="AM49" i="13"/>
  <c r="AU81" i="14"/>
  <c r="AU83" i="13"/>
  <c r="Y93" i="14"/>
  <c r="Y96" i="13"/>
  <c r="S95" i="14"/>
  <c r="S98" i="13"/>
  <c r="AQ95" i="14"/>
  <c r="AQ98" i="13"/>
  <c r="AW89" i="14"/>
  <c r="AW92" i="13"/>
  <c r="W79" i="14"/>
  <c r="W81" i="13"/>
  <c r="AE90" i="14"/>
  <c r="AE93" i="13"/>
  <c r="AU89" i="14"/>
  <c r="AU92" i="13"/>
  <c r="AG93" i="14"/>
  <c r="AG96" i="13"/>
  <c r="S89" i="14"/>
  <c r="S92" i="13"/>
  <c r="BD80" i="14"/>
  <c r="BD82" i="13"/>
  <c r="AK95" i="14"/>
  <c r="AK98" i="13"/>
  <c r="AE95" i="14"/>
  <c r="AE98" i="13"/>
  <c r="W85" i="14"/>
  <c r="W87" i="13"/>
  <c r="Q89" i="14"/>
  <c r="Q92" i="13"/>
  <c r="S92" i="14"/>
  <c r="S95" i="13"/>
  <c r="AS92" i="14"/>
  <c r="AS95" i="13"/>
  <c r="AE93" i="14"/>
  <c r="AE96" i="13"/>
  <c r="AU79" i="14"/>
  <c r="AU81" i="13"/>
  <c r="AO95" i="14"/>
  <c r="AO98" i="13"/>
  <c r="K89" i="14"/>
  <c r="K92" i="13"/>
  <c r="AK90" i="14"/>
  <c r="AK93" i="13"/>
  <c r="M92" i="14"/>
  <c r="M95" i="13"/>
  <c r="AK89" i="14"/>
  <c r="AK92" i="13"/>
  <c r="K90" i="14"/>
  <c r="K93" i="13"/>
  <c r="U93" i="14"/>
  <c r="U96" i="13"/>
  <c r="O95" i="14"/>
  <c r="O98" i="13"/>
  <c r="AE99" i="13"/>
  <c r="AD99" i="13"/>
  <c r="AD47" i="14"/>
  <c r="AD50" i="13"/>
  <c r="BS79" i="14"/>
  <c r="CA81" i="13"/>
  <c r="AE83" i="14"/>
  <c r="AE85" i="13"/>
  <c r="AH81" i="14"/>
  <c r="AH83" i="13"/>
  <c r="AU80" i="14"/>
  <c r="AU82" i="13"/>
  <c r="AG92" i="14"/>
  <c r="AG95" i="13"/>
  <c r="AA95" i="14"/>
  <c r="AA98" i="13"/>
  <c r="X85" i="14"/>
  <c r="X87" i="13"/>
  <c r="AC90" i="14"/>
  <c r="AC93" i="13"/>
  <c r="AV80" i="14"/>
  <c r="AV82" i="13"/>
  <c r="AZ89" i="14"/>
  <c r="AZ92" i="13"/>
  <c r="T82" i="14"/>
  <c r="T84" i="13"/>
  <c r="T79" i="14"/>
  <c r="T81" i="13"/>
  <c r="H83" i="14"/>
  <c r="H85" i="13"/>
  <c r="H81" i="14"/>
  <c r="H83" i="13"/>
  <c r="AE89" i="14"/>
  <c r="AE92" i="13"/>
  <c r="AF83" i="14"/>
  <c r="AF85" i="13"/>
  <c r="J82" i="14"/>
  <c r="AX13" i="13"/>
  <c r="BP91" i="14"/>
  <c r="BX94" i="13"/>
  <c r="AN82" i="14"/>
  <c r="AN84" i="13"/>
  <c r="P81" i="14"/>
  <c r="P83" i="13"/>
  <c r="AB47" i="14"/>
  <c r="AB50" i="13"/>
  <c r="S99" i="13"/>
  <c r="R99" i="13"/>
  <c r="AS79" i="14"/>
  <c r="AS81" i="13"/>
  <c r="BO81" i="14"/>
  <c r="BW83" i="13"/>
  <c r="O80" i="14"/>
  <c r="O82" i="13"/>
  <c r="AP80" i="14"/>
  <c r="AP82" i="13"/>
  <c r="BI95" i="14"/>
  <c r="BQ98" i="13"/>
  <c r="BB92" i="14"/>
  <c r="BB95" i="13"/>
  <c r="L83" i="14"/>
  <c r="L85" i="13"/>
  <c r="AH79" i="14"/>
  <c r="AH81" i="13"/>
  <c r="AJ81" i="14"/>
  <c r="AJ83" i="13"/>
  <c r="BM90" i="14"/>
  <c r="BU93" i="13"/>
  <c r="AC93" i="14"/>
  <c r="AC96" i="13"/>
  <c r="AJ85" i="14"/>
  <c r="AJ87" i="13"/>
  <c r="AP83" i="14"/>
  <c r="AP85" i="13"/>
  <c r="BQ81" i="14"/>
  <c r="BY83" i="13"/>
  <c r="AZ9" i="13"/>
  <c r="Q99" i="13"/>
  <c r="P99" i="13"/>
  <c r="W88" i="13"/>
  <c r="V88" i="13"/>
  <c r="BP99" i="13"/>
  <c r="BO99" i="13"/>
  <c r="AA46" i="14"/>
  <c r="AA49" i="13"/>
  <c r="BG79" i="14"/>
  <c r="BO81" i="13"/>
  <c r="R83" i="14"/>
  <c r="R85" i="13"/>
  <c r="AX79" i="14"/>
  <c r="AX81" i="13"/>
  <c r="AC91" i="14"/>
  <c r="AC94" i="13"/>
  <c r="D79" i="14"/>
  <c r="D81" i="13"/>
  <c r="AM93" i="14"/>
  <c r="AM96" i="13"/>
  <c r="Z83" i="14"/>
  <c r="Z85" i="13"/>
  <c r="AV82" i="14"/>
  <c r="AV84" i="13"/>
  <c r="AO81" i="14"/>
  <c r="AO83" i="13"/>
  <c r="AI46" i="14"/>
  <c r="AI49" i="13"/>
  <c r="AU85" i="14"/>
  <c r="AU87" i="13"/>
  <c r="Q93" i="14"/>
  <c r="Q96" i="13"/>
  <c r="K93" i="14"/>
  <c r="K96" i="13"/>
  <c r="AI93" i="14"/>
  <c r="AI96" i="13"/>
  <c r="Y91" i="14"/>
  <c r="Y94" i="13"/>
  <c r="AO91" i="14"/>
  <c r="AO94" i="13"/>
  <c r="M93" i="14"/>
  <c r="M96" i="13"/>
  <c r="AC95" i="14"/>
  <c r="AC98" i="13"/>
  <c r="BA91" i="14"/>
  <c r="BA94" i="13"/>
  <c r="O91" i="14"/>
  <c r="O94" i="13"/>
  <c r="AK91" i="14"/>
  <c r="AK94" i="13"/>
  <c r="W92" i="14"/>
  <c r="W95" i="13"/>
  <c r="O79" i="14"/>
  <c r="O81" i="13"/>
  <c r="Y92" i="14"/>
  <c r="Y95" i="13"/>
  <c r="M89" i="14"/>
  <c r="M92" i="13"/>
  <c r="AM80" i="14"/>
  <c r="AM82" i="13"/>
  <c r="U92" i="14"/>
  <c r="U95" i="13"/>
  <c r="AW95" i="14"/>
  <c r="AW98" i="13"/>
  <c r="AM79" i="14"/>
  <c r="AM81" i="13"/>
  <c r="AM91" i="14"/>
  <c r="AM94" i="13"/>
  <c r="BC91" i="14"/>
  <c r="BC94" i="13"/>
  <c r="K92" i="14"/>
  <c r="K95" i="13"/>
  <c r="AI95" i="14"/>
  <c r="AI98" i="13"/>
  <c r="AQ89" i="14"/>
  <c r="AQ92" i="13"/>
  <c r="AC89" i="14"/>
  <c r="AC92" i="13"/>
  <c r="O92" i="14"/>
  <c r="O95" i="13"/>
  <c r="O81" i="14"/>
  <c r="O83" i="13"/>
  <c r="Y89" i="14"/>
  <c r="Y92" i="13"/>
  <c r="M95" i="14"/>
  <c r="M98" i="13"/>
  <c r="BH81" i="14"/>
  <c r="BP83" i="13"/>
  <c r="BO82" i="14"/>
  <c r="BW84" i="13"/>
  <c r="BT14" i="14"/>
  <c r="BQ14" i="14"/>
  <c r="BH73" i="14"/>
  <c r="BH23" i="14"/>
  <c r="BP24" i="13"/>
  <c r="BP14" i="14"/>
  <c r="AO99" i="13"/>
  <c r="AN99" i="13"/>
  <c r="BM93" i="14"/>
  <c r="BU96" i="13"/>
  <c r="BQ93" i="14"/>
  <c r="BY96" i="13"/>
  <c r="BL64" i="14"/>
  <c r="BT66" i="13"/>
  <c r="BG92" i="14"/>
  <c r="BO95" i="13"/>
  <c r="AZ46" i="14"/>
  <c r="AZ49" i="13"/>
  <c r="AT47" i="14"/>
  <c r="AT50" i="13"/>
  <c r="BJ32" i="14"/>
  <c r="BR36" i="13"/>
  <c r="BK83" i="14"/>
  <c r="BS85" i="13"/>
  <c r="BI92" i="14"/>
  <c r="BQ95" i="13"/>
  <c r="BZ32" i="14"/>
  <c r="CH36" i="13"/>
  <c r="BC65" i="14"/>
  <c r="BC67" i="13"/>
  <c r="W50" i="13"/>
  <c r="BL73" i="14"/>
  <c r="BL23" i="14"/>
  <c r="BT24" i="13"/>
  <c r="BH65" i="14"/>
  <c r="BP67" i="13"/>
  <c r="AW99" i="13"/>
  <c r="AV99" i="13"/>
  <c r="BW13" i="13"/>
  <c r="BZ31" i="14"/>
  <c r="CH35" i="13"/>
  <c r="BL46" i="14"/>
  <c r="BT49" i="13"/>
  <c r="BP93" i="14"/>
  <c r="BX96" i="13"/>
  <c r="BM92" i="14"/>
  <c r="BU95" i="13"/>
  <c r="BL93" i="14"/>
  <c r="BT96" i="13"/>
  <c r="AR47" i="14"/>
  <c r="AR50" i="13"/>
  <c r="BR32" i="14"/>
  <c r="BZ36" i="13"/>
  <c r="BH32" i="14"/>
  <c r="BP36" i="13"/>
  <c r="BG93" i="14"/>
  <c r="BO96" i="13"/>
  <c r="BI93" i="14"/>
  <c r="BQ96" i="13"/>
  <c r="BP46" i="14"/>
  <c r="BX49" i="13"/>
  <c r="AY99" i="13"/>
  <c r="AP99" i="13"/>
  <c r="BJ46" i="14"/>
  <c r="BO83" i="14"/>
  <c r="BW85" i="13"/>
  <c r="BP65" i="14"/>
  <c r="BX67" i="13"/>
  <c r="BG83" i="14"/>
  <c r="BO85" i="13"/>
  <c r="BQ92" i="14"/>
  <c r="BY95" i="13"/>
  <c r="BJ73" i="14"/>
  <c r="BJ23" i="14"/>
  <c r="BR24" i="13"/>
  <c r="BB46" i="14"/>
  <c r="BB49" i="13"/>
  <c r="CA95" i="13"/>
  <c r="BS92" i="14"/>
  <c r="BD84" i="13"/>
  <c r="BD82" i="14"/>
  <c r="BS83" i="14"/>
  <c r="CA85" i="13"/>
  <c r="BE93" i="14"/>
  <c r="BE96" i="13"/>
  <c r="BD85" i="13"/>
  <c r="BD83" i="14"/>
  <c r="BE92" i="14"/>
  <c r="BE95" i="13"/>
  <c r="BT65" i="14"/>
  <c r="CB67" i="13"/>
  <c r="BS85" i="14"/>
  <c r="CA87" i="13"/>
  <c r="BD49" i="13"/>
  <c r="BD46" i="14"/>
  <c r="BE95" i="14"/>
  <c r="BE98" i="13"/>
  <c r="BD87" i="13"/>
  <c r="BD85" i="14"/>
  <c r="BV32" i="14"/>
  <c r="CD36" i="13"/>
  <c r="CB36" i="13"/>
  <c r="BT32" i="14"/>
  <c r="M29" i="14"/>
  <c r="M33" i="13"/>
  <c r="X29" i="14"/>
  <c r="X33" i="13"/>
  <c r="AF29" i="14"/>
  <c r="AF33" i="13"/>
  <c r="AN29" i="14"/>
  <c r="AN33" i="13"/>
  <c r="V29" i="14"/>
  <c r="V33" i="13"/>
  <c r="AD29" i="14"/>
  <c r="AD33" i="13"/>
  <c r="AL29" i="14"/>
  <c r="AL33" i="13"/>
  <c r="O29" i="14"/>
  <c r="O33" i="13"/>
  <c r="K29" i="14"/>
  <c r="K33" i="13"/>
  <c r="Z29" i="14"/>
  <c r="Z33" i="13"/>
  <c r="AH29" i="14"/>
  <c r="AH33" i="13"/>
  <c r="U29" i="14"/>
  <c r="U33" i="13"/>
  <c r="Q29" i="14"/>
  <c r="Q33" i="13"/>
  <c r="AB29" i="14"/>
  <c r="AB33" i="13"/>
  <c r="AJ29" i="14"/>
  <c r="AJ33" i="13"/>
  <c r="S29" i="14"/>
  <c r="S33" i="13"/>
  <c r="R12" i="14"/>
  <c r="T9" i="14"/>
  <c r="R9" i="14"/>
  <c r="BD8" i="14"/>
  <c r="L8" i="14"/>
  <c r="AH12" i="14"/>
  <c r="AL11" i="14"/>
  <c r="AF9" i="14"/>
  <c r="J10" i="14"/>
  <c r="D11" i="14"/>
  <c r="T9" i="13"/>
  <c r="U10" i="14"/>
  <c r="N15" i="14"/>
  <c r="AG9" i="13"/>
  <c r="V8" i="14"/>
  <c r="Z9" i="14"/>
  <c r="BC9" i="13"/>
  <c r="P8" i="14"/>
  <c r="AF8" i="14"/>
  <c r="AH8" i="14"/>
  <c r="L9" i="14"/>
  <c r="N8" i="13"/>
  <c r="O9" i="14"/>
  <c r="T8" i="14"/>
  <c r="BQ9" i="14"/>
  <c r="BE9" i="13"/>
  <c r="BA13" i="13"/>
  <c r="AQ13" i="13"/>
  <c r="AN10" i="13"/>
  <c r="AW9" i="13"/>
  <c r="AY13" i="13"/>
  <c r="P9" i="13"/>
  <c r="AC10" i="14"/>
  <c r="AR11" i="14"/>
  <c r="T12" i="14"/>
  <c r="AJ10" i="13"/>
  <c r="AD12" i="14"/>
  <c r="T15" i="14"/>
  <c r="AB15" i="14"/>
  <c r="BE99" i="13"/>
  <c r="R8" i="14"/>
  <c r="X9" i="14"/>
  <c r="BA9" i="13"/>
  <c r="AN12" i="14"/>
  <c r="L12" i="14"/>
  <c r="BJ10" i="14"/>
  <c r="BQ9" i="13"/>
  <c r="AP11" i="14"/>
  <c r="L15" i="14"/>
  <c r="AA99" i="13"/>
  <c r="P9" i="14"/>
  <c r="AR12" i="14"/>
  <c r="Y99" i="13"/>
  <c r="W99" i="13"/>
  <c r="O88" i="13"/>
  <c r="P12" i="14"/>
  <c r="AL8" i="14"/>
  <c r="AN9" i="14"/>
  <c r="AU9" i="13"/>
  <c r="AS13" i="13"/>
  <c r="AJ9" i="14"/>
  <c r="AL9" i="14"/>
  <c r="AB8" i="14"/>
  <c r="AR8" i="14"/>
  <c r="N8" i="14"/>
  <c r="F8" i="13"/>
  <c r="BG9" i="14"/>
  <c r="O10" i="14"/>
  <c r="N9" i="13"/>
  <c r="AF12" i="14"/>
  <c r="AF11" i="14"/>
  <c r="Z12" i="14"/>
  <c r="AA9" i="13"/>
  <c r="AB12" i="14"/>
  <c r="AT14" i="13"/>
  <c r="BG8" i="14"/>
  <c r="AP15" i="14"/>
  <c r="AD8" i="14"/>
  <c r="AT8" i="14"/>
  <c r="BH10" i="14"/>
  <c r="BO9" i="13"/>
  <c r="X12" i="14"/>
  <c r="J12" i="14"/>
  <c r="AU13" i="13"/>
  <c r="V15" i="14"/>
  <c r="AS15" i="14"/>
  <c r="AR14" i="13"/>
  <c r="V9" i="14"/>
  <c r="X10" i="13"/>
  <c r="D10" i="14"/>
  <c r="AI9" i="13"/>
  <c r="V12" i="14"/>
  <c r="AN15" i="14"/>
  <c r="V10" i="13"/>
  <c r="AH11" i="14"/>
  <c r="H10" i="14"/>
  <c r="W9" i="13"/>
  <c r="AK13" i="13"/>
  <c r="L9" i="13"/>
  <c r="M10" i="14"/>
  <c r="AT11" i="14"/>
  <c r="AJ8" i="14"/>
  <c r="AO9" i="13"/>
  <c r="F10" i="13"/>
  <c r="AK9" i="13"/>
  <c r="AJ12" i="14"/>
  <c r="AH9" i="14"/>
  <c r="X8" i="14"/>
  <c r="AN8" i="14"/>
  <c r="B7" i="13"/>
  <c r="R10" i="13"/>
  <c r="AD11" i="14"/>
  <c r="BD12" i="14"/>
  <c r="AP12" i="14"/>
  <c r="BY13" i="13"/>
  <c r="BR14" i="14"/>
  <c r="AQ9" i="13"/>
  <c r="AL12" i="14"/>
  <c r="AL15" i="14"/>
  <c r="BQ11" i="14"/>
  <c r="D7" i="13"/>
  <c r="AB9" i="14"/>
  <c r="AP8" i="14"/>
  <c r="AD9" i="14"/>
  <c r="AS9" i="13"/>
  <c r="AE9" i="13"/>
  <c r="Z11" i="14"/>
  <c r="AD15" i="14"/>
  <c r="AM88" i="13"/>
  <c r="AY9" i="13"/>
  <c r="BO14" i="13"/>
  <c r="BH15" i="14"/>
  <c r="J9" i="14"/>
  <c r="J8" i="14"/>
  <c r="Z8" i="14"/>
  <c r="F7" i="13"/>
  <c r="BE11" i="14"/>
  <c r="BD10" i="13"/>
  <c r="B10" i="14"/>
  <c r="AM9" i="13"/>
  <c r="N12" i="14"/>
  <c r="AT12" i="14"/>
  <c r="AW13" i="13"/>
  <c r="BC13" i="13"/>
  <c r="AS99" i="13"/>
  <c r="AQ99" i="13"/>
  <c r="AM99" i="13"/>
  <c r="AK15" i="14"/>
  <c r="AJ14" i="13"/>
  <c r="AF561" i="1" l="1"/>
  <c r="AG561" i="1" s="1"/>
  <c r="AF557" i="1"/>
  <c r="AG557" i="1" s="1"/>
  <c r="AG531" i="1"/>
  <c r="AF556" i="1"/>
  <c r="AB194" i="1"/>
  <c r="AC194" i="1" s="1"/>
  <c r="AB221" i="1"/>
  <c r="AD187" i="1"/>
  <c r="AC193" i="1"/>
  <c r="AP456" i="1"/>
  <c r="AQ456" i="1" s="1"/>
  <c r="AF153" i="1"/>
  <c r="AG153" i="1" s="1"/>
  <c r="AG123" i="1"/>
  <c r="AF149" i="1"/>
  <c r="AG149" i="1" s="1"/>
  <c r="AF148" i="1"/>
  <c r="AI522" i="1"/>
  <c r="AJ518" i="1"/>
  <c r="AH523" i="1"/>
  <c r="AI523" i="1" s="1"/>
  <c r="W225" i="1"/>
  <c r="V227" i="1"/>
  <c r="V262" i="1"/>
  <c r="W262" i="1" s="1"/>
  <c r="AL110" i="1"/>
  <c r="AL114" i="1" s="1"/>
  <c r="AJ115" i="1"/>
  <c r="Z216" i="1"/>
  <c r="AA216" i="1" s="1"/>
  <c r="Z210" i="1"/>
  <c r="AA204" i="1"/>
  <c r="Z217" i="1"/>
  <c r="Z215" i="1"/>
  <c r="AA215" i="1" s="1"/>
  <c r="Z35" i="1"/>
  <c r="AA28" i="1"/>
  <c r="Z46" i="1"/>
  <c r="Z45" i="1"/>
  <c r="AA45" i="1" s="1"/>
  <c r="Z44" i="1"/>
  <c r="AA44" i="1" s="1"/>
  <c r="Z43" i="1"/>
  <c r="AA43" i="1" s="1"/>
  <c r="AI106" i="1"/>
  <c r="AJ102" i="1"/>
  <c r="AH107" i="1"/>
  <c r="AI107" i="1" s="1"/>
  <c r="AC200" i="1"/>
  <c r="AB201" i="1"/>
  <c r="AC201" i="1" s="1"/>
  <c r="AL510" i="1"/>
  <c r="AJ515" i="1"/>
  <c r="AG541" i="1"/>
  <c r="AF542" i="1"/>
  <c r="AG542" i="1" s="1"/>
  <c r="AI526" i="1"/>
  <c r="AH530" i="1"/>
  <c r="AH537" i="1"/>
  <c r="AH535" i="1"/>
  <c r="AI535" i="1" s="1"/>
  <c r="AH536" i="1"/>
  <c r="AI536" i="1" s="1"/>
  <c r="AR469" i="1"/>
  <c r="AS469" i="1" s="1"/>
  <c r="AR452" i="1"/>
  <c r="AS448" i="1"/>
  <c r="Y222" i="1"/>
  <c r="X259" i="1"/>
  <c r="Y259" i="1" s="1"/>
  <c r="X223" i="1"/>
  <c r="X69" i="1"/>
  <c r="Y69" i="1" s="1"/>
  <c r="Y36" i="1"/>
  <c r="X64" i="1"/>
  <c r="Y64" i="1" s="1"/>
  <c r="X63" i="1"/>
  <c r="X68" i="1"/>
  <c r="Y68" i="1" s="1"/>
  <c r="X92" i="1"/>
  <c r="AG133" i="1"/>
  <c r="AF134" i="1"/>
  <c r="AG134" i="1" s="1"/>
  <c r="AI118" i="1"/>
  <c r="AH122" i="1"/>
  <c r="AH128" i="1"/>
  <c r="AI128" i="1" s="1"/>
  <c r="AH127" i="1"/>
  <c r="AI127" i="1" s="1"/>
  <c r="AH129" i="1"/>
  <c r="BU82" i="13"/>
  <c r="AC9" i="13"/>
  <c r="BM80" i="14"/>
  <c r="Y9" i="13"/>
  <c r="AW79" i="14"/>
  <c r="AW81" i="13"/>
  <c r="Y80" i="14"/>
  <c r="Y82" i="13"/>
  <c r="AI82" i="14"/>
  <c r="AI84" i="13"/>
  <c r="Q85" i="14"/>
  <c r="Q87" i="13"/>
  <c r="BM85" i="14"/>
  <c r="BU87" i="13"/>
  <c r="BB80" i="14"/>
  <c r="BB82" i="13"/>
  <c r="AV11" i="14"/>
  <c r="BE80" i="14"/>
  <c r="BE82" i="13"/>
  <c r="AZ85" i="14"/>
  <c r="AZ87" i="13"/>
  <c r="AW83" i="14"/>
  <c r="AW85" i="13"/>
  <c r="BB12" i="14"/>
  <c r="AX8" i="14"/>
  <c r="BI80" i="14"/>
  <c r="BQ82" i="13"/>
  <c r="AZ12" i="14"/>
  <c r="AO79" i="14"/>
  <c r="AO81" i="13"/>
  <c r="AV12" i="14"/>
  <c r="AG85" i="14"/>
  <c r="AG87" i="13"/>
  <c r="BB11" i="14"/>
  <c r="AV8" i="14"/>
  <c r="BR81" i="14"/>
  <c r="BZ83" i="13"/>
  <c r="BQ85" i="14"/>
  <c r="BY87" i="13"/>
  <c r="BL95" i="14"/>
  <c r="BT98" i="13"/>
  <c r="AK85" i="14"/>
  <c r="AK87" i="13"/>
  <c r="AK81" i="14"/>
  <c r="AK83" i="13"/>
  <c r="BJ95" i="14"/>
  <c r="BR98" i="13"/>
  <c r="BP81" i="14"/>
  <c r="BX83" i="13"/>
  <c r="BA89" i="14"/>
  <c r="BA92" i="13"/>
  <c r="Y85" i="14"/>
  <c r="Y87" i="13"/>
  <c r="AE47" i="14"/>
  <c r="AE50" i="13"/>
  <c r="AQ82" i="14"/>
  <c r="AQ84" i="13"/>
  <c r="BN81" i="14"/>
  <c r="BV83" i="13"/>
  <c r="M79" i="14"/>
  <c r="M81" i="13"/>
  <c r="BA92" i="14"/>
  <c r="BA95" i="13"/>
  <c r="Y83" i="14"/>
  <c r="Y85" i="13"/>
  <c r="BA90" i="14"/>
  <c r="BA93" i="13"/>
  <c r="BN80" i="14"/>
  <c r="BV82" i="13"/>
  <c r="M80" i="14"/>
  <c r="M82" i="13"/>
  <c r="U85" i="14"/>
  <c r="U87" i="13"/>
  <c r="Y82" i="14"/>
  <c r="Y84" i="13"/>
  <c r="BC93" i="14"/>
  <c r="BC96" i="13"/>
  <c r="K80" i="14"/>
  <c r="K82" i="13"/>
  <c r="AT82" i="14"/>
  <c r="AT84" i="13"/>
  <c r="M85" i="14"/>
  <c r="M87" i="13"/>
  <c r="AC83" i="14"/>
  <c r="AC85" i="13"/>
  <c r="Q79" i="14"/>
  <c r="Q81" i="13"/>
  <c r="AG82" i="14"/>
  <c r="AG84" i="13"/>
  <c r="BP80" i="14"/>
  <c r="BX82" i="13"/>
  <c r="AA85" i="14"/>
  <c r="AA87" i="13"/>
  <c r="S82" i="14"/>
  <c r="S84" i="13"/>
  <c r="BB82" i="14"/>
  <c r="BB84" i="13"/>
  <c r="BL79" i="14"/>
  <c r="BT81" i="13"/>
  <c r="AO82" i="14"/>
  <c r="AO84" i="13"/>
  <c r="AG79" i="14"/>
  <c r="AG81" i="13"/>
  <c r="AZ80" i="14"/>
  <c r="AZ82" i="13"/>
  <c r="AZ79" i="14"/>
  <c r="AZ81" i="13"/>
  <c r="AX11" i="14"/>
  <c r="BT90" i="14"/>
  <c r="CB93" i="13"/>
  <c r="AA83" i="14"/>
  <c r="AA85" i="13"/>
  <c r="BQ80" i="14"/>
  <c r="BY82" i="13"/>
  <c r="AQ81" i="14"/>
  <c r="AQ83" i="13"/>
  <c r="BI81" i="14"/>
  <c r="BQ83" i="13"/>
  <c r="AZ11" i="14"/>
  <c r="Q82" i="14"/>
  <c r="Q84" i="13"/>
  <c r="AD82" i="14"/>
  <c r="AD84" i="13"/>
  <c r="BQ79" i="14"/>
  <c r="BY81" i="13"/>
  <c r="AZ8" i="14"/>
  <c r="BH79" i="14"/>
  <c r="BP81" i="13"/>
  <c r="BN90" i="14"/>
  <c r="BV93" i="13"/>
  <c r="BC92" i="14"/>
  <c r="BC95" i="13"/>
  <c r="AG83" i="14"/>
  <c r="AG85" i="13"/>
  <c r="U82" i="14"/>
  <c r="U84" i="13"/>
  <c r="AI81" i="14"/>
  <c r="AI83" i="13"/>
  <c r="AI85" i="14"/>
  <c r="AI87" i="13"/>
  <c r="K81" i="14"/>
  <c r="K83" i="13"/>
  <c r="BE79" i="14"/>
  <c r="BE81" i="13"/>
  <c r="BN89" i="14"/>
  <c r="BV92" i="13"/>
  <c r="AK82" i="14"/>
  <c r="AK84" i="13"/>
  <c r="AI83" i="14"/>
  <c r="AI85" i="13"/>
  <c r="AM47" i="14"/>
  <c r="AM50" i="13"/>
  <c r="K79" i="14"/>
  <c r="K81" i="13"/>
  <c r="BA95" i="14"/>
  <c r="BA98" i="13"/>
  <c r="AW81" i="14"/>
  <c r="AW83" i="13"/>
  <c r="S79" i="14"/>
  <c r="S81" i="13"/>
  <c r="BH85" i="14"/>
  <c r="BP87" i="13"/>
  <c r="BJ89" i="14"/>
  <c r="BR92" i="13"/>
  <c r="K83" i="14"/>
  <c r="K85" i="13"/>
  <c r="AA79" i="14"/>
  <c r="AA81" i="13"/>
  <c r="AY85" i="14"/>
  <c r="AY87" i="13"/>
  <c r="AS83" i="14"/>
  <c r="AS85" i="13"/>
  <c r="AC81" i="14"/>
  <c r="AC83" i="13"/>
  <c r="AO83" i="14"/>
  <c r="AO85" i="13"/>
  <c r="U80" i="14"/>
  <c r="U82" i="13"/>
  <c r="AK11" i="14"/>
  <c r="AB11" i="14"/>
  <c r="BB8" i="14"/>
  <c r="N82" i="14"/>
  <c r="N84" i="13"/>
  <c r="AS85" i="14"/>
  <c r="AS87" i="13"/>
  <c r="S80" i="14"/>
  <c r="S82" i="13"/>
  <c r="CC32" i="14"/>
  <c r="CK36" i="13"/>
  <c r="Y81" i="14"/>
  <c r="Y83" i="13"/>
  <c r="BB83" i="14"/>
  <c r="BB85" i="13"/>
  <c r="Q83" i="14"/>
  <c r="Q85" i="13"/>
  <c r="AC82" i="14"/>
  <c r="AC84" i="13"/>
  <c r="AZ81" i="14"/>
  <c r="AZ83" i="13"/>
  <c r="AZ82" i="14"/>
  <c r="AZ84" i="13"/>
  <c r="Q81" i="14"/>
  <c r="Q83" i="13"/>
  <c r="AY82" i="14"/>
  <c r="AY84" i="13"/>
  <c r="BI85" i="14"/>
  <c r="BQ87" i="13"/>
  <c r="AO80" i="14"/>
  <c r="AO82" i="13"/>
  <c r="M83" i="14"/>
  <c r="M85" i="13"/>
  <c r="K82" i="14"/>
  <c r="K84" i="13"/>
  <c r="U79" i="14"/>
  <c r="U81" i="13"/>
  <c r="BC89" i="14"/>
  <c r="BC92" i="13"/>
  <c r="AA80" i="14"/>
  <c r="AA82" i="13"/>
  <c r="BP95" i="14"/>
  <c r="BX98" i="13"/>
  <c r="BR91" i="14"/>
  <c r="BZ94" i="13"/>
  <c r="AQ79" i="14"/>
  <c r="AQ81" i="13"/>
  <c r="BC95" i="14"/>
  <c r="BC98" i="13"/>
  <c r="K85" i="14"/>
  <c r="K87" i="13"/>
  <c r="S85" i="14"/>
  <c r="S87" i="13"/>
  <c r="BR95" i="14"/>
  <c r="BZ98" i="13"/>
  <c r="BN95" i="14"/>
  <c r="BV98" i="13"/>
  <c r="AK79" i="14"/>
  <c r="AK81" i="13"/>
  <c r="BA93" i="14"/>
  <c r="BA96" i="13"/>
  <c r="Y79" i="14"/>
  <c r="Y81" i="13"/>
  <c r="AI80" i="14"/>
  <c r="AI82" i="13"/>
  <c r="S83" i="14"/>
  <c r="S85" i="13"/>
  <c r="BP79" i="14"/>
  <c r="BX81" i="13"/>
  <c r="AC80" i="14"/>
  <c r="AC82" i="13"/>
  <c r="U81" i="14"/>
  <c r="U83" i="13"/>
  <c r="AW85" i="14"/>
  <c r="AW87" i="13"/>
  <c r="AY83" i="14"/>
  <c r="AY85" i="13"/>
  <c r="BM79" i="14"/>
  <c r="BU81" i="13"/>
  <c r="BB81" i="14"/>
  <c r="BB83" i="13"/>
  <c r="BB79" i="14"/>
  <c r="BB81" i="13"/>
  <c r="BB85" i="14"/>
  <c r="BB87" i="13"/>
  <c r="Q80" i="14"/>
  <c r="Q82" i="13"/>
  <c r="AZ83" i="14"/>
  <c r="AZ85" i="13"/>
  <c r="BT79" i="14"/>
  <c r="CB81" i="13"/>
  <c r="S81" i="14"/>
  <c r="S83" i="13"/>
  <c r="AC79" i="14"/>
  <c r="AC81" i="13"/>
  <c r="AX12" i="14"/>
  <c r="AQ83" i="14"/>
  <c r="AQ85" i="13"/>
  <c r="BI79" i="14"/>
  <c r="BQ81" i="13"/>
  <c r="AS81" i="14"/>
  <c r="AS83" i="13"/>
  <c r="CC31" i="14"/>
  <c r="CK35" i="13"/>
  <c r="AW82" i="14"/>
  <c r="AW84" i="13"/>
  <c r="AY79" i="14"/>
  <c r="AY81" i="13"/>
  <c r="BT81" i="14"/>
  <c r="CB83" i="13"/>
  <c r="AI79" i="14"/>
  <c r="AI81" i="13"/>
  <c r="AQ80" i="14"/>
  <c r="AQ82" i="13"/>
  <c r="AW80" i="14"/>
  <c r="AW82" i="13"/>
  <c r="Z82" i="14"/>
  <c r="Z84" i="13"/>
  <c r="AK83" i="14"/>
  <c r="AK85" i="13"/>
  <c r="M82" i="14"/>
  <c r="M84" i="13"/>
  <c r="BC90" i="14"/>
  <c r="BC93" i="13"/>
  <c r="AC85" i="14"/>
  <c r="AC87" i="13"/>
  <c r="H11" i="14"/>
  <c r="BR89" i="14"/>
  <c r="BZ92" i="13"/>
  <c r="M81" i="14"/>
  <c r="M83" i="13"/>
  <c r="AO85" i="14"/>
  <c r="AO87" i="13"/>
  <c r="AY80" i="14"/>
  <c r="AY82" i="13"/>
  <c r="BR90" i="14"/>
  <c r="BZ93" i="13"/>
  <c r="AQ85" i="14"/>
  <c r="AQ87" i="13"/>
  <c r="BN91" i="14"/>
  <c r="BV94" i="13"/>
  <c r="U83" i="14"/>
  <c r="U85" i="13"/>
  <c r="AG80" i="14"/>
  <c r="AG82" i="13"/>
  <c r="AY81" i="14"/>
  <c r="AY83" i="13"/>
  <c r="BJ92" i="14"/>
  <c r="BR95" i="13"/>
  <c r="BL83" i="14"/>
  <c r="BT85" i="13"/>
  <c r="BL65" i="14"/>
  <c r="BT67" i="13"/>
  <c r="BM83" i="14"/>
  <c r="BU85" i="13"/>
  <c r="AU47" i="14"/>
  <c r="AU50" i="13"/>
  <c r="BR92" i="14"/>
  <c r="BZ95" i="13"/>
  <c r="BA46" i="14"/>
  <c r="BA49" i="13"/>
  <c r="BH92" i="14"/>
  <c r="BP95" i="13"/>
  <c r="BN93" i="14"/>
  <c r="BV96" i="13"/>
  <c r="BL92" i="14"/>
  <c r="BT95" i="13"/>
  <c r="BJ65" i="14"/>
  <c r="BR67" i="13"/>
  <c r="BI83" i="14"/>
  <c r="BQ85" i="13"/>
  <c r="BK82" i="14"/>
  <c r="BS84" i="13"/>
  <c r="BH93" i="14"/>
  <c r="BP96" i="13"/>
  <c r="BR93" i="14"/>
  <c r="BZ96" i="13"/>
  <c r="CB32" i="14"/>
  <c r="CJ36" i="13"/>
  <c r="BI82" i="14"/>
  <c r="BQ84" i="13"/>
  <c r="BC46" i="14"/>
  <c r="BC49" i="13"/>
  <c r="BJ93" i="14"/>
  <c r="BR96" i="13"/>
  <c r="BN92" i="14"/>
  <c r="BV95" i="13"/>
  <c r="BP92" i="14"/>
  <c r="BX95" i="13"/>
  <c r="CB31" i="14"/>
  <c r="CJ35" i="13"/>
  <c r="BQ83" i="14"/>
  <c r="BY85" i="13"/>
  <c r="BH83" i="14"/>
  <c r="BP85" i="13"/>
  <c r="BE82" i="14"/>
  <c r="BE84" i="13"/>
  <c r="BT83" i="14"/>
  <c r="CB85" i="13"/>
  <c r="BT93" i="14"/>
  <c r="CB96" i="13"/>
  <c r="BT92" i="14"/>
  <c r="CB95" i="13"/>
  <c r="BE83" i="14"/>
  <c r="BE85" i="13"/>
  <c r="BT95" i="14"/>
  <c r="CB98" i="13"/>
  <c r="BT85" i="14"/>
  <c r="CB87" i="13"/>
  <c r="BE87" i="13"/>
  <c r="BE85" i="14"/>
  <c r="BE49" i="13"/>
  <c r="BE46" i="14"/>
  <c r="BS46" i="14"/>
  <c r="CA49" i="13"/>
  <c r="CC53" i="13"/>
  <c r="BU50" i="14"/>
  <c r="AG29" i="14"/>
  <c r="AG33" i="13"/>
  <c r="BK29" i="14"/>
  <c r="BS33" i="13"/>
  <c r="BM29" i="14"/>
  <c r="BU33" i="13"/>
  <c r="AA29" i="14"/>
  <c r="AA33" i="13"/>
  <c r="BO29" i="14"/>
  <c r="BW33" i="13"/>
  <c r="Y29" i="14"/>
  <c r="Y33" i="13"/>
  <c r="AM29" i="14"/>
  <c r="AM33" i="13"/>
  <c r="AK29" i="14"/>
  <c r="AK33" i="13"/>
  <c r="BG29" i="14"/>
  <c r="BO33" i="13"/>
  <c r="BY14" i="13"/>
  <c r="AE29" i="14"/>
  <c r="AE33" i="13"/>
  <c r="AO29" i="14"/>
  <c r="AO33" i="13"/>
  <c r="W29" i="14"/>
  <c r="W33" i="13"/>
  <c r="BI29" i="14"/>
  <c r="BQ33" i="13"/>
  <c r="AC29" i="14"/>
  <c r="AC33" i="13"/>
  <c r="AI29" i="14"/>
  <c r="AI33" i="13"/>
  <c r="BQ8" i="14"/>
  <c r="J8" i="13"/>
  <c r="K9" i="14"/>
  <c r="AH88" i="13"/>
  <c r="BS88" i="13"/>
  <c r="AP7" i="13"/>
  <c r="AQ8" i="14"/>
  <c r="AC9" i="14"/>
  <c r="AB8" i="13"/>
  <c r="BY10" i="13"/>
  <c r="CA88" i="13"/>
  <c r="P15" i="14"/>
  <c r="BO11" i="14"/>
  <c r="BM12" i="14"/>
  <c r="BC8" i="14"/>
  <c r="AT10" i="13"/>
  <c r="AU11" i="14"/>
  <c r="AH10" i="13"/>
  <c r="AI11" i="14"/>
  <c r="AW15" i="14"/>
  <c r="AN14" i="13"/>
  <c r="BM11" i="14"/>
  <c r="V14" i="13"/>
  <c r="W15" i="14"/>
  <c r="AW11" i="14"/>
  <c r="Y12" i="14"/>
  <c r="X11" i="13"/>
  <c r="BH8" i="14"/>
  <c r="BO7" i="13"/>
  <c r="H88" i="13"/>
  <c r="AC12" i="14"/>
  <c r="AB11" i="13"/>
  <c r="AL7" i="13"/>
  <c r="AM8" i="14"/>
  <c r="BW14" i="14"/>
  <c r="AX88" i="13"/>
  <c r="AO12" i="14"/>
  <c r="AN11" i="13"/>
  <c r="Y9" i="14"/>
  <c r="X8" i="13"/>
  <c r="AC15" i="14"/>
  <c r="AE12" i="14"/>
  <c r="AD11" i="13"/>
  <c r="BA12" i="14"/>
  <c r="U12" i="14"/>
  <c r="T11" i="13"/>
  <c r="AH15" i="14"/>
  <c r="L11" i="14"/>
  <c r="BY8" i="13"/>
  <c r="BT9" i="14"/>
  <c r="AJ88" i="13"/>
  <c r="Z8" i="13"/>
  <c r="AA9" i="14"/>
  <c r="D10" i="13"/>
  <c r="AL10" i="13"/>
  <c r="AM11" i="14"/>
  <c r="AI12" i="14"/>
  <c r="AH11" i="13"/>
  <c r="BE8" i="14"/>
  <c r="BD7" i="13"/>
  <c r="X88" i="13"/>
  <c r="F13" i="14"/>
  <c r="BU99" i="13"/>
  <c r="BP14" i="13"/>
  <c r="Z10" i="13"/>
  <c r="AA11" i="14"/>
  <c r="AD8" i="13"/>
  <c r="AE9" i="14"/>
  <c r="AF88" i="13"/>
  <c r="BD88" i="13"/>
  <c r="AL14" i="13"/>
  <c r="AM15" i="14"/>
  <c r="AQ12" i="14"/>
  <c r="AP11" i="13"/>
  <c r="AD10" i="13"/>
  <c r="AE11" i="14"/>
  <c r="AH8" i="13"/>
  <c r="AI9" i="14"/>
  <c r="J11" i="14"/>
  <c r="AF15" i="14"/>
  <c r="H9" i="13"/>
  <c r="W12" i="14"/>
  <c r="V11" i="13"/>
  <c r="V8" i="13"/>
  <c r="W9" i="14"/>
  <c r="AS14" i="13"/>
  <c r="BS8" i="14"/>
  <c r="AU15" i="14"/>
  <c r="AR7" i="13"/>
  <c r="AS8" i="14"/>
  <c r="AB7" i="13"/>
  <c r="AC8" i="14"/>
  <c r="Q12" i="14"/>
  <c r="P11" i="13"/>
  <c r="AS12" i="14"/>
  <c r="AR11" i="13"/>
  <c r="BY99" i="13"/>
  <c r="M15" i="14"/>
  <c r="L14" i="13"/>
  <c r="AP10" i="13"/>
  <c r="AQ11" i="14"/>
  <c r="AY12" i="14"/>
  <c r="U15" i="14"/>
  <c r="T14" i="13"/>
  <c r="BA11" i="14"/>
  <c r="CC13" i="13"/>
  <c r="BV14" i="14"/>
  <c r="BC11" i="14"/>
  <c r="BK9" i="14"/>
  <c r="N14" i="13"/>
  <c r="O15" i="14"/>
  <c r="AG9" i="14"/>
  <c r="AF8" i="13"/>
  <c r="T88" i="13"/>
  <c r="BO12" i="14"/>
  <c r="BA8" i="14"/>
  <c r="T11" i="14"/>
  <c r="B9" i="13"/>
  <c r="BM9" i="14"/>
  <c r="AD14" i="13"/>
  <c r="AE15" i="14"/>
  <c r="AK12" i="14"/>
  <c r="AJ11" i="13"/>
  <c r="AJ7" i="13"/>
  <c r="AK8" i="14"/>
  <c r="BQ99" i="13"/>
  <c r="K12" i="14"/>
  <c r="J11" i="13"/>
  <c r="AP14" i="13"/>
  <c r="AQ15" i="14"/>
  <c r="AU14" i="13"/>
  <c r="O9" i="13"/>
  <c r="AY11" i="14"/>
  <c r="N7" i="13"/>
  <c r="O8" i="14"/>
  <c r="AK9" i="14"/>
  <c r="AJ8" i="13"/>
  <c r="BM8" i="14"/>
  <c r="D88" i="13"/>
  <c r="BR9" i="13"/>
  <c r="L88" i="13"/>
  <c r="J15" i="14"/>
  <c r="N11" i="14"/>
  <c r="Q10" i="14"/>
  <c r="AW12" i="14"/>
  <c r="BS12" i="14"/>
  <c r="T7" i="13"/>
  <c r="U8" i="14"/>
  <c r="AW8" i="14"/>
  <c r="AF7" i="13"/>
  <c r="AG8" i="14"/>
  <c r="P7" i="13"/>
  <c r="Q8" i="14"/>
  <c r="U9" i="13"/>
  <c r="L7" i="13"/>
  <c r="M8" i="14"/>
  <c r="U9" i="14"/>
  <c r="T8" i="13"/>
  <c r="S12" i="14"/>
  <c r="R11" i="13"/>
  <c r="AU12" i="14"/>
  <c r="AT11" i="13"/>
  <c r="O12" i="14"/>
  <c r="N11" i="13"/>
  <c r="Z7" i="13"/>
  <c r="AA8" i="14"/>
  <c r="J7" i="13"/>
  <c r="K8" i="14"/>
  <c r="BW88" i="13"/>
  <c r="BO8" i="14"/>
  <c r="AM12" i="14"/>
  <c r="AL11" i="13"/>
  <c r="BZ13" i="13"/>
  <c r="BE12" i="14"/>
  <c r="BD11" i="13"/>
  <c r="AC11" i="14"/>
  <c r="AB10" i="13"/>
  <c r="B13" i="14"/>
  <c r="AN7" i="13"/>
  <c r="AO8" i="14"/>
  <c r="X7" i="13"/>
  <c r="Y8" i="14"/>
  <c r="Z15" i="14"/>
  <c r="BP9" i="13"/>
  <c r="BS11" i="14"/>
  <c r="BO9" i="14"/>
  <c r="AT7" i="13"/>
  <c r="AU8" i="14"/>
  <c r="AD7" i="13"/>
  <c r="AE8" i="14"/>
  <c r="AA12" i="14"/>
  <c r="Z11" i="13"/>
  <c r="AG11" i="14"/>
  <c r="AF10" i="13"/>
  <c r="AG12" i="14"/>
  <c r="AF11" i="13"/>
  <c r="BH9" i="14"/>
  <c r="BO8" i="13"/>
  <c r="AL8" i="13"/>
  <c r="AM9" i="14"/>
  <c r="AO9" i="14"/>
  <c r="AN8" i="13"/>
  <c r="AW9" i="14"/>
  <c r="BC12" i="14"/>
  <c r="Q9" i="14"/>
  <c r="P8" i="13"/>
  <c r="BK12" i="14"/>
  <c r="BQ12" i="14"/>
  <c r="M12" i="14"/>
  <c r="L11" i="13"/>
  <c r="AY8" i="14"/>
  <c r="S8" i="14"/>
  <c r="R7" i="13"/>
  <c r="X15" i="14"/>
  <c r="AK10" i="13"/>
  <c r="AS11" i="14"/>
  <c r="AR10" i="13"/>
  <c r="Q9" i="13"/>
  <c r="AO11" i="14"/>
  <c r="O8" i="13"/>
  <c r="M9" i="14"/>
  <c r="L8" i="13"/>
  <c r="AH7" i="13"/>
  <c r="AI8" i="14"/>
  <c r="W8" i="14"/>
  <c r="V7" i="13"/>
  <c r="CB13" i="13"/>
  <c r="R15" i="14"/>
  <c r="K10" i="14"/>
  <c r="J9" i="13"/>
  <c r="S10" i="14"/>
  <c r="Z88" i="13"/>
  <c r="R8" i="13"/>
  <c r="S9" i="14"/>
  <c r="AH130" i="1" l="1"/>
  <c r="AI130" i="1" s="1"/>
  <c r="AI129" i="1"/>
  <c r="Z36" i="1"/>
  <c r="Z41" i="1"/>
  <c r="AA35" i="1"/>
  <c r="AB28" i="1"/>
  <c r="AA210" i="1"/>
  <c r="AB204" i="1"/>
  <c r="Z211" i="1"/>
  <c r="AA211" i="1" s="1"/>
  <c r="Z222" i="1"/>
  <c r="AJ522" i="1"/>
  <c r="AJ526" i="1"/>
  <c r="AG556" i="1"/>
  <c r="AF558" i="1"/>
  <c r="AG558" i="1" s="1"/>
  <c r="AL514" i="1"/>
  <c r="AJ118" i="1"/>
  <c r="AJ106" i="1"/>
  <c r="W227" i="1"/>
  <c r="V264" i="1"/>
  <c r="W264" i="1" s="1"/>
  <c r="V228" i="1"/>
  <c r="W228" i="1" s="1"/>
  <c r="AD199" i="1"/>
  <c r="AE199" i="1" s="1"/>
  <c r="AD198" i="1"/>
  <c r="AE198" i="1" s="1"/>
  <c r="AD193" i="1"/>
  <c r="AE187" i="1"/>
  <c r="AD200" i="1"/>
  <c r="Y63" i="1"/>
  <c r="X65" i="1"/>
  <c r="Y65" i="1" s="1"/>
  <c r="Y223" i="1"/>
  <c r="X225" i="1"/>
  <c r="X260" i="1"/>
  <c r="Y260" i="1" s="1"/>
  <c r="AS452" i="1"/>
  <c r="AR455" i="1"/>
  <c r="AT448" i="1"/>
  <c r="AH538" i="1"/>
  <c r="AI538" i="1" s="1"/>
  <c r="AI537" i="1"/>
  <c r="AA46" i="1"/>
  <c r="Z47" i="1"/>
  <c r="AA47" i="1" s="1"/>
  <c r="Z218" i="1"/>
  <c r="AA218" i="1" s="1"/>
  <c r="AA217" i="1"/>
  <c r="AG148" i="1"/>
  <c r="AF150" i="1"/>
  <c r="AG150" i="1" s="1"/>
  <c r="AB258" i="1"/>
  <c r="AC258" i="1" s="1"/>
  <c r="AC221" i="1"/>
  <c r="AH133" i="1"/>
  <c r="AH154" i="1"/>
  <c r="AI154" i="1" s="1"/>
  <c r="AI122" i="1"/>
  <c r="AH123" i="1"/>
  <c r="AH541" i="1"/>
  <c r="AI530" i="1"/>
  <c r="AH562" i="1"/>
  <c r="AI562" i="1" s="1"/>
  <c r="AH531" i="1"/>
  <c r="AL115" i="1"/>
  <c r="AN110" i="1"/>
  <c r="AN114" i="1" s="1"/>
  <c r="AN115" i="1" s="1"/>
  <c r="CD67" i="13"/>
  <c r="BV65" i="14"/>
  <c r="F86" i="14"/>
  <c r="F44" i="14"/>
  <c r="F89" i="13"/>
  <c r="F47" i="13"/>
  <c r="BL85" i="14"/>
  <c r="BT87" i="13"/>
  <c r="M9" i="13"/>
  <c r="D9" i="13"/>
  <c r="BO47" i="14"/>
  <c r="BW50" i="13"/>
  <c r="AB86" i="14"/>
  <c r="AB44" i="14"/>
  <c r="AB89" i="13"/>
  <c r="AB47" i="13"/>
  <c r="BT80" i="14"/>
  <c r="CB82" i="13"/>
  <c r="B86" i="14"/>
  <c r="B44" i="14"/>
  <c r="B89" i="13"/>
  <c r="B47" i="13"/>
  <c r="BC81" i="14"/>
  <c r="BC83" i="13"/>
  <c r="BJ85" i="14"/>
  <c r="BR87" i="13"/>
  <c r="BR79" i="14"/>
  <c r="BZ81" i="13"/>
  <c r="BA80" i="14"/>
  <c r="BA82" i="13"/>
  <c r="BC80" i="14"/>
  <c r="BC82" i="13"/>
  <c r="W82" i="14"/>
  <c r="W84" i="13"/>
  <c r="BK47" i="14"/>
  <c r="BS50" i="13"/>
  <c r="AV11" i="13"/>
  <c r="BL81" i="14"/>
  <c r="BT83" i="13"/>
  <c r="AX10" i="13"/>
  <c r="BL80" i="14"/>
  <c r="BT82" i="13"/>
  <c r="N86" i="14"/>
  <c r="N44" i="14"/>
  <c r="N89" i="13"/>
  <c r="N47" i="13"/>
  <c r="AF47" i="14"/>
  <c r="AF50" i="13"/>
  <c r="AJ47" i="14"/>
  <c r="AJ50" i="13"/>
  <c r="BR80" i="14"/>
  <c r="BZ82" i="13"/>
  <c r="AH47" i="14"/>
  <c r="AH50" i="13"/>
  <c r="V86" i="14"/>
  <c r="V44" i="14"/>
  <c r="V89" i="13"/>
  <c r="V47" i="13"/>
  <c r="H10" i="13"/>
  <c r="BJ79" i="14"/>
  <c r="BR81" i="13"/>
  <c r="BC79" i="14"/>
  <c r="BC81" i="13"/>
  <c r="BC83" i="14"/>
  <c r="BC85" i="13"/>
  <c r="BA79" i="14"/>
  <c r="BA81" i="13"/>
  <c r="AU82" i="14"/>
  <c r="AU84" i="13"/>
  <c r="BR85" i="14"/>
  <c r="BZ87" i="13"/>
  <c r="BA85" i="14"/>
  <c r="BA87" i="13"/>
  <c r="S88" i="13"/>
  <c r="R88" i="13"/>
  <c r="S47" i="14"/>
  <c r="R47" i="14"/>
  <c r="R50" i="13"/>
  <c r="Z47" i="14"/>
  <c r="Z50" i="13"/>
  <c r="AX7" i="13"/>
  <c r="BB11" i="13"/>
  <c r="O82" i="14"/>
  <c r="O84" i="13"/>
  <c r="AV7" i="13"/>
  <c r="BJ81" i="14"/>
  <c r="BR83" i="13"/>
  <c r="BC82" i="14"/>
  <c r="BC84" i="13"/>
  <c r="Q88" i="13"/>
  <c r="P88" i="13"/>
  <c r="AZ7" i="13"/>
  <c r="T47" i="14"/>
  <c r="T50" i="13"/>
  <c r="BP88" i="13"/>
  <c r="BO88" i="13"/>
  <c r="AM82" i="14"/>
  <c r="AM84" i="13"/>
  <c r="BB10" i="13"/>
  <c r="BJ80" i="14"/>
  <c r="BR82" i="13"/>
  <c r="AX11" i="13"/>
  <c r="X47" i="14"/>
  <c r="X50" i="13"/>
  <c r="AZ11" i="13"/>
  <c r="K88" i="13"/>
  <c r="J88" i="13"/>
  <c r="AV10" i="13"/>
  <c r="AA82" i="14"/>
  <c r="AA84" i="13"/>
  <c r="BA83" i="14"/>
  <c r="BA85" i="13"/>
  <c r="BC85" i="14"/>
  <c r="BC87" i="13"/>
  <c r="BA81" i="14"/>
  <c r="BA83" i="13"/>
  <c r="AD86" i="14"/>
  <c r="AD44" i="14"/>
  <c r="AD89" i="13"/>
  <c r="AD47" i="13"/>
  <c r="AE82" i="14"/>
  <c r="AE84" i="13"/>
  <c r="AZ10" i="13"/>
  <c r="AL86" i="14"/>
  <c r="AL44" i="14"/>
  <c r="AL89" i="13"/>
  <c r="AL47" i="13"/>
  <c r="BP85" i="14"/>
  <c r="BX87" i="13"/>
  <c r="BB7" i="13"/>
  <c r="BN79" i="14"/>
  <c r="BV81" i="13"/>
  <c r="BA82" i="14"/>
  <c r="BA84" i="13"/>
  <c r="BN85" i="14"/>
  <c r="BV87" i="13"/>
  <c r="AR86" i="14"/>
  <c r="AR44" i="14"/>
  <c r="AR47" i="13"/>
  <c r="AR89" i="13"/>
  <c r="BL82" i="14"/>
  <c r="BT84" i="13"/>
  <c r="BC99" i="13"/>
  <c r="BB99" i="13"/>
  <c r="BR83" i="14"/>
  <c r="BZ85" i="13"/>
  <c r="BM82" i="14"/>
  <c r="BU84" i="13"/>
  <c r="S50" i="13"/>
  <c r="CD31" i="14"/>
  <c r="CL35" i="13"/>
  <c r="AX47" i="14"/>
  <c r="AX50" i="13"/>
  <c r="CD32" i="14"/>
  <c r="CL36" i="13"/>
  <c r="AN47" i="14"/>
  <c r="AN50" i="13"/>
  <c r="BP82" i="14"/>
  <c r="BX84" i="13"/>
  <c r="BQ82" i="14"/>
  <c r="BY84" i="13"/>
  <c r="BG82" i="14"/>
  <c r="BO84" i="13"/>
  <c r="BJ83" i="14"/>
  <c r="BR85" i="13"/>
  <c r="BN83" i="14"/>
  <c r="BV85" i="13"/>
  <c r="AW88" i="13"/>
  <c r="AV88" i="13"/>
  <c r="AQ88" i="13"/>
  <c r="AP88" i="13"/>
  <c r="AT44" i="14"/>
  <c r="AT86" i="14"/>
  <c r="AT47" i="13"/>
  <c r="AT89" i="13"/>
  <c r="BA99" i="13"/>
  <c r="AZ99" i="13"/>
  <c r="BJ82" i="14"/>
  <c r="BR84" i="13"/>
  <c r="AV47" i="14"/>
  <c r="AV50" i="13"/>
  <c r="AP47" i="14"/>
  <c r="AP50" i="13"/>
  <c r="AO88" i="13"/>
  <c r="AN88" i="13"/>
  <c r="BP83" i="14"/>
  <c r="BX85" i="13"/>
  <c r="CA84" i="13"/>
  <c r="BS82" i="14"/>
  <c r="BD50" i="13"/>
  <c r="BD47" i="14"/>
  <c r="CA50" i="13"/>
  <c r="BS47" i="14"/>
  <c r="CB49" i="13"/>
  <c r="BT46" i="14"/>
  <c r="BV50" i="14"/>
  <c r="CD53" i="13"/>
  <c r="BW50" i="14"/>
  <c r="CE53" i="13"/>
  <c r="CE32" i="14"/>
  <c r="CM36" i="13"/>
  <c r="CM35" i="13"/>
  <c r="CE31" i="14"/>
  <c r="BH29" i="14"/>
  <c r="BP33" i="13"/>
  <c r="BP29" i="14"/>
  <c r="BX33" i="13"/>
  <c r="BD29" i="14"/>
  <c r="BD33" i="13"/>
  <c r="BJ29" i="14"/>
  <c r="BR33" i="13"/>
  <c r="BL29" i="14"/>
  <c r="BT33" i="13"/>
  <c r="AK14" i="13"/>
  <c r="AB14" i="13"/>
  <c r="BN29" i="14"/>
  <c r="BV33" i="13"/>
  <c r="K9" i="13"/>
  <c r="S9" i="13"/>
  <c r="M8" i="13"/>
  <c r="BI12" i="14"/>
  <c r="S7" i="13"/>
  <c r="AX13" i="14"/>
  <c r="BS11" i="13"/>
  <c r="AW8" i="13"/>
  <c r="AO8" i="13"/>
  <c r="AM8" i="13"/>
  <c r="AG11" i="13"/>
  <c r="AE7" i="13"/>
  <c r="BK8" i="14"/>
  <c r="X13" i="14"/>
  <c r="AO7" i="13"/>
  <c r="BE11" i="13"/>
  <c r="AA7" i="13"/>
  <c r="O11" i="13"/>
  <c r="AG7" i="13"/>
  <c r="N13" i="14"/>
  <c r="N10" i="13"/>
  <c r="O11" i="14"/>
  <c r="W11" i="14"/>
  <c r="M88" i="13"/>
  <c r="AK7" i="13"/>
  <c r="U11" i="14"/>
  <c r="T10" i="13"/>
  <c r="BW11" i="13"/>
  <c r="BP12" i="14"/>
  <c r="U88" i="13"/>
  <c r="AC88" i="13"/>
  <c r="BS8" i="13"/>
  <c r="U14" i="13"/>
  <c r="BI9" i="14"/>
  <c r="AY11" i="13"/>
  <c r="AG15" i="14"/>
  <c r="AF14" i="13"/>
  <c r="AI8" i="13"/>
  <c r="AQ11" i="13"/>
  <c r="AG88" i="13"/>
  <c r="BK11" i="14"/>
  <c r="BD13" i="14"/>
  <c r="CB8" i="13"/>
  <c r="AH14" i="13"/>
  <c r="AI15" i="14"/>
  <c r="AE11" i="13"/>
  <c r="AL13" i="14"/>
  <c r="Y11" i="13"/>
  <c r="BN12" i="14"/>
  <c r="BU11" i="13"/>
  <c r="V13" i="14"/>
  <c r="AI7" i="13"/>
  <c r="Y15" i="14"/>
  <c r="X14" i="13"/>
  <c r="M11" i="13"/>
  <c r="AG10" i="13"/>
  <c r="AD13" i="14"/>
  <c r="AU7" i="13"/>
  <c r="Z14" i="13"/>
  <c r="AA15" i="14"/>
  <c r="AN13" i="14"/>
  <c r="AM11" i="13"/>
  <c r="Z13" i="14"/>
  <c r="AU11" i="13"/>
  <c r="AF13" i="14"/>
  <c r="AW7" i="13"/>
  <c r="J14" i="13"/>
  <c r="K15" i="14"/>
  <c r="O7" i="13"/>
  <c r="AQ14" i="13"/>
  <c r="K11" i="13"/>
  <c r="BQ10" i="14"/>
  <c r="AJ13" i="14"/>
  <c r="AE14" i="13"/>
  <c r="BC10" i="13"/>
  <c r="M14" i="13"/>
  <c r="AS11" i="13"/>
  <c r="AC7" i="13"/>
  <c r="CA7" i="13"/>
  <c r="BT8" i="14"/>
  <c r="AM10" i="13"/>
  <c r="AO11" i="13"/>
  <c r="BX14" i="14"/>
  <c r="CE13" i="13"/>
  <c r="BO15" i="14"/>
  <c r="AC11" i="13"/>
  <c r="BP7" i="13"/>
  <c r="AW10" i="13"/>
  <c r="W14" i="13"/>
  <c r="AO15" i="14"/>
  <c r="AI10" i="13"/>
  <c r="BW10" i="13"/>
  <c r="BP11" i="14"/>
  <c r="K8" i="13"/>
  <c r="BE10" i="13"/>
  <c r="S8" i="13"/>
  <c r="AA88" i="13"/>
  <c r="W7" i="13"/>
  <c r="AH13" i="14"/>
  <c r="AS10" i="13"/>
  <c r="BR12" i="14"/>
  <c r="BY11" i="13"/>
  <c r="Q8" i="13"/>
  <c r="BC11" i="13"/>
  <c r="AA11" i="13"/>
  <c r="AT13" i="14"/>
  <c r="BW8" i="13"/>
  <c r="BP9" i="14"/>
  <c r="CA10" i="13"/>
  <c r="BT11" i="14"/>
  <c r="B16" i="14"/>
  <c r="U8" i="13"/>
  <c r="M7" i="13"/>
  <c r="AV13" i="14"/>
  <c r="U7" i="13"/>
  <c r="CA11" i="13"/>
  <c r="BT12" i="14"/>
  <c r="AO10" i="13"/>
  <c r="BO10" i="14"/>
  <c r="AY10" i="13"/>
  <c r="BR99" i="13"/>
  <c r="BT99" i="13"/>
  <c r="BI8" i="14"/>
  <c r="BA7" i="13"/>
  <c r="O14" i="13"/>
  <c r="AQ10" i="13"/>
  <c r="Q11" i="13"/>
  <c r="BK15" i="14"/>
  <c r="AB13" i="14"/>
  <c r="AS7" i="13"/>
  <c r="BM15" i="14"/>
  <c r="H13" i="14"/>
  <c r="J13" i="14"/>
  <c r="J10" i="13"/>
  <c r="K11" i="14"/>
  <c r="S11" i="14"/>
  <c r="AE10" i="13"/>
  <c r="BE88" i="13"/>
  <c r="BV99" i="13"/>
  <c r="BX99" i="13"/>
  <c r="BE7" i="13"/>
  <c r="AA8" i="13"/>
  <c r="L13" i="14"/>
  <c r="M11" i="14"/>
  <c r="L10" i="13"/>
  <c r="U11" i="13"/>
  <c r="Y8" i="13"/>
  <c r="BY14" i="14"/>
  <c r="BU10" i="13"/>
  <c r="BN11" i="14"/>
  <c r="AU10" i="13"/>
  <c r="BB13" i="14"/>
  <c r="Q15" i="14"/>
  <c r="P14" i="13"/>
  <c r="BR11" i="14"/>
  <c r="D13" i="14"/>
  <c r="AC8" i="13"/>
  <c r="AQ7" i="13"/>
  <c r="BI15" i="14"/>
  <c r="R14" i="13"/>
  <c r="S15" i="14"/>
  <c r="BG12" i="14"/>
  <c r="R13" i="14"/>
  <c r="AY7" i="13"/>
  <c r="BP8" i="13"/>
  <c r="Y7" i="13"/>
  <c r="AC10" i="13"/>
  <c r="BP8" i="14"/>
  <c r="BW7" i="13"/>
  <c r="BX88" i="13"/>
  <c r="K7" i="13"/>
  <c r="S11" i="13"/>
  <c r="Q7" i="13"/>
  <c r="AW11" i="13"/>
  <c r="BN8" i="14"/>
  <c r="BU7" i="13"/>
  <c r="AK8" i="13"/>
  <c r="AK11" i="13"/>
  <c r="BU8" i="13"/>
  <c r="BN9" i="14"/>
  <c r="AZ13" i="14"/>
  <c r="AG8" i="13"/>
  <c r="CD13" i="13"/>
  <c r="BA10" i="13"/>
  <c r="BM10" i="14"/>
  <c r="BZ99" i="13"/>
  <c r="CB99" i="13"/>
  <c r="AR13" i="14"/>
  <c r="W8" i="13"/>
  <c r="W11" i="13"/>
  <c r="AM14" i="13"/>
  <c r="AE8" i="13"/>
  <c r="AA10" i="13"/>
  <c r="F16" i="14"/>
  <c r="Y88" i="13"/>
  <c r="AI11" i="13"/>
  <c r="BS10" i="14"/>
  <c r="AK88" i="13"/>
  <c r="AS88" i="13"/>
  <c r="BR9" i="14"/>
  <c r="BA11" i="13"/>
  <c r="AC14" i="13"/>
  <c r="AY88" i="13"/>
  <c r="AM7" i="13"/>
  <c r="P11" i="14"/>
  <c r="AW14" i="13"/>
  <c r="AO14" i="13"/>
  <c r="BG11" i="14"/>
  <c r="BC7" i="13"/>
  <c r="AP13" i="14"/>
  <c r="AI88" i="13"/>
  <c r="BK10" i="14"/>
  <c r="BY7" i="13"/>
  <c r="BR8" i="14"/>
  <c r="AL515" i="1" l="1"/>
  <c r="AN510" i="1"/>
  <c r="AK526" i="1"/>
  <c r="AJ530" i="1"/>
  <c r="AJ535" i="1"/>
  <c r="AK535" i="1" s="1"/>
  <c r="AJ536" i="1"/>
  <c r="AK536" i="1" s="1"/>
  <c r="AJ537" i="1"/>
  <c r="AB210" i="1"/>
  <c r="AC204" i="1"/>
  <c r="AB217" i="1"/>
  <c r="AB216" i="1"/>
  <c r="AC216" i="1" s="1"/>
  <c r="AB215" i="1"/>
  <c r="AC215" i="1" s="1"/>
  <c r="AI541" i="1"/>
  <c r="AH542" i="1"/>
  <c r="AI542" i="1" s="1"/>
  <c r="AI133" i="1"/>
  <c r="AH134" i="1"/>
  <c r="AI134" i="1" s="1"/>
  <c r="AT469" i="1"/>
  <c r="AU469" i="1" s="1"/>
  <c r="AT452" i="1"/>
  <c r="AU448" i="1"/>
  <c r="X227" i="1"/>
  <c r="Y225" i="1"/>
  <c r="X262" i="1"/>
  <c r="Y262" i="1" s="1"/>
  <c r="AE200" i="1"/>
  <c r="AD201" i="1"/>
  <c r="AE201" i="1" s="1"/>
  <c r="AL518" i="1"/>
  <c r="AJ523" i="1"/>
  <c r="Z64" i="1"/>
  <c r="AA64" i="1" s="1"/>
  <c r="Z69" i="1"/>
  <c r="AA69" i="1" s="1"/>
  <c r="AA36" i="1"/>
  <c r="Z63" i="1"/>
  <c r="Z68" i="1"/>
  <c r="AA68" i="1" s="1"/>
  <c r="Z92" i="1"/>
  <c r="AH561" i="1"/>
  <c r="AI561" i="1" s="1"/>
  <c r="AH557" i="1"/>
  <c r="AI557" i="1" s="1"/>
  <c r="AI531" i="1"/>
  <c r="AH556" i="1"/>
  <c r="AH149" i="1"/>
  <c r="AI149" i="1" s="1"/>
  <c r="AH153" i="1"/>
  <c r="AI153" i="1" s="1"/>
  <c r="AI123" i="1"/>
  <c r="AH148" i="1"/>
  <c r="AR456" i="1"/>
  <c r="AS456" i="1" s="1"/>
  <c r="AJ107" i="1"/>
  <c r="AL102" i="1"/>
  <c r="Z259" i="1"/>
  <c r="AA259" i="1" s="1"/>
  <c r="AA222" i="1"/>
  <c r="Z223" i="1"/>
  <c r="AB45" i="1"/>
  <c r="AC45" i="1" s="1"/>
  <c r="AB44" i="1"/>
  <c r="AC44" i="1" s="1"/>
  <c r="AB43" i="1"/>
  <c r="AC43" i="1" s="1"/>
  <c r="AC28" i="1"/>
  <c r="AB35" i="1"/>
  <c r="AB46" i="1"/>
  <c r="AF187" i="1"/>
  <c r="AE193" i="1"/>
  <c r="AD221" i="1"/>
  <c r="AD194" i="1"/>
  <c r="AE194" i="1" s="1"/>
  <c r="AK118" i="1"/>
  <c r="AJ122" i="1"/>
  <c r="AJ127" i="1"/>
  <c r="AK127" i="1" s="1"/>
  <c r="AJ128" i="1"/>
  <c r="AK128" i="1" s="1"/>
  <c r="AJ129" i="1"/>
  <c r="AG47" i="14"/>
  <c r="AG50" i="13"/>
  <c r="BR88" i="13"/>
  <c r="BQ88" i="13"/>
  <c r="AA47" i="14"/>
  <c r="AA50" i="13"/>
  <c r="F12" i="13"/>
  <c r="AE86" i="14"/>
  <c r="AE44" i="14"/>
  <c r="AE89" i="13"/>
  <c r="AE47" i="13"/>
  <c r="AM86" i="14"/>
  <c r="AM44" i="14"/>
  <c r="AM89" i="13"/>
  <c r="AM47" i="13"/>
  <c r="B15" i="13"/>
  <c r="B12" i="13"/>
  <c r="BJ47" i="14"/>
  <c r="BI47" i="14"/>
  <c r="BQ50" i="13"/>
  <c r="AK47" i="14"/>
  <c r="AK50" i="13"/>
  <c r="BN47" i="14"/>
  <c r="BM47" i="14"/>
  <c r="BU50" i="13"/>
  <c r="BL12" i="14"/>
  <c r="W86" i="14"/>
  <c r="W44" i="14"/>
  <c r="W89" i="13"/>
  <c r="W47" i="13"/>
  <c r="O86" i="14"/>
  <c r="O44" i="14"/>
  <c r="O89" i="13"/>
  <c r="O47" i="13"/>
  <c r="BZ88" i="13"/>
  <c r="BY88" i="13"/>
  <c r="AC47" i="14"/>
  <c r="AC50" i="13"/>
  <c r="BV88" i="13"/>
  <c r="BU88" i="13"/>
  <c r="CB88" i="13"/>
  <c r="BZ50" i="13"/>
  <c r="BQ47" i="14"/>
  <c r="BY50" i="13"/>
  <c r="AI47" i="14"/>
  <c r="AI50" i="13"/>
  <c r="BZ8" i="13"/>
  <c r="BP47" i="14"/>
  <c r="BX50" i="13"/>
  <c r="BV50" i="13"/>
  <c r="BR82" i="14"/>
  <c r="BZ84" i="13"/>
  <c r="BA88" i="13"/>
  <c r="AZ88" i="13"/>
  <c r="BC88" i="13"/>
  <c r="BB88" i="13"/>
  <c r="AW47" i="14"/>
  <c r="AW50" i="13"/>
  <c r="BH82" i="14"/>
  <c r="BP84" i="13"/>
  <c r="AO47" i="14"/>
  <c r="AO50" i="13"/>
  <c r="BN82" i="14"/>
  <c r="BV84" i="13"/>
  <c r="BB47" i="14"/>
  <c r="BB50" i="13"/>
  <c r="U47" i="14"/>
  <c r="U50" i="13"/>
  <c r="Y47" i="14"/>
  <c r="Y50" i="13"/>
  <c r="AQ47" i="14"/>
  <c r="AQ50" i="13"/>
  <c r="AU86" i="14"/>
  <c r="AU44" i="14"/>
  <c r="AU47" i="13"/>
  <c r="AU89" i="13"/>
  <c r="AY47" i="14"/>
  <c r="AY50" i="13"/>
  <c r="AS47" i="14"/>
  <c r="AS50" i="13"/>
  <c r="AZ47" i="14"/>
  <c r="AZ50" i="13"/>
  <c r="BT82" i="14"/>
  <c r="CB84" i="13"/>
  <c r="CB50" i="13"/>
  <c r="BT47" i="14"/>
  <c r="BE50" i="13"/>
  <c r="BE47" i="14"/>
  <c r="BU63" i="14"/>
  <c r="CC65" i="13"/>
  <c r="CG53" i="13"/>
  <c r="BY50" i="14"/>
  <c r="CC66" i="13"/>
  <c r="BU64" i="14"/>
  <c r="BX50" i="14"/>
  <c r="CF53" i="13"/>
  <c r="AV29" i="14"/>
  <c r="AV33" i="13"/>
  <c r="AZ29" i="14"/>
  <c r="AZ33" i="13"/>
  <c r="BB29" i="14"/>
  <c r="BB33" i="13"/>
  <c r="AT29" i="14"/>
  <c r="AT33" i="13"/>
  <c r="BE29" i="14"/>
  <c r="BE33" i="13"/>
  <c r="AX29" i="14"/>
  <c r="AX33" i="13"/>
  <c r="AR29" i="14"/>
  <c r="AR33" i="13"/>
  <c r="F71" i="13"/>
  <c r="F15" i="13"/>
  <c r="M13" i="14"/>
  <c r="L16" i="14"/>
  <c r="J16" i="14"/>
  <c r="K13" i="14"/>
  <c r="AX18" i="14"/>
  <c r="AH16" i="14"/>
  <c r="AI13" i="14"/>
  <c r="BX10" i="13"/>
  <c r="AP16" i="14"/>
  <c r="AQ13" i="14"/>
  <c r="BO10" i="13"/>
  <c r="BH11" i="14"/>
  <c r="Q11" i="14"/>
  <c r="P10" i="13"/>
  <c r="Y11" i="14"/>
  <c r="AL12" i="13"/>
  <c r="AJ18" i="14"/>
  <c r="BA13" i="14"/>
  <c r="AZ16" i="14"/>
  <c r="T13" i="14"/>
  <c r="BB18" i="14"/>
  <c r="R16" i="14"/>
  <c r="S13" i="14"/>
  <c r="Q14" i="13"/>
  <c r="BC13" i="14"/>
  <c r="BB16" i="14"/>
  <c r="CA14" i="14"/>
  <c r="H16" i="14"/>
  <c r="BU14" i="13"/>
  <c r="BN15" i="14"/>
  <c r="AB16" i="14"/>
  <c r="AZ12" i="13"/>
  <c r="BQ7" i="13"/>
  <c r="BJ8" i="14"/>
  <c r="B73" i="13"/>
  <c r="CB11" i="13"/>
  <c r="B20" i="14"/>
  <c r="B19" i="14"/>
  <c r="B74" i="14"/>
  <c r="B75" i="14"/>
  <c r="B71" i="14"/>
  <c r="B69" i="14"/>
  <c r="B72" i="14"/>
  <c r="B68" i="14"/>
  <c r="BW14" i="13"/>
  <c r="BP15" i="14"/>
  <c r="BR10" i="14"/>
  <c r="BY9" i="13"/>
  <c r="Y14" i="13"/>
  <c r="BD18" i="14"/>
  <c r="V18" i="14"/>
  <c r="BS10" i="13"/>
  <c r="AG14" i="13"/>
  <c r="BX11" i="13"/>
  <c r="AJ12" i="13"/>
  <c r="O10" i="13"/>
  <c r="W10" i="13"/>
  <c r="AV18" i="14"/>
  <c r="AD12" i="13"/>
  <c r="R12" i="13"/>
  <c r="BX7" i="13"/>
  <c r="AP12" i="13"/>
  <c r="D16" i="14"/>
  <c r="K10" i="13"/>
  <c r="S10" i="13"/>
  <c r="AD18" i="14"/>
  <c r="AU13" i="14"/>
  <c r="AT16" i="14"/>
  <c r="AV12" i="13"/>
  <c r="AO13" i="14"/>
  <c r="AN16" i="14"/>
  <c r="AT12" i="13"/>
  <c r="W13" i="14"/>
  <c r="V16" i="14"/>
  <c r="BV8" i="13"/>
  <c r="X12" i="13"/>
  <c r="AN18" i="14"/>
  <c r="AZ18" i="14"/>
  <c r="BD12" i="13"/>
  <c r="AR12" i="13"/>
  <c r="BP10" i="14"/>
  <c r="BW9" i="13"/>
  <c r="AW13" i="14"/>
  <c r="AV16" i="14"/>
  <c r="CB10" i="13"/>
  <c r="AR18" i="14"/>
  <c r="BX8" i="13"/>
  <c r="BZ11" i="13"/>
  <c r="V12" i="13"/>
  <c r="F77" i="13"/>
  <c r="F76" i="13"/>
  <c r="F74" i="13"/>
  <c r="F72" i="13"/>
  <c r="CB7" i="13"/>
  <c r="AK13" i="14"/>
  <c r="AJ16" i="14"/>
  <c r="AG13" i="14"/>
  <c r="AF16" i="14"/>
  <c r="Z16" i="14"/>
  <c r="AA13" i="14"/>
  <c r="AH12" i="13"/>
  <c r="BI11" i="14"/>
  <c r="AN12" i="13"/>
  <c r="BS7" i="13"/>
  <c r="BL8" i="14"/>
  <c r="BL10" i="14"/>
  <c r="BS9" i="13"/>
  <c r="CG13" i="13"/>
  <c r="BZ14" i="14"/>
  <c r="BS14" i="13"/>
  <c r="BL15" i="14"/>
  <c r="O13" i="14"/>
  <c r="N16" i="14"/>
  <c r="AB12" i="13"/>
  <c r="AM13" i="14"/>
  <c r="AL16" i="14"/>
  <c r="AF12" i="13"/>
  <c r="BZ7" i="13"/>
  <c r="BB12" i="13"/>
  <c r="BT10" i="14"/>
  <c r="F20" i="14"/>
  <c r="F19" i="14"/>
  <c r="F75" i="14"/>
  <c r="F74" i="14"/>
  <c r="F70" i="14"/>
  <c r="F72" i="14"/>
  <c r="F69" i="14"/>
  <c r="F71" i="14"/>
  <c r="F68" i="14"/>
  <c r="AS13" i="14"/>
  <c r="AR16" i="14"/>
  <c r="BN10" i="14"/>
  <c r="BU9" i="13"/>
  <c r="AL18" i="14"/>
  <c r="J12" i="13"/>
  <c r="AX12" i="13"/>
  <c r="BO11" i="13"/>
  <c r="BH12" i="14"/>
  <c r="S14" i="13"/>
  <c r="BQ14" i="13"/>
  <c r="BJ15" i="14"/>
  <c r="BV10" i="13"/>
  <c r="M10" i="13"/>
  <c r="B70" i="14"/>
  <c r="F70" i="13"/>
  <c r="BT88" i="13"/>
  <c r="AT18" i="14"/>
  <c r="CF13" i="13"/>
  <c r="F73" i="13"/>
  <c r="AB18" i="14"/>
  <c r="BS13" i="14"/>
  <c r="N12" i="13"/>
  <c r="K14" i="13"/>
  <c r="AA14" i="13"/>
  <c r="AE13" i="14"/>
  <c r="AD16" i="14"/>
  <c r="BZ10" i="13"/>
  <c r="BV11" i="13"/>
  <c r="AI14" i="13"/>
  <c r="AH18" i="14"/>
  <c r="BE13" i="14"/>
  <c r="BD16" i="14"/>
  <c r="BQ8" i="13"/>
  <c r="BJ9" i="14"/>
  <c r="BL9" i="14"/>
  <c r="U10" i="13"/>
  <c r="Z12" i="13"/>
  <c r="X16" i="14"/>
  <c r="AX16" i="14"/>
  <c r="AY13" i="14"/>
  <c r="BJ12" i="14"/>
  <c r="BQ11" i="13"/>
  <c r="AK129" i="1" l="1"/>
  <c r="AJ130" i="1"/>
  <c r="AK130" i="1" s="1"/>
  <c r="AF193" i="1"/>
  <c r="AG187" i="1"/>
  <c r="AF200" i="1"/>
  <c r="AF199" i="1"/>
  <c r="AG199" i="1" s="1"/>
  <c r="AF198" i="1"/>
  <c r="AG198" i="1" s="1"/>
  <c r="AA63" i="1"/>
  <c r="Z65" i="1"/>
  <c r="AA65" i="1" s="1"/>
  <c r="AT455" i="1"/>
  <c r="AU452" i="1"/>
  <c r="AV448" i="1"/>
  <c r="AB222" i="1"/>
  <c r="AB211" i="1"/>
  <c r="AC211" i="1" s="1"/>
  <c r="AC210" i="1"/>
  <c r="AD204" i="1"/>
  <c r="AJ531" i="1"/>
  <c r="AJ541" i="1"/>
  <c r="AK530" i="1"/>
  <c r="AJ562" i="1"/>
  <c r="AK562" i="1" s="1"/>
  <c r="AC46" i="1"/>
  <c r="AB47" i="1"/>
  <c r="AC47" i="1" s="1"/>
  <c r="AL522" i="1"/>
  <c r="AL526" i="1"/>
  <c r="AJ538" i="1"/>
  <c r="AK538" i="1" s="1"/>
  <c r="AK537" i="1"/>
  <c r="AD258" i="1"/>
  <c r="AE258" i="1" s="1"/>
  <c r="AE221" i="1"/>
  <c r="AC35" i="1"/>
  <c r="AB41" i="1"/>
  <c r="AB36" i="1"/>
  <c r="AD28" i="1"/>
  <c r="AL118" i="1"/>
  <c r="AL106" i="1"/>
  <c r="AI148" i="1"/>
  <c r="AH150" i="1"/>
  <c r="AI150" i="1" s="1"/>
  <c r="AH558" i="1"/>
  <c r="AI558" i="1" s="1"/>
  <c r="AI556" i="1"/>
  <c r="Y227" i="1"/>
  <c r="X264" i="1"/>
  <c r="Y264" i="1" s="1"/>
  <c r="X228" i="1"/>
  <c r="Y228" i="1" s="1"/>
  <c r="AB218" i="1"/>
  <c r="AC218" i="1" s="1"/>
  <c r="AC217" i="1"/>
  <c r="AN514" i="1"/>
  <c r="AJ154" i="1"/>
  <c r="AK154" i="1" s="1"/>
  <c r="AK122" i="1"/>
  <c r="AJ123" i="1"/>
  <c r="AJ133" i="1"/>
  <c r="AA223" i="1"/>
  <c r="Z225" i="1"/>
  <c r="Z260" i="1"/>
  <c r="AA260" i="1" s="1"/>
  <c r="CF67" i="13"/>
  <c r="BX65" i="14"/>
  <c r="B77" i="13"/>
  <c r="B71" i="13"/>
  <c r="B76" i="13"/>
  <c r="B70" i="13"/>
  <c r="L71" i="14"/>
  <c r="B74" i="13"/>
  <c r="R75" i="14"/>
  <c r="BR47" i="14"/>
  <c r="D12" i="13"/>
  <c r="CG67" i="13"/>
  <c r="D15" i="13"/>
  <c r="D71" i="13"/>
  <c r="D73" i="13"/>
  <c r="D76" i="13"/>
  <c r="D77" i="13"/>
  <c r="D74" i="13"/>
  <c r="D72" i="13"/>
  <c r="AH75" i="14"/>
  <c r="R86" i="14"/>
  <c r="R44" i="14"/>
  <c r="R89" i="13"/>
  <c r="R47" i="13"/>
  <c r="BK86" i="14"/>
  <c r="BK44" i="14"/>
  <c r="BS89" i="13"/>
  <c r="BS47" i="13"/>
  <c r="AF86" i="14"/>
  <c r="AF44" i="14"/>
  <c r="AF89" i="13"/>
  <c r="AF47" i="13"/>
  <c r="AH86" i="14"/>
  <c r="AH44" i="14"/>
  <c r="AH89" i="13"/>
  <c r="AH47" i="13"/>
  <c r="P86" i="14"/>
  <c r="P44" i="14"/>
  <c r="P89" i="13"/>
  <c r="P47" i="13"/>
  <c r="D86" i="14"/>
  <c r="D44" i="14"/>
  <c r="D89" i="13"/>
  <c r="D47" i="13"/>
  <c r="CA9" i="13"/>
  <c r="T86" i="14"/>
  <c r="T44" i="14"/>
  <c r="T89" i="13"/>
  <c r="T47" i="13"/>
  <c r="H86" i="14"/>
  <c r="H44" i="14"/>
  <c r="H89" i="13"/>
  <c r="H47" i="13"/>
  <c r="L86" i="14"/>
  <c r="L44" i="14"/>
  <c r="L89" i="13"/>
  <c r="L47" i="13"/>
  <c r="AC13" i="14"/>
  <c r="X86" i="14"/>
  <c r="X44" i="14"/>
  <c r="X89" i="13"/>
  <c r="X47" i="13"/>
  <c r="BO86" i="14"/>
  <c r="BO44" i="14"/>
  <c r="BW89" i="13"/>
  <c r="BW47" i="13"/>
  <c r="BR50" i="13"/>
  <c r="BD33" i="14"/>
  <c r="BD37" i="13"/>
  <c r="H15" i="13"/>
  <c r="H12" i="13"/>
  <c r="AJ86" i="14"/>
  <c r="AJ44" i="14"/>
  <c r="AJ89" i="13"/>
  <c r="AJ47" i="13"/>
  <c r="Z86" i="14"/>
  <c r="Z44" i="14"/>
  <c r="Z89" i="13"/>
  <c r="Z47" i="13"/>
  <c r="BT8" i="13"/>
  <c r="J86" i="14"/>
  <c r="J44" i="14"/>
  <c r="J89" i="13"/>
  <c r="J47" i="13"/>
  <c r="AV86" i="14"/>
  <c r="AV44" i="14"/>
  <c r="AV47" i="13"/>
  <c r="AV89" i="13"/>
  <c r="BL47" i="14"/>
  <c r="BT50" i="13"/>
  <c r="BA47" i="14"/>
  <c r="BA50" i="13"/>
  <c r="AX44" i="14"/>
  <c r="AX86" i="14"/>
  <c r="AX47" i="13"/>
  <c r="AX89" i="13"/>
  <c r="AP44" i="14"/>
  <c r="AP86" i="14"/>
  <c r="AP47" i="13"/>
  <c r="AP89" i="13"/>
  <c r="AN86" i="14"/>
  <c r="AN44" i="14"/>
  <c r="AN47" i="13"/>
  <c r="AN89" i="13"/>
  <c r="BC47" i="14"/>
  <c r="BC50" i="13"/>
  <c r="BS86" i="14"/>
  <c r="BS44" i="14"/>
  <c r="CA47" i="13"/>
  <c r="CA89" i="13"/>
  <c r="BD44" i="14"/>
  <c r="BD89" i="13"/>
  <c r="BD86" i="14"/>
  <c r="BD47" i="13"/>
  <c r="CA50" i="14"/>
  <c r="CI53" i="13"/>
  <c r="BZ50" i="14"/>
  <c r="CH53" i="13"/>
  <c r="CE66" i="13"/>
  <c r="BW64" i="14"/>
  <c r="CC67" i="13"/>
  <c r="BU65" i="14"/>
  <c r="BU73" i="14"/>
  <c r="BU23" i="14"/>
  <c r="CC24" i="13"/>
  <c r="CD65" i="13"/>
  <c r="BV63" i="14"/>
  <c r="CE65" i="13"/>
  <c r="BW63" i="14"/>
  <c r="CD66" i="13"/>
  <c r="BV64" i="14"/>
  <c r="BS29" i="14"/>
  <c r="CA33" i="13"/>
  <c r="AS29" i="14"/>
  <c r="AS33" i="13"/>
  <c r="AF75" i="14"/>
  <c r="AZ33" i="14"/>
  <c r="AZ37" i="13"/>
  <c r="AV33" i="14"/>
  <c r="AV37" i="13"/>
  <c r="AH33" i="14"/>
  <c r="AH37" i="13"/>
  <c r="AT33" i="14"/>
  <c r="AT37" i="13"/>
  <c r="AU29" i="14"/>
  <c r="AU33" i="13"/>
  <c r="BC29" i="14"/>
  <c r="BC33" i="13"/>
  <c r="AR33" i="14"/>
  <c r="AR37" i="13"/>
  <c r="AD33" i="14"/>
  <c r="AD37" i="13"/>
  <c r="AW29" i="14"/>
  <c r="AW33" i="13"/>
  <c r="B21" i="14"/>
  <c r="AJ33" i="14"/>
  <c r="AJ37" i="13"/>
  <c r="AX33" i="14"/>
  <c r="AX37" i="13"/>
  <c r="AB33" i="14"/>
  <c r="AB37" i="13"/>
  <c r="AP29" i="14"/>
  <c r="AP33" i="13"/>
  <c r="AN33" i="14"/>
  <c r="AN37" i="13"/>
  <c r="V33" i="14"/>
  <c r="V37" i="13"/>
  <c r="B72" i="13"/>
  <c r="BA29" i="14"/>
  <c r="BA33" i="13"/>
  <c r="AL33" i="14"/>
  <c r="AL37" i="13"/>
  <c r="F21" i="14"/>
  <c r="D70" i="13"/>
  <c r="BB33" i="14"/>
  <c r="BB37" i="13"/>
  <c r="BR11" i="13"/>
  <c r="AA12" i="13"/>
  <c r="Z15" i="13"/>
  <c r="BT7" i="13"/>
  <c r="W12" i="13"/>
  <c r="V15" i="13"/>
  <c r="T12" i="13"/>
  <c r="T18" i="14"/>
  <c r="AY12" i="13"/>
  <c r="AX15" i="13"/>
  <c r="K12" i="13"/>
  <c r="J15" i="13"/>
  <c r="AS16" i="14"/>
  <c r="AR20" i="14"/>
  <c r="AR69" i="14"/>
  <c r="AR70" i="14"/>
  <c r="AR74" i="14"/>
  <c r="AR71" i="14"/>
  <c r="AR72" i="14"/>
  <c r="AR68" i="14"/>
  <c r="F76" i="14"/>
  <c r="BT14" i="13"/>
  <c r="CH13" i="13"/>
  <c r="AO12" i="13"/>
  <c r="AN15" i="13"/>
  <c r="Z20" i="14"/>
  <c r="AG16" i="14"/>
  <c r="AF74" i="14"/>
  <c r="AF70" i="14"/>
  <c r="AF69" i="14"/>
  <c r="AF71" i="14"/>
  <c r="AF68" i="14"/>
  <c r="AF72" i="14"/>
  <c r="AR19" i="14"/>
  <c r="AS18" i="14"/>
  <c r="AR15" i="13"/>
  <c r="AS12" i="13"/>
  <c r="AU16" i="14"/>
  <c r="AT20" i="14"/>
  <c r="AT21" i="14" s="1"/>
  <c r="AT74" i="14"/>
  <c r="AT70" i="14"/>
  <c r="AT75" i="14"/>
  <c r="AT68" i="14"/>
  <c r="AT71" i="14"/>
  <c r="B18" i="13"/>
  <c r="B20" i="13"/>
  <c r="BV14" i="13"/>
  <c r="X18" i="14"/>
  <c r="BB19" i="14"/>
  <c r="BC18" i="14"/>
  <c r="P13" i="14"/>
  <c r="BP10" i="13"/>
  <c r="AI16" i="14"/>
  <c r="AH20" i="14"/>
  <c r="AH74" i="14"/>
  <c r="AH70" i="14"/>
  <c r="AH72" i="14"/>
  <c r="AH68" i="14"/>
  <c r="AH71" i="14"/>
  <c r="AH69" i="14"/>
  <c r="M16" i="14"/>
  <c r="L20" i="14"/>
  <c r="L19" i="14"/>
  <c r="L74" i="14"/>
  <c r="L70" i="14"/>
  <c r="L68" i="14"/>
  <c r="L75" i="14"/>
  <c r="L69" i="14"/>
  <c r="BT11" i="13"/>
  <c r="H76" i="13"/>
  <c r="H77" i="13"/>
  <c r="H73" i="13"/>
  <c r="H71" i="13"/>
  <c r="H74" i="13"/>
  <c r="BO18" i="14"/>
  <c r="BP11" i="13"/>
  <c r="BV9" i="13"/>
  <c r="AG12" i="13"/>
  <c r="BQ10" i="13"/>
  <c r="BJ11" i="14"/>
  <c r="AW16" i="14"/>
  <c r="AV20" i="14"/>
  <c r="AV21" i="14" s="1"/>
  <c r="AV75" i="14"/>
  <c r="AV69" i="14"/>
  <c r="AV70" i="14"/>
  <c r="AV71" i="14"/>
  <c r="AV68" i="14"/>
  <c r="AZ19" i="14"/>
  <c r="BA18" i="14"/>
  <c r="W16" i="14"/>
  <c r="V20" i="14"/>
  <c r="V21" i="14" s="1"/>
  <c r="V70" i="14"/>
  <c r="V71" i="14"/>
  <c r="V75" i="14"/>
  <c r="V68" i="14"/>
  <c r="V72" i="14"/>
  <c r="AU12" i="13"/>
  <c r="AT15" i="13"/>
  <c r="BR7" i="13"/>
  <c r="H20" i="14"/>
  <c r="H75" i="14"/>
  <c r="H19" i="14"/>
  <c r="H74" i="14"/>
  <c r="H72" i="14"/>
  <c r="H71" i="14"/>
  <c r="H68" i="14"/>
  <c r="H69" i="14"/>
  <c r="H70" i="14"/>
  <c r="K16" i="14"/>
  <c r="J20" i="14"/>
  <c r="J19" i="14"/>
  <c r="J68" i="14"/>
  <c r="X20" i="14"/>
  <c r="X74" i="14"/>
  <c r="X70" i="14"/>
  <c r="X71" i="14"/>
  <c r="X69" i="14"/>
  <c r="X72" i="14"/>
  <c r="X68" i="14"/>
  <c r="BR8" i="13"/>
  <c r="H72" i="13"/>
  <c r="BE16" i="14"/>
  <c r="BD20" i="14"/>
  <c r="BD21" i="14" s="1"/>
  <c r="BD72" i="14"/>
  <c r="BD68" i="14"/>
  <c r="AE16" i="14"/>
  <c r="AD20" i="14"/>
  <c r="AD74" i="14"/>
  <c r="AD68" i="14"/>
  <c r="AD69" i="14"/>
  <c r="AB19" i="14"/>
  <c r="AT19" i="14"/>
  <c r="AU18" i="14"/>
  <c r="BR14" i="13"/>
  <c r="AL19" i="14"/>
  <c r="AM18" i="14"/>
  <c r="BC12" i="13"/>
  <c r="BB15" i="13"/>
  <c r="AM16" i="14"/>
  <c r="AL20" i="14"/>
  <c r="AL75" i="14"/>
  <c r="AL68" i="14"/>
  <c r="L12" i="13"/>
  <c r="O16" i="14"/>
  <c r="N20" i="14"/>
  <c r="N19" i="14"/>
  <c r="N68" i="14"/>
  <c r="BK13" i="14"/>
  <c r="AA16" i="14"/>
  <c r="Z74" i="14"/>
  <c r="Z70" i="14"/>
  <c r="Z72" i="14"/>
  <c r="Z71" i="14"/>
  <c r="Z68" i="14"/>
  <c r="BE12" i="13"/>
  <c r="BD15" i="13"/>
  <c r="X15" i="13"/>
  <c r="BM13" i="14"/>
  <c r="AO16" i="14"/>
  <c r="AN20" i="14"/>
  <c r="AN74" i="14"/>
  <c r="AN68" i="14"/>
  <c r="AW12" i="13"/>
  <c r="AV15" i="13"/>
  <c r="BL11" i="14"/>
  <c r="V19" i="14"/>
  <c r="W18" i="14"/>
  <c r="BE18" i="14"/>
  <c r="BD19" i="14"/>
  <c r="BX14" i="13"/>
  <c r="B76" i="14"/>
  <c r="BI13" i="14"/>
  <c r="AB20" i="14"/>
  <c r="AB21" i="14" s="1"/>
  <c r="AB74" i="14"/>
  <c r="AB70" i="14"/>
  <c r="AB69" i="14"/>
  <c r="AB68" i="14"/>
  <c r="AB71" i="14"/>
  <c r="AB72" i="14"/>
  <c r="AB75" i="14"/>
  <c r="CB14" i="14"/>
  <c r="CI13" i="13"/>
  <c r="Q10" i="13"/>
  <c r="Y10" i="13"/>
  <c r="AX19" i="14"/>
  <c r="O12" i="13"/>
  <c r="N15" i="13"/>
  <c r="BS16" i="14"/>
  <c r="AW18" i="14"/>
  <c r="AV19" i="14"/>
  <c r="X77" i="13"/>
  <c r="CC14" i="14"/>
  <c r="BC16" i="14"/>
  <c r="BB20" i="14"/>
  <c r="BB21" i="14" s="1"/>
  <c r="BB69" i="14"/>
  <c r="BB68" i="14"/>
  <c r="BA16" i="14"/>
  <c r="AZ20" i="14"/>
  <c r="AZ68" i="14"/>
  <c r="AJ19" i="14"/>
  <c r="AK18" i="14"/>
  <c r="BG13" i="14"/>
  <c r="BS18" i="14"/>
  <c r="AY16" i="14"/>
  <c r="AX20" i="14"/>
  <c r="AX69" i="14"/>
  <c r="AX74" i="14"/>
  <c r="AX70" i="14"/>
  <c r="AX71" i="14"/>
  <c r="AX72" i="14"/>
  <c r="AX68" i="14"/>
  <c r="AH19" i="14"/>
  <c r="AF18" i="14"/>
  <c r="BV7" i="13"/>
  <c r="F18" i="13"/>
  <c r="F20" i="13"/>
  <c r="CB9" i="13"/>
  <c r="AB15" i="13"/>
  <c r="AC12" i="13"/>
  <c r="BT9" i="13"/>
  <c r="AI12" i="13"/>
  <c r="AH15" i="13"/>
  <c r="X75" i="14"/>
  <c r="AK16" i="14"/>
  <c r="AJ20" i="14"/>
  <c r="AJ74" i="14"/>
  <c r="AJ68" i="14"/>
  <c r="BX9" i="13"/>
  <c r="AN19" i="14"/>
  <c r="AD19" i="14"/>
  <c r="AE18" i="14"/>
  <c r="D20" i="14"/>
  <c r="D19" i="14"/>
  <c r="D75" i="14"/>
  <c r="D74" i="14"/>
  <c r="D69" i="14"/>
  <c r="D72" i="14"/>
  <c r="D70" i="14"/>
  <c r="AQ12" i="13"/>
  <c r="AP15" i="13"/>
  <c r="S12" i="13"/>
  <c r="R15" i="13"/>
  <c r="AE12" i="13"/>
  <c r="AD15" i="13"/>
  <c r="AJ15" i="13"/>
  <c r="AK12" i="13"/>
  <c r="BZ9" i="13"/>
  <c r="AZ15" i="13"/>
  <c r="BA12" i="13"/>
  <c r="S16" i="14"/>
  <c r="R20" i="14"/>
  <c r="R19" i="14"/>
  <c r="R70" i="14"/>
  <c r="R68" i="14"/>
  <c r="BO13" i="14"/>
  <c r="U13" i="14"/>
  <c r="T16" i="14"/>
  <c r="AM12" i="13"/>
  <c r="AL15" i="13"/>
  <c r="AQ16" i="14"/>
  <c r="AP20" i="14"/>
  <c r="AP68" i="14"/>
  <c r="AB69" i="1" l="1"/>
  <c r="AC69" i="1" s="1"/>
  <c r="AC36" i="1"/>
  <c r="AB64" i="1"/>
  <c r="AC64" i="1" s="1"/>
  <c r="AB68" i="1"/>
  <c r="AC68" i="1" s="1"/>
  <c r="AB63" i="1"/>
  <c r="AB92" i="1"/>
  <c r="AM526" i="1"/>
  <c r="AL530" i="1"/>
  <c r="AL536" i="1"/>
  <c r="AM536" i="1" s="1"/>
  <c r="AL537" i="1"/>
  <c r="AL535" i="1"/>
  <c r="AM535" i="1" s="1"/>
  <c r="AD216" i="1"/>
  <c r="AE216" i="1" s="1"/>
  <c r="AD210" i="1"/>
  <c r="AE204" i="1"/>
  <c r="AD217" i="1"/>
  <c r="AD215" i="1"/>
  <c r="AE215" i="1" s="1"/>
  <c r="AV469" i="1"/>
  <c r="AW469" i="1" s="1"/>
  <c r="AV452" i="1"/>
  <c r="AW448" i="1"/>
  <c r="AK133" i="1"/>
  <c r="AJ134" i="1"/>
  <c r="AK134" i="1" s="1"/>
  <c r="AN515" i="1"/>
  <c r="AP510" i="1"/>
  <c r="AL107" i="1"/>
  <c r="AN102" i="1"/>
  <c r="AL523" i="1"/>
  <c r="AN518" i="1"/>
  <c r="AF194" i="1"/>
  <c r="AG194" i="1" s="1"/>
  <c r="AF221" i="1"/>
  <c r="AG193" i="1"/>
  <c r="AH187" i="1"/>
  <c r="AJ153" i="1"/>
  <c r="AK153" i="1" s="1"/>
  <c r="AK123" i="1"/>
  <c r="AJ149" i="1"/>
  <c r="AK149" i="1" s="1"/>
  <c r="AJ148" i="1"/>
  <c r="AM118" i="1"/>
  <c r="AL122" i="1"/>
  <c r="AL127" i="1"/>
  <c r="AM127" i="1" s="1"/>
  <c r="AL128" i="1"/>
  <c r="AM128" i="1" s="1"/>
  <c r="AL129" i="1"/>
  <c r="AK541" i="1"/>
  <c r="AJ542" i="1"/>
  <c r="AK542" i="1" s="1"/>
  <c r="AT456" i="1"/>
  <c r="AU456" i="1" s="1"/>
  <c r="AA225" i="1"/>
  <c r="Z227" i="1"/>
  <c r="Z262" i="1"/>
  <c r="AA262" i="1" s="1"/>
  <c r="AD35" i="1"/>
  <c r="AD46" i="1"/>
  <c r="AE28" i="1"/>
  <c r="AD45" i="1"/>
  <c r="AE45" i="1" s="1"/>
  <c r="AD44" i="1"/>
  <c r="AE44" i="1" s="1"/>
  <c r="AD43" i="1"/>
  <c r="AE43" i="1" s="1"/>
  <c r="AJ561" i="1"/>
  <c r="AK561" i="1" s="1"/>
  <c r="AJ557" i="1"/>
  <c r="AK557" i="1" s="1"/>
  <c r="AK531" i="1"/>
  <c r="AJ556" i="1"/>
  <c r="AC222" i="1"/>
  <c r="AB259" i="1"/>
  <c r="AC259" i="1" s="1"/>
  <c r="AB223" i="1"/>
  <c r="AG200" i="1"/>
  <c r="AF201" i="1"/>
  <c r="AG201" i="1" s="1"/>
  <c r="Z77" i="13"/>
  <c r="CI67" i="13"/>
  <c r="BZ65" i="14"/>
  <c r="CH67" i="13"/>
  <c r="BY63" i="14"/>
  <c r="CG66" i="13"/>
  <c r="BT13" i="14"/>
  <c r="BQ13" i="14"/>
  <c r="AK86" i="14"/>
  <c r="AK44" i="14"/>
  <c r="AK89" i="13"/>
  <c r="AK47" i="13"/>
  <c r="K86" i="14"/>
  <c r="K44" i="14"/>
  <c r="K89" i="13"/>
  <c r="K47" i="13"/>
  <c r="AC86" i="14"/>
  <c r="AC44" i="14"/>
  <c r="AC89" i="13"/>
  <c r="AC47" i="13"/>
  <c r="AG86" i="14"/>
  <c r="AG44" i="14"/>
  <c r="AG89" i="13"/>
  <c r="AG47" i="13"/>
  <c r="BP86" i="14"/>
  <c r="BP44" i="14"/>
  <c r="BX89" i="13"/>
  <c r="BX47" i="13"/>
  <c r="U86" i="14"/>
  <c r="U44" i="14"/>
  <c r="U89" i="13"/>
  <c r="U47" i="13"/>
  <c r="BL86" i="14"/>
  <c r="BL44" i="14"/>
  <c r="BT89" i="13"/>
  <c r="BT47" i="13"/>
  <c r="AI86" i="14"/>
  <c r="AI44" i="14"/>
  <c r="AI89" i="13"/>
  <c r="AI47" i="13"/>
  <c r="BI44" i="14"/>
  <c r="BQ89" i="13"/>
  <c r="BQ47" i="13"/>
  <c r="AA86" i="14"/>
  <c r="AA44" i="14"/>
  <c r="AA89" i="13"/>
  <c r="AA47" i="13"/>
  <c r="M86" i="14"/>
  <c r="M44" i="14"/>
  <c r="M89" i="13"/>
  <c r="M47" i="13"/>
  <c r="Q86" i="14"/>
  <c r="Q44" i="14"/>
  <c r="Q89" i="13"/>
  <c r="Q47" i="13"/>
  <c r="BM44" i="14"/>
  <c r="BM86" i="14"/>
  <c r="BU89" i="13"/>
  <c r="BU47" i="13"/>
  <c r="BQ86" i="14"/>
  <c r="BQ44" i="14"/>
  <c r="BY89" i="13"/>
  <c r="BY47" i="13"/>
  <c r="Y86" i="14"/>
  <c r="Y44" i="14"/>
  <c r="Y89" i="13"/>
  <c r="Y47" i="13"/>
  <c r="S86" i="14"/>
  <c r="S44" i="14"/>
  <c r="S89" i="13"/>
  <c r="S47" i="13"/>
  <c r="AS44" i="14"/>
  <c r="AS86" i="14"/>
  <c r="AS89" i="13"/>
  <c r="AS47" i="13"/>
  <c r="AZ86" i="14"/>
  <c r="AZ44" i="14"/>
  <c r="AZ47" i="13"/>
  <c r="AZ89" i="13"/>
  <c r="AY86" i="14"/>
  <c r="AY44" i="14"/>
  <c r="AY47" i="13"/>
  <c r="AY89" i="13"/>
  <c r="BB44" i="14"/>
  <c r="BB86" i="14"/>
  <c r="BB47" i="13"/>
  <c r="BB89" i="13"/>
  <c r="AO44" i="14"/>
  <c r="AO86" i="14"/>
  <c r="AO89" i="13"/>
  <c r="AO47" i="13"/>
  <c r="AW44" i="14"/>
  <c r="AW86" i="14"/>
  <c r="AW89" i="13"/>
  <c r="AW47" i="13"/>
  <c r="AQ86" i="14"/>
  <c r="AQ44" i="14"/>
  <c r="AQ47" i="13"/>
  <c r="AQ89" i="13"/>
  <c r="BE89" i="13"/>
  <c r="BE86" i="14"/>
  <c r="BE44" i="14"/>
  <c r="BE47" i="13"/>
  <c r="CF65" i="13"/>
  <c r="BX63" i="14"/>
  <c r="BU46" i="14"/>
  <c r="CC49" i="13"/>
  <c r="BW65" i="14"/>
  <c r="BW73" i="14"/>
  <c r="BW23" i="14"/>
  <c r="CE24" i="13"/>
  <c r="CE67" i="13"/>
  <c r="CB50" i="14"/>
  <c r="CJ53" i="13"/>
  <c r="BV73" i="14"/>
  <c r="BV23" i="14"/>
  <c r="CD24" i="13"/>
  <c r="BX64" i="14"/>
  <c r="CF66" i="13"/>
  <c r="CK53" i="13"/>
  <c r="CC50" i="14"/>
  <c r="AQ70" i="14"/>
  <c r="AP70" i="14"/>
  <c r="AQ74" i="14"/>
  <c r="AP74" i="14"/>
  <c r="AQ71" i="14"/>
  <c r="AP71" i="14"/>
  <c r="AQ69" i="14"/>
  <c r="AP69" i="14"/>
  <c r="S74" i="14"/>
  <c r="R74" i="14"/>
  <c r="K75" i="14"/>
  <c r="J75" i="14"/>
  <c r="AK70" i="14"/>
  <c r="AJ70" i="14"/>
  <c r="AK33" i="14"/>
  <c r="AK37" i="13"/>
  <c r="S69" i="14"/>
  <c r="R69" i="14"/>
  <c r="W33" i="14"/>
  <c r="W37" i="13"/>
  <c r="D76" i="14"/>
  <c r="D68" i="14"/>
  <c r="AY18" i="14"/>
  <c r="AP18" i="14"/>
  <c r="AP21" i="14" s="1"/>
  <c r="AM33" i="14"/>
  <c r="AM37" i="13"/>
  <c r="BA69" i="14"/>
  <c r="AZ69" i="14"/>
  <c r="AA69" i="14"/>
  <c r="Z69" i="14"/>
  <c r="O70" i="14"/>
  <c r="N70" i="14"/>
  <c r="N21" i="14"/>
  <c r="AM69" i="14"/>
  <c r="AL69" i="14"/>
  <c r="AM74" i="14"/>
  <c r="AL74" i="14"/>
  <c r="K70" i="14"/>
  <c r="J70" i="14"/>
  <c r="H21" i="14"/>
  <c r="AF15" i="13"/>
  <c r="AI18" i="14"/>
  <c r="Z18" i="14"/>
  <c r="Z21" i="14" s="1"/>
  <c r="BO33" i="14"/>
  <c r="BW37" i="13"/>
  <c r="B78" i="13"/>
  <c r="B75" i="13"/>
  <c r="AN21" i="14"/>
  <c r="AU33" i="14"/>
  <c r="AU37" i="13"/>
  <c r="AX21" i="14"/>
  <c r="S71" i="14"/>
  <c r="R71" i="14"/>
  <c r="R21" i="14"/>
  <c r="AK75" i="14"/>
  <c r="AJ75" i="14"/>
  <c r="O71" i="14"/>
  <c r="N71" i="14"/>
  <c r="AF33" i="14"/>
  <c r="AF37" i="13"/>
  <c r="BA71" i="14"/>
  <c r="AZ71" i="14"/>
  <c r="BA75" i="14"/>
  <c r="AZ75" i="14"/>
  <c r="BQ29" i="14"/>
  <c r="BY33" i="13"/>
  <c r="AW33" i="14"/>
  <c r="AW37" i="13"/>
  <c r="AO75" i="14"/>
  <c r="AN75" i="14"/>
  <c r="AO71" i="14"/>
  <c r="AN71" i="14"/>
  <c r="O75" i="14"/>
  <c r="N75" i="14"/>
  <c r="O69" i="14"/>
  <c r="N69" i="14"/>
  <c r="K77" i="13"/>
  <c r="J77" i="13"/>
  <c r="K72" i="14"/>
  <c r="J72" i="14"/>
  <c r="K74" i="14"/>
  <c r="J74" i="14"/>
  <c r="W69" i="14"/>
  <c r="V69" i="14"/>
  <c r="W74" i="14"/>
  <c r="V74" i="14"/>
  <c r="X21" i="14"/>
  <c r="AE33" i="14"/>
  <c r="AE37" i="13"/>
  <c r="AU72" i="14"/>
  <c r="AT72" i="14"/>
  <c r="AU69" i="14"/>
  <c r="AT69" i="14"/>
  <c r="AQ29" i="14"/>
  <c r="AQ33" i="13"/>
  <c r="F78" i="13"/>
  <c r="F75" i="13"/>
  <c r="D78" i="13"/>
  <c r="D75" i="13"/>
  <c r="AD21" i="14"/>
  <c r="AH21" i="14"/>
  <c r="S72" i="14"/>
  <c r="R72" i="14"/>
  <c r="M71" i="14"/>
  <c r="D71" i="14"/>
  <c r="D21" i="14"/>
  <c r="AK69" i="14"/>
  <c r="AJ69" i="14"/>
  <c r="AK71" i="14"/>
  <c r="AJ71" i="14"/>
  <c r="AP33" i="14"/>
  <c r="AP37" i="13"/>
  <c r="AY75" i="14"/>
  <c r="AX75" i="14"/>
  <c r="BA74" i="14"/>
  <c r="AZ74" i="14"/>
  <c r="BE33" i="14"/>
  <c r="BE37" i="13"/>
  <c r="AO69" i="14"/>
  <c r="AN69" i="14"/>
  <c r="AO70" i="14"/>
  <c r="AN70" i="14"/>
  <c r="K71" i="14"/>
  <c r="J71" i="14"/>
  <c r="O74" i="14"/>
  <c r="N74" i="14"/>
  <c r="AM72" i="14"/>
  <c r="AL72" i="14"/>
  <c r="AE71" i="14"/>
  <c r="AD71" i="14"/>
  <c r="AE72" i="14"/>
  <c r="AD72" i="14"/>
  <c r="K69" i="14"/>
  <c r="J69" i="14"/>
  <c r="M72" i="14"/>
  <c r="L72" i="14"/>
  <c r="X33" i="14"/>
  <c r="X37" i="13"/>
  <c r="Z33" i="14"/>
  <c r="Z37" i="13"/>
  <c r="F42" i="14"/>
  <c r="F44" i="13"/>
  <c r="CE29" i="14"/>
  <c r="CM33" i="13"/>
  <c r="AZ21" i="14"/>
  <c r="AL21" i="14"/>
  <c r="AQ75" i="14"/>
  <c r="AP75" i="14"/>
  <c r="AQ72" i="14"/>
  <c r="AP72" i="14"/>
  <c r="AK72" i="14"/>
  <c r="AJ72" i="14"/>
  <c r="AY29" i="14"/>
  <c r="AY33" i="13"/>
  <c r="BA72" i="14"/>
  <c r="AZ72" i="14"/>
  <c r="BA70" i="14"/>
  <c r="AZ70" i="14"/>
  <c r="B42" i="14"/>
  <c r="B44" i="13"/>
  <c r="AA75" i="14"/>
  <c r="Z75" i="14"/>
  <c r="AO72" i="14"/>
  <c r="AN72" i="14"/>
  <c r="BA33" i="14"/>
  <c r="BA37" i="13"/>
  <c r="O72" i="14"/>
  <c r="N72" i="14"/>
  <c r="AM71" i="14"/>
  <c r="AL71" i="14"/>
  <c r="AM70" i="14"/>
  <c r="AL70" i="14"/>
  <c r="AE75" i="14"/>
  <c r="AD75" i="14"/>
  <c r="AE70" i="14"/>
  <c r="AD70" i="14"/>
  <c r="J21" i="14"/>
  <c r="AW72" i="14"/>
  <c r="AV72" i="14"/>
  <c r="AW74" i="14"/>
  <c r="AV74" i="14"/>
  <c r="H70" i="13"/>
  <c r="L21" i="14"/>
  <c r="K73" i="13"/>
  <c r="J73" i="13"/>
  <c r="AS75" i="14"/>
  <c r="AR75" i="14"/>
  <c r="T33" i="14"/>
  <c r="T37" i="13"/>
  <c r="AJ21" i="14"/>
  <c r="AR21" i="14"/>
  <c r="AS33" i="14"/>
  <c r="AS37" i="13"/>
  <c r="BC72" i="14"/>
  <c r="BB72" i="14"/>
  <c r="BC75" i="14"/>
  <c r="BB75" i="14"/>
  <c r="CA37" i="13"/>
  <c r="BS33" i="14"/>
  <c r="BC74" i="14"/>
  <c r="BB74" i="14"/>
  <c r="BC71" i="14"/>
  <c r="BB71" i="14"/>
  <c r="BC70" i="14"/>
  <c r="BB70" i="14"/>
  <c r="BC33" i="14"/>
  <c r="BC37" i="13"/>
  <c r="BE71" i="14"/>
  <c r="BD71" i="14"/>
  <c r="BE75" i="14"/>
  <c r="BD75" i="14"/>
  <c r="BE70" i="14"/>
  <c r="BD70" i="14"/>
  <c r="BE74" i="14"/>
  <c r="BD74" i="14"/>
  <c r="BE69" i="14"/>
  <c r="BD69" i="14"/>
  <c r="AM15" i="13"/>
  <c r="AL76" i="13"/>
  <c r="AL71" i="13"/>
  <c r="AL77" i="13"/>
  <c r="AL70" i="13"/>
  <c r="AL74" i="13"/>
  <c r="U16" i="14"/>
  <c r="T20" i="14"/>
  <c r="T21" i="14" s="1"/>
  <c r="AC72" i="14"/>
  <c r="AC75" i="14"/>
  <c r="T68" i="14"/>
  <c r="S68" i="14"/>
  <c r="AE15" i="13"/>
  <c r="AD76" i="13"/>
  <c r="AD72" i="13"/>
  <c r="AD71" i="13"/>
  <c r="AD70" i="13"/>
  <c r="AD73" i="13"/>
  <c r="AD74" i="13"/>
  <c r="AD77" i="13"/>
  <c r="AG18" i="14"/>
  <c r="AF19" i="14"/>
  <c r="AY72" i="14"/>
  <c r="O15" i="13"/>
  <c r="N70" i="13"/>
  <c r="AC71" i="14"/>
  <c r="AA20" i="14"/>
  <c r="BQ12" i="13"/>
  <c r="BR10" i="13"/>
  <c r="L18" i="13"/>
  <c r="M19" i="14"/>
  <c r="L20" i="13"/>
  <c r="AI68" i="14"/>
  <c r="AO15" i="13"/>
  <c r="AN76" i="13"/>
  <c r="AN72" i="13"/>
  <c r="AN73" i="13"/>
  <c r="AN71" i="13"/>
  <c r="AN70" i="13"/>
  <c r="AN74" i="13"/>
  <c r="BP13" i="14"/>
  <c r="BO16" i="14"/>
  <c r="S70" i="14"/>
  <c r="BA15" i="13"/>
  <c r="AZ71" i="13"/>
  <c r="AZ77" i="13"/>
  <c r="AZ72" i="13"/>
  <c r="AZ76" i="13"/>
  <c r="AZ74" i="13"/>
  <c r="AZ70" i="13"/>
  <c r="AZ73" i="13"/>
  <c r="AK15" i="13"/>
  <c r="AJ72" i="13"/>
  <c r="AJ76" i="13"/>
  <c r="AJ73" i="13"/>
  <c r="AJ77" i="13"/>
  <c r="AJ74" i="13"/>
  <c r="AJ71" i="13"/>
  <c r="AJ70" i="13"/>
  <c r="S15" i="13"/>
  <c r="R76" i="13"/>
  <c r="R72" i="13"/>
  <c r="R74" i="13"/>
  <c r="R71" i="13"/>
  <c r="R70" i="13"/>
  <c r="AQ15" i="13"/>
  <c r="AP71" i="13"/>
  <c r="AP76" i="13"/>
  <c r="AP72" i="13"/>
  <c r="AP73" i="13"/>
  <c r="AP77" i="13"/>
  <c r="AP70" i="13"/>
  <c r="AP74" i="13"/>
  <c r="AK20" i="14"/>
  <c r="BQ18" i="14"/>
  <c r="AY68" i="14"/>
  <c r="AY74" i="14"/>
  <c r="BA68" i="14"/>
  <c r="CK13" i="13"/>
  <c r="CE14" i="14"/>
  <c r="CD14" i="14"/>
  <c r="CJ13" i="13"/>
  <c r="AC70" i="14"/>
  <c r="BI16" i="14"/>
  <c r="BJ13" i="14"/>
  <c r="AI75" i="14"/>
  <c r="AA71" i="14"/>
  <c r="AA74" i="14"/>
  <c r="AG75" i="14"/>
  <c r="O68" i="14"/>
  <c r="L15" i="13"/>
  <c r="M12" i="13"/>
  <c r="AM75" i="14"/>
  <c r="AB18" i="13"/>
  <c r="AB20" i="13"/>
  <c r="BE20" i="14"/>
  <c r="K68" i="14"/>
  <c r="K20" i="14"/>
  <c r="AU15" i="13"/>
  <c r="AT70" i="13"/>
  <c r="W68" i="14"/>
  <c r="W70" i="14"/>
  <c r="AZ18" i="13"/>
  <c r="BA19" i="14"/>
  <c r="AW70" i="14"/>
  <c r="AW20" i="14"/>
  <c r="M75" i="14"/>
  <c r="M74" i="14"/>
  <c r="AI71" i="14"/>
  <c r="AI74" i="14"/>
  <c r="BB18" i="13"/>
  <c r="BC19" i="14"/>
  <c r="AU68" i="14"/>
  <c r="AU74" i="14"/>
  <c r="AG72" i="14"/>
  <c r="AG70" i="14"/>
  <c r="AS71" i="14"/>
  <c r="AS69" i="14"/>
  <c r="BK18" i="14"/>
  <c r="AN18" i="13"/>
  <c r="AO19" i="14"/>
  <c r="AN20" i="13"/>
  <c r="AH18" i="13"/>
  <c r="AH20" i="13"/>
  <c r="BS20" i="14"/>
  <c r="BS75" i="14"/>
  <c r="BS69" i="14"/>
  <c r="BS74" i="14"/>
  <c r="BS72" i="14"/>
  <c r="BS71" i="14"/>
  <c r="BS68" i="14"/>
  <c r="BE15" i="13"/>
  <c r="BD71" i="13"/>
  <c r="BD77" i="13"/>
  <c r="BD76" i="13"/>
  <c r="BD72" i="13"/>
  <c r="BD73" i="13"/>
  <c r="BD70" i="13"/>
  <c r="BD74" i="13"/>
  <c r="BE68" i="14"/>
  <c r="AI20" i="14"/>
  <c r="AS15" i="13"/>
  <c r="AR70" i="13"/>
  <c r="AG74" i="14"/>
  <c r="AS20" i="14"/>
  <c r="U18" i="14"/>
  <c r="D18" i="13"/>
  <c r="D20" i="13"/>
  <c r="AO18" i="14"/>
  <c r="AB76" i="13"/>
  <c r="AB72" i="13"/>
  <c r="AB77" i="13"/>
  <c r="AB73" i="13"/>
  <c r="AB70" i="13"/>
  <c r="AB74" i="13"/>
  <c r="AB71" i="13"/>
  <c r="AY71" i="14"/>
  <c r="AY69" i="14"/>
  <c r="BT18" i="14"/>
  <c r="BS19" i="14"/>
  <c r="AK19" i="14"/>
  <c r="AJ18" i="13"/>
  <c r="BA20" i="14"/>
  <c r="BC68" i="14"/>
  <c r="BC69" i="14"/>
  <c r="AC68" i="14"/>
  <c r="AC20" i="14"/>
  <c r="V18" i="13"/>
  <c r="W19" i="14"/>
  <c r="V20" i="13"/>
  <c r="AO74" i="14"/>
  <c r="BM16" i="14"/>
  <c r="BN13" i="14"/>
  <c r="AA72" i="14"/>
  <c r="O20" i="14"/>
  <c r="BY12" i="13"/>
  <c r="BC15" i="13"/>
  <c r="BB70" i="13"/>
  <c r="BS70" i="14"/>
  <c r="BU12" i="13"/>
  <c r="AL18" i="13"/>
  <c r="AM19" i="14"/>
  <c r="AL20" i="13"/>
  <c r="AT18" i="13"/>
  <c r="AU19" i="14"/>
  <c r="AT20" i="13"/>
  <c r="AE69" i="14"/>
  <c r="AE74" i="14"/>
  <c r="BE72" i="14"/>
  <c r="W75" i="14"/>
  <c r="W20" i="14"/>
  <c r="AW68" i="14"/>
  <c r="AW69" i="14"/>
  <c r="M68" i="14"/>
  <c r="M20" i="14"/>
  <c r="AI72" i="14"/>
  <c r="BO12" i="13"/>
  <c r="AU75" i="14"/>
  <c r="AU20" i="14"/>
  <c r="AS19" i="14"/>
  <c r="AR18" i="13"/>
  <c r="AG71" i="14"/>
  <c r="AF20" i="14"/>
  <c r="BM18" i="14"/>
  <c r="AS68" i="14"/>
  <c r="AS74" i="14"/>
  <c r="K15" i="13"/>
  <c r="J70" i="13"/>
  <c r="AY15" i="13"/>
  <c r="AX70" i="13"/>
  <c r="BW12" i="13"/>
  <c r="U12" i="13"/>
  <c r="W15" i="13"/>
  <c r="V70" i="13"/>
  <c r="AI15" i="13"/>
  <c r="AH76" i="13"/>
  <c r="AH72" i="13"/>
  <c r="AH74" i="13"/>
  <c r="AH71" i="13"/>
  <c r="AH73" i="13"/>
  <c r="AH70" i="13"/>
  <c r="BH13" i="14"/>
  <c r="BG16" i="14"/>
  <c r="AV18" i="13"/>
  <c r="AW19" i="14"/>
  <c r="AC74" i="14"/>
  <c r="AW15" i="13"/>
  <c r="AV70" i="13"/>
  <c r="N18" i="13"/>
  <c r="O19" i="14"/>
  <c r="AG68" i="14"/>
  <c r="Z19" i="14"/>
  <c r="AA18" i="14"/>
  <c r="R18" i="13"/>
  <c r="S19" i="14"/>
  <c r="R20" i="13"/>
  <c r="BQ16" i="14"/>
  <c r="BR13" i="14"/>
  <c r="AQ68" i="14"/>
  <c r="AQ20" i="14"/>
  <c r="S20" i="14"/>
  <c r="AD18" i="13"/>
  <c r="AE19" i="14"/>
  <c r="AK68" i="14"/>
  <c r="AK74" i="14"/>
  <c r="AP19" i="14"/>
  <c r="AQ18" i="14"/>
  <c r="AY70" i="14"/>
  <c r="AY20" i="14"/>
  <c r="BC20" i="14"/>
  <c r="AX18" i="13"/>
  <c r="P12" i="13"/>
  <c r="AC69" i="14"/>
  <c r="AC16" i="14"/>
  <c r="BD18" i="13"/>
  <c r="BE19" i="14"/>
  <c r="AO68" i="14"/>
  <c r="AO20" i="14"/>
  <c r="X76" i="13"/>
  <c r="X72" i="13"/>
  <c r="X73" i="13"/>
  <c r="X70" i="13"/>
  <c r="X71" i="13"/>
  <c r="X74" i="13"/>
  <c r="AA68" i="14"/>
  <c r="AA70" i="14"/>
  <c r="BL13" i="14"/>
  <c r="BK16" i="14"/>
  <c r="AM68" i="14"/>
  <c r="AM20" i="14"/>
  <c r="AC18" i="14"/>
  <c r="AE68" i="14"/>
  <c r="AE20" i="14"/>
  <c r="J18" i="13"/>
  <c r="K19" i="14"/>
  <c r="H76" i="14"/>
  <c r="H18" i="13"/>
  <c r="H20" i="13"/>
  <c r="W72" i="14"/>
  <c r="W71" i="14"/>
  <c r="AW71" i="14"/>
  <c r="AW75" i="14"/>
  <c r="AG15" i="13"/>
  <c r="AF76" i="13"/>
  <c r="AF70" i="13"/>
  <c r="AF71" i="13"/>
  <c r="AF73" i="13"/>
  <c r="M69" i="14"/>
  <c r="M70" i="14"/>
  <c r="AI69" i="14"/>
  <c r="AI70" i="14"/>
  <c r="Q13" i="14"/>
  <c r="P16" i="14"/>
  <c r="Y13" i="14"/>
  <c r="S75" i="14"/>
  <c r="Y18" i="14"/>
  <c r="X19" i="14"/>
  <c r="BT10" i="13"/>
  <c r="AU71" i="14"/>
  <c r="AU70" i="14"/>
  <c r="CA12" i="13"/>
  <c r="AG69" i="14"/>
  <c r="AS72" i="14"/>
  <c r="AS70" i="14"/>
  <c r="BS12" i="13"/>
  <c r="AA15" i="13"/>
  <c r="Z70" i="13"/>
  <c r="AA227" i="1" l="1"/>
  <c r="Z264" i="1"/>
  <c r="AA264" i="1" s="1"/>
  <c r="Z228" i="1"/>
  <c r="AA228" i="1" s="1"/>
  <c r="AK148" i="1"/>
  <c r="AJ150" i="1"/>
  <c r="AK150" i="1" s="1"/>
  <c r="AH199" i="1"/>
  <c r="AI199" i="1" s="1"/>
  <c r="AH198" i="1"/>
  <c r="AI198" i="1" s="1"/>
  <c r="AH193" i="1"/>
  <c r="AI187" i="1"/>
  <c r="AH200" i="1"/>
  <c r="AN522" i="1"/>
  <c r="AN526" i="1"/>
  <c r="AP514" i="1"/>
  <c r="AL541" i="1"/>
  <c r="AM530" i="1"/>
  <c r="AL562" i="1"/>
  <c r="AM562" i="1" s="1"/>
  <c r="AL531" i="1"/>
  <c r="AK556" i="1"/>
  <c r="AJ558" i="1"/>
  <c r="AK558" i="1" s="1"/>
  <c r="AE46" i="1"/>
  <c r="AD47" i="1"/>
  <c r="AE47" i="1" s="1"/>
  <c r="AD218" i="1"/>
  <c r="AE218" i="1" s="1"/>
  <c r="AE217" i="1"/>
  <c r="AC223" i="1"/>
  <c r="AB225" i="1"/>
  <c r="AB260" i="1"/>
  <c r="AC260" i="1" s="1"/>
  <c r="AD36" i="1"/>
  <c r="AD41" i="1"/>
  <c r="AF28" i="1"/>
  <c r="AE35" i="1"/>
  <c r="AL133" i="1"/>
  <c r="AL154" i="1"/>
  <c r="AM154" i="1" s="1"/>
  <c r="AM122" i="1"/>
  <c r="AL123" i="1"/>
  <c r="AF258" i="1"/>
  <c r="AG258" i="1" s="1"/>
  <c r="AG221" i="1"/>
  <c r="AN118" i="1"/>
  <c r="AN106" i="1"/>
  <c r="AN107" i="1" s="1"/>
  <c r="AW452" i="1"/>
  <c r="AV455" i="1"/>
  <c r="AX448" i="1"/>
  <c r="AL538" i="1"/>
  <c r="AM538" i="1" s="1"/>
  <c r="AM537" i="1"/>
  <c r="AL130" i="1"/>
  <c r="AM130" i="1" s="1"/>
  <c r="AM129" i="1"/>
  <c r="AD222" i="1"/>
  <c r="AE210" i="1"/>
  <c r="AF204" i="1"/>
  <c r="AD211" i="1"/>
  <c r="AE211" i="1" s="1"/>
  <c r="AC63" i="1"/>
  <c r="AB65" i="1"/>
  <c r="AC65" i="1" s="1"/>
  <c r="CG65" i="13"/>
  <c r="BY64" i="14"/>
  <c r="CA63" i="14"/>
  <c r="CK67" i="13"/>
  <c r="CJ67" i="13"/>
  <c r="CB65" i="14"/>
  <c r="CI66" i="13"/>
  <c r="BI71" i="14"/>
  <c r="BN86" i="14"/>
  <c r="BN44" i="14"/>
  <c r="BV89" i="13"/>
  <c r="BV47" i="13"/>
  <c r="BJ44" i="14"/>
  <c r="BR89" i="13"/>
  <c r="BR47" i="13"/>
  <c r="BR86" i="14"/>
  <c r="BR44" i="14"/>
  <c r="BZ89" i="13"/>
  <c r="BZ47" i="13"/>
  <c r="BA44" i="14"/>
  <c r="BA86" i="14"/>
  <c r="BA89" i="13"/>
  <c r="BA47" i="13"/>
  <c r="BC86" i="14"/>
  <c r="BC44" i="14"/>
  <c r="BC47" i="13"/>
  <c r="BC89" i="13"/>
  <c r="BT44" i="14"/>
  <c r="CB47" i="13"/>
  <c r="CB89" i="13"/>
  <c r="BT86" i="14"/>
  <c r="CH66" i="13"/>
  <c r="BZ64" i="14"/>
  <c r="CD50" i="14"/>
  <c r="CL53" i="13"/>
  <c r="CE49" i="13"/>
  <c r="BW46" i="14"/>
  <c r="BX73" i="14"/>
  <c r="BX23" i="14"/>
  <c r="CF24" i="13"/>
  <c r="BV46" i="14"/>
  <c r="CD49" i="13"/>
  <c r="CH65" i="13"/>
  <c r="BZ63" i="14"/>
  <c r="BY23" i="14"/>
  <c r="CG24" i="13"/>
  <c r="BY65" i="14"/>
  <c r="BY73" i="14"/>
  <c r="CE50" i="14"/>
  <c r="CM53" i="13"/>
  <c r="BP33" i="14"/>
  <c r="BX37" i="13"/>
  <c r="AA73" i="13"/>
  <c r="Z73" i="13"/>
  <c r="AA33" i="14"/>
  <c r="AA37" i="13"/>
  <c r="AG74" i="13"/>
  <c r="AF74" i="13"/>
  <c r="AG72" i="13"/>
  <c r="AF72" i="13"/>
  <c r="AA71" i="13"/>
  <c r="Z71" i="13"/>
  <c r="AA72" i="13"/>
  <c r="Z72" i="13"/>
  <c r="BK33" i="14"/>
  <c r="BS37" i="13"/>
  <c r="F24" i="14"/>
  <c r="F25" i="14" s="1"/>
  <c r="F28" i="13"/>
  <c r="AY19" i="14"/>
  <c r="AW76" i="13"/>
  <c r="AV76" i="13"/>
  <c r="W74" i="13"/>
  <c r="V74" i="13"/>
  <c r="W72" i="13"/>
  <c r="V72" i="13"/>
  <c r="AC15" i="13"/>
  <c r="T15" i="13"/>
  <c r="AY77" i="13"/>
  <c r="AX77" i="13"/>
  <c r="K74" i="13"/>
  <c r="J74" i="13"/>
  <c r="AG33" i="14"/>
  <c r="AG37" i="13"/>
  <c r="AC19" i="14"/>
  <c r="T19" i="14"/>
  <c r="AS73" i="13"/>
  <c r="AR73" i="13"/>
  <c r="AS71" i="13"/>
  <c r="AR71" i="13"/>
  <c r="BO19" i="14"/>
  <c r="AU71" i="13"/>
  <c r="AT71" i="13"/>
  <c r="BR29" i="14"/>
  <c r="BZ33" i="13"/>
  <c r="F19" i="13"/>
  <c r="F17" i="13"/>
  <c r="U69" i="14"/>
  <c r="T69" i="14"/>
  <c r="U70" i="14"/>
  <c r="T70" i="14"/>
  <c r="AA74" i="13"/>
  <c r="Z74" i="13"/>
  <c r="AA76" i="13"/>
  <c r="Z76" i="13"/>
  <c r="BT29" i="14"/>
  <c r="CB33" i="13"/>
  <c r="U33" i="14"/>
  <c r="U37" i="13"/>
  <c r="K20" i="13"/>
  <c r="J20" i="13"/>
  <c r="AI77" i="13"/>
  <c r="AH77" i="13"/>
  <c r="O20" i="13"/>
  <c r="N20" i="13"/>
  <c r="AW74" i="13"/>
  <c r="AV74" i="13"/>
  <c r="AW71" i="13"/>
  <c r="AV71" i="13"/>
  <c r="W71" i="13"/>
  <c r="V71" i="13"/>
  <c r="W76" i="13"/>
  <c r="V76" i="13"/>
  <c r="AY74" i="13"/>
  <c r="AX74" i="13"/>
  <c r="AY71" i="13"/>
  <c r="AX71" i="13"/>
  <c r="K71" i="13"/>
  <c r="J71" i="13"/>
  <c r="AS20" i="13"/>
  <c r="AR20" i="13"/>
  <c r="AS77" i="13"/>
  <c r="AR77" i="13"/>
  <c r="AU77" i="13"/>
  <c r="AT77" i="13"/>
  <c r="AO77" i="13"/>
  <c r="AN77" i="13"/>
  <c r="O72" i="13"/>
  <c r="N72" i="13"/>
  <c r="U74" i="14"/>
  <c r="T74" i="14"/>
  <c r="H78" i="13"/>
  <c r="H75" i="13"/>
  <c r="AI33" i="14"/>
  <c r="AI37" i="13"/>
  <c r="BM33" i="14"/>
  <c r="BU37" i="13"/>
  <c r="AW73" i="13"/>
  <c r="AV73" i="13"/>
  <c r="AW77" i="13"/>
  <c r="AV77" i="13"/>
  <c r="AY72" i="13"/>
  <c r="AX72" i="13"/>
  <c r="K72" i="13"/>
  <c r="J72" i="13"/>
  <c r="S77" i="13"/>
  <c r="R77" i="13"/>
  <c r="AS74" i="13"/>
  <c r="AR74" i="13"/>
  <c r="AS76" i="13"/>
  <c r="AR76" i="13"/>
  <c r="AY33" i="14"/>
  <c r="AY37" i="13"/>
  <c r="O73" i="13"/>
  <c r="N73" i="13"/>
  <c r="Y33" i="14"/>
  <c r="Y37" i="13"/>
  <c r="AZ20" i="13"/>
  <c r="AU74" i="13"/>
  <c r="AT74" i="13"/>
  <c r="AU76" i="13"/>
  <c r="AT76" i="13"/>
  <c r="O77" i="13"/>
  <c r="N77" i="13"/>
  <c r="O71" i="13"/>
  <c r="N71" i="13"/>
  <c r="BQ33" i="14"/>
  <c r="BY37" i="13"/>
  <c r="U75" i="14"/>
  <c r="T75" i="14"/>
  <c r="AO33" i="14"/>
  <c r="AO37" i="13"/>
  <c r="B19" i="13"/>
  <c r="B17" i="13"/>
  <c r="AX20" i="13"/>
  <c r="B24" i="14"/>
  <c r="B25" i="14" s="1"/>
  <c r="B28" i="13"/>
  <c r="AE20" i="13"/>
  <c r="AD20" i="13"/>
  <c r="D42" i="14"/>
  <c r="D44" i="13"/>
  <c r="H42" i="14"/>
  <c r="H44" i="13"/>
  <c r="AW72" i="13"/>
  <c r="AV72" i="13"/>
  <c r="AW20" i="13"/>
  <c r="AV20" i="13"/>
  <c r="W77" i="13"/>
  <c r="V77" i="13"/>
  <c r="W73" i="13"/>
  <c r="V73" i="13"/>
  <c r="AY73" i="13"/>
  <c r="AX73" i="13"/>
  <c r="AY76" i="13"/>
  <c r="AX76" i="13"/>
  <c r="K76" i="13"/>
  <c r="J76" i="13"/>
  <c r="AK20" i="13"/>
  <c r="AJ20" i="13"/>
  <c r="AS72" i="13"/>
  <c r="AR72" i="13"/>
  <c r="AU73" i="13"/>
  <c r="AT73" i="13"/>
  <c r="AU72" i="13"/>
  <c r="AT72" i="13"/>
  <c r="S73" i="13"/>
  <c r="R73" i="13"/>
  <c r="O74" i="13"/>
  <c r="N74" i="13"/>
  <c r="O76" i="13"/>
  <c r="N76" i="13"/>
  <c r="AQ33" i="14"/>
  <c r="AQ37" i="13"/>
  <c r="U71" i="14"/>
  <c r="T71" i="14"/>
  <c r="U72" i="14"/>
  <c r="T72" i="14"/>
  <c r="AM73" i="13"/>
  <c r="AL73" i="13"/>
  <c r="AM72" i="13"/>
  <c r="AL72" i="13"/>
  <c r="AC33" i="14"/>
  <c r="AC37" i="13"/>
  <c r="AG77" i="13"/>
  <c r="AF77" i="13"/>
  <c r="AF21" i="14"/>
  <c r="BC74" i="13"/>
  <c r="BB74" i="13"/>
  <c r="BC71" i="13"/>
  <c r="BB71" i="13"/>
  <c r="CM37" i="13"/>
  <c r="CE33" i="14"/>
  <c r="BC72" i="13"/>
  <c r="BB72" i="13"/>
  <c r="BB20" i="13"/>
  <c r="BC76" i="13"/>
  <c r="BB76" i="13"/>
  <c r="BC73" i="13"/>
  <c r="BB73" i="13"/>
  <c r="BC77" i="13"/>
  <c r="BB77" i="13"/>
  <c r="BT33" i="14"/>
  <c r="CB37" i="13"/>
  <c r="BS21" i="14"/>
  <c r="BE20" i="13"/>
  <c r="BD20" i="13"/>
  <c r="BT12" i="13"/>
  <c r="BS15" i="13"/>
  <c r="AG71" i="13"/>
  <c r="AD76" i="14"/>
  <c r="BL16" i="14"/>
  <c r="BK20" i="14"/>
  <c r="BK74" i="14"/>
  <c r="BK69" i="14"/>
  <c r="BK72" i="14"/>
  <c r="BK75" i="14"/>
  <c r="BK70" i="14"/>
  <c r="BK68" i="14"/>
  <c r="AP76" i="14"/>
  <c r="S18" i="13"/>
  <c r="R17" i="13"/>
  <c r="AF76" i="14"/>
  <c r="AW70" i="13"/>
  <c r="AV75" i="13"/>
  <c r="AW18" i="13"/>
  <c r="AI74" i="13"/>
  <c r="V75" i="13"/>
  <c r="W70" i="13"/>
  <c r="BX12" i="13"/>
  <c r="BW15" i="13"/>
  <c r="AG20" i="14"/>
  <c r="AV76" i="14"/>
  <c r="AU20" i="13"/>
  <c r="BV12" i="13"/>
  <c r="BU15" i="13"/>
  <c r="CA18" i="13"/>
  <c r="CA20" i="13"/>
  <c r="AS70" i="13"/>
  <c r="AR75" i="13"/>
  <c r="BR12" i="13"/>
  <c r="BQ15" i="13"/>
  <c r="BE72" i="13"/>
  <c r="AN17" i="13"/>
  <c r="V76" i="14"/>
  <c r="AT75" i="13"/>
  <c r="AU70" i="13"/>
  <c r="AP75" i="13"/>
  <c r="AQ70" i="13"/>
  <c r="AQ76" i="13"/>
  <c r="R75" i="13"/>
  <c r="S70" i="13"/>
  <c r="S72" i="13"/>
  <c r="AK70" i="13"/>
  <c r="AJ75" i="13"/>
  <c r="AK73" i="13"/>
  <c r="BA70" i="13"/>
  <c r="AZ75" i="13"/>
  <c r="BA77" i="13"/>
  <c r="AO74" i="13"/>
  <c r="AO73" i="13"/>
  <c r="M20" i="13"/>
  <c r="AE73" i="13"/>
  <c r="AE76" i="13"/>
  <c r="U20" i="14"/>
  <c r="AM77" i="13"/>
  <c r="B45" i="13"/>
  <c r="B21" i="13"/>
  <c r="Q16" i="14"/>
  <c r="P20" i="14"/>
  <c r="P19" i="14"/>
  <c r="P74" i="14"/>
  <c r="P70" i="14"/>
  <c r="P72" i="14"/>
  <c r="P69" i="14"/>
  <c r="P68" i="14"/>
  <c r="P75" i="14"/>
  <c r="Y16" i="14"/>
  <c r="P71" i="14"/>
  <c r="AG70" i="13"/>
  <c r="AF75" i="13"/>
  <c r="Z76" i="14"/>
  <c r="AP18" i="13"/>
  <c r="AQ19" i="14"/>
  <c r="AJ76" i="14"/>
  <c r="AD17" i="13"/>
  <c r="AE18" i="13"/>
  <c r="S20" i="13"/>
  <c r="Z18" i="13"/>
  <c r="AA19" i="14"/>
  <c r="AH75" i="13"/>
  <c r="AI70" i="13"/>
  <c r="AI72" i="13"/>
  <c r="AX75" i="13"/>
  <c r="AY70" i="13"/>
  <c r="J75" i="13"/>
  <c r="K70" i="13"/>
  <c r="BM19" i="14"/>
  <c r="BN18" i="14"/>
  <c r="AM20" i="13"/>
  <c r="BM20" i="14"/>
  <c r="BN16" i="14"/>
  <c r="BM68" i="14"/>
  <c r="W20" i="13"/>
  <c r="AB76" i="14"/>
  <c r="AB75" i="13"/>
  <c r="BE74" i="13"/>
  <c r="BE76" i="13"/>
  <c r="AI19" i="14"/>
  <c r="BL18" i="14"/>
  <c r="BK19" i="14"/>
  <c r="CM13" i="13"/>
  <c r="CL13" i="13"/>
  <c r="AZ76" i="14"/>
  <c r="BR18" i="14"/>
  <c r="AQ77" i="13"/>
  <c r="AQ71" i="13"/>
  <c r="S71" i="13"/>
  <c r="S76" i="13"/>
  <c r="AK71" i="13"/>
  <c r="AK76" i="13"/>
  <c r="BA74" i="13"/>
  <c r="BA71" i="13"/>
  <c r="BP16" i="14"/>
  <c r="BO20" i="14"/>
  <c r="BO68" i="14"/>
  <c r="AO70" i="13"/>
  <c r="AN75" i="13"/>
  <c r="AO72" i="13"/>
  <c r="AD75" i="13"/>
  <c r="AE70" i="13"/>
  <c r="AM74" i="13"/>
  <c r="AM71" i="13"/>
  <c r="Q12" i="13"/>
  <c r="P15" i="13"/>
  <c r="Y12" i="13"/>
  <c r="AY18" i="13"/>
  <c r="AI73" i="13"/>
  <c r="AI76" i="13"/>
  <c r="AS18" i="13"/>
  <c r="AR17" i="13"/>
  <c r="AT17" i="13"/>
  <c r="AU18" i="13"/>
  <c r="BB75" i="13"/>
  <c r="BC70" i="13"/>
  <c r="V17" i="13"/>
  <c r="W18" i="13"/>
  <c r="BB76" i="14"/>
  <c r="AK18" i="13"/>
  <c r="AJ17" i="13"/>
  <c r="BE70" i="13"/>
  <c r="BD75" i="13"/>
  <c r="BE77" i="13"/>
  <c r="AI18" i="13"/>
  <c r="AH17" i="13"/>
  <c r="BC20" i="13"/>
  <c r="BC18" i="13"/>
  <c r="BP18" i="14"/>
  <c r="BA20" i="13"/>
  <c r="BA18" i="13"/>
  <c r="X76" i="14"/>
  <c r="BI20" i="14"/>
  <c r="BJ16" i="14"/>
  <c r="BI19" i="14"/>
  <c r="BI74" i="14"/>
  <c r="BI70" i="14"/>
  <c r="BI72" i="14"/>
  <c r="BI69" i="14"/>
  <c r="BI68" i="14"/>
  <c r="BI75" i="14"/>
  <c r="F45" i="13"/>
  <c r="F21" i="13"/>
  <c r="AQ73" i="13"/>
  <c r="S74" i="13"/>
  <c r="AK74" i="13"/>
  <c r="AK72" i="13"/>
  <c r="BA76" i="13"/>
  <c r="AO71" i="13"/>
  <c r="AO76" i="13"/>
  <c r="M18" i="13"/>
  <c r="L17" i="13"/>
  <c r="N75" i="13"/>
  <c r="O70" i="13"/>
  <c r="AE77" i="13"/>
  <c r="AE71" i="13"/>
  <c r="Z75" i="13"/>
  <c r="AA70" i="13"/>
  <c r="CA15" i="13"/>
  <c r="CB12" i="13"/>
  <c r="X18" i="13"/>
  <c r="Y19" i="14"/>
  <c r="X20" i="13"/>
  <c r="AG73" i="13"/>
  <c r="AG76" i="13"/>
  <c r="K18" i="13"/>
  <c r="J17" i="13"/>
  <c r="X75" i="13"/>
  <c r="BE18" i="13"/>
  <c r="BD17" i="13"/>
  <c r="BQ20" i="14"/>
  <c r="BR16" i="14"/>
  <c r="BT74" i="14"/>
  <c r="BQ68" i="14"/>
  <c r="N17" i="13"/>
  <c r="O18" i="13"/>
  <c r="BH16" i="14"/>
  <c r="BG20" i="14"/>
  <c r="BG19" i="14"/>
  <c r="BG68" i="14"/>
  <c r="AI71" i="13"/>
  <c r="U15" i="13"/>
  <c r="T71" i="13"/>
  <c r="T77" i="13"/>
  <c r="T73" i="13"/>
  <c r="AA77" i="13"/>
  <c r="BP12" i="13"/>
  <c r="BO15" i="13"/>
  <c r="AL17" i="13"/>
  <c r="AM18" i="13"/>
  <c r="BZ12" i="13"/>
  <c r="BY15" i="13"/>
  <c r="AC71" i="13"/>
  <c r="U19" i="14"/>
  <c r="T18" i="13"/>
  <c r="BE73" i="13"/>
  <c r="BE71" i="13"/>
  <c r="BT16" i="14"/>
  <c r="AB17" i="13"/>
  <c r="L19" i="13"/>
  <c r="M15" i="13"/>
  <c r="L70" i="13"/>
  <c r="AQ74" i="13"/>
  <c r="AQ72" i="13"/>
  <c r="AK77" i="13"/>
  <c r="BA73" i="13"/>
  <c r="BA72" i="13"/>
  <c r="AF18" i="13"/>
  <c r="AG19" i="14"/>
  <c r="AE74" i="13"/>
  <c r="AE72" i="13"/>
  <c r="U68" i="14"/>
  <c r="AL75" i="13"/>
  <c r="AM70" i="13"/>
  <c r="AM76" i="13"/>
  <c r="AX469" i="1" l="1"/>
  <c r="AY469" i="1" s="1"/>
  <c r="AX452" i="1"/>
  <c r="AY448" i="1"/>
  <c r="AO118" i="1"/>
  <c r="AN122" i="1"/>
  <c r="AW118" i="1"/>
  <c r="AN127" i="1"/>
  <c r="AN128" i="1"/>
  <c r="AN129" i="1"/>
  <c r="AL149" i="1"/>
  <c r="AM149" i="1" s="1"/>
  <c r="AL153" i="1"/>
  <c r="AM153" i="1" s="1"/>
  <c r="AM123" i="1"/>
  <c r="AL148" i="1"/>
  <c r="AM541" i="1"/>
  <c r="AL542" i="1"/>
  <c r="AM542" i="1" s="1"/>
  <c r="AN523" i="1"/>
  <c r="AP518" i="1"/>
  <c r="AF210" i="1"/>
  <c r="AG204" i="1"/>
  <c r="AF217" i="1"/>
  <c r="AF216" i="1"/>
  <c r="AG216" i="1" s="1"/>
  <c r="AF215" i="1"/>
  <c r="AG215" i="1" s="1"/>
  <c r="AV456" i="1"/>
  <c r="AW456" i="1" s="1"/>
  <c r="AF45" i="1"/>
  <c r="AG45" i="1" s="1"/>
  <c r="AF44" i="1"/>
  <c r="AG44" i="1" s="1"/>
  <c r="AF43" i="1"/>
  <c r="AG43" i="1" s="1"/>
  <c r="AF35" i="1"/>
  <c r="AF46" i="1"/>
  <c r="AG28" i="1"/>
  <c r="AB227" i="1"/>
  <c r="AC225" i="1"/>
  <c r="AB262" i="1"/>
  <c r="AC262" i="1" s="1"/>
  <c r="AL561" i="1"/>
  <c r="AM561" i="1" s="1"/>
  <c r="AL557" i="1"/>
  <c r="AM557" i="1" s="1"/>
  <c r="AM531" i="1"/>
  <c r="AL556" i="1"/>
  <c r="AP515" i="1"/>
  <c r="AR510" i="1"/>
  <c r="AI200" i="1"/>
  <c r="AH201" i="1"/>
  <c r="AI201" i="1" s="1"/>
  <c r="AD259" i="1"/>
  <c r="AE259" i="1" s="1"/>
  <c r="AE222" i="1"/>
  <c r="AD223" i="1"/>
  <c r="AM133" i="1"/>
  <c r="AL134" i="1"/>
  <c r="AM134" i="1" s="1"/>
  <c r="AD64" i="1"/>
  <c r="AE64" i="1" s="1"/>
  <c r="AD69" i="1"/>
  <c r="AE69" i="1" s="1"/>
  <c r="AE36" i="1"/>
  <c r="AD68" i="1"/>
  <c r="AE68" i="1" s="1"/>
  <c r="AD63" i="1"/>
  <c r="AD92" i="1"/>
  <c r="AO526" i="1"/>
  <c r="AN530" i="1"/>
  <c r="AN536" i="1"/>
  <c r="AO536" i="1" s="1"/>
  <c r="AN537" i="1"/>
  <c r="AN535" i="1"/>
  <c r="AO535" i="1" s="1"/>
  <c r="AH221" i="1"/>
  <c r="AI193" i="1"/>
  <c r="AH194" i="1"/>
  <c r="AI194" i="1" s="1"/>
  <c r="AJ187" i="1"/>
  <c r="CI65" i="13"/>
  <c r="CB63" i="14"/>
  <c r="CA73" i="14"/>
  <c r="CA64" i="14"/>
  <c r="CB64" i="14"/>
  <c r="CE65" i="14"/>
  <c r="CM67" i="13"/>
  <c r="CD65" i="14"/>
  <c r="CL67" i="13"/>
  <c r="BW20" i="13"/>
  <c r="BW18" i="13"/>
  <c r="BP19" i="14"/>
  <c r="BQ73" i="13"/>
  <c r="CI24" i="13"/>
  <c r="BZ23" i="14"/>
  <c r="CH24" i="13"/>
  <c r="BZ73" i="14"/>
  <c r="BY46" i="14"/>
  <c r="CG49" i="13"/>
  <c r="BX46" i="14"/>
  <c r="CF49" i="13"/>
  <c r="M76" i="13"/>
  <c r="L76" i="13"/>
  <c r="M71" i="13"/>
  <c r="L71" i="13"/>
  <c r="AG20" i="13"/>
  <c r="AF20" i="13"/>
  <c r="AI76" i="14"/>
  <c r="AH76" i="14"/>
  <c r="AJ42" i="14"/>
  <c r="AJ44" i="13"/>
  <c r="M73" i="13"/>
  <c r="L73" i="13"/>
  <c r="M77" i="13"/>
  <c r="L77" i="13"/>
  <c r="AU76" i="14"/>
  <c r="AT76" i="14"/>
  <c r="U20" i="13"/>
  <c r="T20" i="13"/>
  <c r="V42" i="14"/>
  <c r="V44" i="13"/>
  <c r="U76" i="13"/>
  <c r="T76" i="13"/>
  <c r="BH69" i="14"/>
  <c r="BG69" i="14"/>
  <c r="BR70" i="14"/>
  <c r="BQ70" i="14"/>
  <c r="BR71" i="14"/>
  <c r="BQ71" i="14"/>
  <c r="AD42" i="14"/>
  <c r="AD44" i="13"/>
  <c r="K76" i="14"/>
  <c r="J76" i="14"/>
  <c r="V24" i="14"/>
  <c r="V25" i="14" s="1"/>
  <c r="V28" i="13"/>
  <c r="L24" i="14"/>
  <c r="L25" i="14" s="1"/>
  <c r="L28" i="13"/>
  <c r="BP75" i="14"/>
  <c r="BO75" i="14"/>
  <c r="BP72" i="14"/>
  <c r="BO72" i="14"/>
  <c r="AZ42" i="14"/>
  <c r="AZ44" i="13"/>
  <c r="BN70" i="14"/>
  <c r="BM70" i="14"/>
  <c r="BN72" i="14"/>
  <c r="BM72" i="14"/>
  <c r="AA20" i="13"/>
  <c r="Z20" i="13"/>
  <c r="B51" i="14"/>
  <c r="B54" i="13"/>
  <c r="AR24" i="14"/>
  <c r="AR25" i="14" s="1"/>
  <c r="AR28" i="13"/>
  <c r="AL24" i="14"/>
  <c r="AL25" i="14" s="1"/>
  <c r="AL28" i="13"/>
  <c r="BM21" i="14"/>
  <c r="F22" i="13"/>
  <c r="M72" i="13"/>
  <c r="L72" i="13"/>
  <c r="J24" i="14"/>
  <c r="J25" i="14" s="1"/>
  <c r="J28" i="13"/>
  <c r="AV42" i="14"/>
  <c r="AV44" i="13"/>
  <c r="AB42" i="14"/>
  <c r="AB44" i="13"/>
  <c r="BH74" i="14"/>
  <c r="BG74" i="14"/>
  <c r="BR74" i="14"/>
  <c r="BQ74" i="14"/>
  <c r="AP42" i="14"/>
  <c r="AP44" i="13"/>
  <c r="AN42" i="14"/>
  <c r="AN44" i="13"/>
  <c r="BI21" i="14"/>
  <c r="AZ17" i="13"/>
  <c r="AH24" i="14"/>
  <c r="AH25" i="14" s="1"/>
  <c r="AH28" i="13"/>
  <c r="AT42" i="14"/>
  <c r="AT44" i="13"/>
  <c r="D24" i="14"/>
  <c r="D25" i="14" s="1"/>
  <c r="D28" i="13"/>
  <c r="F51" i="14"/>
  <c r="F54" i="13"/>
  <c r="BP74" i="14"/>
  <c r="BO74" i="14"/>
  <c r="BT19" i="14"/>
  <c r="BQ19" i="14"/>
  <c r="BN75" i="14"/>
  <c r="BM75" i="14"/>
  <c r="BN69" i="14"/>
  <c r="BM69" i="14"/>
  <c r="AP24" i="14"/>
  <c r="AP25" i="14" s="1"/>
  <c r="AP28" i="13"/>
  <c r="B29" i="13"/>
  <c r="BL33" i="14"/>
  <c r="BT37" i="13"/>
  <c r="BL71" i="14"/>
  <c r="BK71" i="14"/>
  <c r="BR33" i="14"/>
  <c r="BZ37" i="13"/>
  <c r="M74" i="13"/>
  <c r="L74" i="13"/>
  <c r="X24" i="14"/>
  <c r="X25" i="14" s="1"/>
  <c r="X28" i="13"/>
  <c r="AC70" i="13"/>
  <c r="T70" i="13"/>
  <c r="BH71" i="14"/>
  <c r="BG71" i="14"/>
  <c r="BH75" i="14"/>
  <c r="BG75" i="14"/>
  <c r="BG21" i="14"/>
  <c r="BR72" i="14"/>
  <c r="BQ72" i="14"/>
  <c r="BR75" i="14"/>
  <c r="BQ75" i="14"/>
  <c r="AN24" i="14"/>
  <c r="AN25" i="14" s="1"/>
  <c r="AN28" i="13"/>
  <c r="Z42" i="14"/>
  <c r="Z44" i="13"/>
  <c r="F29" i="13"/>
  <c r="M76" i="14"/>
  <c r="L76" i="14"/>
  <c r="AS76" i="14"/>
  <c r="AR76" i="14"/>
  <c r="AX24" i="14"/>
  <c r="AX25" i="14" s="1"/>
  <c r="AX28" i="13"/>
  <c r="F27" i="14"/>
  <c r="F31" i="13"/>
  <c r="BP69" i="14"/>
  <c r="BO69" i="14"/>
  <c r="BO21" i="14"/>
  <c r="BN74" i="14"/>
  <c r="BM74" i="14"/>
  <c r="AT24" i="14"/>
  <c r="AT25" i="14" s="1"/>
  <c r="AT28" i="13"/>
  <c r="H24" i="14"/>
  <c r="H25" i="14" s="1"/>
  <c r="H28" i="13"/>
  <c r="AL42" i="14"/>
  <c r="AL44" i="13"/>
  <c r="P21" i="14"/>
  <c r="B25" i="13"/>
  <c r="B26" i="13" s="1"/>
  <c r="X42" i="14"/>
  <c r="X44" i="13"/>
  <c r="L42" i="14"/>
  <c r="L44" i="13"/>
  <c r="AX42" i="14"/>
  <c r="AX44" i="13"/>
  <c r="H19" i="13"/>
  <c r="H17" i="13"/>
  <c r="BN33" i="14"/>
  <c r="BV37" i="13"/>
  <c r="S76" i="14"/>
  <c r="R76" i="14"/>
  <c r="D19" i="13"/>
  <c r="D17" i="13"/>
  <c r="AZ24" i="14"/>
  <c r="AZ25" i="14" s="1"/>
  <c r="AZ28" i="13"/>
  <c r="N42" i="14"/>
  <c r="N44" i="13"/>
  <c r="AC74" i="13"/>
  <c r="T74" i="13"/>
  <c r="AC72" i="13"/>
  <c r="T72" i="13"/>
  <c r="BH72" i="14"/>
  <c r="BG72" i="14"/>
  <c r="BH70" i="14"/>
  <c r="BG70" i="14"/>
  <c r="BR69" i="14"/>
  <c r="BQ69" i="14"/>
  <c r="R42" i="14"/>
  <c r="R44" i="13"/>
  <c r="AM76" i="14"/>
  <c r="AL76" i="14"/>
  <c r="F25" i="13"/>
  <c r="F26" i="13" s="1"/>
  <c r="AY76" i="14"/>
  <c r="AX76" i="14"/>
  <c r="AV24" i="14"/>
  <c r="AV25" i="14" s="1"/>
  <c r="AV28" i="13"/>
  <c r="AR42" i="14"/>
  <c r="AR44" i="13"/>
  <c r="N24" i="14"/>
  <c r="N25" i="14" s="1"/>
  <c r="N28" i="13"/>
  <c r="AX17" i="13"/>
  <c r="AD24" i="14"/>
  <c r="AD25" i="14" s="1"/>
  <c r="AD28" i="13"/>
  <c r="BP70" i="14"/>
  <c r="BO70" i="14"/>
  <c r="BP71" i="14"/>
  <c r="BO71" i="14"/>
  <c r="AJ24" i="14"/>
  <c r="AJ25" i="14" s="1"/>
  <c r="AJ28" i="13"/>
  <c r="J42" i="14"/>
  <c r="J44" i="13"/>
  <c r="AB24" i="14"/>
  <c r="AB25" i="14" s="1"/>
  <c r="AB28" i="13"/>
  <c r="BN71" i="14"/>
  <c r="BM71" i="14"/>
  <c r="R24" i="14"/>
  <c r="R25" i="14" s="1"/>
  <c r="R28" i="13"/>
  <c r="AQ20" i="13"/>
  <c r="AP20" i="13"/>
  <c r="B27" i="14"/>
  <c r="B31" i="13"/>
  <c r="AO76" i="14"/>
  <c r="AN76" i="14"/>
  <c r="Z24" i="14"/>
  <c r="Z25" i="14" s="1"/>
  <c r="Z28" i="13"/>
  <c r="O76" i="14"/>
  <c r="N76" i="14"/>
  <c r="AH42" i="14"/>
  <c r="AH44" i="13"/>
  <c r="AV17" i="13"/>
  <c r="BQ21" i="14"/>
  <c r="B22" i="13"/>
  <c r="BK21" i="14"/>
  <c r="BB28" i="13"/>
  <c r="BB24" i="14"/>
  <c r="BB25" i="14" s="1"/>
  <c r="BB17" i="13"/>
  <c r="BB44" i="13"/>
  <c r="BB42" i="14"/>
  <c r="BD42" i="14"/>
  <c r="BD44" i="13"/>
  <c r="BE76" i="14"/>
  <c r="BD76" i="14"/>
  <c r="BD24" i="14"/>
  <c r="BD25" i="14" s="1"/>
  <c r="BD28" i="13"/>
  <c r="AL78" i="13"/>
  <c r="AM75" i="13"/>
  <c r="L45" i="13"/>
  <c r="L25" i="13"/>
  <c r="L26" i="13" s="1"/>
  <c r="L21" i="13"/>
  <c r="AB19" i="13"/>
  <c r="U18" i="13"/>
  <c r="U77" i="13"/>
  <c r="M17" i="13"/>
  <c r="BJ68" i="14"/>
  <c r="BJ74" i="14"/>
  <c r="BA17" i="13"/>
  <c r="AZ19" i="13"/>
  <c r="AH19" i="13"/>
  <c r="BT72" i="14"/>
  <c r="W17" i="13"/>
  <c r="V19" i="13"/>
  <c r="AC20" i="13"/>
  <c r="AB78" i="13"/>
  <c r="BT70" i="14"/>
  <c r="BU18" i="13"/>
  <c r="BN19" i="14"/>
  <c r="BU20" i="13"/>
  <c r="AX78" i="13"/>
  <c r="AY75" i="13"/>
  <c r="Q72" i="14"/>
  <c r="Y72" i="14"/>
  <c r="Q20" i="14"/>
  <c r="Y20" i="14"/>
  <c r="BA75" i="13"/>
  <c r="AZ78" i="13"/>
  <c r="W76" i="14"/>
  <c r="AQ76" i="14"/>
  <c r="BL20" i="14"/>
  <c r="M70" i="13"/>
  <c r="L75" i="13"/>
  <c r="AC18" i="13"/>
  <c r="AC77" i="13"/>
  <c r="U71" i="13"/>
  <c r="BO18" i="13"/>
  <c r="BH19" i="14"/>
  <c r="O17" i="13"/>
  <c r="N19" i="13"/>
  <c r="BR20" i="14"/>
  <c r="BJ69" i="14"/>
  <c r="BQ18" i="13"/>
  <c r="BJ19" i="14"/>
  <c r="BC17" i="13"/>
  <c r="BB19" i="13"/>
  <c r="BT20" i="14"/>
  <c r="BE75" i="13"/>
  <c r="BD78" i="13"/>
  <c r="BB78" i="13"/>
  <c r="BC75" i="13"/>
  <c r="AX19" i="13"/>
  <c r="BP68" i="14"/>
  <c r="BX20" i="13"/>
  <c r="BT75" i="14"/>
  <c r="AC76" i="14"/>
  <c r="BN20" i="14"/>
  <c r="AH78" i="13"/>
  <c r="AI75" i="13"/>
  <c r="AK76" i="14"/>
  <c r="AG75" i="13"/>
  <c r="AF78" i="13"/>
  <c r="Q75" i="14"/>
  <c r="Y75" i="14"/>
  <c r="Q70" i="14"/>
  <c r="Y70" i="14"/>
  <c r="BT69" i="14"/>
  <c r="CA17" i="13"/>
  <c r="BV15" i="13"/>
  <c r="BU76" i="13"/>
  <c r="BU70" i="13"/>
  <c r="BU71" i="13"/>
  <c r="BU74" i="13"/>
  <c r="BU73" i="13"/>
  <c r="BU72" i="13"/>
  <c r="BU77" i="13"/>
  <c r="BX15" i="13"/>
  <c r="BW70" i="13"/>
  <c r="V78" i="13"/>
  <c r="W75" i="13"/>
  <c r="AW75" i="13"/>
  <c r="AV78" i="13"/>
  <c r="AG76" i="14"/>
  <c r="S17" i="13"/>
  <c r="R19" i="13"/>
  <c r="BL68" i="14"/>
  <c r="BL72" i="14"/>
  <c r="AE76" i="14"/>
  <c r="AG18" i="13"/>
  <c r="AF17" i="13"/>
  <c r="U73" i="13"/>
  <c r="U70" i="13"/>
  <c r="T75" i="13"/>
  <c r="BH68" i="14"/>
  <c r="BR68" i="14"/>
  <c r="BE17" i="13"/>
  <c r="BD19" i="13"/>
  <c r="X78" i="13"/>
  <c r="X17" i="13"/>
  <c r="O75" i="13"/>
  <c r="BJ72" i="14"/>
  <c r="AO20" i="13"/>
  <c r="BC76" i="14"/>
  <c r="AS17" i="13"/>
  <c r="AR19" i="13"/>
  <c r="AE75" i="13"/>
  <c r="AO75" i="13"/>
  <c r="BP20" i="14"/>
  <c r="BR19" i="14"/>
  <c r="BA76" i="14"/>
  <c r="BX18" i="13"/>
  <c r="BL19" i="14"/>
  <c r="BS18" i="13"/>
  <c r="BT71" i="14"/>
  <c r="K75" i="13"/>
  <c r="AA18" i="13"/>
  <c r="AA76" i="14"/>
  <c r="Q68" i="14"/>
  <c r="Y68" i="14"/>
  <c r="Q74" i="14"/>
  <c r="Y74" i="14"/>
  <c r="AQ75" i="13"/>
  <c r="AN19" i="13"/>
  <c r="BT68" i="14"/>
  <c r="BR15" i="13"/>
  <c r="BQ76" i="13"/>
  <c r="BQ72" i="13"/>
  <c r="BQ71" i="13"/>
  <c r="BQ77" i="13"/>
  <c r="BQ74" i="13"/>
  <c r="BQ70" i="13"/>
  <c r="AS75" i="13"/>
  <c r="AR78" i="13"/>
  <c r="AW17" i="13"/>
  <c r="AV19" i="13"/>
  <c r="BL70" i="14"/>
  <c r="BL69" i="14"/>
  <c r="H45" i="13"/>
  <c r="H21" i="13"/>
  <c r="D45" i="13"/>
  <c r="D21" i="13"/>
  <c r="BZ15" i="13"/>
  <c r="BY70" i="13"/>
  <c r="AM17" i="13"/>
  <c r="AL19" i="13"/>
  <c r="BP15" i="13"/>
  <c r="BO70" i="13"/>
  <c r="U74" i="13"/>
  <c r="U72" i="13"/>
  <c r="BH20" i="14"/>
  <c r="K17" i="13"/>
  <c r="J19" i="13"/>
  <c r="CB15" i="13"/>
  <c r="CA71" i="13"/>
  <c r="CA70" i="13"/>
  <c r="Z78" i="13"/>
  <c r="AA75" i="13"/>
  <c r="BJ75" i="14"/>
  <c r="BJ70" i="14"/>
  <c r="BJ20" i="14"/>
  <c r="AC73" i="13"/>
  <c r="AK17" i="13"/>
  <c r="AJ19" i="13"/>
  <c r="AU17" i="13"/>
  <c r="AT19" i="13"/>
  <c r="Q15" i="13"/>
  <c r="P76" i="13"/>
  <c r="P72" i="13"/>
  <c r="P74" i="13"/>
  <c r="P71" i="13"/>
  <c r="P70" i="13"/>
  <c r="P77" i="13"/>
  <c r="P73" i="13"/>
  <c r="Y15" i="13"/>
  <c r="AC76" i="13"/>
  <c r="BN68" i="14"/>
  <c r="BJ71" i="14"/>
  <c r="AE17" i="13"/>
  <c r="AD19" i="13"/>
  <c r="AQ18" i="13"/>
  <c r="AP17" i="13"/>
  <c r="Q71" i="14"/>
  <c r="Y71" i="14"/>
  <c r="Q69" i="14"/>
  <c r="Y69" i="14"/>
  <c r="P18" i="13"/>
  <c r="Q19" i="14"/>
  <c r="AK75" i="13"/>
  <c r="S75" i="13"/>
  <c r="AU75" i="13"/>
  <c r="AO18" i="13"/>
  <c r="AI20" i="13"/>
  <c r="BS76" i="14"/>
  <c r="CB20" i="13"/>
  <c r="AW76" i="14"/>
  <c r="AY20" i="13"/>
  <c r="BL75" i="14"/>
  <c r="BL74" i="14"/>
  <c r="BT15" i="13"/>
  <c r="BS70" i="13"/>
  <c r="AH258" i="1" l="1"/>
  <c r="AI258" i="1" s="1"/>
  <c r="AI221" i="1"/>
  <c r="AN531" i="1"/>
  <c r="AN541" i="1"/>
  <c r="AO530" i="1"/>
  <c r="AN562" i="1"/>
  <c r="AO562" i="1" s="1"/>
  <c r="AR514" i="1"/>
  <c r="AC227" i="1"/>
  <c r="AB264" i="1"/>
  <c r="AC264" i="1" s="1"/>
  <c r="AB228" i="1"/>
  <c r="AC228" i="1" s="1"/>
  <c r="AW128" i="1"/>
  <c r="AO128" i="1"/>
  <c r="AJ193" i="1"/>
  <c r="AK187" i="1"/>
  <c r="AJ200" i="1"/>
  <c r="AJ199" i="1"/>
  <c r="AK199" i="1" s="1"/>
  <c r="AJ198" i="1"/>
  <c r="AK198" i="1" s="1"/>
  <c r="AF211" i="1"/>
  <c r="AG211" i="1" s="1"/>
  <c r="AF222" i="1"/>
  <c r="AG210" i="1"/>
  <c r="AH204" i="1"/>
  <c r="AW127" i="1"/>
  <c r="AO127" i="1"/>
  <c r="AN538" i="1"/>
  <c r="AO538" i="1" s="1"/>
  <c r="AO537" i="1"/>
  <c r="AL558" i="1"/>
  <c r="AM558" i="1" s="1"/>
  <c r="AM556" i="1"/>
  <c r="AG46" i="1"/>
  <c r="AF47" i="1"/>
  <c r="AG47" i="1" s="1"/>
  <c r="AP522" i="1"/>
  <c r="AP526" i="1"/>
  <c r="AX455" i="1"/>
  <c r="AZ448" i="1"/>
  <c r="AY452" i="1"/>
  <c r="AE63" i="1"/>
  <c r="AD65" i="1"/>
  <c r="AE65" i="1" s="1"/>
  <c r="AD225" i="1"/>
  <c r="AE223" i="1"/>
  <c r="AD260" i="1"/>
  <c r="AE260" i="1" s="1"/>
  <c r="AF41" i="1"/>
  <c r="AH28" i="1"/>
  <c r="AG35" i="1"/>
  <c r="AF36" i="1"/>
  <c r="AF218" i="1"/>
  <c r="AG218" i="1" s="1"/>
  <c r="AG217" i="1"/>
  <c r="AM148" i="1"/>
  <c r="AL150" i="1"/>
  <c r="AM150" i="1" s="1"/>
  <c r="AO129" i="1"/>
  <c r="AN130" i="1"/>
  <c r="AW129" i="1"/>
  <c r="AO122" i="1"/>
  <c r="AN123" i="1"/>
  <c r="AN133" i="1"/>
  <c r="AW122" i="1"/>
  <c r="AN154" i="1"/>
  <c r="CJ65" i="13"/>
  <c r="CA65" i="14"/>
  <c r="CA23" i="14"/>
  <c r="CJ66" i="13"/>
  <c r="R45" i="14"/>
  <c r="R48" i="13"/>
  <c r="X45" i="14"/>
  <c r="X48" i="13"/>
  <c r="CI49" i="13"/>
  <c r="CA46" i="14"/>
  <c r="CB73" i="14"/>
  <c r="CJ24" i="13"/>
  <c r="CB23" i="14"/>
  <c r="CK66" i="13"/>
  <c r="CC64" i="14"/>
  <c r="CC63" i="14"/>
  <c r="CK65" i="13"/>
  <c r="BZ46" i="14"/>
  <c r="CH49" i="13"/>
  <c r="BT71" i="13"/>
  <c r="BS71" i="13"/>
  <c r="N27" i="14"/>
  <c r="N31" i="13"/>
  <c r="BP74" i="13"/>
  <c r="BO74" i="13"/>
  <c r="BP72" i="13"/>
  <c r="BO72" i="13"/>
  <c r="BZ77" i="13"/>
  <c r="BY77" i="13"/>
  <c r="D29" i="13"/>
  <c r="H25" i="13"/>
  <c r="H26" i="13" s="1"/>
  <c r="AF42" i="14"/>
  <c r="AF44" i="13"/>
  <c r="AQ78" i="13"/>
  <c r="AP78" i="13"/>
  <c r="AP51" i="14"/>
  <c r="AP54" i="13"/>
  <c r="K78" i="13"/>
  <c r="J78" i="13"/>
  <c r="AU24" i="14"/>
  <c r="AU28" i="13"/>
  <c r="CB18" i="13"/>
  <c r="BY18" i="13"/>
  <c r="AO78" i="13"/>
  <c r="AN78" i="13"/>
  <c r="AN27" i="14"/>
  <c r="AN31" i="13"/>
  <c r="X51" i="14"/>
  <c r="X54" i="13"/>
  <c r="BX72" i="13"/>
  <c r="BW72" i="13"/>
  <c r="BX74" i="13"/>
  <c r="BW74" i="13"/>
  <c r="R51" i="14"/>
  <c r="R54" i="13"/>
  <c r="H27" i="14"/>
  <c r="H31" i="13"/>
  <c r="V51" i="14"/>
  <c r="V54" i="13"/>
  <c r="AZ27" i="14"/>
  <c r="AZ31" i="13"/>
  <c r="AL27" i="14"/>
  <c r="AL31" i="13"/>
  <c r="AM42" i="14"/>
  <c r="AM44" i="13"/>
  <c r="AB27" i="14"/>
  <c r="AB31" i="13"/>
  <c r="AJ51" i="14"/>
  <c r="AJ54" i="13"/>
  <c r="AX27" i="14"/>
  <c r="AX31" i="13"/>
  <c r="J27" i="14"/>
  <c r="J31" i="13"/>
  <c r="O42" i="14"/>
  <c r="O44" i="13"/>
  <c r="M42" i="14"/>
  <c r="M44" i="13"/>
  <c r="AW42" i="14"/>
  <c r="AW44" i="13"/>
  <c r="BT77" i="13"/>
  <c r="BS77" i="13"/>
  <c r="Z27" i="14"/>
  <c r="Z31" i="13"/>
  <c r="Z51" i="14"/>
  <c r="Z54" i="13"/>
  <c r="B94" i="14"/>
  <c r="B97" i="13"/>
  <c r="Q20" i="13"/>
  <c r="P20" i="13"/>
  <c r="N51" i="14"/>
  <c r="N54" i="13"/>
  <c r="AV51" i="14"/>
  <c r="AV54" i="13"/>
  <c r="AA42" i="14"/>
  <c r="AA44" i="13"/>
  <c r="BP73" i="13"/>
  <c r="BO73" i="13"/>
  <c r="BP77" i="13"/>
  <c r="BO77" i="13"/>
  <c r="BZ73" i="13"/>
  <c r="BY73" i="13"/>
  <c r="D25" i="13"/>
  <c r="D26" i="13" s="1"/>
  <c r="AR51" i="14"/>
  <c r="AR54" i="13"/>
  <c r="AQ24" i="14"/>
  <c r="AQ28" i="13"/>
  <c r="AD27" i="14"/>
  <c r="AD31" i="13"/>
  <c r="L51" i="14"/>
  <c r="L54" i="13"/>
  <c r="X27" i="14"/>
  <c r="X31" i="13"/>
  <c r="BX77" i="13"/>
  <c r="BW77" i="13"/>
  <c r="BX71" i="13"/>
  <c r="BW71" i="13"/>
  <c r="AF24" i="14"/>
  <c r="AF25" i="14" s="1"/>
  <c r="AF28" i="13"/>
  <c r="S24" i="14"/>
  <c r="S28" i="13"/>
  <c r="W24" i="14"/>
  <c r="W28" i="13"/>
  <c r="AH27" i="14"/>
  <c r="AH31" i="13"/>
  <c r="BP20" i="13"/>
  <c r="BO20" i="13"/>
  <c r="AL51" i="14"/>
  <c r="AL54" i="13"/>
  <c r="T42" i="14"/>
  <c r="T44" i="13"/>
  <c r="AK24" i="14"/>
  <c r="AK28" i="13"/>
  <c r="AX51" i="14"/>
  <c r="AX54" i="13"/>
  <c r="D51" i="14"/>
  <c r="D54" i="13"/>
  <c r="F84" i="14"/>
  <c r="F86" i="13"/>
  <c r="J51" i="14"/>
  <c r="J54" i="13"/>
  <c r="H22" i="13"/>
  <c r="AU42" i="14"/>
  <c r="AU44" i="13"/>
  <c r="B84" i="14"/>
  <c r="B86" i="13"/>
  <c r="AW24" i="14"/>
  <c r="AW28" i="13"/>
  <c r="BT72" i="13"/>
  <c r="BS72" i="13"/>
  <c r="BT74" i="13"/>
  <c r="BS74" i="13"/>
  <c r="AK78" i="13"/>
  <c r="AJ78" i="13"/>
  <c r="BT76" i="13"/>
  <c r="BS76" i="13"/>
  <c r="AY42" i="14"/>
  <c r="AY44" i="13"/>
  <c r="AU78" i="13"/>
  <c r="AT78" i="13"/>
  <c r="AA24" i="14"/>
  <c r="AA28" i="13"/>
  <c r="B33" i="14"/>
  <c r="B36" i="14" s="1"/>
  <c r="B37" i="13"/>
  <c r="B40" i="13" s="1"/>
  <c r="O24" i="14"/>
  <c r="O28" i="13"/>
  <c r="AS42" i="14"/>
  <c r="AS44" i="13"/>
  <c r="AV27" i="14"/>
  <c r="AV31" i="13"/>
  <c r="BP71" i="13"/>
  <c r="BO71" i="13"/>
  <c r="BP76" i="13"/>
  <c r="BO76" i="13"/>
  <c r="BZ72" i="13"/>
  <c r="BY72" i="13"/>
  <c r="BZ71" i="13"/>
  <c r="BY71" i="13"/>
  <c r="AC42" i="14"/>
  <c r="AC44" i="13"/>
  <c r="AS24" i="14"/>
  <c r="AS28" i="13"/>
  <c r="AO17" i="13"/>
  <c r="T24" i="14"/>
  <c r="T25" i="14" s="1"/>
  <c r="T28" i="13"/>
  <c r="AI17" i="13"/>
  <c r="Z17" i="13"/>
  <c r="AT27" i="14"/>
  <c r="AT31" i="13"/>
  <c r="BW19" i="13"/>
  <c r="BW17" i="13"/>
  <c r="BZ20" i="13"/>
  <c r="BY20" i="13"/>
  <c r="AD51" i="14"/>
  <c r="AD54" i="13"/>
  <c r="M24" i="14"/>
  <c r="M28" i="13"/>
  <c r="O78" i="13"/>
  <c r="N78" i="13"/>
  <c r="AO24" i="14"/>
  <c r="AO28" i="13"/>
  <c r="AE42" i="14"/>
  <c r="AE44" i="13"/>
  <c r="BX73" i="13"/>
  <c r="BW73" i="13"/>
  <c r="BX76" i="13"/>
  <c r="BW76" i="13"/>
  <c r="AH51" i="14"/>
  <c r="AH54" i="13"/>
  <c r="BR20" i="13"/>
  <c r="BQ20" i="13"/>
  <c r="AZ51" i="14"/>
  <c r="AZ54" i="13"/>
  <c r="U76" i="14"/>
  <c r="T76" i="14"/>
  <c r="AM24" i="14"/>
  <c r="AM28" i="13"/>
  <c r="AI42" i="14"/>
  <c r="AI44" i="13"/>
  <c r="AJ27" i="14"/>
  <c r="AJ31" i="13"/>
  <c r="AY24" i="14"/>
  <c r="AY28" i="13"/>
  <c r="D27" i="14"/>
  <c r="D31" i="13"/>
  <c r="F43" i="14"/>
  <c r="F46" i="13"/>
  <c r="K24" i="14"/>
  <c r="K28" i="13"/>
  <c r="L29" i="13"/>
  <c r="L22" i="13"/>
  <c r="AQ42" i="14"/>
  <c r="AQ44" i="13"/>
  <c r="W42" i="14"/>
  <c r="W44" i="13"/>
  <c r="S78" i="13"/>
  <c r="R78" i="13"/>
  <c r="BA42" i="14"/>
  <c r="BA44" i="13"/>
  <c r="BT73" i="13"/>
  <c r="BS73" i="13"/>
  <c r="B43" i="14"/>
  <c r="B46" i="13"/>
  <c r="BZ74" i="13"/>
  <c r="BY74" i="13"/>
  <c r="BZ76" i="13"/>
  <c r="BY76" i="13"/>
  <c r="H29" i="13"/>
  <c r="AR27" i="14"/>
  <c r="AR31" i="13"/>
  <c r="AP27" i="14"/>
  <c r="AP31" i="13"/>
  <c r="AT51" i="14"/>
  <c r="AT54" i="13"/>
  <c r="BT20" i="13"/>
  <c r="BS20" i="13"/>
  <c r="AE78" i="13"/>
  <c r="AD78" i="13"/>
  <c r="AE24" i="14"/>
  <c r="AE28" i="13"/>
  <c r="L27" i="14"/>
  <c r="L31" i="13"/>
  <c r="AN51" i="14"/>
  <c r="AN54" i="13"/>
  <c r="R27" i="14"/>
  <c r="R31" i="13"/>
  <c r="H51" i="14"/>
  <c r="H54" i="13"/>
  <c r="V27" i="14"/>
  <c r="V31" i="13"/>
  <c r="AI24" i="14"/>
  <c r="AI28" i="13"/>
  <c r="BA24" i="14"/>
  <c r="BA28" i="13"/>
  <c r="AB51" i="14"/>
  <c r="AB54" i="13"/>
  <c r="F33" i="14"/>
  <c r="F36" i="14" s="1"/>
  <c r="F37" i="13"/>
  <c r="F40" i="13" s="1"/>
  <c r="F94" i="14"/>
  <c r="F97" i="13"/>
  <c r="AC17" i="13"/>
  <c r="T17" i="13"/>
  <c r="M19" i="13"/>
  <c r="K42" i="14"/>
  <c r="K44" i="13"/>
  <c r="S42" i="14"/>
  <c r="S44" i="13"/>
  <c r="D22" i="13"/>
  <c r="AK42" i="14"/>
  <c r="AK44" i="13"/>
  <c r="BB31" i="13"/>
  <c r="BB27" i="14"/>
  <c r="BC42" i="14"/>
  <c r="BC44" i="13"/>
  <c r="BB54" i="13"/>
  <c r="BB51" i="14"/>
  <c r="BC24" i="14"/>
  <c r="BC28" i="13"/>
  <c r="CA19" i="13"/>
  <c r="BD51" i="14"/>
  <c r="BD54" i="13"/>
  <c r="BS42" i="14"/>
  <c r="CA44" i="13"/>
  <c r="BD27" i="14"/>
  <c r="BD31" i="13"/>
  <c r="BS24" i="14"/>
  <c r="BS25" i="14" s="1"/>
  <c r="CA28" i="13"/>
  <c r="BE42" i="14"/>
  <c r="BE44" i="13"/>
  <c r="BE24" i="14"/>
  <c r="BE28" i="13"/>
  <c r="CB72" i="13"/>
  <c r="CA72" i="13"/>
  <c r="CB76" i="13"/>
  <c r="CA76" i="13"/>
  <c r="CB73" i="13"/>
  <c r="CA73" i="13"/>
  <c r="CB77" i="13"/>
  <c r="CA77" i="13"/>
  <c r="CB74" i="13"/>
  <c r="CA74" i="13"/>
  <c r="BW21" i="13"/>
  <c r="Q18" i="13"/>
  <c r="P17" i="13"/>
  <c r="AQ17" i="13"/>
  <c r="AP19" i="13"/>
  <c r="Q71" i="13"/>
  <c r="Y71" i="13"/>
  <c r="AJ45" i="13"/>
  <c r="AJ25" i="13"/>
  <c r="AJ26" i="13" s="1"/>
  <c r="AK19" i="13"/>
  <c r="AJ21" i="13"/>
  <c r="CB71" i="13"/>
  <c r="BO75" i="13"/>
  <c r="BP70" i="13"/>
  <c r="BR74" i="13"/>
  <c r="BR76" i="13"/>
  <c r="BT18" i="13"/>
  <c r="BS17" i="13"/>
  <c r="Y18" i="13"/>
  <c r="R45" i="13"/>
  <c r="R25" i="13"/>
  <c r="R27" i="13" s="1"/>
  <c r="R21" i="13"/>
  <c r="S19" i="13"/>
  <c r="W78" i="13"/>
  <c r="BW75" i="13"/>
  <c r="BX70" i="13"/>
  <c r="BV73" i="13"/>
  <c r="BV76" i="13"/>
  <c r="AI78" i="13"/>
  <c r="AX45" i="13"/>
  <c r="AX25" i="13"/>
  <c r="AX26" i="13" s="1"/>
  <c r="AX21" i="13"/>
  <c r="AX22" i="13" s="1"/>
  <c r="BB45" i="13"/>
  <c r="BB25" i="13"/>
  <c r="BB26" i="13" s="1"/>
  <c r="BC19" i="13"/>
  <c r="BB21" i="13"/>
  <c r="BQ17" i="13"/>
  <c r="BR18" i="13"/>
  <c r="BV18" i="13"/>
  <c r="BU17" i="13"/>
  <c r="AB45" i="13"/>
  <c r="AB25" i="13"/>
  <c r="AB26" i="13" s="1"/>
  <c r="AB21" i="13"/>
  <c r="M45" i="13"/>
  <c r="BS75" i="13"/>
  <c r="BT70" i="13"/>
  <c r="Q73" i="13"/>
  <c r="Y73" i="13"/>
  <c r="Q74" i="13"/>
  <c r="Y74" i="13"/>
  <c r="AT45" i="13"/>
  <c r="AT25" i="13"/>
  <c r="AT27" i="13" s="1"/>
  <c r="AU19" i="13"/>
  <c r="AT21" i="13"/>
  <c r="CA75" i="13"/>
  <c r="CB70" i="13"/>
  <c r="AV45" i="13"/>
  <c r="AV25" i="13"/>
  <c r="AV26" i="13" s="1"/>
  <c r="AV21" i="13"/>
  <c r="AW19" i="13"/>
  <c r="AS78" i="13"/>
  <c r="BR77" i="13"/>
  <c r="BY17" i="13"/>
  <c r="BZ18" i="13"/>
  <c r="AR25" i="13"/>
  <c r="AR26" i="13" s="1"/>
  <c r="AS19" i="13"/>
  <c r="AR21" i="13"/>
  <c r="BD25" i="13"/>
  <c r="BD27" i="13" s="1"/>
  <c r="BD21" i="13"/>
  <c r="BE19" i="13"/>
  <c r="AG17" i="13"/>
  <c r="AF19" i="13"/>
  <c r="BV74" i="13"/>
  <c r="AY17" i="13"/>
  <c r="M75" i="13"/>
  <c r="AY78" i="13"/>
  <c r="V45" i="13"/>
  <c r="V25" i="13"/>
  <c r="V26" i="13" s="1"/>
  <c r="W19" i="13"/>
  <c r="V21" i="13"/>
  <c r="AZ25" i="13"/>
  <c r="AZ26" i="13" s="1"/>
  <c r="BA19" i="13"/>
  <c r="AZ21" i="13"/>
  <c r="Y20" i="13"/>
  <c r="M21" i="13"/>
  <c r="AD25" i="13"/>
  <c r="AD26" i="13" s="1"/>
  <c r="AE19" i="13"/>
  <c r="AD21" i="13"/>
  <c r="Q77" i="13"/>
  <c r="Y77" i="13"/>
  <c r="Q72" i="13"/>
  <c r="Y72" i="13"/>
  <c r="AA78" i="13"/>
  <c r="CA45" i="13"/>
  <c r="BR71" i="13"/>
  <c r="AA17" i="13"/>
  <c r="Z19" i="13"/>
  <c r="BQ76" i="14"/>
  <c r="U75" i="13"/>
  <c r="AC78" i="13"/>
  <c r="BK76" i="14"/>
  <c r="BV77" i="13"/>
  <c r="BV71" i="13"/>
  <c r="AG78" i="13"/>
  <c r="BC78" i="13"/>
  <c r="BE78" i="13"/>
  <c r="BV20" i="13"/>
  <c r="AM78" i="13"/>
  <c r="Q70" i="13"/>
  <c r="P75" i="13"/>
  <c r="Y70" i="13"/>
  <c r="Q76" i="13"/>
  <c r="Y76" i="13"/>
  <c r="J25" i="13"/>
  <c r="J26" i="13" s="1"/>
  <c r="J21" i="13"/>
  <c r="K19" i="13"/>
  <c r="AL25" i="13"/>
  <c r="AL27" i="13" s="1"/>
  <c r="AM19" i="13"/>
  <c r="AL21" i="13"/>
  <c r="BY75" i="13"/>
  <c r="BZ70" i="13"/>
  <c r="BQ75" i="13"/>
  <c r="BR70" i="13"/>
  <c r="BR72" i="13"/>
  <c r="AN45" i="13"/>
  <c r="AN25" i="13"/>
  <c r="AN27" i="13" s="1"/>
  <c r="AN21" i="13"/>
  <c r="BR73" i="13"/>
  <c r="P76" i="14"/>
  <c r="X19" i="13"/>
  <c r="AW78" i="13"/>
  <c r="BV72" i="13"/>
  <c r="BU75" i="13"/>
  <c r="BV70" i="13"/>
  <c r="N25" i="13"/>
  <c r="N26" i="13" s="1"/>
  <c r="O19" i="13"/>
  <c r="N21" i="13"/>
  <c r="BP18" i="13"/>
  <c r="BO17" i="13"/>
  <c r="BA78" i="13"/>
  <c r="AC75" i="13"/>
  <c r="AH45" i="13"/>
  <c r="AH25" i="13"/>
  <c r="AH26" i="13" s="1"/>
  <c r="AH21" i="13"/>
  <c r="AI19" i="13"/>
  <c r="U17" i="13"/>
  <c r="T19" i="13"/>
  <c r="M25" i="13"/>
  <c r="AW133" i="1" l="1"/>
  <c r="AO133" i="1"/>
  <c r="AN134" i="1"/>
  <c r="AO130" i="1"/>
  <c r="AW130" i="1"/>
  <c r="AH35" i="1"/>
  <c r="AI28" i="1"/>
  <c r="AH46" i="1"/>
  <c r="AH45" i="1"/>
  <c r="AI45" i="1" s="1"/>
  <c r="AH44" i="1"/>
  <c r="AI44" i="1" s="1"/>
  <c r="AH43" i="1"/>
  <c r="AI43" i="1" s="1"/>
  <c r="AE225" i="1"/>
  <c r="AD227" i="1"/>
  <c r="AD262" i="1"/>
  <c r="AE262" i="1" s="1"/>
  <c r="AZ469" i="1"/>
  <c r="BA469" i="1" s="1"/>
  <c r="AZ452" i="1"/>
  <c r="BA448" i="1"/>
  <c r="AH216" i="1"/>
  <c r="AI216" i="1" s="1"/>
  <c r="AH215" i="1"/>
  <c r="AI215" i="1" s="1"/>
  <c r="AH210" i="1"/>
  <c r="AI204" i="1"/>
  <c r="AH217" i="1"/>
  <c r="AJ194" i="1"/>
  <c r="AK194" i="1" s="1"/>
  <c r="AJ221" i="1"/>
  <c r="AL187" i="1"/>
  <c r="AK193" i="1"/>
  <c r="AN561" i="1"/>
  <c r="AO561" i="1" s="1"/>
  <c r="AN557" i="1"/>
  <c r="AO557" i="1" s="1"/>
  <c r="AO531" i="1"/>
  <c r="AN556" i="1"/>
  <c r="AN153" i="1"/>
  <c r="AO123" i="1"/>
  <c r="AW123" i="1"/>
  <c r="AN149" i="1"/>
  <c r="AN148" i="1"/>
  <c r="AX456" i="1"/>
  <c r="AY456" i="1" s="1"/>
  <c r="AO154" i="1"/>
  <c r="AW154" i="1"/>
  <c r="AF69" i="1"/>
  <c r="AG69" i="1" s="1"/>
  <c r="AG36" i="1"/>
  <c r="AF64" i="1"/>
  <c r="AG64" i="1" s="1"/>
  <c r="AF63" i="1"/>
  <c r="AF68" i="1"/>
  <c r="AG68" i="1" s="1"/>
  <c r="AF92" i="1"/>
  <c r="AQ526" i="1"/>
  <c r="AP530" i="1"/>
  <c r="AP536" i="1"/>
  <c r="AQ536" i="1" s="1"/>
  <c r="AP537" i="1"/>
  <c r="AP535" i="1"/>
  <c r="AQ535" i="1" s="1"/>
  <c r="AG222" i="1"/>
  <c r="AF259" i="1"/>
  <c r="AG259" i="1" s="1"/>
  <c r="AF223" i="1"/>
  <c r="AK200" i="1"/>
  <c r="AJ201" i="1"/>
  <c r="AK201" i="1" s="1"/>
  <c r="AR518" i="1"/>
  <c r="AP523" i="1"/>
  <c r="AT510" i="1"/>
  <c r="AR515" i="1"/>
  <c r="AO541" i="1"/>
  <c r="AN542" i="1"/>
  <c r="AO542" i="1" s="1"/>
  <c r="AY19" i="13"/>
  <c r="CB17" i="13"/>
  <c r="AL45" i="14"/>
  <c r="AL48" i="13"/>
  <c r="V45" i="14"/>
  <c r="V48" i="13"/>
  <c r="AB45" i="14"/>
  <c r="AB48" i="13"/>
  <c r="Y45" i="14"/>
  <c r="Y48" i="13"/>
  <c r="AR45" i="14"/>
  <c r="AR48" i="13"/>
  <c r="AL26" i="13"/>
  <c r="AD45" i="14"/>
  <c r="AD48" i="13"/>
  <c r="Z45" i="14"/>
  <c r="Z48" i="13"/>
  <c r="AF45" i="14"/>
  <c r="AF48" i="13"/>
  <c r="AN45" i="14"/>
  <c r="AN48" i="13"/>
  <c r="S45" i="14"/>
  <c r="S48" i="13"/>
  <c r="CA25" i="13"/>
  <c r="CA27" i="13" s="1"/>
  <c r="V27" i="13"/>
  <c r="CA21" i="13"/>
  <c r="CA29" i="13" s="1"/>
  <c r="AD27" i="13"/>
  <c r="CK24" i="13"/>
  <c r="CC65" i="14"/>
  <c r="CC73" i="14"/>
  <c r="CC23" i="14"/>
  <c r="CM65" i="13"/>
  <c r="CE63" i="14"/>
  <c r="CC46" i="14"/>
  <c r="CK49" i="13"/>
  <c r="CL65" i="13"/>
  <c r="CD63" i="14"/>
  <c r="CM66" i="13"/>
  <c r="CE64" i="14"/>
  <c r="CL66" i="13"/>
  <c r="CD64" i="14"/>
  <c r="CB46" i="14"/>
  <c r="CJ49" i="13"/>
  <c r="AC51" i="14"/>
  <c r="AC54" i="13"/>
  <c r="H33" i="14"/>
  <c r="H36" i="14" s="1"/>
  <c r="H37" i="13"/>
  <c r="H40" i="13" s="1"/>
  <c r="J29" i="13"/>
  <c r="J22" i="13"/>
  <c r="O33" i="14"/>
  <c r="O37" i="13"/>
  <c r="O27" i="14"/>
  <c r="O31" i="13"/>
  <c r="L94" i="14"/>
  <c r="L97" i="13"/>
  <c r="V29" i="13"/>
  <c r="V22" i="13"/>
  <c r="AR29" i="13"/>
  <c r="AR22" i="13"/>
  <c r="AK27" i="14"/>
  <c r="AK31" i="13"/>
  <c r="P42" i="14"/>
  <c r="P44" i="13"/>
  <c r="D43" i="14"/>
  <c r="D46" i="13"/>
  <c r="R26" i="13"/>
  <c r="AH27" i="13"/>
  <c r="AE51" i="14"/>
  <c r="AE54" i="13"/>
  <c r="U42" i="14"/>
  <c r="U44" i="13"/>
  <c r="AM51" i="14"/>
  <c r="AM54" i="13"/>
  <c r="BJ76" i="14"/>
  <c r="BI76" i="14"/>
  <c r="AH29" i="13"/>
  <c r="AH22" i="13"/>
  <c r="P24" i="14"/>
  <c r="P25" i="14" s="1"/>
  <c r="P28" i="13"/>
  <c r="O45" i="13"/>
  <c r="N45" i="13"/>
  <c r="M27" i="14"/>
  <c r="M31" i="13"/>
  <c r="AE27" i="14"/>
  <c r="AE31" i="13"/>
  <c r="AN29" i="13"/>
  <c r="AN22" i="13"/>
  <c r="H94" i="14"/>
  <c r="H97" i="13"/>
  <c r="AL29" i="13"/>
  <c r="AL22" i="13"/>
  <c r="AM27" i="14"/>
  <c r="AM31" i="13"/>
  <c r="BQ42" i="14"/>
  <c r="BY44" i="13"/>
  <c r="BM24" i="14"/>
  <c r="BM25" i="14" s="1"/>
  <c r="BU28" i="13"/>
  <c r="U78" i="13"/>
  <c r="T78" i="13"/>
  <c r="AU27" i="14"/>
  <c r="AU31" i="13"/>
  <c r="AD29" i="13"/>
  <c r="AD22" i="13"/>
  <c r="L84" i="14"/>
  <c r="L86" i="13"/>
  <c r="K27" i="14"/>
  <c r="K31" i="13"/>
  <c r="BA27" i="14"/>
  <c r="BA31" i="13"/>
  <c r="BQ24" i="14"/>
  <c r="BQ25" i="14" s="1"/>
  <c r="BY28" i="13"/>
  <c r="AS45" i="13"/>
  <c r="AR45" i="13"/>
  <c r="AG24" i="14"/>
  <c r="AG28" i="13"/>
  <c r="R29" i="13"/>
  <c r="R22" i="13"/>
  <c r="D33" i="14"/>
  <c r="D36" i="14" s="1"/>
  <c r="D37" i="13"/>
  <c r="D40" i="13" s="1"/>
  <c r="AB27" i="13"/>
  <c r="BW22" i="13"/>
  <c r="AC24" i="14"/>
  <c r="AC28" i="13"/>
  <c r="AZ27" i="13"/>
  <c r="AN26" i="13"/>
  <c r="AW51" i="14"/>
  <c r="AW54" i="13"/>
  <c r="AV27" i="13"/>
  <c r="AQ51" i="14"/>
  <c r="AQ54" i="13"/>
  <c r="S27" i="14"/>
  <c r="S31" i="13"/>
  <c r="AC27" i="14"/>
  <c r="AC31" i="13"/>
  <c r="BO42" i="14"/>
  <c r="BW44" i="13"/>
  <c r="AS27" i="14"/>
  <c r="AS31" i="13"/>
  <c r="AJ29" i="13"/>
  <c r="AJ22" i="13"/>
  <c r="AG42" i="14"/>
  <c r="AG44" i="13"/>
  <c r="BK42" i="14"/>
  <c r="BS44" i="13"/>
  <c r="Y17" i="13"/>
  <c r="AO27" i="14"/>
  <c r="AO31" i="13"/>
  <c r="BO24" i="14"/>
  <c r="BO25" i="14" s="1"/>
  <c r="BW28" i="13"/>
  <c r="BW29" i="13" s="1"/>
  <c r="H84" i="14"/>
  <c r="H86" i="13"/>
  <c r="K33" i="14"/>
  <c r="K37" i="13"/>
  <c r="AK51" i="14"/>
  <c r="AK54" i="13"/>
  <c r="AO42" i="14"/>
  <c r="AO44" i="13"/>
  <c r="U24" i="14"/>
  <c r="U28" i="13"/>
  <c r="BA45" i="13"/>
  <c r="AZ45" i="13"/>
  <c r="AY51" i="14"/>
  <c r="AY54" i="13"/>
  <c r="BH76" i="14"/>
  <c r="BG76" i="14"/>
  <c r="AV29" i="13"/>
  <c r="BI42" i="14"/>
  <c r="BQ44" i="13"/>
  <c r="AW27" i="14"/>
  <c r="AW31" i="13"/>
  <c r="AT29" i="13"/>
  <c r="AT22" i="13"/>
  <c r="AA27" i="14"/>
  <c r="AA31" i="13"/>
  <c r="AI51" i="14"/>
  <c r="AI54" i="13"/>
  <c r="AX29" i="13"/>
  <c r="AF27" i="14"/>
  <c r="AF31" i="13"/>
  <c r="D84" i="14"/>
  <c r="D86" i="13"/>
  <c r="BW25" i="13"/>
  <c r="BW26" i="13" s="1"/>
  <c r="AU51" i="14"/>
  <c r="AU54" i="13"/>
  <c r="AT26" i="13"/>
  <c r="AR27" i="13"/>
  <c r="AX27" i="13"/>
  <c r="K51" i="14"/>
  <c r="K54" i="13"/>
  <c r="M51" i="14"/>
  <c r="M54" i="13"/>
  <c r="AA51" i="14"/>
  <c r="AA54" i="13"/>
  <c r="AJ27" i="13"/>
  <c r="N29" i="13"/>
  <c r="N22" i="13"/>
  <c r="AI27" i="14"/>
  <c r="AI31" i="13"/>
  <c r="BM42" i="14"/>
  <c r="BU44" i="13"/>
  <c r="BK24" i="14"/>
  <c r="BK25" i="14" s="1"/>
  <c r="BS28" i="13"/>
  <c r="W51" i="14"/>
  <c r="W54" i="13"/>
  <c r="T51" i="14"/>
  <c r="T54" i="13"/>
  <c r="AY27" i="14"/>
  <c r="AY31" i="13"/>
  <c r="AF51" i="14"/>
  <c r="AF54" i="13"/>
  <c r="BA51" i="14"/>
  <c r="BA54" i="13"/>
  <c r="BP76" i="14"/>
  <c r="BO76" i="14"/>
  <c r="BX17" i="13"/>
  <c r="AQ27" i="14"/>
  <c r="AQ31" i="13"/>
  <c r="AO19" i="13"/>
  <c r="H43" i="14"/>
  <c r="H46" i="13"/>
  <c r="AM45" i="13"/>
  <c r="AL45" i="13"/>
  <c r="K45" i="13"/>
  <c r="J45" i="13"/>
  <c r="BN76" i="14"/>
  <c r="BM76" i="14"/>
  <c r="T27" i="14"/>
  <c r="T31" i="13"/>
  <c r="AE45" i="13"/>
  <c r="AD45" i="13"/>
  <c r="L43" i="14"/>
  <c r="L46" i="13"/>
  <c r="AZ29" i="13"/>
  <c r="M78" i="13"/>
  <c r="L78" i="13"/>
  <c r="W27" i="14"/>
  <c r="W31" i="13"/>
  <c r="BG24" i="14"/>
  <c r="BG25" i="14" s="1"/>
  <c r="BO28" i="13"/>
  <c r="AB29" i="13"/>
  <c r="AB22" i="13"/>
  <c r="D94" i="14"/>
  <c r="D97" i="13"/>
  <c r="BI24" i="14"/>
  <c r="BI25" i="14" s="1"/>
  <c r="BQ28" i="13"/>
  <c r="BW45" i="13"/>
  <c r="AZ22" i="13"/>
  <c r="AV22" i="13"/>
  <c r="AS51" i="14"/>
  <c r="AS54" i="13"/>
  <c r="O51" i="14"/>
  <c r="O54" i="13"/>
  <c r="S51" i="14"/>
  <c r="S54" i="13"/>
  <c r="BC51" i="14"/>
  <c r="BC54" i="13"/>
  <c r="BB29" i="13"/>
  <c r="BC27" i="14"/>
  <c r="BC31" i="13"/>
  <c r="BB27" i="13"/>
  <c r="BB22" i="13"/>
  <c r="BE27" i="14"/>
  <c r="BE31" i="13"/>
  <c r="BS51" i="14"/>
  <c r="CA54" i="13"/>
  <c r="BE51" i="14"/>
  <c r="BE54" i="13"/>
  <c r="BT24" i="14"/>
  <c r="CB28" i="13"/>
  <c r="BD29" i="13"/>
  <c r="BD22" i="13"/>
  <c r="BD48" i="13"/>
  <c r="BD45" i="14"/>
  <c r="BE45" i="13"/>
  <c r="BD45" i="13"/>
  <c r="BD26" i="13"/>
  <c r="BP17" i="13"/>
  <c r="BO19" i="13"/>
  <c r="O21" i="13"/>
  <c r="BV75" i="13"/>
  <c r="BU78" i="13"/>
  <c r="AM21" i="13"/>
  <c r="AE21" i="13"/>
  <c r="BA21" i="13"/>
  <c r="W25" i="13"/>
  <c r="AF45" i="13"/>
  <c r="AF25" i="13"/>
  <c r="AF26" i="13" s="1"/>
  <c r="AF21" i="13"/>
  <c r="AG19" i="13"/>
  <c r="AS25" i="13"/>
  <c r="AW45" i="13"/>
  <c r="BC25" i="13"/>
  <c r="S25" i="13"/>
  <c r="BP75" i="13"/>
  <c r="AK21" i="13"/>
  <c r="Q17" i="13"/>
  <c r="P19" i="13"/>
  <c r="K21" i="13"/>
  <c r="W45" i="13"/>
  <c r="CA78" i="13"/>
  <c r="CB75" i="13"/>
  <c r="AU25" i="13"/>
  <c r="BV17" i="13"/>
  <c r="BU19" i="13"/>
  <c r="BC45" i="13"/>
  <c r="S45" i="13"/>
  <c r="T25" i="13"/>
  <c r="T27" i="13" s="1"/>
  <c r="U19" i="13"/>
  <c r="O25" i="13"/>
  <c r="Q76" i="14"/>
  <c r="Y76" i="14"/>
  <c r="AO45" i="13"/>
  <c r="BR75" i="13"/>
  <c r="BZ75" i="13"/>
  <c r="BY78" i="13"/>
  <c r="AM25" i="13"/>
  <c r="K25" i="13"/>
  <c r="BL76" i="14"/>
  <c r="AE25" i="13"/>
  <c r="BA25" i="13"/>
  <c r="W21" i="13"/>
  <c r="BE21" i="13"/>
  <c r="AS21" i="13"/>
  <c r="BZ17" i="13"/>
  <c r="BY19" i="13"/>
  <c r="AW21" i="13"/>
  <c r="AU45" i="13"/>
  <c r="AC19" i="13"/>
  <c r="BC21" i="13"/>
  <c r="AK25" i="13"/>
  <c r="X45" i="13"/>
  <c r="X25" i="13"/>
  <c r="X27" i="13" s="1"/>
  <c r="X21" i="13"/>
  <c r="Q75" i="13"/>
  <c r="P78" i="13"/>
  <c r="Y75" i="13"/>
  <c r="BR76" i="14"/>
  <c r="AI45" i="13"/>
  <c r="AA19" i="13"/>
  <c r="BT76" i="14"/>
  <c r="BE25" i="13"/>
  <c r="AW25" i="13"/>
  <c r="AU21" i="13"/>
  <c r="BT75" i="13"/>
  <c r="AC25" i="13"/>
  <c r="BR17" i="13"/>
  <c r="BQ19" i="13"/>
  <c r="BX75" i="13"/>
  <c r="S21" i="13"/>
  <c r="BT17" i="13"/>
  <c r="BS19" i="13"/>
  <c r="AK45" i="13"/>
  <c r="AP21" i="13"/>
  <c r="AQ19" i="13"/>
  <c r="AR522" i="1" l="1"/>
  <c r="AR526" i="1"/>
  <c r="AJ258" i="1"/>
  <c r="AK258" i="1" s="1"/>
  <c r="AK221" i="1"/>
  <c r="AI210" i="1"/>
  <c r="AJ204" i="1"/>
  <c r="AH211" i="1"/>
  <c r="AI211" i="1" s="1"/>
  <c r="AH222" i="1"/>
  <c r="BA452" i="1"/>
  <c r="AZ455" i="1"/>
  <c r="BB448" i="1"/>
  <c r="AI46" i="1"/>
  <c r="AH47" i="1"/>
  <c r="AI47" i="1" s="1"/>
  <c r="AP541" i="1"/>
  <c r="AQ530" i="1"/>
  <c r="AP562" i="1"/>
  <c r="AQ562" i="1" s="1"/>
  <c r="AP531" i="1"/>
  <c r="AG63" i="1"/>
  <c r="AF65" i="1"/>
  <c r="AG65" i="1" s="1"/>
  <c r="AW148" i="1"/>
  <c r="AO148" i="1"/>
  <c r="AN150" i="1"/>
  <c r="AW153" i="1"/>
  <c r="AO153" i="1"/>
  <c r="AO134" i="1"/>
  <c r="AW134" i="1"/>
  <c r="AT514" i="1"/>
  <c r="AW149" i="1"/>
  <c r="AO149" i="1"/>
  <c r="AO556" i="1"/>
  <c r="AN558" i="1"/>
  <c r="AO558" i="1" s="1"/>
  <c r="AH218" i="1"/>
  <c r="AI218" i="1" s="1"/>
  <c r="AI217" i="1"/>
  <c r="AH36" i="1"/>
  <c r="AH41" i="1"/>
  <c r="AI35" i="1"/>
  <c r="AJ28" i="1"/>
  <c r="AG223" i="1"/>
  <c r="AF225" i="1"/>
  <c r="AF260" i="1"/>
  <c r="AG260" i="1" s="1"/>
  <c r="AP538" i="1"/>
  <c r="AQ538" i="1" s="1"/>
  <c r="AQ537" i="1"/>
  <c r="AL199" i="1"/>
  <c r="AM199" i="1" s="1"/>
  <c r="AL198" i="1"/>
  <c r="AM198" i="1" s="1"/>
  <c r="AL193" i="1"/>
  <c r="AM187" i="1"/>
  <c r="AL200" i="1"/>
  <c r="AE227" i="1"/>
  <c r="AD264" i="1"/>
  <c r="AE264" i="1" s="1"/>
  <c r="AD228" i="1"/>
  <c r="AE228" i="1" s="1"/>
  <c r="AO25" i="13"/>
  <c r="Y19" i="13"/>
  <c r="CA22" i="13"/>
  <c r="BS84" i="14"/>
  <c r="CA26" i="13"/>
  <c r="BS94" i="14"/>
  <c r="AC45" i="14"/>
  <c r="AC48" i="13"/>
  <c r="AE45" i="14"/>
  <c r="AE48" i="13"/>
  <c r="AX45" i="14"/>
  <c r="AX48" i="13"/>
  <c r="AG45" i="14"/>
  <c r="AG48" i="13"/>
  <c r="W45" i="14"/>
  <c r="W48" i="13"/>
  <c r="BO45" i="14"/>
  <c r="BW48" i="13"/>
  <c r="AH45" i="14"/>
  <c r="AH48" i="13"/>
  <c r="AJ45" i="14"/>
  <c r="AJ48" i="13"/>
  <c r="AV45" i="14"/>
  <c r="AV48" i="13"/>
  <c r="AP45" i="14"/>
  <c r="AP48" i="13"/>
  <c r="BM45" i="14"/>
  <c r="BU48" i="13"/>
  <c r="T45" i="14"/>
  <c r="T48" i="13"/>
  <c r="AO45" i="14"/>
  <c r="AO48" i="13"/>
  <c r="AA45" i="14"/>
  <c r="AA48" i="13"/>
  <c r="AM45" i="14"/>
  <c r="AM48" i="13"/>
  <c r="AZ45" i="14"/>
  <c r="AZ48" i="13"/>
  <c r="BB45" i="14"/>
  <c r="BB48" i="13"/>
  <c r="X26" i="13"/>
  <c r="CE73" i="14"/>
  <c r="CE23" i="14"/>
  <c r="CM24" i="13"/>
  <c r="CD46" i="14"/>
  <c r="CL49" i="13"/>
  <c r="CL24" i="13"/>
  <c r="CD73" i="14"/>
  <c r="CD23" i="14"/>
  <c r="AI25" i="13"/>
  <c r="Z25" i="13"/>
  <c r="BK51" i="14"/>
  <c r="BS54" i="13"/>
  <c r="AC21" i="13"/>
  <c r="T21" i="13"/>
  <c r="BJ24" i="14"/>
  <c r="BR28" i="13"/>
  <c r="AB84" i="14"/>
  <c r="AB86" i="13"/>
  <c r="BJ42" i="14"/>
  <c r="BR44" i="13"/>
  <c r="AP29" i="13"/>
  <c r="AP22" i="13"/>
  <c r="R84" i="14"/>
  <c r="R86" i="13"/>
  <c r="AX43" i="14"/>
  <c r="AX46" i="13"/>
  <c r="BT78" i="13"/>
  <c r="BS78" i="13"/>
  <c r="AT84" i="14"/>
  <c r="AT86" i="13"/>
  <c r="BH24" i="14"/>
  <c r="BP28" i="13"/>
  <c r="L35" i="14"/>
  <c r="L39" i="13"/>
  <c r="AI21" i="13"/>
  <c r="Z21" i="13"/>
  <c r="BG33" i="14"/>
  <c r="BO37" i="13"/>
  <c r="AV43" i="14"/>
  <c r="AV46" i="13"/>
  <c r="AR94" i="14"/>
  <c r="AR97" i="13"/>
  <c r="V43" i="14"/>
  <c r="V46" i="13"/>
  <c r="BM51" i="14"/>
  <c r="BU54" i="13"/>
  <c r="BQ27" i="14"/>
  <c r="BY31" i="13"/>
  <c r="BN42" i="14"/>
  <c r="BV44" i="13"/>
  <c r="Y24" i="14"/>
  <c r="Y28" i="13"/>
  <c r="P27" i="14"/>
  <c r="P31" i="13"/>
  <c r="U45" i="13"/>
  <c r="T45" i="13"/>
  <c r="BO43" i="14"/>
  <c r="BW46" i="13"/>
  <c r="AG27" i="14"/>
  <c r="AG31" i="13"/>
  <c r="Q42" i="14"/>
  <c r="Q44" i="13"/>
  <c r="AB43" i="14"/>
  <c r="AB46" i="13"/>
  <c r="J94" i="14"/>
  <c r="J97" i="13"/>
  <c r="AH94" i="14"/>
  <c r="AH97" i="13"/>
  <c r="AJ43" i="14"/>
  <c r="AJ46" i="13"/>
  <c r="BP78" i="13"/>
  <c r="BO78" i="13"/>
  <c r="BR24" i="14"/>
  <c r="BZ28" i="13"/>
  <c r="AZ94" i="14"/>
  <c r="AZ97" i="13"/>
  <c r="AD43" i="14"/>
  <c r="AD46" i="13"/>
  <c r="AL94" i="14"/>
  <c r="AL97" i="13"/>
  <c r="AN84" i="14"/>
  <c r="AN86" i="13"/>
  <c r="N94" i="14"/>
  <c r="N97" i="13"/>
  <c r="M43" i="14"/>
  <c r="M46" i="13"/>
  <c r="U51" i="14"/>
  <c r="U54" i="13"/>
  <c r="AF27" i="13"/>
  <c r="M94" i="14"/>
  <c r="M97" i="13"/>
  <c r="AY25" i="13"/>
  <c r="AP25" i="13"/>
  <c r="AX84" i="14"/>
  <c r="AX86" i="13"/>
  <c r="AT94" i="14"/>
  <c r="AT97" i="13"/>
  <c r="BP42" i="14"/>
  <c r="BX44" i="13"/>
  <c r="AJ84" i="14"/>
  <c r="AJ86" i="13"/>
  <c r="U27" i="14"/>
  <c r="U31" i="13"/>
  <c r="AN94" i="14"/>
  <c r="AN97" i="13"/>
  <c r="AQ45" i="13"/>
  <c r="AP45" i="13"/>
  <c r="AA45" i="13"/>
  <c r="Z45" i="13"/>
  <c r="BL24" i="14"/>
  <c r="BT28" i="13"/>
  <c r="BO27" i="14"/>
  <c r="BW31" i="13"/>
  <c r="M33" i="14"/>
  <c r="M37" i="13"/>
  <c r="AV94" i="14"/>
  <c r="AV97" i="13"/>
  <c r="AR43" i="14"/>
  <c r="AR46" i="13"/>
  <c r="V94" i="14"/>
  <c r="V97" i="13"/>
  <c r="BN24" i="14"/>
  <c r="BV28" i="13"/>
  <c r="BR78" i="13"/>
  <c r="BQ78" i="13"/>
  <c r="BO51" i="14"/>
  <c r="BW54" i="13"/>
  <c r="Q24" i="14"/>
  <c r="Q28" i="13"/>
  <c r="BO94" i="14"/>
  <c r="BW97" i="13"/>
  <c r="AB94" i="14"/>
  <c r="AB97" i="13"/>
  <c r="J43" i="14"/>
  <c r="J46" i="13"/>
  <c r="Q33" i="14"/>
  <c r="Q37" i="13"/>
  <c r="AH43" i="14"/>
  <c r="AH46" i="13"/>
  <c r="AJ94" i="14"/>
  <c r="AJ97" i="13"/>
  <c r="AF29" i="13"/>
  <c r="AF22" i="13"/>
  <c r="BQ51" i="14"/>
  <c r="BY54" i="13"/>
  <c r="AZ43" i="14"/>
  <c r="AZ46" i="13"/>
  <c r="AD94" i="14"/>
  <c r="AD97" i="13"/>
  <c r="AL43" i="14"/>
  <c r="AL46" i="13"/>
  <c r="N43" i="14"/>
  <c r="N46" i="13"/>
  <c r="T26" i="13"/>
  <c r="M84" i="14"/>
  <c r="M86" i="13"/>
  <c r="R94" i="14"/>
  <c r="R97" i="13"/>
  <c r="X29" i="13"/>
  <c r="X22" i="13"/>
  <c r="AV84" i="14"/>
  <c r="AV86" i="13"/>
  <c r="V84" i="14"/>
  <c r="V86" i="13"/>
  <c r="BO84" i="14"/>
  <c r="BW86" i="13"/>
  <c r="AD84" i="14"/>
  <c r="AD86" i="13"/>
  <c r="AO51" i="14"/>
  <c r="AO54" i="13"/>
  <c r="AX94" i="14"/>
  <c r="AX97" i="13"/>
  <c r="R43" i="14"/>
  <c r="R46" i="13"/>
  <c r="BX78" i="13"/>
  <c r="BW78" i="13"/>
  <c r="AY21" i="13"/>
  <c r="AT43" i="14"/>
  <c r="AT46" i="13"/>
  <c r="BG51" i="14"/>
  <c r="BO54" i="13"/>
  <c r="AR84" i="14"/>
  <c r="AR86" i="13"/>
  <c r="BP24" i="14"/>
  <c r="BX28" i="13"/>
  <c r="P51" i="14"/>
  <c r="P54" i="13"/>
  <c r="BI51" i="14"/>
  <c r="BQ54" i="13"/>
  <c r="Y42" i="14"/>
  <c r="Y44" i="13"/>
  <c r="J84" i="14"/>
  <c r="J86" i="13"/>
  <c r="AH84" i="14"/>
  <c r="AH86" i="13"/>
  <c r="AZ84" i="14"/>
  <c r="AZ86" i="13"/>
  <c r="AL84" i="14"/>
  <c r="AL86" i="13"/>
  <c r="AN43" i="14"/>
  <c r="AN46" i="13"/>
  <c r="N84" i="14"/>
  <c r="N86" i="13"/>
  <c r="AG51" i="14"/>
  <c r="AG54" i="13"/>
  <c r="BW27" i="13"/>
  <c r="BL42" i="14"/>
  <c r="BT44" i="13"/>
  <c r="BR42" i="14"/>
  <c r="BZ44" i="13"/>
  <c r="BB84" i="14"/>
  <c r="BB86" i="13"/>
  <c r="BB94" i="14"/>
  <c r="BB97" i="13"/>
  <c r="BB43" i="14"/>
  <c r="BB46" i="13"/>
  <c r="BT51" i="14"/>
  <c r="CB54" i="13"/>
  <c r="BT42" i="14"/>
  <c r="CB44" i="13"/>
  <c r="BD86" i="13"/>
  <c r="BD84" i="14"/>
  <c r="BD94" i="14"/>
  <c r="BD97" i="13"/>
  <c r="BD46" i="13"/>
  <c r="BD43" i="14"/>
  <c r="CA46" i="13"/>
  <c r="BS43" i="14"/>
  <c r="BQ25" i="13"/>
  <c r="BQ27" i="13" s="1"/>
  <c r="BQ21" i="13"/>
  <c r="BR19" i="13"/>
  <c r="AQ21" i="13"/>
  <c r="BS25" i="13"/>
  <c r="BS26" i="13" s="1"/>
  <c r="BT19" i="13"/>
  <c r="BS21" i="13"/>
  <c r="BU11" i="14"/>
  <c r="CB78" i="13"/>
  <c r="BO25" i="13"/>
  <c r="BO26" i="13" s="1"/>
  <c r="BP19" i="13"/>
  <c r="BO21" i="13"/>
  <c r="Q78" i="13"/>
  <c r="Y78" i="13"/>
  <c r="BY45" i="13"/>
  <c r="BY25" i="13"/>
  <c r="BY26" i="13" s="1"/>
  <c r="BY21" i="13"/>
  <c r="BZ19" i="13"/>
  <c r="CB19" i="13"/>
  <c r="U25" i="13"/>
  <c r="AY45" i="13"/>
  <c r="P25" i="13"/>
  <c r="P26" i="13" s="1"/>
  <c r="P21" i="13"/>
  <c r="Q19" i="13"/>
  <c r="AC45" i="13"/>
  <c r="AG21" i="13"/>
  <c r="AA21" i="13"/>
  <c r="BU12" i="14"/>
  <c r="BU45" i="13"/>
  <c r="BU25" i="13"/>
  <c r="BU27" i="13" s="1"/>
  <c r="BV19" i="13"/>
  <c r="BX19" i="13"/>
  <c r="AG25" i="13"/>
  <c r="AQ25" i="13"/>
  <c r="AA25" i="13"/>
  <c r="Y25" i="13"/>
  <c r="BZ78" i="13"/>
  <c r="U21" i="13"/>
  <c r="AG45" i="13"/>
  <c r="AO21" i="13"/>
  <c r="BV78" i="13"/>
  <c r="AH64" i="1" l="1"/>
  <c r="AI64" i="1" s="1"/>
  <c r="AH69" i="1"/>
  <c r="AI69" i="1" s="1"/>
  <c r="AI36" i="1"/>
  <c r="AH63" i="1"/>
  <c r="AH68" i="1"/>
  <c r="AI68" i="1" s="1"/>
  <c r="AH92" i="1"/>
  <c r="BB469" i="1"/>
  <c r="BC469" i="1" s="1"/>
  <c r="BB452" i="1"/>
  <c r="BC448" i="1"/>
  <c r="AN187" i="1"/>
  <c r="AM193" i="1"/>
  <c r="AL221" i="1"/>
  <c r="AL194" i="1"/>
  <c r="AM194" i="1" s="1"/>
  <c r="AJ45" i="1"/>
  <c r="AK45" i="1" s="1"/>
  <c r="AJ44" i="1"/>
  <c r="AK44" i="1" s="1"/>
  <c r="AJ43" i="1"/>
  <c r="AK43" i="1" s="1"/>
  <c r="AK28" i="1"/>
  <c r="AJ35" i="1"/>
  <c r="AJ46" i="1"/>
  <c r="AO150" i="1"/>
  <c r="AW150" i="1"/>
  <c r="AQ541" i="1"/>
  <c r="AP542" i="1"/>
  <c r="AQ542" i="1" s="1"/>
  <c r="AZ456" i="1"/>
  <c r="BA456" i="1" s="1"/>
  <c r="AJ210" i="1"/>
  <c r="AK204" i="1"/>
  <c r="AJ217" i="1"/>
  <c r="AJ216" i="1"/>
  <c r="AK216" i="1" s="1"/>
  <c r="AJ215" i="1"/>
  <c r="AK215" i="1" s="1"/>
  <c r="AP561" i="1"/>
  <c r="AQ561" i="1" s="1"/>
  <c r="AP557" i="1"/>
  <c r="AQ557" i="1" s="1"/>
  <c r="AQ531" i="1"/>
  <c r="AP556" i="1"/>
  <c r="AS526" i="1"/>
  <c r="AR530" i="1"/>
  <c r="AR535" i="1"/>
  <c r="AS535" i="1" s="1"/>
  <c r="AR536" i="1"/>
  <c r="AS536" i="1" s="1"/>
  <c r="AR537" i="1"/>
  <c r="AM200" i="1"/>
  <c r="AL201" i="1"/>
  <c r="AM201" i="1" s="1"/>
  <c r="AF227" i="1"/>
  <c r="AG225" i="1"/>
  <c r="AF262" i="1"/>
  <c r="AG262" i="1" s="1"/>
  <c r="AT515" i="1"/>
  <c r="AV510" i="1"/>
  <c r="AH259" i="1"/>
  <c r="AI259" i="1" s="1"/>
  <c r="AI222" i="1"/>
  <c r="AH223" i="1"/>
  <c r="AT518" i="1"/>
  <c r="AR523" i="1"/>
  <c r="BS35" i="14"/>
  <c r="CA97" i="13"/>
  <c r="CA86" i="13"/>
  <c r="AY45" i="14"/>
  <c r="AY48" i="13"/>
  <c r="AT45" i="14"/>
  <c r="AT48" i="13"/>
  <c r="BI45" i="14"/>
  <c r="BQ48" i="13"/>
  <c r="AW45" i="14"/>
  <c r="AW48" i="13"/>
  <c r="U45" i="14"/>
  <c r="U48" i="13"/>
  <c r="BP45" i="14"/>
  <c r="BX48" i="13"/>
  <c r="BQ45" i="14"/>
  <c r="BY48" i="13"/>
  <c r="AI45" i="14"/>
  <c r="AI48" i="13"/>
  <c r="AS45" i="14"/>
  <c r="AS48" i="13"/>
  <c r="BN45" i="14"/>
  <c r="BV48" i="13"/>
  <c r="BK45" i="14"/>
  <c r="BS48" i="13"/>
  <c r="AQ45" i="14"/>
  <c r="AQ48" i="13"/>
  <c r="AK45" i="14"/>
  <c r="AK48" i="13"/>
  <c r="BU26" i="13"/>
  <c r="BA45" i="14"/>
  <c r="BA48" i="13"/>
  <c r="AI84" i="14"/>
  <c r="AI86" i="13"/>
  <c r="BJ51" i="14"/>
  <c r="BR54" i="13"/>
  <c r="AF43" i="14"/>
  <c r="AF46" i="13"/>
  <c r="AD35" i="14"/>
  <c r="AD39" i="13"/>
  <c r="AW84" i="14"/>
  <c r="AW86" i="13"/>
  <c r="K43" i="14"/>
  <c r="K46" i="13"/>
  <c r="O94" i="14"/>
  <c r="O97" i="13"/>
  <c r="T29" i="13"/>
  <c r="T22" i="13"/>
  <c r="AE94" i="14"/>
  <c r="AE97" i="13"/>
  <c r="AO94" i="14"/>
  <c r="AO97" i="13"/>
  <c r="AM43" i="14"/>
  <c r="AM46" i="13"/>
  <c r="AE84" i="14"/>
  <c r="AE86" i="13"/>
  <c r="AI43" i="14"/>
  <c r="AI46" i="13"/>
  <c r="X94" i="14"/>
  <c r="X97" i="13"/>
  <c r="Z94" i="14"/>
  <c r="Z97" i="13"/>
  <c r="AL35" i="14"/>
  <c r="AL39" i="13"/>
  <c r="AE43" i="14"/>
  <c r="AE46" i="13"/>
  <c r="AF84" i="14"/>
  <c r="AF86" i="13"/>
  <c r="AB35" i="14"/>
  <c r="AB39" i="13"/>
  <c r="N35" i="14"/>
  <c r="N39" i="13"/>
  <c r="Q51" i="14"/>
  <c r="Q54" i="13"/>
  <c r="AY94" i="14"/>
  <c r="AY97" i="13"/>
  <c r="AP94" i="14"/>
  <c r="AP97" i="13"/>
  <c r="BG27" i="14"/>
  <c r="BO31" i="13"/>
  <c r="BS27" i="13"/>
  <c r="S43" i="14"/>
  <c r="S46" i="13"/>
  <c r="W84" i="14"/>
  <c r="W86" i="13"/>
  <c r="BY27" i="13"/>
  <c r="AW94" i="14"/>
  <c r="AW97" i="13"/>
  <c r="Z29" i="13"/>
  <c r="Z22" i="13"/>
  <c r="AU84" i="14"/>
  <c r="AU86" i="13"/>
  <c r="BL51" i="14"/>
  <c r="BT54" i="13"/>
  <c r="AC84" i="14"/>
  <c r="AC86" i="13"/>
  <c r="T94" i="14"/>
  <c r="T97" i="13"/>
  <c r="BU21" i="13"/>
  <c r="P29" i="13"/>
  <c r="P22" i="13"/>
  <c r="BH33" i="14"/>
  <c r="BP37" i="13"/>
  <c r="BO29" i="13"/>
  <c r="BO22" i="13"/>
  <c r="BQ29" i="13"/>
  <c r="BQ22" i="13"/>
  <c r="O84" i="14"/>
  <c r="O86" i="13"/>
  <c r="BN51" i="14"/>
  <c r="BV54" i="13"/>
  <c r="L36" i="14"/>
  <c r="S84" i="14"/>
  <c r="S86" i="13"/>
  <c r="BA84" i="14"/>
  <c r="BA86" i="13"/>
  <c r="AK43" i="14"/>
  <c r="AK46" i="13"/>
  <c r="BO35" i="14"/>
  <c r="BW39" i="13"/>
  <c r="T43" i="14"/>
  <c r="T46" i="13"/>
  <c r="AR35" i="14"/>
  <c r="AR39" i="13"/>
  <c r="R35" i="14"/>
  <c r="R39" i="13"/>
  <c r="AN35" i="14"/>
  <c r="AN39" i="13"/>
  <c r="BA43" i="14"/>
  <c r="BA46" i="13"/>
  <c r="AJ35" i="14"/>
  <c r="AJ39" i="13"/>
  <c r="BP51" i="14"/>
  <c r="BX54" i="13"/>
  <c r="Y21" i="13"/>
  <c r="AY43" i="14"/>
  <c r="AY46" i="13"/>
  <c r="AZ35" i="14"/>
  <c r="AZ39" i="13"/>
  <c r="BR51" i="14"/>
  <c r="BZ54" i="13"/>
  <c r="AF94" i="14"/>
  <c r="AF97" i="13"/>
  <c r="Q45" i="13"/>
  <c r="P45" i="13"/>
  <c r="BA94" i="14"/>
  <c r="BA97" i="13"/>
  <c r="BR27" i="14"/>
  <c r="BZ31" i="13"/>
  <c r="M35" i="14"/>
  <c r="M39" i="13"/>
  <c r="BT45" i="13"/>
  <c r="BS45" i="13"/>
  <c r="BR45" i="13"/>
  <c r="BQ45" i="13"/>
  <c r="AU43" i="14"/>
  <c r="AU46" i="13"/>
  <c r="S94" i="14"/>
  <c r="S97" i="13"/>
  <c r="O43" i="14"/>
  <c r="O46" i="13"/>
  <c r="AS43" i="14"/>
  <c r="AS46" i="13"/>
  <c r="AP27" i="13"/>
  <c r="AP26" i="13"/>
  <c r="AW43" i="14"/>
  <c r="AW46" i="13"/>
  <c r="Z27" i="13"/>
  <c r="Z26" i="13"/>
  <c r="BK27" i="14"/>
  <c r="BS31" i="13"/>
  <c r="AY84" i="14"/>
  <c r="AY86" i="13"/>
  <c r="J35" i="14"/>
  <c r="J39" i="13"/>
  <c r="X84" i="14"/>
  <c r="X86" i="13"/>
  <c r="Z84" i="14"/>
  <c r="Z86" i="13"/>
  <c r="Y27" i="14"/>
  <c r="Y31" i="13"/>
  <c r="AH35" i="14"/>
  <c r="AH39" i="13"/>
  <c r="Y51" i="14"/>
  <c r="Y54" i="13"/>
  <c r="AV35" i="14"/>
  <c r="AV39" i="13"/>
  <c r="AP84" i="14"/>
  <c r="AP86" i="13"/>
  <c r="BM27" i="14"/>
  <c r="BU31" i="13"/>
  <c r="AK94" i="14"/>
  <c r="AK97" i="13"/>
  <c r="W43" i="14"/>
  <c r="W46" i="13"/>
  <c r="AM84" i="14"/>
  <c r="AM86" i="13"/>
  <c r="T84" i="14"/>
  <c r="T86" i="13"/>
  <c r="V35" i="14"/>
  <c r="V39" i="13"/>
  <c r="X43" i="14"/>
  <c r="X46" i="13"/>
  <c r="Z43" i="14"/>
  <c r="Z46" i="13"/>
  <c r="AO84" i="14"/>
  <c r="AO86" i="13"/>
  <c r="Q27" i="14"/>
  <c r="Q31" i="13"/>
  <c r="BY29" i="13"/>
  <c r="BY22" i="13"/>
  <c r="BJ33" i="14"/>
  <c r="BR37" i="13"/>
  <c r="AM94" i="14"/>
  <c r="AM97" i="13"/>
  <c r="AK84" i="14"/>
  <c r="AK86" i="13"/>
  <c r="L38" i="14"/>
  <c r="L39" i="14" s="1"/>
  <c r="L41" i="13"/>
  <c r="L42" i="13" s="1"/>
  <c r="AT35" i="14"/>
  <c r="AT39" i="13"/>
  <c r="AX35" i="14"/>
  <c r="AX39" i="13"/>
  <c r="BS29" i="13"/>
  <c r="BS22" i="13"/>
  <c r="AP43" i="14"/>
  <c r="AP46" i="13"/>
  <c r="K84" i="14"/>
  <c r="K86" i="13"/>
  <c r="AS84" i="14"/>
  <c r="AS86" i="13"/>
  <c r="BH51" i="14"/>
  <c r="BP54" i="13"/>
  <c r="BQ26" i="13"/>
  <c r="W94" i="14"/>
  <c r="W97" i="13"/>
  <c r="AU94" i="14"/>
  <c r="AU97" i="13"/>
  <c r="K94" i="14"/>
  <c r="K97" i="13"/>
  <c r="AS94" i="14"/>
  <c r="AS97" i="13"/>
  <c r="L40" i="13"/>
  <c r="BC94" i="14"/>
  <c r="BC97" i="13"/>
  <c r="BC43" i="14"/>
  <c r="BC46" i="13"/>
  <c r="BB35" i="14"/>
  <c r="BB39" i="13"/>
  <c r="BC86" i="13"/>
  <c r="BC84" i="14"/>
  <c r="BS27" i="14"/>
  <c r="CA31" i="13"/>
  <c r="BE45" i="14"/>
  <c r="BE48" i="13"/>
  <c r="BE43" i="14"/>
  <c r="BE46" i="13"/>
  <c r="BE97" i="13"/>
  <c r="BE94" i="14"/>
  <c r="BE84" i="14"/>
  <c r="BE86" i="13"/>
  <c r="CA48" i="13"/>
  <c r="BS45" i="14"/>
  <c r="BD35" i="14"/>
  <c r="BD39" i="13"/>
  <c r="BV45" i="13"/>
  <c r="BX45" i="13"/>
  <c r="Q25" i="13"/>
  <c r="BZ25" i="13"/>
  <c r="CB25" i="13"/>
  <c r="BT21" i="13"/>
  <c r="BV12" i="14"/>
  <c r="CC11" i="13"/>
  <c r="BZ45" i="13"/>
  <c r="CB45" i="13"/>
  <c r="BP25" i="13"/>
  <c r="Y45" i="13"/>
  <c r="BR21" i="13"/>
  <c r="BV21" i="13"/>
  <c r="BX21" i="13"/>
  <c r="BT25" i="13"/>
  <c r="BR25" i="13"/>
  <c r="BV25" i="13"/>
  <c r="BX25" i="13"/>
  <c r="Q21" i="13"/>
  <c r="BZ21" i="13"/>
  <c r="CB21" i="13"/>
  <c r="BP21" i="13"/>
  <c r="CC10" i="13"/>
  <c r="BV11" i="14"/>
  <c r="AR538" i="1" l="1"/>
  <c r="AS538" i="1" s="1"/>
  <c r="AS537" i="1"/>
  <c r="AL258" i="1"/>
  <c r="AM258" i="1" s="1"/>
  <c r="AM221" i="1"/>
  <c r="BB455" i="1"/>
  <c r="BC452" i="1"/>
  <c r="BD448" i="1"/>
  <c r="AI63" i="1"/>
  <c r="AH65" i="1"/>
  <c r="AI65" i="1" s="1"/>
  <c r="AT522" i="1"/>
  <c r="AT526" i="1"/>
  <c r="AV514" i="1"/>
  <c r="AG227" i="1"/>
  <c r="AF264" i="1"/>
  <c r="AG264" i="1" s="1"/>
  <c r="AF228" i="1"/>
  <c r="AG228" i="1" s="1"/>
  <c r="AP558" i="1"/>
  <c r="AQ558" i="1" s="1"/>
  <c r="AQ556" i="1"/>
  <c r="AJ222" i="1"/>
  <c r="AJ211" i="1"/>
  <c r="AK211" i="1" s="1"/>
  <c r="AK210" i="1"/>
  <c r="AL204" i="1"/>
  <c r="AK46" i="1"/>
  <c r="AJ47" i="1"/>
  <c r="AK47" i="1" s="1"/>
  <c r="AI223" i="1"/>
  <c r="AH225" i="1"/>
  <c r="AH260" i="1"/>
  <c r="AI260" i="1" s="1"/>
  <c r="AK35" i="1"/>
  <c r="AJ41" i="1"/>
  <c r="AJ36" i="1"/>
  <c r="AL28" i="1"/>
  <c r="AN193" i="1"/>
  <c r="AO187" i="1"/>
  <c r="AN200" i="1"/>
  <c r="AN199" i="1"/>
  <c r="AO199" i="1" s="1"/>
  <c r="AN198" i="1"/>
  <c r="AO198" i="1" s="1"/>
  <c r="AR531" i="1"/>
  <c r="AR541" i="1"/>
  <c r="AS530" i="1"/>
  <c r="AR562" i="1"/>
  <c r="AS562" i="1" s="1"/>
  <c r="AJ218" i="1"/>
  <c r="AK218" i="1" s="1"/>
  <c r="AK217" i="1"/>
  <c r="CA39" i="13"/>
  <c r="CA40" i="13" s="1"/>
  <c r="BL45" i="14"/>
  <c r="BT48" i="13"/>
  <c r="BR45" i="14"/>
  <c r="BZ48" i="13"/>
  <c r="AU45" i="14"/>
  <c r="AU48" i="13"/>
  <c r="BJ45" i="14"/>
  <c r="BR48" i="13"/>
  <c r="BC45" i="14"/>
  <c r="BC48" i="13"/>
  <c r="AM35" i="14"/>
  <c r="AM39" i="13"/>
  <c r="BO38" i="14"/>
  <c r="BO39" i="14" s="1"/>
  <c r="BW41" i="13"/>
  <c r="BW42" i="13" s="1"/>
  <c r="AW35" i="14"/>
  <c r="AW39" i="13"/>
  <c r="J38" i="14"/>
  <c r="J39" i="14" s="1"/>
  <c r="J41" i="13"/>
  <c r="J42" i="13" s="1"/>
  <c r="BQ43" i="14"/>
  <c r="BY46" i="13"/>
  <c r="P43" i="14"/>
  <c r="P46" i="13"/>
  <c r="X35" i="14"/>
  <c r="X39" i="13"/>
  <c r="T35" i="14"/>
  <c r="T39" i="13"/>
  <c r="BN27" i="14"/>
  <c r="BV31" i="13"/>
  <c r="AP35" i="14"/>
  <c r="AP39" i="13"/>
  <c r="AD38" i="14"/>
  <c r="AD39" i="14" s="1"/>
  <c r="AD41" i="13"/>
  <c r="AD42" i="13" s="1"/>
  <c r="BM94" i="14"/>
  <c r="BU97" i="13"/>
  <c r="AJ38" i="14"/>
  <c r="AJ39" i="14" s="1"/>
  <c r="AJ41" i="13"/>
  <c r="BI94" i="14"/>
  <c r="BQ97" i="13"/>
  <c r="AC94" i="14"/>
  <c r="AC97" i="13"/>
  <c r="AG94" i="14"/>
  <c r="AG97" i="13"/>
  <c r="W35" i="14"/>
  <c r="W39" i="13"/>
  <c r="BK84" i="14"/>
  <c r="BS86" i="13"/>
  <c r="N38" i="14"/>
  <c r="N39" i="14" s="1"/>
  <c r="N41" i="13"/>
  <c r="N42" i="13" s="1"/>
  <c r="AG84" i="14"/>
  <c r="AG86" i="13"/>
  <c r="AX40" i="13"/>
  <c r="AV36" i="14"/>
  <c r="AZ40" i="13"/>
  <c r="AJ36" i="14"/>
  <c r="AN36" i="14"/>
  <c r="AR36" i="14"/>
  <c r="BW40" i="13"/>
  <c r="AQ94" i="14"/>
  <c r="AQ97" i="13"/>
  <c r="AB36" i="14"/>
  <c r="AD36" i="14"/>
  <c r="BG84" i="14"/>
  <c r="BO86" i="13"/>
  <c r="BL27" i="14"/>
  <c r="BT31" i="13"/>
  <c r="AU35" i="14"/>
  <c r="AU39" i="13"/>
  <c r="AB38" i="14"/>
  <c r="AB39" i="14" s="1"/>
  <c r="AB41" i="13"/>
  <c r="AB42" i="13" s="1"/>
  <c r="BI27" i="14"/>
  <c r="BQ31" i="13"/>
  <c r="AF35" i="14"/>
  <c r="AF39" i="13"/>
  <c r="V38" i="14"/>
  <c r="V39" i="14" s="1"/>
  <c r="V41" i="13"/>
  <c r="V42" i="13" s="1"/>
  <c r="R38" i="14"/>
  <c r="R39" i="14" s="1"/>
  <c r="R41" i="13"/>
  <c r="R42" i="13" s="1"/>
  <c r="AX36" i="14"/>
  <c r="BP27" i="14"/>
  <c r="BX31" i="13"/>
  <c r="AZ36" i="14"/>
  <c r="R40" i="13"/>
  <c r="BO36" i="14"/>
  <c r="N40" i="13"/>
  <c r="AL40" i="13"/>
  <c r="AA94" i="14"/>
  <c r="AA97" i="13"/>
  <c r="BG94" i="14"/>
  <c r="BO97" i="13"/>
  <c r="BQ94" i="14"/>
  <c r="BY97" i="13"/>
  <c r="P94" i="14"/>
  <c r="P97" i="13"/>
  <c r="AG43" i="14"/>
  <c r="AG46" i="13"/>
  <c r="AL38" i="14"/>
  <c r="AL39" i="14" s="1"/>
  <c r="AL41" i="13"/>
  <c r="AL42" i="13" s="1"/>
  <c r="Z35" i="14"/>
  <c r="Z39" i="13"/>
  <c r="AX38" i="14"/>
  <c r="AX39" i="14" s="1"/>
  <c r="AX41" i="13"/>
  <c r="AX42" i="13" s="1"/>
  <c r="AT38" i="14"/>
  <c r="AT39" i="14" s="1"/>
  <c r="AT41" i="13"/>
  <c r="AT42" i="13" s="1"/>
  <c r="BM43" i="14"/>
  <c r="BU46" i="13"/>
  <c r="BI43" i="14"/>
  <c r="BQ46" i="13"/>
  <c r="BA35" i="14"/>
  <c r="BA39" i="13"/>
  <c r="BK94" i="14"/>
  <c r="BS97" i="13"/>
  <c r="AS35" i="14"/>
  <c r="AS39" i="13"/>
  <c r="AQ43" i="14"/>
  <c r="AQ46" i="13"/>
  <c r="AT40" i="13"/>
  <c r="M38" i="14"/>
  <c r="M41" i="13"/>
  <c r="AA43" i="14"/>
  <c r="AA46" i="13"/>
  <c r="V40" i="13"/>
  <c r="U84" i="14"/>
  <c r="U86" i="13"/>
  <c r="AQ84" i="14"/>
  <c r="AQ86" i="13"/>
  <c r="AH36" i="14"/>
  <c r="J40" i="13"/>
  <c r="R36" i="14"/>
  <c r="BU29" i="13"/>
  <c r="BU22" i="13"/>
  <c r="U94" i="14"/>
  <c r="U97" i="13"/>
  <c r="N36" i="14"/>
  <c r="AL36" i="14"/>
  <c r="AH38" i="14"/>
  <c r="AH39" i="14" s="1"/>
  <c r="AH41" i="13"/>
  <c r="AH42" i="13" s="1"/>
  <c r="BQ84" i="14"/>
  <c r="BY86" i="13"/>
  <c r="P84" i="14"/>
  <c r="P86" i="13"/>
  <c r="BK43" i="14"/>
  <c r="BS46" i="13"/>
  <c r="AH40" i="13"/>
  <c r="AE35" i="14"/>
  <c r="AE39" i="13"/>
  <c r="BM84" i="14"/>
  <c r="BU86" i="13"/>
  <c r="AK35" i="14"/>
  <c r="AK39" i="13"/>
  <c r="BI84" i="14"/>
  <c r="BQ86" i="13"/>
  <c r="AI94" i="14"/>
  <c r="AI97" i="13"/>
  <c r="AZ38" i="14"/>
  <c r="AZ39" i="14" s="1"/>
  <c r="AZ41" i="13"/>
  <c r="AZ42" i="13" s="1"/>
  <c r="BH27" i="14"/>
  <c r="BP31" i="13"/>
  <c r="AV38" i="14"/>
  <c r="AV39" i="14" s="1"/>
  <c r="AV41" i="13"/>
  <c r="AV42" i="13" s="1"/>
  <c r="O35" i="14"/>
  <c r="O39" i="13"/>
  <c r="AC43" i="14"/>
  <c r="AC46" i="13"/>
  <c r="K35" i="14"/>
  <c r="K39" i="13"/>
  <c r="AN38" i="14"/>
  <c r="AN39" i="14" s="1"/>
  <c r="AN41" i="13"/>
  <c r="AN42" i="13" s="1"/>
  <c r="S35" i="14"/>
  <c r="S39" i="13"/>
  <c r="AR38" i="14"/>
  <c r="AR39" i="14" s="1"/>
  <c r="AR41" i="13"/>
  <c r="AR42" i="13" s="1"/>
  <c r="AT36" i="14"/>
  <c r="V36" i="14"/>
  <c r="AV40" i="13"/>
  <c r="AA84" i="14"/>
  <c r="AA86" i="13"/>
  <c r="J36" i="14"/>
  <c r="AJ42" i="13"/>
  <c r="AJ40" i="13"/>
  <c r="AN40" i="13"/>
  <c r="AR40" i="13"/>
  <c r="U43" i="14"/>
  <c r="U46" i="13"/>
  <c r="AB40" i="13"/>
  <c r="AD40" i="13"/>
  <c r="AO43" i="14"/>
  <c r="AO46" i="13"/>
  <c r="BC35" i="14"/>
  <c r="BC39" i="13"/>
  <c r="BB38" i="14"/>
  <c r="BB39" i="14" s="1"/>
  <c r="BB41" i="13"/>
  <c r="BB42" i="13" s="1"/>
  <c r="BB40" i="13"/>
  <c r="BB36" i="14"/>
  <c r="BT27" i="14"/>
  <c r="CB31" i="13"/>
  <c r="CA41" i="13"/>
  <c r="BS38" i="14"/>
  <c r="BS39" i="14" s="1"/>
  <c r="BE39" i="13"/>
  <c r="BE35" i="14"/>
  <c r="BT45" i="14"/>
  <c r="CB48" i="13"/>
  <c r="BD40" i="13"/>
  <c r="BD38" i="14"/>
  <c r="BD39" i="14" s="1"/>
  <c r="BD41" i="13"/>
  <c r="BD42" i="13" s="1"/>
  <c r="BD36" i="14"/>
  <c r="BS36" i="14"/>
  <c r="CD11" i="13"/>
  <c r="CD10" i="13"/>
  <c r="CA42" i="13" l="1"/>
  <c r="AS541" i="1"/>
  <c r="AR542" i="1"/>
  <c r="AS542" i="1" s="1"/>
  <c r="AO200" i="1"/>
  <c r="AN201" i="1"/>
  <c r="AO201" i="1" s="1"/>
  <c r="AJ69" i="1"/>
  <c r="AK69" i="1" s="1"/>
  <c r="AK36" i="1"/>
  <c r="AJ64" i="1"/>
  <c r="AK64" i="1" s="1"/>
  <c r="AJ63" i="1"/>
  <c r="AJ68" i="1"/>
  <c r="AK68" i="1" s="1"/>
  <c r="AJ92" i="1"/>
  <c r="AI225" i="1"/>
  <c r="AH227" i="1"/>
  <c r="AH262" i="1"/>
  <c r="AI262" i="1" s="1"/>
  <c r="AL216" i="1"/>
  <c r="AM216" i="1" s="1"/>
  <c r="AL210" i="1"/>
  <c r="AM204" i="1"/>
  <c r="AL217" i="1"/>
  <c r="AL215" i="1"/>
  <c r="AM215" i="1" s="1"/>
  <c r="AU526" i="1"/>
  <c r="AT530" i="1"/>
  <c r="AT535" i="1"/>
  <c r="AU535" i="1" s="1"/>
  <c r="AT536" i="1"/>
  <c r="AU536" i="1" s="1"/>
  <c r="AT537" i="1"/>
  <c r="BD469" i="1"/>
  <c r="BD452" i="1"/>
  <c r="BE448" i="1"/>
  <c r="BM448" i="1"/>
  <c r="AR561" i="1"/>
  <c r="AS561" i="1" s="1"/>
  <c r="AR557" i="1"/>
  <c r="AS557" i="1" s="1"/>
  <c r="AS531" i="1"/>
  <c r="AR556" i="1"/>
  <c r="AT523" i="1"/>
  <c r="AV518" i="1"/>
  <c r="AN194" i="1"/>
  <c r="AO194" i="1" s="1"/>
  <c r="AN221" i="1"/>
  <c r="AO193" i="1"/>
  <c r="AP187" i="1"/>
  <c r="AV515" i="1"/>
  <c r="AX510" i="1"/>
  <c r="BB456" i="1"/>
  <c r="BC456" i="1" s="1"/>
  <c r="AL35" i="1"/>
  <c r="AL46" i="1"/>
  <c r="AM28" i="1"/>
  <c r="AL45" i="1"/>
  <c r="AM45" i="1" s="1"/>
  <c r="AL44" i="1"/>
  <c r="AM44" i="1" s="1"/>
  <c r="AL43" i="1"/>
  <c r="AM43" i="1" s="1"/>
  <c r="AK222" i="1"/>
  <c r="AJ259" i="1"/>
  <c r="AK259" i="1" s="1"/>
  <c r="AJ223" i="1"/>
  <c r="BY11" i="14"/>
  <c r="AF38" i="14"/>
  <c r="AF41" i="13"/>
  <c r="AF42" i="13" s="1"/>
  <c r="Z38" i="14"/>
  <c r="Z39" i="14" s="1"/>
  <c r="Z41" i="13"/>
  <c r="BP94" i="14"/>
  <c r="BX97" i="13"/>
  <c r="BQ35" i="14"/>
  <c r="BY39" i="13"/>
  <c r="Q84" i="14"/>
  <c r="Q86" i="13"/>
  <c r="Q94" i="14"/>
  <c r="Q97" i="13"/>
  <c r="T36" i="14"/>
  <c r="BL94" i="14"/>
  <c r="BT97" i="13"/>
  <c r="U35" i="14"/>
  <c r="U39" i="13"/>
  <c r="BR84" i="14"/>
  <c r="BZ86" i="13"/>
  <c r="BP84" i="14"/>
  <c r="BX86" i="13"/>
  <c r="BR43" i="14"/>
  <c r="BZ46" i="13"/>
  <c r="AE38" i="14"/>
  <c r="AE41" i="13"/>
  <c r="AC35" i="14"/>
  <c r="AC39" i="13"/>
  <c r="K38" i="14"/>
  <c r="K41" i="13"/>
  <c r="AG35" i="14"/>
  <c r="AG39" i="13"/>
  <c r="BP43" i="14"/>
  <c r="BX46" i="13"/>
  <c r="T38" i="14"/>
  <c r="T39" i="14" s="1"/>
  <c r="T41" i="13"/>
  <c r="T42" i="13" s="1"/>
  <c r="AA35" i="14"/>
  <c r="AA39" i="13"/>
  <c r="AS38" i="14"/>
  <c r="AS41" i="13"/>
  <c r="BJ43" i="14"/>
  <c r="BR46" i="13"/>
  <c r="Y84" i="14"/>
  <c r="Y86" i="13"/>
  <c r="X38" i="14"/>
  <c r="X39" i="14" s="1"/>
  <c r="X41" i="13"/>
  <c r="X42" i="13" s="1"/>
  <c r="BN84" i="14"/>
  <c r="BV86" i="13"/>
  <c r="Y94" i="14"/>
  <c r="Y97" i="13"/>
  <c r="BG35" i="14"/>
  <c r="BO39" i="13"/>
  <c r="AW38" i="14"/>
  <c r="AW41" i="13"/>
  <c r="Z42" i="13"/>
  <c r="Z40" i="13"/>
  <c r="BH94" i="14"/>
  <c r="BP97" i="13"/>
  <c r="S38" i="14"/>
  <c r="S41" i="13"/>
  <c r="AF40" i="13"/>
  <c r="O38" i="14"/>
  <c r="O41" i="13"/>
  <c r="AP40" i="13"/>
  <c r="X40" i="13"/>
  <c r="Q43" i="14"/>
  <c r="Q46" i="13"/>
  <c r="Y43" i="14"/>
  <c r="Y46" i="13"/>
  <c r="BJ27" i="14"/>
  <c r="BR31" i="13"/>
  <c r="BL84" i="14"/>
  <c r="BT86" i="13"/>
  <c r="AI35" i="14"/>
  <c r="AI39" i="13"/>
  <c r="AO35" i="14"/>
  <c r="AO39" i="13"/>
  <c r="AY35" i="14"/>
  <c r="AY39" i="13"/>
  <c r="AQ35" i="14"/>
  <c r="AQ39" i="13"/>
  <c r="BN94" i="14"/>
  <c r="BV97" i="13"/>
  <c r="W38" i="14"/>
  <c r="W41" i="13"/>
  <c r="BJ94" i="14"/>
  <c r="BR97" i="13"/>
  <c r="BN43" i="14"/>
  <c r="BV46" i="13"/>
  <c r="AP38" i="14"/>
  <c r="AP39" i="14" s="1"/>
  <c r="AP41" i="13"/>
  <c r="AP42" i="13" s="1"/>
  <c r="P35" i="14"/>
  <c r="P39" i="13"/>
  <c r="BR94" i="14"/>
  <c r="BZ97" i="13"/>
  <c r="BL43" i="14"/>
  <c r="BT46" i="13"/>
  <c r="BJ84" i="14"/>
  <c r="BR86" i="13"/>
  <c r="BM35" i="14"/>
  <c r="BU39" i="13"/>
  <c r="AU38" i="14"/>
  <c r="AU41" i="13"/>
  <c r="AK38" i="14"/>
  <c r="AK41" i="13"/>
  <c r="BK35" i="14"/>
  <c r="BS39" i="13"/>
  <c r="BI35" i="14"/>
  <c r="BQ39" i="13"/>
  <c r="BA38" i="14"/>
  <c r="BA41" i="13"/>
  <c r="Z36" i="14"/>
  <c r="AM38" i="14"/>
  <c r="AM41" i="13"/>
  <c r="AF39" i="14"/>
  <c r="AF36" i="14"/>
  <c r="BH84" i="14"/>
  <c r="BP86" i="13"/>
  <c r="AP36" i="14"/>
  <c r="T40" i="13"/>
  <c r="X36" i="14"/>
  <c r="BC41" i="13"/>
  <c r="BC38" i="14"/>
  <c r="CB86" i="13"/>
  <c r="BT84" i="14"/>
  <c r="BE41" i="13"/>
  <c r="BE38" i="14"/>
  <c r="CB46" i="13"/>
  <c r="BT43" i="14"/>
  <c r="BT94" i="14"/>
  <c r="CB97" i="13"/>
  <c r="BW11" i="14"/>
  <c r="AM46" i="1" l="1"/>
  <c r="AL47" i="1"/>
  <c r="AM47" i="1" s="1"/>
  <c r="AX514" i="1"/>
  <c r="AN258" i="1"/>
  <c r="AO258" i="1" s="1"/>
  <c r="AO221" i="1"/>
  <c r="AS556" i="1"/>
  <c r="AR558" i="1"/>
  <c r="AS558" i="1" s="1"/>
  <c r="AT538" i="1"/>
  <c r="AU538" i="1" s="1"/>
  <c r="AU537" i="1"/>
  <c r="AL222" i="1"/>
  <c r="AM210" i="1"/>
  <c r="AN204" i="1"/>
  <c r="AL211" i="1"/>
  <c r="AM211" i="1" s="1"/>
  <c r="AK223" i="1"/>
  <c r="AJ225" i="1"/>
  <c r="AJ260" i="1"/>
  <c r="AK260" i="1" s="1"/>
  <c r="AL36" i="1"/>
  <c r="AL41" i="1"/>
  <c r="AN28" i="1"/>
  <c r="AM35" i="1"/>
  <c r="AP199" i="1"/>
  <c r="AQ199" i="1" s="1"/>
  <c r="AP198" i="1"/>
  <c r="AQ198" i="1" s="1"/>
  <c r="AP193" i="1"/>
  <c r="AQ187" i="1"/>
  <c r="AP200" i="1"/>
  <c r="AV522" i="1"/>
  <c r="AV526" i="1"/>
  <c r="BE452" i="1"/>
  <c r="BF448" i="1"/>
  <c r="BD455" i="1"/>
  <c r="BM452" i="1"/>
  <c r="AL218" i="1"/>
  <c r="AM218" i="1" s="1"/>
  <c r="AM217" i="1"/>
  <c r="BM469" i="1"/>
  <c r="BE469" i="1"/>
  <c r="AT541" i="1"/>
  <c r="AU530" i="1"/>
  <c r="AT562" i="1"/>
  <c r="AU562" i="1" s="1"/>
  <c r="AT531" i="1"/>
  <c r="AI227" i="1"/>
  <c r="AH264" i="1"/>
  <c r="AI264" i="1" s="1"/>
  <c r="AH228" i="1"/>
  <c r="AI228" i="1" s="1"/>
  <c r="AK63" i="1"/>
  <c r="AJ65" i="1"/>
  <c r="AK65" i="1" s="1"/>
  <c r="BW12" i="14"/>
  <c r="BQ38" i="14"/>
  <c r="BQ39" i="14" s="1"/>
  <c r="BY41" i="13"/>
  <c r="BY42" i="13" s="1"/>
  <c r="BM36" i="14"/>
  <c r="BH35" i="14"/>
  <c r="BP39" i="13"/>
  <c r="BL35" i="14"/>
  <c r="BT39" i="13"/>
  <c r="BN35" i="14"/>
  <c r="BV39" i="13"/>
  <c r="BI36" i="14"/>
  <c r="P36" i="14"/>
  <c r="BO40" i="13"/>
  <c r="BJ35" i="14"/>
  <c r="BR39" i="13"/>
  <c r="BK38" i="14"/>
  <c r="BK39" i="14" s="1"/>
  <c r="BS41" i="13"/>
  <c r="BS42" i="13" s="1"/>
  <c r="BS40" i="13"/>
  <c r="Y35" i="14"/>
  <c r="Y39" i="13"/>
  <c r="BG36" i="14"/>
  <c r="AY38" i="14"/>
  <c r="AY41" i="13"/>
  <c r="BG38" i="14"/>
  <c r="BG39" i="14" s="1"/>
  <c r="BO41" i="13"/>
  <c r="BO42" i="13" s="1"/>
  <c r="BI38" i="14"/>
  <c r="BI39" i="14" s="1"/>
  <c r="BQ41" i="13"/>
  <c r="BQ42" i="13" s="1"/>
  <c r="P38" i="14"/>
  <c r="P39" i="14" s="1"/>
  <c r="P41" i="13"/>
  <c r="P42" i="13" s="1"/>
  <c r="BP35" i="14"/>
  <c r="BX39" i="13"/>
  <c r="BM38" i="14"/>
  <c r="BM39" i="14" s="1"/>
  <c r="BU41" i="13"/>
  <c r="BU42" i="13" s="1"/>
  <c r="BK36" i="14"/>
  <c r="BY40" i="13"/>
  <c r="Q35" i="14"/>
  <c r="Q39" i="13"/>
  <c r="AO38" i="14"/>
  <c r="AO41" i="13"/>
  <c r="AQ38" i="14"/>
  <c r="AQ41" i="13"/>
  <c r="AA38" i="14"/>
  <c r="AA41" i="13"/>
  <c r="AC38" i="14"/>
  <c r="AC41" i="13"/>
  <c r="AI38" i="14"/>
  <c r="AI41" i="13"/>
  <c r="BR35" i="14"/>
  <c r="BZ39" i="13"/>
  <c r="BQ40" i="13"/>
  <c r="BU40" i="13"/>
  <c r="P40" i="13"/>
  <c r="U38" i="14"/>
  <c r="U41" i="13"/>
  <c r="BQ36" i="14"/>
  <c r="AG38" i="14"/>
  <c r="AG41" i="13"/>
  <c r="CB39" i="13"/>
  <c r="BT35" i="14"/>
  <c r="CE10" i="13"/>
  <c r="BX11" i="14"/>
  <c r="CG10" i="13"/>
  <c r="BZ11" i="14"/>
  <c r="BD456" i="1" l="1"/>
  <c r="AV523" i="1"/>
  <c r="AX518" i="1"/>
  <c r="AL259" i="1"/>
  <c r="AM259" i="1" s="1"/>
  <c r="AM222" i="1"/>
  <c r="AL223" i="1"/>
  <c r="AX515" i="1"/>
  <c r="AZ510" i="1"/>
  <c r="BF452" i="1"/>
  <c r="BG448" i="1"/>
  <c r="BF469" i="1"/>
  <c r="BG469" i="1" s="1"/>
  <c r="AQ200" i="1"/>
  <c r="AP201" i="1"/>
  <c r="AQ201" i="1" s="1"/>
  <c r="AL64" i="1"/>
  <c r="AM64" i="1" s="1"/>
  <c r="AL69" i="1"/>
  <c r="AM69" i="1" s="1"/>
  <c r="AM36" i="1"/>
  <c r="AL68" i="1"/>
  <c r="AM68" i="1" s="1"/>
  <c r="AL63" i="1"/>
  <c r="AL92" i="1"/>
  <c r="AU541" i="1"/>
  <c r="AT542" i="1"/>
  <c r="AU542" i="1" s="1"/>
  <c r="AN210" i="1"/>
  <c r="AO204" i="1"/>
  <c r="AN217" i="1"/>
  <c r="AN216" i="1"/>
  <c r="AO216" i="1" s="1"/>
  <c r="AN215" i="1"/>
  <c r="AO215" i="1" s="1"/>
  <c r="AT561" i="1"/>
  <c r="AU561" i="1" s="1"/>
  <c r="AT557" i="1"/>
  <c r="AU557" i="1" s="1"/>
  <c r="AU531" i="1"/>
  <c r="AT556" i="1"/>
  <c r="AW526" i="1"/>
  <c r="AV530" i="1"/>
  <c r="AV536" i="1"/>
  <c r="AW536" i="1" s="1"/>
  <c r="AV535" i="1"/>
  <c r="AW535" i="1" s="1"/>
  <c r="AV537" i="1"/>
  <c r="AP221" i="1"/>
  <c r="AQ193" i="1"/>
  <c r="AP194" i="1"/>
  <c r="AQ194" i="1" s="1"/>
  <c r="AR187" i="1"/>
  <c r="AN45" i="1"/>
  <c r="AO45" i="1" s="1"/>
  <c r="AN44" i="1"/>
  <c r="AO44" i="1" s="1"/>
  <c r="AN43" i="1"/>
  <c r="AO43" i="1" s="1"/>
  <c r="AN35" i="1"/>
  <c r="AN46" i="1"/>
  <c r="AO28" i="1"/>
  <c r="AJ227" i="1"/>
  <c r="AK225" i="1"/>
  <c r="AJ262" i="1"/>
  <c r="AK262" i="1" s="1"/>
  <c r="CE11" i="13"/>
  <c r="BX12" i="14"/>
  <c r="BN38" i="14"/>
  <c r="BV41" i="13"/>
  <c r="BP38" i="14"/>
  <c r="BX41" i="13"/>
  <c r="Q38" i="14"/>
  <c r="Q41" i="13"/>
  <c r="BJ38" i="14"/>
  <c r="BR41" i="13"/>
  <c r="BH38" i="14"/>
  <c r="BP41" i="13"/>
  <c r="BR38" i="14"/>
  <c r="BZ41" i="13"/>
  <c r="Y38" i="14"/>
  <c r="Y41" i="13"/>
  <c r="BL38" i="14"/>
  <c r="BT41" i="13"/>
  <c r="CB41" i="13"/>
  <c r="BT38" i="14"/>
  <c r="CF11" i="13"/>
  <c r="CA11" i="14"/>
  <c r="BY12" i="14"/>
  <c r="CH10" i="13"/>
  <c r="CF10" i="13"/>
  <c r="AK227" i="1" l="1"/>
  <c r="AJ264" i="1"/>
  <c r="AK264" i="1" s="1"/>
  <c r="AJ228" i="1"/>
  <c r="AK228" i="1" s="1"/>
  <c r="AT558" i="1"/>
  <c r="AU558" i="1" s="1"/>
  <c r="AU556" i="1"/>
  <c r="AN211" i="1"/>
  <c r="AO211" i="1" s="1"/>
  <c r="AN222" i="1"/>
  <c r="AO210" i="1"/>
  <c r="AP204" i="1"/>
  <c r="AX522" i="1"/>
  <c r="AX526" i="1"/>
  <c r="AM63" i="1"/>
  <c r="AL65" i="1"/>
  <c r="AM65" i="1" s="1"/>
  <c r="AL225" i="1"/>
  <c r="AM223" i="1"/>
  <c r="AL260" i="1"/>
  <c r="AM260" i="1" s="1"/>
  <c r="AO46" i="1"/>
  <c r="AN47" i="1"/>
  <c r="AO47" i="1" s="1"/>
  <c r="AP258" i="1"/>
  <c r="AQ258" i="1" s="1"/>
  <c r="AQ221" i="1"/>
  <c r="AV531" i="1"/>
  <c r="AV541" i="1"/>
  <c r="AW530" i="1"/>
  <c r="AV562" i="1"/>
  <c r="AW562" i="1" s="1"/>
  <c r="AN218" i="1"/>
  <c r="AO218" i="1" s="1"/>
  <c r="AO217" i="1"/>
  <c r="BG452" i="1"/>
  <c r="BH448" i="1"/>
  <c r="BF455" i="1"/>
  <c r="BM456" i="1"/>
  <c r="BE456" i="1"/>
  <c r="AN41" i="1"/>
  <c r="AP28" i="1"/>
  <c r="AO35" i="1"/>
  <c r="AN36" i="1"/>
  <c r="AR193" i="1"/>
  <c r="AS187" i="1"/>
  <c r="AR200" i="1"/>
  <c r="AR199" i="1"/>
  <c r="AS199" i="1" s="1"/>
  <c r="AR198" i="1"/>
  <c r="AS198" i="1" s="1"/>
  <c r="AV538" i="1"/>
  <c r="AW538" i="1" s="1"/>
  <c r="AW537" i="1"/>
  <c r="AZ514" i="1"/>
  <c r="CC11" i="14"/>
  <c r="CA12" i="14"/>
  <c r="CI10" i="13"/>
  <c r="CB11" i="14"/>
  <c r="BZ12" i="14"/>
  <c r="CG11" i="13"/>
  <c r="CC12" i="14"/>
  <c r="AS200" i="1" l="1"/>
  <c r="AR201" i="1"/>
  <c r="AS201" i="1" s="1"/>
  <c r="AW541" i="1"/>
  <c r="AV542" i="1"/>
  <c r="AW542" i="1" s="1"/>
  <c r="AY526" i="1"/>
  <c r="AX530" i="1"/>
  <c r="AX535" i="1"/>
  <c r="AX536" i="1"/>
  <c r="AY536" i="1" s="1"/>
  <c r="AX537" i="1"/>
  <c r="AO222" i="1"/>
  <c r="AN259" i="1"/>
  <c r="AO259" i="1" s="1"/>
  <c r="AN223" i="1"/>
  <c r="AP35" i="1"/>
  <c r="AQ28" i="1"/>
  <c r="AP46" i="1"/>
  <c r="AP45" i="1"/>
  <c r="AQ45" i="1" s="1"/>
  <c r="AP44" i="1"/>
  <c r="AQ44" i="1" s="1"/>
  <c r="AP43" i="1"/>
  <c r="AQ43" i="1" s="1"/>
  <c r="BF456" i="1"/>
  <c r="BG456" i="1" s="1"/>
  <c r="AV561" i="1"/>
  <c r="AW561" i="1" s="1"/>
  <c r="AV557" i="1"/>
  <c r="AW557" i="1" s="1"/>
  <c r="AW531" i="1"/>
  <c r="AV556" i="1"/>
  <c r="AM225" i="1"/>
  <c r="AL227" i="1"/>
  <c r="AL262" i="1"/>
  <c r="AM262" i="1" s="1"/>
  <c r="AZ518" i="1"/>
  <c r="AX523" i="1"/>
  <c r="BB510" i="1"/>
  <c r="AZ515" i="1"/>
  <c r="AR194" i="1"/>
  <c r="AS194" i="1" s="1"/>
  <c r="AR221" i="1"/>
  <c r="AT187" i="1"/>
  <c r="AS193" i="1"/>
  <c r="BH452" i="1"/>
  <c r="BI448" i="1"/>
  <c r="BH469" i="1"/>
  <c r="BI469" i="1" s="1"/>
  <c r="AP216" i="1"/>
  <c r="AQ216" i="1" s="1"/>
  <c r="AP215" i="1"/>
  <c r="AQ215" i="1" s="1"/>
  <c r="AP210" i="1"/>
  <c r="AQ204" i="1"/>
  <c r="AP217" i="1"/>
  <c r="AN69" i="1"/>
  <c r="AO69" i="1" s="1"/>
  <c r="AO36" i="1"/>
  <c r="AN64" i="1"/>
  <c r="AO64" i="1" s="1"/>
  <c r="AN63" i="1"/>
  <c r="AN68" i="1"/>
  <c r="AO68" i="1" s="1"/>
  <c r="AN92" i="1"/>
  <c r="CE11" i="14"/>
  <c r="CK10" i="13"/>
  <c r="CD11" i="14"/>
  <c r="CD12" i="14"/>
  <c r="CK11" i="13"/>
  <c r="CE12" i="14"/>
  <c r="CH11" i="13"/>
  <c r="CI11" i="13"/>
  <c r="CB12" i="14"/>
  <c r="CJ10" i="13"/>
  <c r="AO63" i="1" l="1"/>
  <c r="AN65" i="1"/>
  <c r="AO65" i="1" s="1"/>
  <c r="AP218" i="1"/>
  <c r="AQ218" i="1" s="1"/>
  <c r="AQ217" i="1"/>
  <c r="AQ46" i="1"/>
  <c r="AP47" i="1"/>
  <c r="AQ47" i="1" s="1"/>
  <c r="AY535" i="1"/>
  <c r="BG535" i="1"/>
  <c r="AT199" i="1"/>
  <c r="AU199" i="1" s="1"/>
  <c r="AT198" i="1"/>
  <c r="AU198" i="1" s="1"/>
  <c r="AT193" i="1"/>
  <c r="AU187" i="1"/>
  <c r="AT200" i="1"/>
  <c r="BB514" i="1"/>
  <c r="AM227" i="1"/>
  <c r="AL264" i="1"/>
  <c r="AM264" i="1" s="1"/>
  <c r="AL228" i="1"/>
  <c r="AM228" i="1" s="1"/>
  <c r="AX541" i="1"/>
  <c r="AY530" i="1"/>
  <c r="AX562" i="1"/>
  <c r="AY562" i="1" s="1"/>
  <c r="AX531" i="1"/>
  <c r="AQ210" i="1"/>
  <c r="AP211" i="1"/>
  <c r="AQ211" i="1" s="1"/>
  <c r="AR204" i="1"/>
  <c r="AP222" i="1"/>
  <c r="AR258" i="1"/>
  <c r="AS258" i="1" s="1"/>
  <c r="AS221" i="1"/>
  <c r="AP36" i="1"/>
  <c r="AP41" i="1"/>
  <c r="AQ35" i="1"/>
  <c r="AR28" i="1"/>
  <c r="AX538" i="1"/>
  <c r="AY537" i="1"/>
  <c r="BI452" i="1"/>
  <c r="BH455" i="1"/>
  <c r="BH456" i="1" s="1"/>
  <c r="BI456" i="1" s="1"/>
  <c r="AZ522" i="1"/>
  <c r="AZ526" i="1"/>
  <c r="AW556" i="1"/>
  <c r="AV558" i="1"/>
  <c r="AW558" i="1" s="1"/>
  <c r="AO223" i="1"/>
  <c r="AN225" i="1"/>
  <c r="AN260" i="1"/>
  <c r="AO260" i="1" s="1"/>
  <c r="CJ11" i="13"/>
  <c r="CM11" i="13"/>
  <c r="CL11" i="13"/>
  <c r="CM10" i="13"/>
  <c r="CL10" i="13"/>
  <c r="AY541" i="1" l="1"/>
  <c r="AX542" i="1"/>
  <c r="AY542" i="1" s="1"/>
  <c r="AN227" i="1"/>
  <c r="AO225" i="1"/>
  <c r="AN262" i="1"/>
  <c r="AO262" i="1" s="1"/>
  <c r="BA526" i="1"/>
  <c r="AZ530" i="1"/>
  <c r="AZ536" i="1"/>
  <c r="BA536" i="1" s="1"/>
  <c r="AZ537" i="1"/>
  <c r="AZ535" i="1"/>
  <c r="BA535" i="1" s="1"/>
  <c r="BB518" i="1"/>
  <c r="AZ523" i="1"/>
  <c r="AY538" i="1"/>
  <c r="BG538" i="1"/>
  <c r="AP64" i="1"/>
  <c r="AQ64" i="1" s="1"/>
  <c r="AP69" i="1"/>
  <c r="AQ69" i="1" s="1"/>
  <c r="AQ36" i="1"/>
  <c r="AP68" i="1"/>
  <c r="AQ68" i="1" s="1"/>
  <c r="AP63" i="1"/>
  <c r="AP92" i="1"/>
  <c r="AP259" i="1"/>
  <c r="AQ259" i="1" s="1"/>
  <c r="AQ222" i="1"/>
  <c r="AP223" i="1"/>
  <c r="AX561" i="1"/>
  <c r="AY561" i="1" s="1"/>
  <c r="AX557" i="1"/>
  <c r="AY557" i="1" s="1"/>
  <c r="AY531" i="1"/>
  <c r="AX556" i="1"/>
  <c r="BB515" i="1"/>
  <c r="BD510" i="1"/>
  <c r="AV187" i="1"/>
  <c r="AU193" i="1"/>
  <c r="AT221" i="1"/>
  <c r="AT194" i="1"/>
  <c r="AU194" i="1" s="1"/>
  <c r="AR45" i="1"/>
  <c r="AS45" i="1" s="1"/>
  <c r="AR44" i="1"/>
  <c r="AS44" i="1" s="1"/>
  <c r="AR43" i="1"/>
  <c r="AS43" i="1" s="1"/>
  <c r="AS28" i="1"/>
  <c r="AR35" i="1"/>
  <c r="AR46" i="1"/>
  <c r="AR210" i="1"/>
  <c r="AS204" i="1"/>
  <c r="AR217" i="1"/>
  <c r="AR216" i="1"/>
  <c r="AS216" i="1" s="1"/>
  <c r="AR215" i="1"/>
  <c r="AS215" i="1" s="1"/>
  <c r="AU200" i="1"/>
  <c r="AT201" i="1"/>
  <c r="AU201" i="1" s="1"/>
  <c r="AS46" i="1" l="1"/>
  <c r="AR47" i="1"/>
  <c r="AS47" i="1" s="1"/>
  <c r="AX558" i="1"/>
  <c r="AY558" i="1" s="1"/>
  <c r="AY556" i="1"/>
  <c r="AQ223" i="1"/>
  <c r="AP225" i="1"/>
  <c r="AP260" i="1"/>
  <c r="AQ260" i="1" s="1"/>
  <c r="AQ63" i="1"/>
  <c r="AP65" i="1"/>
  <c r="AQ65" i="1" s="1"/>
  <c r="BB522" i="1"/>
  <c r="BB526" i="1"/>
  <c r="AZ531" i="1"/>
  <c r="AZ541" i="1"/>
  <c r="BA530" i="1"/>
  <c r="AZ562" i="1"/>
  <c r="BA562" i="1" s="1"/>
  <c r="AO227" i="1"/>
  <c r="AN264" i="1"/>
  <c r="AO264" i="1" s="1"/>
  <c r="AN228" i="1"/>
  <c r="AO228" i="1" s="1"/>
  <c r="AR218" i="1"/>
  <c r="AS218" i="1" s="1"/>
  <c r="AS217" i="1"/>
  <c r="AS35" i="1"/>
  <c r="AR41" i="1"/>
  <c r="AR36" i="1"/>
  <c r="AT28" i="1"/>
  <c r="AV193" i="1"/>
  <c r="AW187" i="1"/>
  <c r="AV200" i="1"/>
  <c r="AV199" i="1"/>
  <c r="AW199" i="1" s="1"/>
  <c r="AV198" i="1"/>
  <c r="AW198" i="1" s="1"/>
  <c r="BD514" i="1"/>
  <c r="BD515" i="1" s="1"/>
  <c r="AZ538" i="1"/>
  <c r="BA538" i="1" s="1"/>
  <c r="BA537" i="1"/>
  <c r="AR222" i="1"/>
  <c r="AR211" i="1"/>
  <c r="AS211" i="1" s="1"/>
  <c r="AS210" i="1"/>
  <c r="AT204" i="1"/>
  <c r="AT258" i="1"/>
  <c r="AU258" i="1" s="1"/>
  <c r="AU221" i="1"/>
  <c r="AW200" i="1" l="1"/>
  <c r="AV201" i="1"/>
  <c r="AW201" i="1" s="1"/>
  <c r="AR69" i="1"/>
  <c r="AS69" i="1" s="1"/>
  <c r="AS36" i="1"/>
  <c r="AR64" i="1"/>
  <c r="AS64" i="1" s="1"/>
  <c r="AR68" i="1"/>
  <c r="AS68" i="1" s="1"/>
  <c r="AR63" i="1"/>
  <c r="AR92" i="1"/>
  <c r="AZ561" i="1"/>
  <c r="BA561" i="1" s="1"/>
  <c r="AZ557" i="1"/>
  <c r="BA557" i="1" s="1"/>
  <c r="BA531" i="1"/>
  <c r="AZ556" i="1"/>
  <c r="BC526" i="1"/>
  <c r="BB530" i="1"/>
  <c r="BB537" i="1"/>
  <c r="BB536" i="1"/>
  <c r="BC536" i="1" s="1"/>
  <c r="BB535" i="1"/>
  <c r="BC535" i="1" s="1"/>
  <c r="AT216" i="1"/>
  <c r="AU216" i="1" s="1"/>
  <c r="AT210" i="1"/>
  <c r="AU204" i="1"/>
  <c r="AT217" i="1"/>
  <c r="AT215" i="1"/>
  <c r="AU215" i="1" s="1"/>
  <c r="AV194" i="1"/>
  <c r="AW194" i="1" s="1"/>
  <c r="AV221" i="1"/>
  <c r="AW193" i="1"/>
  <c r="AX187" i="1"/>
  <c r="BB523" i="1"/>
  <c r="BD518" i="1"/>
  <c r="AQ225" i="1"/>
  <c r="AP227" i="1"/>
  <c r="AP262" i="1"/>
  <c r="AQ262" i="1" s="1"/>
  <c r="AS222" i="1"/>
  <c r="AR259" i="1"/>
  <c r="AS259" i="1" s="1"/>
  <c r="AR223" i="1"/>
  <c r="AT35" i="1"/>
  <c r="AT46" i="1"/>
  <c r="AU28" i="1"/>
  <c r="AT45" i="1"/>
  <c r="AU45" i="1" s="1"/>
  <c r="AT44" i="1"/>
  <c r="AU44" i="1" s="1"/>
  <c r="AT43" i="1"/>
  <c r="AU43" i="1" s="1"/>
  <c r="BA541" i="1"/>
  <c r="AZ542" i="1"/>
  <c r="BA542" i="1" s="1"/>
  <c r="AU46" i="1" l="1"/>
  <c r="AT47" i="1"/>
  <c r="AU47" i="1" s="1"/>
  <c r="BD522" i="1"/>
  <c r="BD523" i="1" s="1"/>
  <c r="BD526" i="1"/>
  <c r="AV258" i="1"/>
  <c r="AW258" i="1" s="1"/>
  <c r="AW221" i="1"/>
  <c r="BA556" i="1"/>
  <c r="AZ558" i="1"/>
  <c r="BA558" i="1" s="1"/>
  <c r="AT36" i="1"/>
  <c r="AT41" i="1"/>
  <c r="AV28" i="1"/>
  <c r="AU35" i="1"/>
  <c r="AT222" i="1"/>
  <c r="AU210" i="1"/>
  <c r="AV204" i="1"/>
  <c r="AT211" i="1"/>
  <c r="AU211" i="1" s="1"/>
  <c r="BB538" i="1"/>
  <c r="BC538" i="1" s="1"/>
  <c r="BC537" i="1"/>
  <c r="AS63" i="1"/>
  <c r="AR65" i="1"/>
  <c r="AS65" i="1" s="1"/>
  <c r="AS223" i="1"/>
  <c r="AR225" i="1"/>
  <c r="AR260" i="1"/>
  <c r="AS260" i="1" s="1"/>
  <c r="AQ227" i="1"/>
  <c r="AP264" i="1"/>
  <c r="AQ264" i="1" s="1"/>
  <c r="AP228" i="1"/>
  <c r="AQ228" i="1" s="1"/>
  <c r="AX199" i="1"/>
  <c r="AX198" i="1"/>
  <c r="AX193" i="1"/>
  <c r="AY187" i="1"/>
  <c r="AX200" i="1"/>
  <c r="BB541" i="1"/>
  <c r="BC530" i="1"/>
  <c r="BB562" i="1"/>
  <c r="BC562" i="1" s="1"/>
  <c r="BB531" i="1"/>
  <c r="AT218" i="1"/>
  <c r="AU218" i="1" s="1"/>
  <c r="AU217" i="1"/>
  <c r="AR227" i="1" l="1"/>
  <c r="AS225" i="1"/>
  <c r="AR262" i="1"/>
  <c r="AS262" i="1" s="1"/>
  <c r="AV45" i="1"/>
  <c r="AW45" i="1" s="1"/>
  <c r="AV44" i="1"/>
  <c r="AW44" i="1" s="1"/>
  <c r="AV43" i="1"/>
  <c r="AW43" i="1" s="1"/>
  <c r="AV35" i="1"/>
  <c r="AV46" i="1"/>
  <c r="AW28" i="1"/>
  <c r="BC541" i="1"/>
  <c r="BB542" i="1"/>
  <c r="BC542" i="1" s="1"/>
  <c r="AY198" i="1"/>
  <c r="BG198" i="1"/>
  <c r="AT259" i="1"/>
  <c r="AU259" i="1" s="1"/>
  <c r="AU222" i="1"/>
  <c r="AT223" i="1"/>
  <c r="AT64" i="1"/>
  <c r="AU64" i="1" s="1"/>
  <c r="AT69" i="1"/>
  <c r="AU69" i="1" s="1"/>
  <c r="AU36" i="1"/>
  <c r="AT68" i="1"/>
  <c r="AU68" i="1" s="1"/>
  <c r="AT63" i="1"/>
  <c r="AT92" i="1"/>
  <c r="AV210" i="1"/>
  <c r="AW204" i="1"/>
  <c r="AV217" i="1"/>
  <c r="AV216" i="1"/>
  <c r="AW216" i="1" s="1"/>
  <c r="AV215" i="1"/>
  <c r="AW215" i="1" s="1"/>
  <c r="BM526" i="1"/>
  <c r="BE526" i="1"/>
  <c r="BD530" i="1"/>
  <c r="BD535" i="1"/>
  <c r="BD536" i="1"/>
  <c r="BD537" i="1"/>
  <c r="AX221" i="1"/>
  <c r="AY193" i="1"/>
  <c r="AX194" i="1"/>
  <c r="AY194" i="1" s="1"/>
  <c r="AZ187" i="1"/>
  <c r="BB561" i="1"/>
  <c r="BC561" i="1" s="1"/>
  <c r="BB557" i="1"/>
  <c r="BC557" i="1" s="1"/>
  <c r="BC531" i="1"/>
  <c r="BB556" i="1"/>
  <c r="AY200" i="1"/>
  <c r="AX201" i="1"/>
  <c r="AY199" i="1"/>
  <c r="BG199" i="1"/>
  <c r="BM535" i="1" l="1"/>
  <c r="BE535" i="1"/>
  <c r="BD531" i="1"/>
  <c r="BM530" i="1"/>
  <c r="BF526" i="1"/>
  <c r="BD541" i="1"/>
  <c r="BE530" i="1"/>
  <c r="BD562" i="1"/>
  <c r="AV41" i="1"/>
  <c r="AX28" i="1"/>
  <c r="AW35" i="1"/>
  <c r="AV36" i="1"/>
  <c r="AV211" i="1"/>
  <c r="AW211" i="1" s="1"/>
  <c r="AX204" i="1"/>
  <c r="AV222" i="1"/>
  <c r="AW210" i="1"/>
  <c r="AW46" i="1"/>
  <c r="AV47" i="1"/>
  <c r="AW47" i="1" s="1"/>
  <c r="BB558" i="1"/>
  <c r="BC558" i="1" s="1"/>
  <c r="BC556" i="1"/>
  <c r="AZ193" i="1"/>
  <c r="BA187" i="1"/>
  <c r="AZ200" i="1"/>
  <c r="AZ199" i="1"/>
  <c r="AZ198" i="1"/>
  <c r="BM537" i="1"/>
  <c r="BD538" i="1"/>
  <c r="BE537" i="1"/>
  <c r="AV218" i="1"/>
  <c r="AW218" i="1" s="1"/>
  <c r="AW217" i="1"/>
  <c r="AU63" i="1"/>
  <c r="AT65" i="1"/>
  <c r="AU65" i="1" s="1"/>
  <c r="BG201" i="1"/>
  <c r="AY201" i="1"/>
  <c r="AX258" i="1"/>
  <c r="AY221" i="1"/>
  <c r="BM536" i="1"/>
  <c r="BF536" i="1"/>
  <c r="BE536" i="1"/>
  <c r="AT225" i="1"/>
  <c r="AU223" i="1"/>
  <c r="AT260" i="1"/>
  <c r="AU260" i="1" s="1"/>
  <c r="AS227" i="1"/>
  <c r="AR264" i="1"/>
  <c r="AS264" i="1" s="1"/>
  <c r="AR228" i="1"/>
  <c r="AS228" i="1" s="1"/>
  <c r="BA199" i="1" l="1"/>
  <c r="BI199" i="1"/>
  <c r="AV69" i="1"/>
  <c r="AW69" i="1" s="1"/>
  <c r="AW36" i="1"/>
  <c r="AV64" i="1"/>
  <c r="AW64" i="1" s="1"/>
  <c r="AV63" i="1"/>
  <c r="AV68" i="1"/>
  <c r="AW68" i="1" s="1"/>
  <c r="AV92" i="1"/>
  <c r="BG536" i="1"/>
  <c r="BH536" i="1"/>
  <c r="BF258" i="1"/>
  <c r="BG258" i="1" s="1"/>
  <c r="AY258" i="1"/>
  <c r="BM538" i="1"/>
  <c r="BE538" i="1"/>
  <c r="BA200" i="1"/>
  <c r="AZ201" i="1"/>
  <c r="AW222" i="1"/>
  <c r="AV259" i="1"/>
  <c r="AW259" i="1" s="1"/>
  <c r="AV223" i="1"/>
  <c r="BM531" i="1"/>
  <c r="BD561" i="1"/>
  <c r="BD557" i="1"/>
  <c r="BE531" i="1"/>
  <c r="BD556" i="1"/>
  <c r="AX216" i="1"/>
  <c r="AX215" i="1"/>
  <c r="AX210" i="1"/>
  <c r="AY204" i="1"/>
  <c r="AX217" i="1"/>
  <c r="AX35" i="1"/>
  <c r="AY28" i="1"/>
  <c r="AX46" i="1"/>
  <c r="AX45" i="1"/>
  <c r="AX44" i="1"/>
  <c r="AX43" i="1"/>
  <c r="BM541" i="1"/>
  <c r="BE541" i="1"/>
  <c r="BD542" i="1"/>
  <c r="BF562" i="1"/>
  <c r="BE562" i="1"/>
  <c r="BM562" i="1"/>
  <c r="AU225" i="1"/>
  <c r="AT227" i="1"/>
  <c r="AT262" i="1"/>
  <c r="AU262" i="1" s="1"/>
  <c r="BA198" i="1"/>
  <c r="BI198" i="1"/>
  <c r="AZ194" i="1"/>
  <c r="BA194" i="1" s="1"/>
  <c r="AZ221" i="1"/>
  <c r="BB187" i="1"/>
  <c r="BA193" i="1"/>
  <c r="BF529" i="1"/>
  <c r="BG526" i="1"/>
  <c r="BF527" i="1"/>
  <c r="BF528" i="1"/>
  <c r="BF537" i="1" l="1"/>
  <c r="BG537" i="1" s="1"/>
  <c r="BG529" i="1"/>
  <c r="AU227" i="1"/>
  <c r="AT264" i="1"/>
  <c r="AU264" i="1" s="1"/>
  <c r="AT228" i="1"/>
  <c r="AU228" i="1" s="1"/>
  <c r="BG562" i="1"/>
  <c r="BH562" i="1"/>
  <c r="AY46" i="1"/>
  <c r="AX47" i="1"/>
  <c r="BE556" i="1"/>
  <c r="BM556" i="1"/>
  <c r="BD558" i="1"/>
  <c r="BF556" i="1"/>
  <c r="BA201" i="1"/>
  <c r="BI201" i="1"/>
  <c r="AZ258" i="1"/>
  <c r="BA221" i="1"/>
  <c r="BG528" i="1"/>
  <c r="BM542" i="1"/>
  <c r="BE542" i="1"/>
  <c r="BG43" i="1"/>
  <c r="AY43" i="1"/>
  <c r="AY210" i="1"/>
  <c r="AX211" i="1"/>
  <c r="AY211" i="1" s="1"/>
  <c r="AX222" i="1"/>
  <c r="AZ204" i="1"/>
  <c r="AW223" i="1"/>
  <c r="AV225" i="1"/>
  <c r="AV260" i="1"/>
  <c r="AW260" i="1" s="1"/>
  <c r="BG527" i="1"/>
  <c r="BF533" i="1"/>
  <c r="BG533" i="1" s="1"/>
  <c r="BF530" i="1"/>
  <c r="BB199" i="1"/>
  <c r="BB198" i="1"/>
  <c r="BB193" i="1"/>
  <c r="BC187" i="1"/>
  <c r="BB200" i="1"/>
  <c r="BG44" i="1"/>
  <c r="AY44" i="1"/>
  <c r="AX36" i="1"/>
  <c r="AX41" i="1"/>
  <c r="AY35" i="1"/>
  <c r="AZ28" i="1"/>
  <c r="AY215" i="1"/>
  <c r="BG215" i="1"/>
  <c r="BF557" i="1"/>
  <c r="BE557" i="1"/>
  <c r="BM557" i="1"/>
  <c r="AW63" i="1"/>
  <c r="AV65" i="1"/>
  <c r="AW65" i="1" s="1"/>
  <c r="AY45" i="1"/>
  <c r="BG45" i="1"/>
  <c r="AX218" i="1"/>
  <c r="AY217" i="1"/>
  <c r="AY216" i="1"/>
  <c r="BG216" i="1"/>
  <c r="BM561" i="1"/>
  <c r="BF561" i="1"/>
  <c r="BE561" i="1"/>
  <c r="BD187" i="1" l="1"/>
  <c r="BC193" i="1"/>
  <c r="BB221" i="1"/>
  <c r="BB194" i="1"/>
  <c r="BC194" i="1" s="1"/>
  <c r="AV227" i="1"/>
  <c r="AW225" i="1"/>
  <c r="AV262" i="1"/>
  <c r="AW262" i="1" s="1"/>
  <c r="BH557" i="1"/>
  <c r="BG557" i="1"/>
  <c r="BC198" i="1"/>
  <c r="BK198" i="1"/>
  <c r="BF558" i="1"/>
  <c r="BG558" i="1" s="1"/>
  <c r="BH556" i="1"/>
  <c r="BG556" i="1"/>
  <c r="AY47" i="1"/>
  <c r="BG47" i="1"/>
  <c r="AZ45" i="1"/>
  <c r="AZ44" i="1"/>
  <c r="AZ43" i="1"/>
  <c r="BA28" i="1"/>
  <c r="AZ35" i="1"/>
  <c r="AZ46" i="1"/>
  <c r="BH561" i="1"/>
  <c r="BG561" i="1"/>
  <c r="AY218" i="1"/>
  <c r="BG218" i="1"/>
  <c r="BC200" i="1"/>
  <c r="BB201" i="1"/>
  <c r="BC199" i="1"/>
  <c r="BK199" i="1"/>
  <c r="AZ210" i="1"/>
  <c r="BA204" i="1"/>
  <c r="AZ217" i="1"/>
  <c r="AZ216" i="1"/>
  <c r="AZ215" i="1"/>
  <c r="BA258" i="1"/>
  <c r="BI258" i="1"/>
  <c r="BM558" i="1"/>
  <c r="BE558" i="1"/>
  <c r="AX64" i="1"/>
  <c r="AY64" i="1" s="1"/>
  <c r="AX69" i="1"/>
  <c r="AY69" i="1" s="1"/>
  <c r="AY36" i="1"/>
  <c r="AX63" i="1"/>
  <c r="AX68" i="1"/>
  <c r="AY68" i="1" s="1"/>
  <c r="AX92" i="1"/>
  <c r="BG530" i="1"/>
  <c r="BF531" i="1"/>
  <c r="BF550" i="1"/>
  <c r="BH526" i="1"/>
  <c r="BF541" i="1"/>
  <c r="AX259" i="1"/>
  <c r="AY259" i="1" s="1"/>
  <c r="AY222" i="1"/>
  <c r="AX223" i="1"/>
  <c r="BC201" i="1" l="1"/>
  <c r="BK201" i="1"/>
  <c r="BG550" i="1"/>
  <c r="BG531" i="1"/>
  <c r="BF552" i="1"/>
  <c r="BF549" i="1"/>
  <c r="BF548" i="1"/>
  <c r="AY63" i="1"/>
  <c r="AX65" i="1"/>
  <c r="AY65" i="1" s="1"/>
  <c r="BA215" i="1"/>
  <c r="BI215" i="1"/>
  <c r="AZ222" i="1"/>
  <c r="AZ211" i="1"/>
  <c r="BA211" i="1" s="1"/>
  <c r="BB204" i="1"/>
  <c r="BA210" i="1"/>
  <c r="BI43" i="1"/>
  <c r="BA43" i="1"/>
  <c r="BB258" i="1"/>
  <c r="BC221" i="1"/>
  <c r="BA216" i="1"/>
  <c r="BI216" i="1"/>
  <c r="BA46" i="1"/>
  <c r="AZ47" i="1"/>
  <c r="BA44" i="1"/>
  <c r="BI44" i="1"/>
  <c r="BG541" i="1"/>
  <c r="BF542" i="1"/>
  <c r="BG542" i="1" s="1"/>
  <c r="AY223" i="1"/>
  <c r="AX225" i="1"/>
  <c r="AX260" i="1"/>
  <c r="AY260" i="1" s="1"/>
  <c r="BH527" i="1"/>
  <c r="BH528" i="1"/>
  <c r="CI528" i="1" s="1"/>
  <c r="CI536" i="1" s="1"/>
  <c r="BH529" i="1"/>
  <c r="AZ218" i="1"/>
  <c r="BA217" i="1"/>
  <c r="BA35" i="1"/>
  <c r="AZ41" i="1"/>
  <c r="AZ36" i="1"/>
  <c r="BB28" i="1"/>
  <c r="BA45" i="1"/>
  <c r="BI45" i="1"/>
  <c r="BH558" i="1"/>
  <c r="AW227" i="1"/>
  <c r="AV264" i="1"/>
  <c r="AW264" i="1" s="1"/>
  <c r="AV228" i="1"/>
  <c r="AW228" i="1" s="1"/>
  <c r="BD193" i="1"/>
  <c r="BE187" i="1"/>
  <c r="BD200" i="1"/>
  <c r="BD199" i="1"/>
  <c r="BD198" i="1"/>
  <c r="BH537" i="1" l="1"/>
  <c r="CI529" i="1"/>
  <c r="CI537" i="1" s="1"/>
  <c r="AY225" i="1"/>
  <c r="AX227" i="1"/>
  <c r="AX262" i="1"/>
  <c r="AY262" i="1" s="1"/>
  <c r="BG548" i="1"/>
  <c r="BF551" i="1"/>
  <c r="BE198" i="1"/>
  <c r="BM198" i="1"/>
  <c r="BD194" i="1"/>
  <c r="BE194" i="1" s="1"/>
  <c r="BD221" i="1"/>
  <c r="BE193" i="1"/>
  <c r="BF187" i="1"/>
  <c r="BB35" i="1"/>
  <c r="BB46" i="1"/>
  <c r="BC28" i="1"/>
  <c r="BB45" i="1"/>
  <c r="BB44" i="1"/>
  <c r="BB43" i="1"/>
  <c r="BK258" i="1"/>
  <c r="BC258" i="1"/>
  <c r="BB216" i="1"/>
  <c r="BB210" i="1"/>
  <c r="BC204" i="1"/>
  <c r="BB217" i="1"/>
  <c r="BB215" i="1"/>
  <c r="BG549" i="1"/>
  <c r="BE199" i="1"/>
  <c r="BM199" i="1"/>
  <c r="AZ69" i="1"/>
  <c r="BA69" i="1" s="1"/>
  <c r="BA36" i="1"/>
  <c r="AZ64" i="1"/>
  <c r="BA64" i="1" s="1"/>
  <c r="AZ63" i="1"/>
  <c r="AZ68" i="1"/>
  <c r="BA68" i="1" s="1"/>
  <c r="AZ92" i="1"/>
  <c r="BI218" i="1"/>
  <c r="BA218" i="1"/>
  <c r="BH533" i="1"/>
  <c r="CI527" i="1"/>
  <c r="BF565" i="1"/>
  <c r="BG552" i="1"/>
  <c r="BE200" i="1"/>
  <c r="BD201" i="1"/>
  <c r="BH530" i="1"/>
  <c r="BI47" i="1"/>
  <c r="BA47" i="1"/>
  <c r="BA222" i="1"/>
  <c r="AZ259" i="1"/>
  <c r="BA259" i="1" s="1"/>
  <c r="AZ223" i="1"/>
  <c r="BB222" i="1" l="1"/>
  <c r="BC210" i="1"/>
  <c r="BB211" i="1"/>
  <c r="BC211" i="1" s="1"/>
  <c r="BD204" i="1"/>
  <c r="BC43" i="1"/>
  <c r="BK43" i="1"/>
  <c r="BC46" i="1"/>
  <c r="BB47" i="1"/>
  <c r="BD258" i="1"/>
  <c r="BE221" i="1"/>
  <c r="BF553" i="1"/>
  <c r="BG551" i="1"/>
  <c r="AY227" i="1"/>
  <c r="AX264" i="1"/>
  <c r="AY264" i="1" s="1"/>
  <c r="AX228" i="1"/>
  <c r="AY228" i="1" s="1"/>
  <c r="BH531" i="1"/>
  <c r="BH550" i="1"/>
  <c r="CI550" i="1" s="1"/>
  <c r="BH541" i="1"/>
  <c r="BH542" i="1" s="1"/>
  <c r="BA63" i="1"/>
  <c r="AZ65" i="1"/>
  <c r="BA65" i="1" s="1"/>
  <c r="BC215" i="1"/>
  <c r="BK215" i="1"/>
  <c r="BC216" i="1"/>
  <c r="BK216" i="1"/>
  <c r="BK44" i="1"/>
  <c r="BC44" i="1"/>
  <c r="BB36" i="1"/>
  <c r="BB41" i="1"/>
  <c r="BD28" i="1"/>
  <c r="BC35" i="1"/>
  <c r="BE201" i="1"/>
  <c r="BM201" i="1"/>
  <c r="BG565" i="1"/>
  <c r="BB218" i="1"/>
  <c r="BC217" i="1"/>
  <c r="BK45" i="1"/>
  <c r="BC45" i="1"/>
  <c r="BF189" i="1"/>
  <c r="BG187" i="1"/>
  <c r="BF191" i="1"/>
  <c r="BF188" i="1"/>
  <c r="BA223" i="1"/>
  <c r="AZ225" i="1"/>
  <c r="AZ260" i="1"/>
  <c r="BA260" i="1" s="1"/>
  <c r="CI535" i="1"/>
  <c r="CI533" i="1"/>
  <c r="CI530" i="1"/>
  <c r="BG191" i="1" l="1"/>
  <c r="BF200" i="1"/>
  <c r="BG200" i="1" s="1"/>
  <c r="BF567" i="1"/>
  <c r="BF566" i="1"/>
  <c r="BG553" i="1"/>
  <c r="BC47" i="1"/>
  <c r="BK47" i="1"/>
  <c r="BD210" i="1"/>
  <c r="BE204" i="1"/>
  <c r="BD217" i="1"/>
  <c r="BD216" i="1"/>
  <c r="BD215" i="1"/>
  <c r="BD45" i="1"/>
  <c r="BD44" i="1"/>
  <c r="BD43" i="1"/>
  <c r="BD35" i="1"/>
  <c r="BD46" i="1"/>
  <c r="BE28" i="1"/>
  <c r="CI562" i="1"/>
  <c r="BF193" i="1"/>
  <c r="BH552" i="1"/>
  <c r="BH549" i="1"/>
  <c r="CI549" i="1" s="1"/>
  <c r="CI561" i="1" s="1"/>
  <c r="BH548" i="1"/>
  <c r="BM258" i="1"/>
  <c r="BE258" i="1"/>
  <c r="CI541" i="1"/>
  <c r="CI542" i="1" s="1"/>
  <c r="CI531" i="1"/>
  <c r="AZ227" i="1"/>
  <c r="BA225" i="1"/>
  <c r="AZ262" i="1"/>
  <c r="BA262" i="1" s="1"/>
  <c r="BG188" i="1"/>
  <c r="BF196" i="1"/>
  <c r="BG196" i="1" s="1"/>
  <c r="BG189" i="1"/>
  <c r="BC218" i="1"/>
  <c r="BK218" i="1"/>
  <c r="BB64" i="1"/>
  <c r="BC64" i="1" s="1"/>
  <c r="BB69" i="1"/>
  <c r="BC69" i="1" s="1"/>
  <c r="BC36" i="1"/>
  <c r="BB68" i="1"/>
  <c r="BC68" i="1" s="1"/>
  <c r="BB63" i="1"/>
  <c r="BB92" i="1"/>
  <c r="BB259" i="1"/>
  <c r="BC259" i="1" s="1"/>
  <c r="BC222" i="1"/>
  <c r="BB223" i="1"/>
  <c r="BE44" i="1" l="1"/>
  <c r="BM44" i="1"/>
  <c r="BD218" i="1"/>
  <c r="BE217" i="1"/>
  <c r="BH565" i="1"/>
  <c r="CI552" i="1"/>
  <c r="BE46" i="1"/>
  <c r="BD47" i="1"/>
  <c r="BM45" i="1"/>
  <c r="BE45" i="1"/>
  <c r="BA227" i="1"/>
  <c r="AZ264" i="1"/>
  <c r="BA264" i="1" s="1"/>
  <c r="AZ228" i="1"/>
  <c r="BA228" i="1" s="1"/>
  <c r="BH187" i="1"/>
  <c r="BF221" i="1"/>
  <c r="BG193" i="1"/>
  <c r="BF194" i="1"/>
  <c r="BG194" i="1" s="1"/>
  <c r="BD41" i="1"/>
  <c r="BF28" i="1"/>
  <c r="BE35" i="1"/>
  <c r="BD36" i="1"/>
  <c r="BE215" i="1"/>
  <c r="BM215" i="1"/>
  <c r="BD211" i="1"/>
  <c r="BE211" i="1" s="1"/>
  <c r="BD222" i="1"/>
  <c r="BE210" i="1"/>
  <c r="BF204" i="1"/>
  <c r="BG566" i="1"/>
  <c r="BF568" i="1"/>
  <c r="BF569" i="1"/>
  <c r="BB225" i="1"/>
  <c r="BC223" i="1"/>
  <c r="BB260" i="1"/>
  <c r="BC260" i="1" s="1"/>
  <c r="BC63" i="1"/>
  <c r="BB65" i="1"/>
  <c r="BC65" i="1" s="1"/>
  <c r="BH551" i="1"/>
  <c r="BH553" i="1" s="1"/>
  <c r="CI548" i="1"/>
  <c r="BE43" i="1"/>
  <c r="BM43" i="1"/>
  <c r="BE216" i="1"/>
  <c r="BM216" i="1"/>
  <c r="BG567" i="1"/>
  <c r="BG569" i="1" l="1"/>
  <c r="BF576" i="1"/>
  <c r="BF206" i="1"/>
  <c r="BG204" i="1"/>
  <c r="BF208" i="1"/>
  <c r="BF205" i="1"/>
  <c r="BF210" i="1" s="1"/>
  <c r="BG28" i="1"/>
  <c r="BF32" i="1"/>
  <c r="BF30" i="1"/>
  <c r="BF33" i="1"/>
  <c r="BF29" i="1"/>
  <c r="BG221" i="1"/>
  <c r="BF245" i="1"/>
  <c r="BM47" i="1"/>
  <c r="BE47" i="1"/>
  <c r="CI556" i="1"/>
  <c r="CI551" i="1"/>
  <c r="CI553" i="1" s="1"/>
  <c r="BG568" i="1"/>
  <c r="BI187" i="1"/>
  <c r="BH191" i="1"/>
  <c r="BH189" i="1"/>
  <c r="BH188" i="1"/>
  <c r="BM218" i="1"/>
  <c r="BE218" i="1"/>
  <c r="BH567" i="1"/>
  <c r="CI567" i="1" s="1"/>
  <c r="CI573" i="1" s="1"/>
  <c r="BH566" i="1"/>
  <c r="BE222" i="1"/>
  <c r="BD259" i="1"/>
  <c r="BD223" i="1"/>
  <c r="BD69" i="1"/>
  <c r="BE36" i="1"/>
  <c r="BD64" i="1"/>
  <c r="BD63" i="1"/>
  <c r="BD68" i="1"/>
  <c r="BD92" i="1"/>
  <c r="CI565" i="1"/>
  <c r="CI557" i="1"/>
  <c r="BC225" i="1"/>
  <c r="BB227" i="1"/>
  <c r="BB262" i="1"/>
  <c r="BC262" i="1" s="1"/>
  <c r="BF222" i="1" l="1"/>
  <c r="BH204" i="1"/>
  <c r="BG210" i="1"/>
  <c r="BF211" i="1"/>
  <c r="BG211" i="1" s="1"/>
  <c r="BH568" i="1"/>
  <c r="CI568" i="1" s="1"/>
  <c r="CI566" i="1"/>
  <c r="CI572" i="1" s="1"/>
  <c r="BF46" i="1"/>
  <c r="BG46" i="1" s="1"/>
  <c r="BG33" i="1"/>
  <c r="BF69" i="1"/>
  <c r="BE69" i="1"/>
  <c r="BH569" i="1"/>
  <c r="BH576" i="1" s="1"/>
  <c r="BF63" i="1"/>
  <c r="BE63" i="1"/>
  <c r="BD65" i="1"/>
  <c r="BE65" i="1" s="1"/>
  <c r="BE223" i="1"/>
  <c r="BD225" i="1"/>
  <c r="BD260" i="1"/>
  <c r="BE260" i="1" s="1"/>
  <c r="BH196" i="1"/>
  <c r="BI196" i="1" s="1"/>
  <c r="BI188" i="1"/>
  <c r="BH193" i="1"/>
  <c r="CI558" i="1"/>
  <c r="BG245" i="1"/>
  <c r="BG30" i="1"/>
  <c r="BG205" i="1"/>
  <c r="BF213" i="1"/>
  <c r="BG213" i="1" s="1"/>
  <c r="BF238" i="1"/>
  <c r="BG206" i="1"/>
  <c r="BF239" i="1"/>
  <c r="BG239" i="1" s="1"/>
  <c r="BF68" i="1"/>
  <c r="BE68" i="1"/>
  <c r="BF64" i="1"/>
  <c r="BE64" i="1"/>
  <c r="BF259" i="1"/>
  <c r="BE259" i="1"/>
  <c r="BI189" i="1"/>
  <c r="BG32" i="1"/>
  <c r="BG208" i="1"/>
  <c r="BF217" i="1"/>
  <c r="BG217" i="1" s="1"/>
  <c r="BF583" i="1"/>
  <c r="BF577" i="1"/>
  <c r="BG577" i="1" s="1"/>
  <c r="BG576" i="1"/>
  <c r="BC227" i="1"/>
  <c r="BB264" i="1"/>
  <c r="BC264" i="1" s="1"/>
  <c r="BB228" i="1"/>
  <c r="BC228" i="1" s="1"/>
  <c r="BI191" i="1"/>
  <c r="BH200" i="1"/>
  <c r="BI200" i="1" s="1"/>
  <c r="BF31" i="1"/>
  <c r="BG29" i="1"/>
  <c r="CI569" i="1" l="1"/>
  <c r="CI576" i="1" s="1"/>
  <c r="CI583" i="1" s="1"/>
  <c r="CI584" i="1" s="1"/>
  <c r="BH194" i="1"/>
  <c r="BI194" i="1" s="1"/>
  <c r="BJ187" i="1"/>
  <c r="BH221" i="1"/>
  <c r="BI193" i="1"/>
  <c r="BH259" i="1"/>
  <c r="BG259" i="1"/>
  <c r="BH69" i="1"/>
  <c r="BG69" i="1"/>
  <c r="BG31" i="1"/>
  <c r="BF38" i="1"/>
  <c r="BG38" i="1" s="1"/>
  <c r="BF35" i="1"/>
  <c r="BH68" i="1"/>
  <c r="BG68" i="1"/>
  <c r="BG238" i="1"/>
  <c r="BF240" i="1"/>
  <c r="BG240" i="1" s="1"/>
  <c r="BD227" i="1"/>
  <c r="BE225" i="1"/>
  <c r="BD262" i="1"/>
  <c r="BE262" i="1" s="1"/>
  <c r="BG63" i="1"/>
  <c r="BF65" i="1"/>
  <c r="BG65" i="1" s="1"/>
  <c r="BH63" i="1"/>
  <c r="BI204" i="1"/>
  <c r="BH208" i="1"/>
  <c r="BH206" i="1"/>
  <c r="BH205" i="1"/>
  <c r="BH210" i="1" s="1"/>
  <c r="BG583" i="1"/>
  <c r="BF586" i="1"/>
  <c r="BF584" i="1"/>
  <c r="BG584" i="1" s="1"/>
  <c r="BG64" i="1"/>
  <c r="BH64" i="1"/>
  <c r="BH583" i="1"/>
  <c r="BH577" i="1"/>
  <c r="CI574" i="1"/>
  <c r="BF246" i="1"/>
  <c r="BG222" i="1"/>
  <c r="BF223" i="1"/>
  <c r="CI577" i="1" l="1"/>
  <c r="BH211" i="1"/>
  <c r="BI211" i="1" s="1"/>
  <c r="BJ204" i="1"/>
  <c r="BH222" i="1"/>
  <c r="BI210" i="1"/>
  <c r="BJ191" i="1"/>
  <c r="BJ188" i="1"/>
  <c r="BK187" i="1"/>
  <c r="BJ189" i="1"/>
  <c r="BJ193" i="1" s="1"/>
  <c r="BF225" i="1"/>
  <c r="BG223" i="1"/>
  <c r="BI206" i="1"/>
  <c r="BH239" i="1"/>
  <c r="BI239" i="1" s="1"/>
  <c r="BJ63" i="1"/>
  <c r="BI63" i="1"/>
  <c r="BH65" i="1"/>
  <c r="BI65" i="1" s="1"/>
  <c r="BJ259" i="1"/>
  <c r="BI259" i="1"/>
  <c r="BH213" i="1"/>
  <c r="BI213" i="1" s="1"/>
  <c r="BI205" i="1"/>
  <c r="BH238" i="1"/>
  <c r="BH584" i="1"/>
  <c r="BH586" i="1"/>
  <c r="BH217" i="1"/>
  <c r="BI217" i="1" s="1"/>
  <c r="BI208" i="1"/>
  <c r="BE227" i="1"/>
  <c r="BD264" i="1"/>
  <c r="BE264" i="1" s="1"/>
  <c r="BD228" i="1"/>
  <c r="BE228" i="1" s="1"/>
  <c r="BJ68" i="1"/>
  <c r="BI68" i="1"/>
  <c r="BG246" i="1"/>
  <c r="BF247" i="1"/>
  <c r="BJ64" i="1"/>
  <c r="BI64" i="1"/>
  <c r="BF36" i="1"/>
  <c r="BH28" i="1"/>
  <c r="BG35" i="1"/>
  <c r="BJ69" i="1"/>
  <c r="BI69" i="1"/>
  <c r="BH245" i="1"/>
  <c r="BH223" i="1"/>
  <c r="BI221" i="1"/>
  <c r="BL69" i="1" l="1"/>
  <c r="BM69" i="1" s="1"/>
  <c r="BK69" i="1"/>
  <c r="BK63" i="1"/>
  <c r="BJ65" i="1"/>
  <c r="BK65" i="1" s="1"/>
  <c r="BL63" i="1"/>
  <c r="BJ221" i="1"/>
  <c r="BK193" i="1"/>
  <c r="BJ194" i="1"/>
  <c r="BK194" i="1" s="1"/>
  <c r="BL187" i="1"/>
  <c r="BH246" i="1"/>
  <c r="BI222" i="1"/>
  <c r="BI223" i="1"/>
  <c r="BH225" i="1"/>
  <c r="BK64" i="1"/>
  <c r="BL64" i="1"/>
  <c r="BM64" i="1" s="1"/>
  <c r="BH240" i="1"/>
  <c r="BI240" i="1" s="1"/>
  <c r="BI238" i="1"/>
  <c r="BL259" i="1"/>
  <c r="BM259" i="1" s="1"/>
  <c r="BK259" i="1"/>
  <c r="BG225" i="1"/>
  <c r="BF227" i="1"/>
  <c r="BK188" i="1"/>
  <c r="BJ196" i="1"/>
  <c r="BK196" i="1" s="1"/>
  <c r="BJ208" i="1"/>
  <c r="BJ205" i="1"/>
  <c r="BJ210" i="1"/>
  <c r="BK204" i="1"/>
  <c r="BJ206" i="1"/>
  <c r="BF56" i="1"/>
  <c r="BF59" i="1"/>
  <c r="BF57" i="1"/>
  <c r="BF53" i="1"/>
  <c r="BG36" i="1"/>
  <c r="BH247" i="1"/>
  <c r="BI245" i="1"/>
  <c r="BH30" i="1"/>
  <c r="BI28" i="1"/>
  <c r="BH33" i="1"/>
  <c r="BH29" i="1"/>
  <c r="BH32" i="1"/>
  <c r="BF262" i="1"/>
  <c r="BG262" i="1" s="1"/>
  <c r="BG247" i="1"/>
  <c r="BF260" i="1"/>
  <c r="BG260" i="1" s="1"/>
  <c r="BF251" i="1"/>
  <c r="BL68" i="1"/>
  <c r="BM68" i="1" s="1"/>
  <c r="BK68" i="1"/>
  <c r="BJ239" i="1"/>
  <c r="BK239" i="1" s="1"/>
  <c r="BK189" i="1"/>
  <c r="BJ200" i="1"/>
  <c r="BK200" i="1" s="1"/>
  <c r="BK191" i="1"/>
  <c r="BJ222" i="1" l="1"/>
  <c r="BK210" i="1"/>
  <c r="BJ211" i="1"/>
  <c r="BK211" i="1" s="1"/>
  <c r="BL204" i="1"/>
  <c r="BF264" i="1"/>
  <c r="BG264" i="1" s="1"/>
  <c r="BG251" i="1"/>
  <c r="BF252" i="1"/>
  <c r="BF623" i="1"/>
  <c r="BG59" i="1"/>
  <c r="BF72" i="1"/>
  <c r="BI30" i="1"/>
  <c r="BF619" i="1"/>
  <c r="BG619" i="1" s="1"/>
  <c r="BG56" i="1"/>
  <c r="BK205" i="1"/>
  <c r="BJ213" i="1"/>
  <c r="BK213" i="1" s="1"/>
  <c r="BH260" i="1"/>
  <c r="BI260" i="1" s="1"/>
  <c r="BH251" i="1"/>
  <c r="BH262" i="1"/>
  <c r="BI262" i="1" s="1"/>
  <c r="BI247" i="1"/>
  <c r="BI29" i="1"/>
  <c r="BH31" i="1"/>
  <c r="BF618" i="1"/>
  <c r="BF58" i="1"/>
  <c r="BG53" i="1"/>
  <c r="BK206" i="1"/>
  <c r="BJ217" i="1"/>
  <c r="BK217" i="1" s="1"/>
  <c r="BK208" i="1"/>
  <c r="BJ238" i="1"/>
  <c r="BI246" i="1"/>
  <c r="BK221" i="1"/>
  <c r="BJ245" i="1"/>
  <c r="BJ223" i="1"/>
  <c r="BI32" i="1"/>
  <c r="BH46" i="1"/>
  <c r="BI46" i="1" s="1"/>
  <c r="BI33" i="1"/>
  <c r="BF620" i="1"/>
  <c r="BG620" i="1" s="1"/>
  <c r="BG57" i="1"/>
  <c r="BH228" i="1"/>
  <c r="BI228" i="1" s="1"/>
  <c r="BG227" i="1"/>
  <c r="BF228" i="1"/>
  <c r="BG228" i="1" s="1"/>
  <c r="BH227" i="1"/>
  <c r="BI225" i="1"/>
  <c r="BM187" i="1"/>
  <c r="BL189" i="1"/>
  <c r="BL188" i="1"/>
  <c r="BL191" i="1"/>
  <c r="BM63" i="1"/>
  <c r="BL65" i="1"/>
  <c r="BM65" i="1" s="1"/>
  <c r="BK245" i="1" l="1"/>
  <c r="BK238" i="1"/>
  <c r="BJ240" i="1"/>
  <c r="BK240" i="1" s="1"/>
  <c r="BF627" i="1"/>
  <c r="BG623" i="1"/>
  <c r="BM204" i="1"/>
  <c r="BL206" i="1"/>
  <c r="BL205" i="1"/>
  <c r="BL208" i="1"/>
  <c r="BM191" i="1"/>
  <c r="BL200" i="1"/>
  <c r="BM200" i="1" s="1"/>
  <c r="CI191" i="1"/>
  <c r="BL193" i="1"/>
  <c r="BF622" i="1"/>
  <c r="BG618" i="1"/>
  <c r="BG72" i="1"/>
  <c r="BF267" i="1"/>
  <c r="BG252" i="1"/>
  <c r="BL196" i="1"/>
  <c r="BM196" i="1" s="1"/>
  <c r="BL238" i="1"/>
  <c r="BM188" i="1"/>
  <c r="CI188" i="1"/>
  <c r="BL239" i="1"/>
  <c r="BM239" i="1" s="1"/>
  <c r="BM189" i="1"/>
  <c r="CI189" i="1"/>
  <c r="BI227" i="1"/>
  <c r="BJ225" i="1"/>
  <c r="BK223" i="1"/>
  <c r="BF60" i="1"/>
  <c r="BG58" i="1"/>
  <c r="BH38" i="1"/>
  <c r="BI38" i="1" s="1"/>
  <c r="BI31" i="1"/>
  <c r="BH35" i="1"/>
  <c r="BI251" i="1"/>
  <c r="BH264" i="1"/>
  <c r="BI264" i="1" s="1"/>
  <c r="BH252" i="1"/>
  <c r="BJ246" i="1"/>
  <c r="BK222" i="1"/>
  <c r="BL194" i="1" l="1"/>
  <c r="BM194" i="1" s="1"/>
  <c r="BL221" i="1"/>
  <c r="BM193" i="1"/>
  <c r="BM208" i="1"/>
  <c r="BL217" i="1"/>
  <c r="BM217" i="1" s="1"/>
  <c r="CI208" i="1"/>
  <c r="BL210" i="1"/>
  <c r="BK246" i="1"/>
  <c r="BJ28" i="1"/>
  <c r="BI35" i="1"/>
  <c r="BH36" i="1"/>
  <c r="BF73" i="1"/>
  <c r="BG60" i="1"/>
  <c r="BF74" i="1"/>
  <c r="CI196" i="1"/>
  <c r="CJ196" i="1" s="1"/>
  <c r="CJ188" i="1"/>
  <c r="CI198" i="1"/>
  <c r="CI193" i="1"/>
  <c r="CI201" i="1"/>
  <c r="CK201" i="1" s="1"/>
  <c r="CM201" i="1" s="1"/>
  <c r="CO201" i="1" s="1"/>
  <c r="CQ201" i="1" s="1"/>
  <c r="CS201" i="1" s="1"/>
  <c r="CI200" i="1"/>
  <c r="CJ200" i="1" s="1"/>
  <c r="CJ191" i="1"/>
  <c r="BL213" i="1"/>
  <c r="BM213" i="1" s="1"/>
  <c r="BM205" i="1"/>
  <c r="CI205" i="1"/>
  <c r="BI252" i="1"/>
  <c r="BH267" i="1"/>
  <c r="CJ189" i="1"/>
  <c r="CI199" i="1"/>
  <c r="BG267" i="1"/>
  <c r="BF268" i="1"/>
  <c r="BM206" i="1"/>
  <c r="CI206" i="1"/>
  <c r="CI239" i="1" s="1"/>
  <c r="BG627" i="1"/>
  <c r="BJ247" i="1"/>
  <c r="BK225" i="1"/>
  <c r="BJ227" i="1"/>
  <c r="BL240" i="1"/>
  <c r="BM240" i="1" s="1"/>
  <c r="BM238" i="1"/>
  <c r="BF624" i="1"/>
  <c r="BG622" i="1"/>
  <c r="CJ198" i="1" l="1"/>
  <c r="CK198" i="1"/>
  <c r="BF629" i="1"/>
  <c r="BG629" i="1" s="1"/>
  <c r="BG74" i="1"/>
  <c r="BH57" i="1"/>
  <c r="BI36" i="1"/>
  <c r="BH56" i="1"/>
  <c r="BH53" i="1"/>
  <c r="BH59" i="1"/>
  <c r="BK227" i="1"/>
  <c r="BJ228" i="1"/>
  <c r="BK228" i="1" s="1"/>
  <c r="BG268" i="1"/>
  <c r="BF273" i="1"/>
  <c r="CI213" i="1"/>
  <c r="CJ213" i="1" s="1"/>
  <c r="CJ205" i="1"/>
  <c r="CI215" i="1"/>
  <c r="CI210" i="1"/>
  <c r="BL211" i="1"/>
  <c r="BM211" i="1" s="1"/>
  <c r="BL222" i="1"/>
  <c r="BM210" i="1"/>
  <c r="BG624" i="1"/>
  <c r="CI216" i="1"/>
  <c r="CJ206" i="1"/>
  <c r="BH268" i="1"/>
  <c r="BI267" i="1"/>
  <c r="CI238" i="1"/>
  <c r="CI240" i="1" s="1"/>
  <c r="CJ240" i="1" s="1"/>
  <c r="BF628" i="1"/>
  <c r="BF75" i="1"/>
  <c r="BG73" i="1"/>
  <c r="BJ32" i="1"/>
  <c r="BK28" i="1"/>
  <c r="BJ30" i="1"/>
  <c r="BJ33" i="1"/>
  <c r="BJ29" i="1"/>
  <c r="CI217" i="1"/>
  <c r="CJ217" i="1" s="1"/>
  <c r="CI218" i="1"/>
  <c r="CK218" i="1" s="1"/>
  <c r="CM218" i="1" s="1"/>
  <c r="CO218" i="1" s="1"/>
  <c r="CQ218" i="1" s="1"/>
  <c r="CS218" i="1" s="1"/>
  <c r="CJ208" i="1"/>
  <c r="BL245" i="1"/>
  <c r="BL223" i="1"/>
  <c r="BM221" i="1"/>
  <c r="BJ262" i="1"/>
  <c r="BK262" i="1" s="1"/>
  <c r="BK247" i="1"/>
  <c r="BJ260" i="1"/>
  <c r="BK260" i="1" s="1"/>
  <c r="BJ251" i="1"/>
  <c r="CJ199" i="1"/>
  <c r="CK199" i="1"/>
  <c r="CI194" i="1"/>
  <c r="CJ194" i="1" s="1"/>
  <c r="CJ193" i="1"/>
  <c r="CI221" i="1"/>
  <c r="CK187" i="1"/>
  <c r="BM245" i="1" l="1"/>
  <c r="CI245" i="1"/>
  <c r="BK29" i="1"/>
  <c r="BJ31" i="1"/>
  <c r="BK32" i="1"/>
  <c r="BF630" i="1"/>
  <c r="BG630" i="1" s="1"/>
  <c r="BG75" i="1"/>
  <c r="BH619" i="1"/>
  <c r="BI619" i="1" s="1"/>
  <c r="BI56" i="1"/>
  <c r="CK189" i="1"/>
  <c r="CK188" i="1"/>
  <c r="CK191" i="1"/>
  <c r="CL187" i="1"/>
  <c r="CJ221" i="1"/>
  <c r="BK33" i="1"/>
  <c r="BJ46" i="1"/>
  <c r="BK46" i="1" s="1"/>
  <c r="BI268" i="1"/>
  <c r="BH273" i="1"/>
  <c r="CK204" i="1"/>
  <c r="CI222" i="1"/>
  <c r="CJ222" i="1" s="1"/>
  <c r="CI211" i="1"/>
  <c r="CJ211" i="1" s="1"/>
  <c r="CJ210" i="1"/>
  <c r="BF650" i="1"/>
  <c r="BF274" i="1"/>
  <c r="BF279" i="1"/>
  <c r="BG273" i="1"/>
  <c r="BF8" i="1"/>
  <c r="BG8" i="1" s="1"/>
  <c r="CM199" i="1"/>
  <c r="CL199" i="1"/>
  <c r="BJ264" i="1"/>
  <c r="BK264" i="1" s="1"/>
  <c r="BK251" i="1"/>
  <c r="BJ252" i="1"/>
  <c r="BK30" i="1"/>
  <c r="BF76" i="1"/>
  <c r="BG628" i="1"/>
  <c r="CJ215" i="1"/>
  <c r="CK215" i="1"/>
  <c r="BH623" i="1"/>
  <c r="BI59" i="1"/>
  <c r="BH72" i="1"/>
  <c r="BH620" i="1"/>
  <c r="BI620" i="1" s="1"/>
  <c r="BI57" i="1"/>
  <c r="CM198" i="1"/>
  <c r="CL198" i="1"/>
  <c r="BM223" i="1"/>
  <c r="BL225" i="1"/>
  <c r="CJ216" i="1"/>
  <c r="CK216" i="1"/>
  <c r="BL246" i="1"/>
  <c r="BM222" i="1"/>
  <c r="BH618" i="1"/>
  <c r="BH58" i="1"/>
  <c r="BI53" i="1"/>
  <c r="BF633" i="1" l="1"/>
  <c r="BI623" i="1"/>
  <c r="BH627" i="1"/>
  <c r="BJ267" i="1"/>
  <c r="BK252" i="1"/>
  <c r="CO199" i="1"/>
  <c r="CN199" i="1"/>
  <c r="BF920" i="1"/>
  <c r="BG274" i="1"/>
  <c r="CI223" i="1"/>
  <c r="CL189" i="1"/>
  <c r="BI618" i="1"/>
  <c r="BH622" i="1"/>
  <c r="CN198" i="1"/>
  <c r="CO198" i="1"/>
  <c r="CM215" i="1"/>
  <c r="CL215" i="1"/>
  <c r="BG76" i="1"/>
  <c r="BF83" i="1"/>
  <c r="BG650" i="1"/>
  <c r="CK208" i="1"/>
  <c r="CL204" i="1"/>
  <c r="CK206" i="1"/>
  <c r="CL206" i="1" s="1"/>
  <c r="CK205" i="1"/>
  <c r="CK193" i="1"/>
  <c r="CI258" i="1"/>
  <c r="CJ245" i="1"/>
  <c r="BH60" i="1"/>
  <c r="BI58" i="1"/>
  <c r="CM216" i="1"/>
  <c r="CL216" i="1"/>
  <c r="BL227" i="1"/>
  <c r="BM225" i="1"/>
  <c r="BI72" i="1"/>
  <c r="BH650" i="1"/>
  <c r="BI273" i="1"/>
  <c r="BH274" i="1"/>
  <c r="BH279" i="1"/>
  <c r="BH8" i="1"/>
  <c r="BI8" i="1" s="1"/>
  <c r="CK200" i="1"/>
  <c r="CL200" i="1" s="1"/>
  <c r="CL191" i="1"/>
  <c r="BM246" i="1"/>
  <c r="CI246" i="1"/>
  <c r="CI247" i="1" s="1"/>
  <c r="BG633" i="1"/>
  <c r="BF635" i="1"/>
  <c r="BF666" i="1"/>
  <c r="BF282" i="1"/>
  <c r="BG279" i="1"/>
  <c r="BF280" i="1"/>
  <c r="BG280" i="1" s="1"/>
  <c r="CL188" i="1"/>
  <c r="CK196" i="1"/>
  <c r="CL196" i="1" s="1"/>
  <c r="CK238" i="1"/>
  <c r="BJ38" i="1"/>
  <c r="BK38" i="1" s="1"/>
  <c r="BK31" i="1"/>
  <c r="BJ35" i="1"/>
  <c r="BL247" i="1"/>
  <c r="BG666" i="1" l="1"/>
  <c r="BH666" i="1"/>
  <c r="BH282" i="1"/>
  <c r="BI279" i="1"/>
  <c r="BH280" i="1"/>
  <c r="BI280" i="1" s="1"/>
  <c r="CL205" i="1"/>
  <c r="CK213" i="1"/>
  <c r="CL213" i="1" s="1"/>
  <c r="CK210" i="1"/>
  <c r="BF648" i="1"/>
  <c r="BF84" i="1"/>
  <c r="BF90" i="1"/>
  <c r="BF6" i="1"/>
  <c r="BG83" i="1"/>
  <c r="CP198" i="1"/>
  <c r="CQ198" i="1"/>
  <c r="CK239" i="1"/>
  <c r="BK267" i="1"/>
  <c r="BJ268" i="1"/>
  <c r="BG635" i="1"/>
  <c r="BF636" i="1"/>
  <c r="BH920" i="1"/>
  <c r="BI274" i="1"/>
  <c r="CO216" i="1"/>
  <c r="CN216" i="1"/>
  <c r="CJ247" i="1"/>
  <c r="CI251" i="1"/>
  <c r="CI260" i="1"/>
  <c r="CJ260" i="1" s="1"/>
  <c r="CJ258" i="1"/>
  <c r="CK258" i="1"/>
  <c r="BI622" i="1"/>
  <c r="BH624" i="1"/>
  <c r="CI225" i="1"/>
  <c r="CJ223" i="1"/>
  <c r="CP199" i="1"/>
  <c r="CQ199" i="1"/>
  <c r="BI627" i="1"/>
  <c r="BL251" i="1"/>
  <c r="BL260" i="1"/>
  <c r="BM260" i="1" s="1"/>
  <c r="BL262" i="1"/>
  <c r="BM262" i="1" s="1"/>
  <c r="BM247" i="1"/>
  <c r="CK240" i="1"/>
  <c r="CL240" i="1" s="1"/>
  <c r="BJ36" i="1"/>
  <c r="BL28" i="1"/>
  <c r="BK35" i="1"/>
  <c r="CI259" i="1"/>
  <c r="CJ246" i="1"/>
  <c r="BI650" i="1"/>
  <c r="BM227" i="1"/>
  <c r="BL228" i="1"/>
  <c r="BM228" i="1" s="1"/>
  <c r="BH74" i="1"/>
  <c r="BH73" i="1"/>
  <c r="BI60" i="1"/>
  <c r="CK221" i="1"/>
  <c r="CK194" i="1"/>
  <c r="CL194" i="1" s="1"/>
  <c r="CL193" i="1"/>
  <c r="CM187" i="1"/>
  <c r="CK217" i="1"/>
  <c r="CL217" i="1" s="1"/>
  <c r="CL208" i="1"/>
  <c r="CO215" i="1"/>
  <c r="CN215" i="1"/>
  <c r="BH628" i="1" l="1"/>
  <c r="BI73" i="1"/>
  <c r="BH75" i="1"/>
  <c r="BJ56" i="1"/>
  <c r="BJ59" i="1"/>
  <c r="BJ53" i="1"/>
  <c r="BJ57" i="1"/>
  <c r="BK36" i="1"/>
  <c r="CR199" i="1"/>
  <c r="CS199" i="1"/>
  <c r="BI624" i="1"/>
  <c r="BF657" i="1"/>
  <c r="BG636" i="1"/>
  <c r="BF15" i="1"/>
  <c r="BG15" i="1" s="1"/>
  <c r="BK268" i="1"/>
  <c r="BJ273" i="1"/>
  <c r="BF918" i="1"/>
  <c r="BG84" i="1"/>
  <c r="BI666" i="1"/>
  <c r="BM251" i="1"/>
  <c r="BL264" i="1"/>
  <c r="BM264" i="1" s="1"/>
  <c r="BL252" i="1"/>
  <c r="CJ251" i="1"/>
  <c r="CI252" i="1"/>
  <c r="CQ216" i="1"/>
  <c r="CP216" i="1"/>
  <c r="BG648" i="1"/>
  <c r="BF653" i="1"/>
  <c r="CK245" i="1"/>
  <c r="CL221" i="1"/>
  <c r="BH629" i="1"/>
  <c r="BI629" i="1" s="1"/>
  <c r="BI74" i="1"/>
  <c r="CM258" i="1"/>
  <c r="CL258" i="1"/>
  <c r="BF638" i="1"/>
  <c r="BG638" i="1" s="1"/>
  <c r="BF11" i="1"/>
  <c r="BG6" i="1"/>
  <c r="CK222" i="1"/>
  <c r="CK223" i="1" s="1"/>
  <c r="CK211" i="1"/>
  <c r="CL211" i="1" s="1"/>
  <c r="CL210" i="1"/>
  <c r="CM204" i="1"/>
  <c r="CP215" i="1"/>
  <c r="CQ215" i="1"/>
  <c r="CK259" i="1"/>
  <c r="CJ259" i="1"/>
  <c r="CM191" i="1"/>
  <c r="CM189" i="1"/>
  <c r="CN187" i="1"/>
  <c r="CM188" i="1"/>
  <c r="BL30" i="1"/>
  <c r="BL33" i="1"/>
  <c r="BL29" i="1"/>
  <c r="BL32" i="1"/>
  <c r="BM28" i="1"/>
  <c r="CI227" i="1"/>
  <c r="CJ225" i="1"/>
  <c r="CI262" i="1"/>
  <c r="CJ262" i="1" s="1"/>
  <c r="CR198" i="1"/>
  <c r="CS198" i="1"/>
  <c r="BF664" i="1"/>
  <c r="BF92" i="1"/>
  <c r="BG90" i="1"/>
  <c r="BF91" i="1"/>
  <c r="BG91" i="1" s="1"/>
  <c r="BF94" i="1"/>
  <c r="CM193" i="1" l="1"/>
  <c r="CM194" i="1" s="1"/>
  <c r="CN194" i="1" s="1"/>
  <c r="CO187" i="1"/>
  <c r="CM221" i="1"/>
  <c r="CK225" i="1"/>
  <c r="CL223" i="1"/>
  <c r="CJ227" i="1"/>
  <c r="CI228" i="1"/>
  <c r="CJ228" i="1" s="1"/>
  <c r="BM29" i="1"/>
  <c r="BL31" i="1"/>
  <c r="CI29" i="1"/>
  <c r="CM208" i="1"/>
  <c r="CM206" i="1"/>
  <c r="CN206" i="1" s="1"/>
  <c r="CN204" i="1"/>
  <c r="CM205" i="1"/>
  <c r="CM210" i="1" s="1"/>
  <c r="CN258" i="1"/>
  <c r="CO258" i="1"/>
  <c r="BF923" i="1"/>
  <c r="BG653" i="1"/>
  <c r="BF699" i="1"/>
  <c r="BF703" i="1" s="1"/>
  <c r="BF656" i="1"/>
  <c r="CR216" i="1"/>
  <c r="CS216" i="1"/>
  <c r="BM252" i="1"/>
  <c r="BL267" i="1"/>
  <c r="BJ650" i="1"/>
  <c r="BJ274" i="1"/>
  <c r="BJ279" i="1"/>
  <c r="BK273" i="1"/>
  <c r="BJ8" i="1"/>
  <c r="BK8" i="1" s="1"/>
  <c r="BJ618" i="1"/>
  <c r="BK53" i="1"/>
  <c r="BJ58" i="1"/>
  <c r="BL46" i="1"/>
  <c r="BM46" i="1" s="1"/>
  <c r="BM33" i="1"/>
  <c r="CI33" i="1"/>
  <c r="CM259" i="1"/>
  <c r="CL259" i="1"/>
  <c r="BG11" i="1"/>
  <c r="BF14" i="1"/>
  <c r="CJ252" i="1"/>
  <c r="BG657" i="1"/>
  <c r="BF658" i="1"/>
  <c r="BJ623" i="1"/>
  <c r="BK59" i="1"/>
  <c r="BJ72" i="1"/>
  <c r="BH630" i="1"/>
  <c r="BI630" i="1" s="1"/>
  <c r="BI75" i="1"/>
  <c r="BM32" i="1"/>
  <c r="CI32" i="1"/>
  <c r="BM30" i="1"/>
  <c r="CI30" i="1"/>
  <c r="CN189" i="1"/>
  <c r="CR215" i="1"/>
  <c r="CS215" i="1"/>
  <c r="CL245" i="1"/>
  <c r="CI264" i="1"/>
  <c r="CJ264" i="1" s="1"/>
  <c r="BJ619" i="1"/>
  <c r="BK619" i="1" s="1"/>
  <c r="BK56" i="1"/>
  <c r="BF669" i="1"/>
  <c r="BG664" i="1"/>
  <c r="CM196" i="1"/>
  <c r="CN196" i="1" s="1"/>
  <c r="CM238" i="1"/>
  <c r="CN188" i="1"/>
  <c r="CM200" i="1"/>
  <c r="CN200" i="1" s="1"/>
  <c r="CN191" i="1"/>
  <c r="CK246" i="1"/>
  <c r="CL246" i="1" s="1"/>
  <c r="CL222" i="1"/>
  <c r="BJ620" i="1"/>
  <c r="BK620" i="1" s="1"/>
  <c r="BK57" i="1"/>
  <c r="BH76" i="1"/>
  <c r="BI628" i="1"/>
  <c r="CN193" i="1" l="1"/>
  <c r="CM240" i="1"/>
  <c r="CN240" i="1" s="1"/>
  <c r="CM239" i="1"/>
  <c r="BH633" i="1"/>
  <c r="BI76" i="1"/>
  <c r="BH83" i="1"/>
  <c r="BF799" i="1"/>
  <c r="BG669" i="1"/>
  <c r="BF672" i="1"/>
  <c r="CK247" i="1"/>
  <c r="BF674" i="1"/>
  <c r="BG658" i="1"/>
  <c r="BF676" i="1"/>
  <c r="BG676" i="1" s="1"/>
  <c r="BF927" i="1"/>
  <c r="BG927" i="1" s="1"/>
  <c r="BF933" i="1"/>
  <c r="BG933" i="1" s="1"/>
  <c r="BF932" i="1"/>
  <c r="BG932" i="1" s="1"/>
  <c r="BF930" i="1"/>
  <c r="BG930" i="1" s="1"/>
  <c r="BF929" i="1"/>
  <c r="BG929" i="1" s="1"/>
  <c r="BF928" i="1"/>
  <c r="BG928" i="1" s="1"/>
  <c r="BF926" i="1"/>
  <c r="BF16" i="1"/>
  <c r="BG14" i="1"/>
  <c r="CI47" i="1"/>
  <c r="CM47" i="1" s="1"/>
  <c r="CO47" i="1" s="1"/>
  <c r="CQ47" i="1" s="1"/>
  <c r="CS47" i="1" s="1"/>
  <c r="CI46" i="1"/>
  <c r="CJ46" i="1" s="1"/>
  <c r="CJ33" i="1"/>
  <c r="BJ60" i="1"/>
  <c r="BK58" i="1"/>
  <c r="BL268" i="1"/>
  <c r="BM267" i="1"/>
  <c r="CI267" i="1"/>
  <c r="CJ29" i="1"/>
  <c r="CI43" i="1"/>
  <c r="CI31" i="1"/>
  <c r="CM245" i="1"/>
  <c r="CN221" i="1"/>
  <c r="CI44" i="1"/>
  <c r="CJ30" i="1"/>
  <c r="BK72" i="1"/>
  <c r="BJ666" i="1"/>
  <c r="BJ282" i="1"/>
  <c r="BK279" i="1"/>
  <c r="BJ280" i="1"/>
  <c r="BK280" i="1" s="1"/>
  <c r="BF659" i="1"/>
  <c r="BG656" i="1"/>
  <c r="BF710" i="1"/>
  <c r="BG710" i="1" s="1"/>
  <c r="BF716" i="1"/>
  <c r="BG716" i="1" s="1"/>
  <c r="BF715" i="1"/>
  <c r="BG715" i="1" s="1"/>
  <c r="BF713" i="1"/>
  <c r="BG713" i="1" s="1"/>
  <c r="BF712" i="1"/>
  <c r="BG712" i="1" s="1"/>
  <c r="BF711" i="1"/>
  <c r="BG711" i="1" s="1"/>
  <c r="BF709" i="1"/>
  <c r="CQ258" i="1"/>
  <c r="CP258" i="1"/>
  <c r="CO204" i="1"/>
  <c r="CM222" i="1"/>
  <c r="CM223" i="1" s="1"/>
  <c r="CM211" i="1"/>
  <c r="CN211" i="1" s="1"/>
  <c r="CN210" i="1"/>
  <c r="BL38" i="1"/>
  <c r="BM38" i="1" s="1"/>
  <c r="BM31" i="1"/>
  <c r="BL35" i="1"/>
  <c r="BI633" i="1"/>
  <c r="BH635" i="1"/>
  <c r="BJ622" i="1"/>
  <c r="BK618" i="1"/>
  <c r="BJ920" i="1"/>
  <c r="BK274" i="1"/>
  <c r="CI45" i="1"/>
  <c r="CJ32" i="1"/>
  <c r="BJ627" i="1"/>
  <c r="BK623" i="1"/>
  <c r="CO259" i="1"/>
  <c r="CN259" i="1"/>
  <c r="BK650" i="1"/>
  <c r="CM213" i="1"/>
  <c r="CN213" i="1" s="1"/>
  <c r="CN205" i="1"/>
  <c r="CM217" i="1"/>
  <c r="CN217" i="1" s="1"/>
  <c r="CN208" i="1"/>
  <c r="CK227" i="1"/>
  <c r="CL225" i="1"/>
  <c r="CO191" i="1"/>
  <c r="CP187" i="1"/>
  <c r="CO189" i="1"/>
  <c r="CO188" i="1"/>
  <c r="CM225" i="1" l="1"/>
  <c r="CN223" i="1"/>
  <c r="BH636" i="1"/>
  <c r="BH638" i="1"/>
  <c r="BI638" i="1" s="1"/>
  <c r="BI635" i="1"/>
  <c r="CO208" i="1"/>
  <c r="CP204" i="1"/>
  <c r="CO206" i="1"/>
  <c r="CP206" i="1" s="1"/>
  <c r="CO205" i="1"/>
  <c r="CJ43" i="1"/>
  <c r="CK43" i="1"/>
  <c r="BM268" i="1"/>
  <c r="BL273" i="1"/>
  <c r="BF931" i="1"/>
  <c r="BG926" i="1"/>
  <c r="CO200" i="1"/>
  <c r="CP200" i="1" s="1"/>
  <c r="CP191" i="1"/>
  <c r="CQ259" i="1"/>
  <c r="CP259" i="1"/>
  <c r="BG674" i="1"/>
  <c r="BF705" i="1"/>
  <c r="BF704" i="1" s="1"/>
  <c r="BF706" i="1" s="1"/>
  <c r="BF673" i="1"/>
  <c r="BG673" i="1" s="1"/>
  <c r="BF944" i="1"/>
  <c r="BG944" i="1" s="1"/>
  <c r="BF938" i="1"/>
  <c r="BG938" i="1" s="1"/>
  <c r="BF943" i="1"/>
  <c r="BG943" i="1" s="1"/>
  <c r="BF941" i="1"/>
  <c r="BG941" i="1" s="1"/>
  <c r="BF940" i="1"/>
  <c r="BG940" i="1" s="1"/>
  <c r="BF939" i="1"/>
  <c r="BG939" i="1" s="1"/>
  <c r="BF937" i="1"/>
  <c r="BF801" i="1"/>
  <c r="BG799" i="1"/>
  <c r="BM35" i="1"/>
  <c r="BL36" i="1"/>
  <c r="CR258" i="1"/>
  <c r="CS258" i="1"/>
  <c r="CN245" i="1"/>
  <c r="CI268" i="1"/>
  <c r="CJ267" i="1"/>
  <c r="CI271" i="1"/>
  <c r="BJ73" i="1"/>
  <c r="BK60" i="1"/>
  <c r="BJ74" i="1"/>
  <c r="CK251" i="1"/>
  <c r="CK260" i="1"/>
  <c r="CL260" i="1" s="1"/>
  <c r="CK262" i="1"/>
  <c r="CL262" i="1" s="1"/>
  <c r="CL247" i="1"/>
  <c r="BH648" i="1"/>
  <c r="BI83" i="1"/>
  <c r="BH90" i="1"/>
  <c r="BH84" i="1"/>
  <c r="BH6" i="1"/>
  <c r="CL227" i="1"/>
  <c r="CK228" i="1"/>
  <c r="CL228" i="1" s="1"/>
  <c r="CL45" i="1"/>
  <c r="CJ45" i="1"/>
  <c r="CP188" i="1"/>
  <c r="CO196" i="1"/>
  <c r="CP196" i="1" s="1"/>
  <c r="CO238" i="1"/>
  <c r="CO193" i="1"/>
  <c r="CP189" i="1"/>
  <c r="BK627" i="1"/>
  <c r="BJ624" i="1"/>
  <c r="BK622" i="1"/>
  <c r="CN222" i="1"/>
  <c r="CM246" i="1"/>
  <c r="CN246" i="1" s="1"/>
  <c r="BG709" i="1"/>
  <c r="BF714" i="1"/>
  <c r="BF819" i="1"/>
  <c r="BF661" i="1"/>
  <c r="BG659" i="1"/>
  <c r="BK666" i="1"/>
  <c r="CJ44" i="1"/>
  <c r="CK44" i="1"/>
  <c r="CJ31" i="1"/>
  <c r="CI38" i="1"/>
  <c r="CJ38" i="1" s="1"/>
  <c r="CI35" i="1"/>
  <c r="BG16" i="1"/>
  <c r="BG672" i="1"/>
  <c r="BF675" i="1"/>
  <c r="BF727" i="1"/>
  <c r="BG727" i="1" s="1"/>
  <c r="BF721" i="1"/>
  <c r="BG721" i="1" s="1"/>
  <c r="BF726" i="1"/>
  <c r="BG726" i="1" s="1"/>
  <c r="BF724" i="1"/>
  <c r="BG724" i="1" s="1"/>
  <c r="BF723" i="1"/>
  <c r="BG723" i="1" s="1"/>
  <c r="BF722" i="1"/>
  <c r="BG722" i="1" s="1"/>
  <c r="BF720" i="1"/>
  <c r="CO239" i="1" l="1"/>
  <c r="CK28" i="1"/>
  <c r="CI36" i="1"/>
  <c r="CJ36" i="1" s="1"/>
  <c r="CJ35" i="1"/>
  <c r="BK624" i="1"/>
  <c r="BH664" i="1"/>
  <c r="BH92" i="1"/>
  <c r="BH91" i="1"/>
  <c r="BI91" i="1" s="1"/>
  <c r="BI90" i="1"/>
  <c r="BH94" i="1"/>
  <c r="CL43" i="1"/>
  <c r="CM43" i="1"/>
  <c r="BF725" i="1"/>
  <c r="BG720" i="1"/>
  <c r="BF758" i="1"/>
  <c r="BG661" i="1"/>
  <c r="CO221" i="1"/>
  <c r="CQ187" i="1"/>
  <c r="CO194" i="1"/>
  <c r="CP194" i="1" s="1"/>
  <c r="CP193" i="1"/>
  <c r="BJ628" i="1"/>
  <c r="BJ75" i="1"/>
  <c r="BK73" i="1"/>
  <c r="CJ268" i="1"/>
  <c r="CI273" i="1"/>
  <c r="BF802" i="1"/>
  <c r="BG802" i="1" s="1"/>
  <c r="BG801" i="1"/>
  <c r="CS259" i="1"/>
  <c r="CR259" i="1"/>
  <c r="BF934" i="1"/>
  <c r="BG934" i="1" s="1"/>
  <c r="BG931" i="1"/>
  <c r="CO217" i="1"/>
  <c r="CP217" i="1" s="1"/>
  <c r="CP208" i="1"/>
  <c r="BH657" i="1"/>
  <c r="BI636" i="1"/>
  <c r="BH15" i="1"/>
  <c r="BI15" i="1" s="1"/>
  <c r="BF761" i="1"/>
  <c r="BF677" i="1"/>
  <c r="BG675" i="1"/>
  <c r="BF750" i="1"/>
  <c r="BG750" i="1" s="1"/>
  <c r="BG819" i="1"/>
  <c r="CO240" i="1"/>
  <c r="CP240" i="1" s="1"/>
  <c r="BH11" i="1"/>
  <c r="BI6" i="1"/>
  <c r="BI648" i="1"/>
  <c r="BH653" i="1"/>
  <c r="CK264" i="1"/>
  <c r="CL264" i="1" s="1"/>
  <c r="CL251" i="1"/>
  <c r="CK252" i="1"/>
  <c r="BL53" i="1"/>
  <c r="BL57" i="1"/>
  <c r="BM36" i="1"/>
  <c r="BL56" i="1"/>
  <c r="BL59" i="1"/>
  <c r="BF942" i="1"/>
  <c r="BG937" i="1"/>
  <c r="BL650" i="1"/>
  <c r="BM273" i="1"/>
  <c r="BL274" i="1"/>
  <c r="BL279" i="1"/>
  <c r="BL8" i="1"/>
  <c r="BM8" i="1" s="1"/>
  <c r="CP205" i="1"/>
  <c r="CO213" i="1"/>
  <c r="CP213" i="1" s="1"/>
  <c r="CO210" i="1"/>
  <c r="CL44" i="1"/>
  <c r="CM44" i="1"/>
  <c r="BG714" i="1"/>
  <c r="BF717" i="1"/>
  <c r="BG717" i="1" s="1"/>
  <c r="BH918" i="1"/>
  <c r="BI84" i="1"/>
  <c r="BJ629" i="1"/>
  <c r="BK629" i="1" s="1"/>
  <c r="BK74" i="1"/>
  <c r="CK271" i="1"/>
  <c r="CJ271" i="1"/>
  <c r="CM247" i="1"/>
  <c r="CM227" i="1"/>
  <c r="CN225" i="1"/>
  <c r="BL618" i="1" l="1"/>
  <c r="BL58" i="1"/>
  <c r="BM53" i="1"/>
  <c r="CI53" i="1"/>
  <c r="BH923" i="1"/>
  <c r="BH699" i="1"/>
  <c r="BH703" i="1" s="1"/>
  <c r="BI653" i="1"/>
  <c r="BH656" i="1"/>
  <c r="BF763" i="1"/>
  <c r="BG761" i="1"/>
  <c r="BF19" i="1"/>
  <c r="BG19" i="1" s="1"/>
  <c r="CI650" i="1"/>
  <c r="CI274" i="1"/>
  <c r="CJ273" i="1"/>
  <c r="CI279" i="1"/>
  <c r="CI8" i="1"/>
  <c r="CJ8" i="1" s="1"/>
  <c r="CO43" i="1"/>
  <c r="CN43" i="1"/>
  <c r="BL623" i="1"/>
  <c r="BM59" i="1"/>
  <c r="BL72" i="1"/>
  <c r="CI59" i="1"/>
  <c r="CN227" i="1"/>
  <c r="CM228" i="1"/>
  <c r="CN228" i="1" s="1"/>
  <c r="BM650" i="1"/>
  <c r="BL619" i="1"/>
  <c r="BM619" i="1" s="1"/>
  <c r="BM56" i="1"/>
  <c r="CI56" i="1"/>
  <c r="CK267" i="1"/>
  <c r="CL252" i="1"/>
  <c r="BH14" i="1"/>
  <c r="BI11" i="1"/>
  <c r="BJ630" i="1"/>
  <c r="BK630" i="1" s="1"/>
  <c r="BK75" i="1"/>
  <c r="CQ191" i="1"/>
  <c r="CQ188" i="1"/>
  <c r="CS187" i="1"/>
  <c r="CQ189" i="1"/>
  <c r="CR187" i="1"/>
  <c r="BG758" i="1"/>
  <c r="BF18" i="1"/>
  <c r="BG18" i="1" s="1"/>
  <c r="BF733" i="1"/>
  <c r="BG733" i="1" s="1"/>
  <c r="CM262" i="1"/>
  <c r="CN262" i="1" s="1"/>
  <c r="CN247" i="1"/>
  <c r="CM251" i="1"/>
  <c r="CM260" i="1"/>
  <c r="CN260" i="1" s="1"/>
  <c r="CQ204" i="1"/>
  <c r="CO222" i="1"/>
  <c r="CO211" i="1"/>
  <c r="CP211" i="1" s="1"/>
  <c r="CP210" i="1"/>
  <c r="BL666" i="1"/>
  <c r="BL282" i="1"/>
  <c r="CI282" i="1" s="1"/>
  <c r="BM279" i="1"/>
  <c r="BL280" i="1"/>
  <c r="BM280" i="1" s="1"/>
  <c r="BI657" i="1"/>
  <c r="BH658" i="1"/>
  <c r="BJ76" i="1"/>
  <c r="BK628" i="1"/>
  <c r="CO245" i="1"/>
  <c r="CO223" i="1"/>
  <c r="CP221" i="1"/>
  <c r="BI664" i="1"/>
  <c r="BH669" i="1"/>
  <c r="CL271" i="1"/>
  <c r="CM271" i="1"/>
  <c r="CO44" i="1"/>
  <c r="CN44" i="1"/>
  <c r="BL920" i="1"/>
  <c r="BM274" i="1"/>
  <c r="BF945" i="1"/>
  <c r="BG942" i="1"/>
  <c r="BL620" i="1"/>
  <c r="BM620" i="1" s="1"/>
  <c r="BM57" i="1"/>
  <c r="CI57" i="1"/>
  <c r="BF907" i="1"/>
  <c r="BG907" i="1" s="1"/>
  <c r="BF898" i="1"/>
  <c r="BG898" i="1" s="1"/>
  <c r="BG677" i="1"/>
  <c r="BF679" i="1"/>
  <c r="BF17" i="1"/>
  <c r="BF803" i="1"/>
  <c r="BF728" i="1"/>
  <c r="BG728" i="1" s="1"/>
  <c r="BG725" i="1"/>
  <c r="CK33" i="1"/>
  <c r="CK32" i="1"/>
  <c r="CL32" i="1" s="1"/>
  <c r="CK30" i="1"/>
  <c r="CL30" i="1" s="1"/>
  <c r="CK29" i="1"/>
  <c r="CL28" i="1"/>
  <c r="BJ633" i="1" l="1"/>
  <c r="BK633" i="1" s="1"/>
  <c r="BH799" i="1"/>
  <c r="BH672" i="1"/>
  <c r="BI669" i="1"/>
  <c r="CS189" i="1"/>
  <c r="CR189" i="1"/>
  <c r="CQ200" i="1"/>
  <c r="CS191" i="1"/>
  <c r="CR191" i="1"/>
  <c r="CJ650" i="1"/>
  <c r="BI656" i="1"/>
  <c r="BH659" i="1"/>
  <c r="BH710" i="1"/>
  <c r="BI710" i="1" s="1"/>
  <c r="BH716" i="1"/>
  <c r="BI716" i="1" s="1"/>
  <c r="BH715" i="1"/>
  <c r="BI715" i="1" s="1"/>
  <c r="BH713" i="1"/>
  <c r="BI713" i="1" s="1"/>
  <c r="BH712" i="1"/>
  <c r="BI712" i="1" s="1"/>
  <c r="BH711" i="1"/>
  <c r="BI711" i="1" s="1"/>
  <c r="BH709" i="1"/>
  <c r="CI618" i="1"/>
  <c r="CI58" i="1"/>
  <c r="CI63" i="1"/>
  <c r="CJ53" i="1"/>
  <c r="BF946" i="1"/>
  <c r="BG945" i="1"/>
  <c r="CP44" i="1"/>
  <c r="CQ44" i="1"/>
  <c r="CO225" i="1"/>
  <c r="CP223" i="1"/>
  <c r="BK76" i="1"/>
  <c r="BJ83" i="1"/>
  <c r="CN251" i="1"/>
  <c r="CM264" i="1"/>
  <c r="CN264" i="1" s="1"/>
  <c r="CM252" i="1"/>
  <c r="BH16" i="1"/>
  <c r="BI14" i="1"/>
  <c r="CI619" i="1"/>
  <c r="CJ619" i="1" s="1"/>
  <c r="CI68" i="1"/>
  <c r="CJ56" i="1"/>
  <c r="BM623" i="1"/>
  <c r="BL627" i="1"/>
  <c r="CI666" i="1"/>
  <c r="CI280" i="1"/>
  <c r="CJ280" i="1" s="1"/>
  <c r="CJ279" i="1"/>
  <c r="BF686" i="1"/>
  <c r="BG679" i="1"/>
  <c r="CK46" i="1"/>
  <c r="CL46" i="1" s="1"/>
  <c r="CL33" i="1"/>
  <c r="BF808" i="1"/>
  <c r="BG803" i="1"/>
  <c r="CO271" i="1"/>
  <c r="CN271" i="1"/>
  <c r="CP245" i="1"/>
  <c r="BH674" i="1"/>
  <c r="BI658" i="1"/>
  <c r="BH933" i="1"/>
  <c r="BI933" i="1" s="1"/>
  <c r="BH676" i="1"/>
  <c r="BI676" i="1" s="1"/>
  <c r="BH927" i="1"/>
  <c r="BI927" i="1" s="1"/>
  <c r="BH932" i="1"/>
  <c r="BI932" i="1" s="1"/>
  <c r="BH930" i="1"/>
  <c r="BI930" i="1" s="1"/>
  <c r="BH929" i="1"/>
  <c r="BI929" i="1" s="1"/>
  <c r="BH928" i="1"/>
  <c r="BI928" i="1" s="1"/>
  <c r="BH926" i="1"/>
  <c r="CO246" i="1"/>
  <c r="CP246" i="1" s="1"/>
  <c r="CP222" i="1"/>
  <c r="CQ193" i="1"/>
  <c r="CI623" i="1"/>
  <c r="CI627" i="1" s="1"/>
  <c r="CI72" i="1"/>
  <c r="CI64" i="1"/>
  <c r="CJ59" i="1"/>
  <c r="BL60" i="1"/>
  <c r="BM58" i="1"/>
  <c r="CI620" i="1"/>
  <c r="CJ620" i="1" s="1"/>
  <c r="CJ57" i="1"/>
  <c r="CI69" i="1"/>
  <c r="CL29" i="1"/>
  <c r="CK31" i="1"/>
  <c r="BM666" i="1"/>
  <c r="CQ208" i="1"/>
  <c r="CQ205" i="1"/>
  <c r="CQ210" i="1" s="1"/>
  <c r="CS204" i="1"/>
  <c r="CR204" i="1"/>
  <c r="CQ206" i="1"/>
  <c r="CQ239" i="1" s="1"/>
  <c r="CS239" i="1" s="1"/>
  <c r="CQ196" i="1"/>
  <c r="CS188" i="1"/>
  <c r="CR188" i="1"/>
  <c r="CK268" i="1"/>
  <c r="CL267" i="1"/>
  <c r="BM72" i="1"/>
  <c r="CQ43" i="1"/>
  <c r="CP43" i="1"/>
  <c r="CI920" i="1"/>
  <c r="CJ274" i="1"/>
  <c r="BG763" i="1"/>
  <c r="BF20" i="1"/>
  <c r="BG20" i="1" s="1"/>
  <c r="BF681" i="1"/>
  <c r="BF682" i="1" s="1"/>
  <c r="BM618" i="1"/>
  <c r="BL622" i="1"/>
  <c r="CQ238" i="1" l="1"/>
  <c r="CQ240" i="1" s="1"/>
  <c r="BJ635" i="1"/>
  <c r="BK635" i="1" s="1"/>
  <c r="CQ217" i="1"/>
  <c r="CS208" i="1"/>
  <c r="CR208" i="1"/>
  <c r="CK69" i="1"/>
  <c r="CJ69" i="1"/>
  <c r="BL74" i="1"/>
  <c r="BL73" i="1"/>
  <c r="BM60" i="1"/>
  <c r="CK64" i="1"/>
  <c r="CJ64" i="1"/>
  <c r="BI16" i="1"/>
  <c r="BJ648" i="1"/>
  <c r="BJ84" i="1"/>
  <c r="BJ90" i="1"/>
  <c r="BJ6" i="1"/>
  <c r="BK83" i="1"/>
  <c r="CR44" i="1"/>
  <c r="CS44" i="1"/>
  <c r="BI709" i="1"/>
  <c r="BH714" i="1"/>
  <c r="CJ72" i="1"/>
  <c r="CO247" i="1"/>
  <c r="BF815" i="1"/>
  <c r="BG815" i="1" s="1"/>
  <c r="BG808" i="1"/>
  <c r="CJ666" i="1"/>
  <c r="CK68" i="1"/>
  <c r="CJ68" i="1"/>
  <c r="CN252" i="1"/>
  <c r="CM267" i="1"/>
  <c r="CI65" i="1"/>
  <c r="CJ65" i="1" s="1"/>
  <c r="CK63" i="1"/>
  <c r="CJ63" i="1"/>
  <c r="CR200" i="1"/>
  <c r="CS200" i="1"/>
  <c r="BM622" i="1"/>
  <c r="BL624" i="1"/>
  <c r="CL268" i="1"/>
  <c r="CK273" i="1"/>
  <c r="CK38" i="1"/>
  <c r="CL38" i="1" s="1"/>
  <c r="CK35" i="1"/>
  <c r="CJ627" i="1"/>
  <c r="BH931" i="1"/>
  <c r="BI926" i="1"/>
  <c r="BG686" i="1"/>
  <c r="BF689" i="1"/>
  <c r="BM627" i="1"/>
  <c r="CJ58" i="1"/>
  <c r="CI60" i="1"/>
  <c r="BI672" i="1"/>
  <c r="BH721" i="1"/>
  <c r="BI721" i="1" s="1"/>
  <c r="BH727" i="1"/>
  <c r="BI727" i="1" s="1"/>
  <c r="BH726" i="1"/>
  <c r="BI726" i="1" s="1"/>
  <c r="BH724" i="1"/>
  <c r="BI724" i="1" s="1"/>
  <c r="BH723" i="1"/>
  <c r="BI723" i="1" s="1"/>
  <c r="BH722" i="1"/>
  <c r="BI722" i="1" s="1"/>
  <c r="BH720" i="1"/>
  <c r="CS210" i="1"/>
  <c r="CQ222" i="1"/>
  <c r="CQ211" i="1"/>
  <c r="CR210" i="1"/>
  <c r="CR43" i="1"/>
  <c r="CS43" i="1"/>
  <c r="CS196" i="1"/>
  <c r="CR196" i="1"/>
  <c r="CS206" i="1"/>
  <c r="CR206" i="1"/>
  <c r="CQ213" i="1"/>
  <c r="CS205" i="1"/>
  <c r="CR205" i="1"/>
  <c r="CS193" i="1"/>
  <c r="CQ194" i="1"/>
  <c r="CR193" i="1"/>
  <c r="CQ221" i="1"/>
  <c r="BI674" i="1"/>
  <c r="BH705" i="1"/>
  <c r="BH704" i="1" s="1"/>
  <c r="BH706" i="1" s="1"/>
  <c r="BH673" i="1"/>
  <c r="BI673" i="1" s="1"/>
  <c r="BH944" i="1"/>
  <c r="BI944" i="1" s="1"/>
  <c r="BH938" i="1"/>
  <c r="BI938" i="1" s="1"/>
  <c r="BH943" i="1"/>
  <c r="BI943" i="1" s="1"/>
  <c r="BH941" i="1"/>
  <c r="BI941" i="1" s="1"/>
  <c r="BH940" i="1"/>
  <c r="BI940" i="1" s="1"/>
  <c r="BH939" i="1"/>
  <c r="BI939" i="1" s="1"/>
  <c r="BH937" i="1"/>
  <c r="CP271" i="1"/>
  <c r="CQ271" i="1"/>
  <c r="CO227" i="1"/>
  <c r="CP225" i="1"/>
  <c r="CJ618" i="1"/>
  <c r="CI622" i="1"/>
  <c r="BH819" i="1"/>
  <c r="BI659" i="1"/>
  <c r="BH661" i="1"/>
  <c r="BH801" i="1"/>
  <c r="BI799" i="1"/>
  <c r="CS238" i="1" l="1"/>
  <c r="BJ636" i="1"/>
  <c r="BH942" i="1"/>
  <c r="BI937" i="1"/>
  <c r="CR194" i="1"/>
  <c r="CS194" i="1"/>
  <c r="CS213" i="1"/>
  <c r="CR213" i="1"/>
  <c r="CR211" i="1"/>
  <c r="CS211" i="1"/>
  <c r="CJ60" i="1"/>
  <c r="BG689" i="1"/>
  <c r="CM28" i="1"/>
  <c r="CK36" i="1"/>
  <c r="CL35" i="1"/>
  <c r="BM624" i="1"/>
  <c r="BJ918" i="1"/>
  <c r="BK84" i="1"/>
  <c r="BJ657" i="1"/>
  <c r="BK636" i="1"/>
  <c r="BJ15" i="1"/>
  <c r="BK15" i="1" s="1"/>
  <c r="BI819" i="1"/>
  <c r="CP227" i="1"/>
  <c r="CO228" i="1"/>
  <c r="CP228" i="1" s="1"/>
  <c r="CR222" i="1"/>
  <c r="CQ246" i="1"/>
  <c r="CS222" i="1"/>
  <c r="BF691" i="1"/>
  <c r="BH934" i="1"/>
  <c r="BI934" i="1" s="1"/>
  <c r="BI931" i="1"/>
  <c r="CL63" i="1"/>
  <c r="CK65" i="1"/>
  <c r="CL65" i="1" s="1"/>
  <c r="CM63" i="1"/>
  <c r="CO251" i="1"/>
  <c r="CO260" i="1"/>
  <c r="CP260" i="1" s="1"/>
  <c r="CO262" i="1"/>
  <c r="CP262" i="1" s="1"/>
  <c r="CP247" i="1"/>
  <c r="BI714" i="1"/>
  <c r="BH717" i="1"/>
  <c r="BI717" i="1" s="1"/>
  <c r="BJ653" i="1"/>
  <c r="BK648" i="1"/>
  <c r="CM64" i="1"/>
  <c r="CL64" i="1"/>
  <c r="BL629" i="1"/>
  <c r="BM629" i="1" s="1"/>
  <c r="BM74" i="1"/>
  <c r="CI74" i="1"/>
  <c r="CS217" i="1"/>
  <c r="CR217" i="1"/>
  <c r="CI624" i="1"/>
  <c r="CJ622" i="1"/>
  <c r="CS271" i="1"/>
  <c r="CR271" i="1"/>
  <c r="CQ245" i="1"/>
  <c r="CQ223" i="1"/>
  <c r="CS221" i="1"/>
  <c r="CR221" i="1"/>
  <c r="CK650" i="1"/>
  <c r="CK279" i="1"/>
  <c r="CK274" i="1"/>
  <c r="CL273" i="1"/>
  <c r="CK8" i="1"/>
  <c r="CL8" i="1" s="1"/>
  <c r="BK6" i="1"/>
  <c r="BJ11" i="1"/>
  <c r="BJ638" i="1"/>
  <c r="BK638" i="1" s="1"/>
  <c r="BH802" i="1"/>
  <c r="BI802" i="1" s="1"/>
  <c r="BI801" i="1"/>
  <c r="BH758" i="1"/>
  <c r="BI661" i="1"/>
  <c r="BI720" i="1"/>
  <c r="BH725" i="1"/>
  <c r="BH675" i="1"/>
  <c r="CM268" i="1"/>
  <c r="CN267" i="1"/>
  <c r="CM68" i="1"/>
  <c r="CL68" i="1"/>
  <c r="BJ664" i="1"/>
  <c r="BJ92" i="1"/>
  <c r="BJ91" i="1"/>
  <c r="BK91" i="1" s="1"/>
  <c r="BK90" i="1"/>
  <c r="BJ94" i="1"/>
  <c r="BL628" i="1"/>
  <c r="BM73" i="1"/>
  <c r="BL75" i="1"/>
  <c r="BL76" i="1" s="1"/>
  <c r="CI73" i="1"/>
  <c r="CL69" i="1"/>
  <c r="CM69" i="1"/>
  <c r="CS240" i="1"/>
  <c r="CR240" i="1"/>
  <c r="BH803" i="1" l="1"/>
  <c r="BM76" i="1"/>
  <c r="BL83" i="1"/>
  <c r="BH761" i="1"/>
  <c r="BI675" i="1"/>
  <c r="BH677" i="1"/>
  <c r="BH750" i="1"/>
  <c r="BI750" i="1" s="1"/>
  <c r="BH808" i="1"/>
  <c r="BI803" i="1"/>
  <c r="CL650" i="1"/>
  <c r="CQ247" i="1"/>
  <c r="CS245" i="1"/>
  <c r="CR245" i="1"/>
  <c r="CO69" i="1"/>
  <c r="CN69" i="1"/>
  <c r="BI725" i="1"/>
  <c r="BH728" i="1"/>
  <c r="BI728" i="1" s="1"/>
  <c r="BJ923" i="1"/>
  <c r="BJ699" i="1"/>
  <c r="BJ703" i="1" s="1"/>
  <c r="BK653" i="1"/>
  <c r="BJ656" i="1"/>
  <c r="CO264" i="1"/>
  <c r="CP264" i="1" s="1"/>
  <c r="CP251" i="1"/>
  <c r="CO252" i="1"/>
  <c r="CS246" i="1"/>
  <c r="CR246" i="1"/>
  <c r="CK57" i="1"/>
  <c r="CK53" i="1"/>
  <c r="CK56" i="1"/>
  <c r="CK59" i="1"/>
  <c r="CL36" i="1"/>
  <c r="BI758" i="1"/>
  <c r="BH18" i="1"/>
  <c r="BI18" i="1" s="1"/>
  <c r="BH733" i="1"/>
  <c r="BI733" i="1" s="1"/>
  <c r="BJ14" i="1"/>
  <c r="BK11" i="1"/>
  <c r="CK920" i="1"/>
  <c r="CL274" i="1"/>
  <c r="CM65" i="1"/>
  <c r="CN65" i="1" s="1"/>
  <c r="CO63" i="1"/>
  <c r="CN63" i="1"/>
  <c r="CM32" i="1"/>
  <c r="CN32" i="1" s="1"/>
  <c r="CM30" i="1"/>
  <c r="CN30" i="1" s="1"/>
  <c r="CN28" i="1"/>
  <c r="CM33" i="1"/>
  <c r="CM29" i="1"/>
  <c r="BL630" i="1"/>
  <c r="BM630" i="1" s="1"/>
  <c r="BM75" i="1"/>
  <c r="CI75" i="1"/>
  <c r="CI76" i="1" s="1"/>
  <c r="CO68" i="1"/>
  <c r="CN68" i="1"/>
  <c r="BM628" i="1"/>
  <c r="CI628" i="1"/>
  <c r="CI79" i="1"/>
  <c r="CJ73" i="1"/>
  <c r="BK664" i="1"/>
  <c r="BJ669" i="1"/>
  <c r="CN268" i="1"/>
  <c r="CM273" i="1"/>
  <c r="CK666" i="1"/>
  <c r="CK282" i="1"/>
  <c r="CK280" i="1"/>
  <c r="CL280" i="1" s="1"/>
  <c r="CL279" i="1"/>
  <c r="CQ225" i="1"/>
  <c r="CS223" i="1"/>
  <c r="CR223" i="1"/>
  <c r="CI629" i="1"/>
  <c r="CJ629" i="1" s="1"/>
  <c r="CI80" i="1"/>
  <c r="CJ74" i="1"/>
  <c r="CO64" i="1"/>
  <c r="CN64" i="1"/>
  <c r="BG691" i="1"/>
  <c r="BF694" i="1"/>
  <c r="BK657" i="1"/>
  <c r="BJ658" i="1"/>
  <c r="BH945" i="1"/>
  <c r="BI942" i="1"/>
  <c r="CK619" i="1" l="1"/>
  <c r="CL619" i="1" s="1"/>
  <c r="CL56" i="1"/>
  <c r="BJ659" i="1"/>
  <c r="BK656" i="1"/>
  <c r="BJ716" i="1"/>
  <c r="BK716" i="1" s="1"/>
  <c r="BJ710" i="1"/>
  <c r="BK710" i="1" s="1"/>
  <c r="BJ715" i="1"/>
  <c r="BK715" i="1" s="1"/>
  <c r="BJ713" i="1"/>
  <c r="BK713" i="1" s="1"/>
  <c r="BJ712" i="1"/>
  <c r="BK712" i="1" s="1"/>
  <c r="BJ711" i="1"/>
  <c r="BK711" i="1" s="1"/>
  <c r="BJ709" i="1"/>
  <c r="CQ227" i="1"/>
  <c r="CS225" i="1"/>
  <c r="CR225" i="1"/>
  <c r="CM650" i="1"/>
  <c r="CM274" i="1"/>
  <c r="CN273" i="1"/>
  <c r="CM279" i="1"/>
  <c r="CM8" i="1"/>
  <c r="CN8" i="1" s="1"/>
  <c r="CK79" i="1"/>
  <c r="CJ79" i="1"/>
  <c r="CP63" i="1"/>
  <c r="CO65" i="1"/>
  <c r="CP65" i="1" s="1"/>
  <c r="CQ63" i="1"/>
  <c r="CK618" i="1"/>
  <c r="CL53" i="1"/>
  <c r="CK58" i="1"/>
  <c r="CO267" i="1"/>
  <c r="CP252" i="1"/>
  <c r="BH907" i="1"/>
  <c r="BI907" i="1" s="1"/>
  <c r="BH898" i="1"/>
  <c r="BI898" i="1" s="1"/>
  <c r="BH679" i="1"/>
  <c r="BI677" i="1"/>
  <c r="BH17" i="1"/>
  <c r="BH946" i="1"/>
  <c r="BI945" i="1"/>
  <c r="CQ64" i="1"/>
  <c r="CP64" i="1"/>
  <c r="CJ628" i="1"/>
  <c r="CQ68" i="1"/>
  <c r="CP68" i="1"/>
  <c r="CM31" i="1"/>
  <c r="CN29" i="1"/>
  <c r="BJ16" i="1"/>
  <c r="BK14" i="1"/>
  <c r="CK620" i="1"/>
  <c r="CL620" i="1" s="1"/>
  <c r="CL57" i="1"/>
  <c r="BL648" i="1"/>
  <c r="BM83" i="1"/>
  <c r="BL90" i="1"/>
  <c r="BL84" i="1"/>
  <c r="BL6" i="1"/>
  <c r="CK80" i="1"/>
  <c r="CJ80" i="1"/>
  <c r="CL666" i="1"/>
  <c r="BJ674" i="1"/>
  <c r="BK658" i="1"/>
  <c r="BJ676" i="1"/>
  <c r="BK676" i="1" s="1"/>
  <c r="BJ927" i="1"/>
  <c r="BK927" i="1" s="1"/>
  <c r="BJ933" i="1"/>
  <c r="BK933" i="1" s="1"/>
  <c r="BJ932" i="1"/>
  <c r="BK932" i="1" s="1"/>
  <c r="BJ930" i="1"/>
  <c r="BK930" i="1" s="1"/>
  <c r="BJ929" i="1"/>
  <c r="BK929" i="1" s="1"/>
  <c r="BJ928" i="1"/>
  <c r="BK928" i="1" s="1"/>
  <c r="BJ926" i="1"/>
  <c r="BF876" i="1"/>
  <c r="BF877" i="1"/>
  <c r="BF759" i="1"/>
  <c r="BG759" i="1" s="1"/>
  <c r="BF696" i="1"/>
  <c r="BG694" i="1"/>
  <c r="BF751" i="1"/>
  <c r="BG751" i="1" s="1"/>
  <c r="BJ799" i="1"/>
  <c r="BJ672" i="1"/>
  <c r="BK669" i="1"/>
  <c r="CJ76" i="1"/>
  <c r="CI83" i="1"/>
  <c r="BL633" i="1"/>
  <c r="CI630" i="1"/>
  <c r="CJ630" i="1" s="1"/>
  <c r="CJ75" i="1"/>
  <c r="CI81" i="1"/>
  <c r="CN33" i="1"/>
  <c r="CM46" i="1"/>
  <c r="CN46" i="1" s="1"/>
  <c r="CK623" i="1"/>
  <c r="CK627" i="1" s="1"/>
  <c r="CL59" i="1"/>
  <c r="CK72" i="1"/>
  <c r="CP69" i="1"/>
  <c r="CQ69" i="1"/>
  <c r="CS247" i="1"/>
  <c r="CQ262" i="1"/>
  <c r="CR247" i="1"/>
  <c r="CQ251" i="1"/>
  <c r="CQ260" i="1"/>
  <c r="BH815" i="1"/>
  <c r="BI815" i="1" s="1"/>
  <c r="BI808" i="1"/>
  <c r="BH763" i="1"/>
  <c r="BI761" i="1"/>
  <c r="BH19" i="1"/>
  <c r="BI19" i="1" s="1"/>
  <c r="CS251" i="1" l="1"/>
  <c r="CR251" i="1"/>
  <c r="CQ264" i="1"/>
  <c r="CQ252" i="1"/>
  <c r="CS69" i="1"/>
  <c r="CR69" i="1"/>
  <c r="CL627" i="1"/>
  <c r="BF908" i="1"/>
  <c r="BG908" i="1" s="1"/>
  <c r="BF906" i="1"/>
  <c r="BG906" i="1" s="1"/>
  <c r="BF905" i="1"/>
  <c r="BG905" i="1" s="1"/>
  <c r="BF902" i="1"/>
  <c r="BG902" i="1" s="1"/>
  <c r="BF880" i="1"/>
  <c r="BF875" i="1"/>
  <c r="BG875" i="1" s="1"/>
  <c r="BG877" i="1"/>
  <c r="BF769" i="1"/>
  <c r="BF747" i="1"/>
  <c r="BF881" i="1"/>
  <c r="BF903" i="1"/>
  <c r="BG903" i="1" s="1"/>
  <c r="BF904" i="1"/>
  <c r="BG904" i="1" s="1"/>
  <c r="BF865" i="1"/>
  <c r="BJ931" i="1"/>
  <c r="BK926" i="1"/>
  <c r="BL918" i="1"/>
  <c r="BM84" i="1"/>
  <c r="CQ65" i="1"/>
  <c r="CS63" i="1"/>
  <c r="CR63" i="1"/>
  <c r="CM79" i="1"/>
  <c r="CL79" i="1"/>
  <c r="CM920" i="1"/>
  <c r="CN274" i="1"/>
  <c r="CS227" i="1"/>
  <c r="CR227" i="1"/>
  <c r="CQ228" i="1"/>
  <c r="BI763" i="1"/>
  <c r="BH20" i="1"/>
  <c r="BI20" i="1" s="1"/>
  <c r="BH681" i="1"/>
  <c r="BH682" i="1" s="1"/>
  <c r="BG876" i="1"/>
  <c r="BJ705" i="1"/>
  <c r="BJ704" i="1" s="1"/>
  <c r="BJ706" i="1" s="1"/>
  <c r="BJ673" i="1"/>
  <c r="BK673" i="1" s="1"/>
  <c r="BK674" i="1"/>
  <c r="BJ944" i="1"/>
  <c r="BK944" i="1" s="1"/>
  <c r="BJ938" i="1"/>
  <c r="BK938" i="1" s="1"/>
  <c r="BJ943" i="1"/>
  <c r="BK943" i="1" s="1"/>
  <c r="BJ941" i="1"/>
  <c r="BK941" i="1" s="1"/>
  <c r="BJ940" i="1"/>
  <c r="BK940" i="1" s="1"/>
  <c r="BJ939" i="1"/>
  <c r="BK939" i="1" s="1"/>
  <c r="BJ937" i="1"/>
  <c r="BL664" i="1"/>
  <c r="BL92" i="1"/>
  <c r="BL91" i="1"/>
  <c r="BM91" i="1" s="1"/>
  <c r="BL94" i="1"/>
  <c r="BM90" i="1"/>
  <c r="BK16" i="1"/>
  <c r="CS68" i="1"/>
  <c r="CR68" i="1"/>
  <c r="CS64" i="1"/>
  <c r="CR64" i="1"/>
  <c r="CK60" i="1"/>
  <c r="CL58" i="1"/>
  <c r="CN650" i="1"/>
  <c r="BK709" i="1"/>
  <c r="BJ714" i="1"/>
  <c r="BJ819" i="1"/>
  <c r="BJ661" i="1"/>
  <c r="BK659" i="1"/>
  <c r="CR262" i="1"/>
  <c r="CS262" i="1"/>
  <c r="CL72" i="1"/>
  <c r="BM633" i="1"/>
  <c r="BL635" i="1"/>
  <c r="BK672" i="1"/>
  <c r="BJ727" i="1"/>
  <c r="BK727" i="1" s="1"/>
  <c r="BJ721" i="1"/>
  <c r="BK721" i="1" s="1"/>
  <c r="BJ726" i="1"/>
  <c r="BK726" i="1" s="1"/>
  <c r="BJ724" i="1"/>
  <c r="BK724" i="1" s="1"/>
  <c r="BJ723" i="1"/>
  <c r="BK723" i="1" s="1"/>
  <c r="BJ722" i="1"/>
  <c r="BK722" i="1" s="1"/>
  <c r="BJ720" i="1"/>
  <c r="CM80" i="1"/>
  <c r="CL80" i="1"/>
  <c r="CI633" i="1"/>
  <c r="BH686" i="1"/>
  <c r="BI679" i="1"/>
  <c r="CM666" i="1"/>
  <c r="CM282" i="1"/>
  <c r="CM280" i="1"/>
  <c r="CN280" i="1" s="1"/>
  <c r="CN279" i="1"/>
  <c r="CS260" i="1"/>
  <c r="CR260" i="1"/>
  <c r="CJ81" i="1"/>
  <c r="CL81" i="1"/>
  <c r="CI648" i="1"/>
  <c r="CI90" i="1"/>
  <c r="CI6" i="1"/>
  <c r="CI84" i="1"/>
  <c r="CJ83" i="1"/>
  <c r="BJ801" i="1"/>
  <c r="BK799" i="1"/>
  <c r="BL11" i="1"/>
  <c r="BM6" i="1"/>
  <c r="BM648" i="1"/>
  <c r="BL653" i="1"/>
  <c r="CM38" i="1"/>
  <c r="CN38" i="1" s="1"/>
  <c r="CM35" i="1"/>
  <c r="CO268" i="1"/>
  <c r="CP267" i="1"/>
  <c r="CK622" i="1"/>
  <c r="CL618" i="1"/>
  <c r="BJ675" i="1" l="1"/>
  <c r="CI11" i="1"/>
  <c r="CJ6" i="1"/>
  <c r="CO80" i="1"/>
  <c r="CN80" i="1"/>
  <c r="BJ761" i="1"/>
  <c r="BK675" i="1"/>
  <c r="BJ677" i="1"/>
  <c r="BJ750" i="1"/>
  <c r="BK750" i="1" s="1"/>
  <c r="CL60" i="1"/>
  <c r="CK74" i="1"/>
  <c r="CK73" i="1"/>
  <c r="BJ942" i="1"/>
  <c r="BK937" i="1"/>
  <c r="CR65" i="1"/>
  <c r="CS65" i="1"/>
  <c r="BK931" i="1"/>
  <c r="BJ934" i="1"/>
  <c r="BK934" i="1" s="1"/>
  <c r="BG881" i="1"/>
  <c r="BF889" i="1"/>
  <c r="BG889" i="1" s="1"/>
  <c r="CR252" i="1"/>
  <c r="CQ267" i="1"/>
  <c r="CS252" i="1"/>
  <c r="CM36" i="1"/>
  <c r="CN35" i="1"/>
  <c r="CO28" i="1"/>
  <c r="CL622" i="1"/>
  <c r="CK624" i="1"/>
  <c r="BJ802" i="1"/>
  <c r="BK802" i="1" s="1"/>
  <c r="BK801" i="1"/>
  <c r="CI664" i="1"/>
  <c r="CI94" i="1"/>
  <c r="CI91" i="1"/>
  <c r="CJ91" i="1" s="1"/>
  <c r="CJ90" i="1"/>
  <c r="CI92" i="1"/>
  <c r="BI686" i="1"/>
  <c r="BH689" i="1"/>
  <c r="BJ725" i="1"/>
  <c r="BK720" i="1"/>
  <c r="BJ758" i="1"/>
  <c r="BK661" i="1"/>
  <c r="CO79" i="1"/>
  <c r="CN79" i="1"/>
  <c r="BG865" i="1"/>
  <c r="BF868" i="1"/>
  <c r="CS264" i="1"/>
  <c r="CR264" i="1"/>
  <c r="BL923" i="1"/>
  <c r="BL699" i="1"/>
  <c r="BL703" i="1" s="1"/>
  <c r="BM653" i="1"/>
  <c r="BL656" i="1"/>
  <c r="CI653" i="1"/>
  <c r="CJ648" i="1"/>
  <c r="CN666" i="1"/>
  <c r="CJ633" i="1"/>
  <c r="CI635" i="1"/>
  <c r="BL636" i="1"/>
  <c r="BM635" i="1"/>
  <c r="BK819" i="1"/>
  <c r="BF777" i="1"/>
  <c r="BF773" i="1"/>
  <c r="BG773" i="1" s="1"/>
  <c r="BG769" i="1"/>
  <c r="BF892" i="1"/>
  <c r="BG892" i="1" s="1"/>
  <c r="BF899" i="1"/>
  <c r="BG899" i="1" s="1"/>
  <c r="BF897" i="1"/>
  <c r="BG897" i="1" s="1"/>
  <c r="BF896" i="1"/>
  <c r="BG896" i="1" s="1"/>
  <c r="BG880" i="1"/>
  <c r="BF770" i="1"/>
  <c r="BF895" i="1"/>
  <c r="BG895" i="1" s="1"/>
  <c r="BF893" i="1"/>
  <c r="BG893" i="1" s="1"/>
  <c r="BF882" i="1"/>
  <c r="CP268" i="1"/>
  <c r="CO273" i="1"/>
  <c r="BM11" i="1"/>
  <c r="BL14" i="1"/>
  <c r="CI918" i="1"/>
  <c r="CJ84" i="1"/>
  <c r="BK714" i="1"/>
  <c r="BJ717" i="1"/>
  <c r="BK717" i="1" s="1"/>
  <c r="BM664" i="1"/>
  <c r="BL669" i="1"/>
  <c r="CS228" i="1"/>
  <c r="CR228" i="1"/>
  <c r="BL657" i="1" l="1"/>
  <c r="BM636" i="1"/>
  <c r="BL15" i="1"/>
  <c r="BM15" i="1" s="1"/>
  <c r="CI636" i="1"/>
  <c r="CI638" i="1" s="1"/>
  <c r="CJ638" i="1" s="1"/>
  <c r="BI689" i="1"/>
  <c r="CI669" i="1"/>
  <c r="CJ664" i="1"/>
  <c r="CM59" i="1"/>
  <c r="CN36" i="1"/>
  <c r="CM57" i="1"/>
  <c r="CM56" i="1"/>
  <c r="CM53" i="1"/>
  <c r="CK629" i="1"/>
  <c r="CL629" i="1" s="1"/>
  <c r="CL74" i="1"/>
  <c r="CO650" i="1"/>
  <c r="CO279" i="1"/>
  <c r="CO274" i="1"/>
  <c r="CP273" i="1"/>
  <c r="CO8" i="1"/>
  <c r="CP8" i="1" s="1"/>
  <c r="CJ635" i="1"/>
  <c r="BL659" i="1"/>
  <c r="BM656" i="1"/>
  <c r="BL716" i="1"/>
  <c r="BM716" i="1" s="1"/>
  <c r="BL710" i="1"/>
  <c r="BM710" i="1" s="1"/>
  <c r="BL715" i="1"/>
  <c r="BM715" i="1" s="1"/>
  <c r="BL713" i="1"/>
  <c r="BM713" i="1" s="1"/>
  <c r="BL712" i="1"/>
  <c r="BM712" i="1" s="1"/>
  <c r="BL711" i="1"/>
  <c r="BM711" i="1" s="1"/>
  <c r="BL709" i="1"/>
  <c r="BK758" i="1"/>
  <c r="BJ18" i="1"/>
  <c r="BK18" i="1" s="1"/>
  <c r="BJ733" i="1"/>
  <c r="BK733" i="1" s="1"/>
  <c r="BJ945" i="1"/>
  <c r="BK942" i="1"/>
  <c r="BJ763" i="1"/>
  <c r="BK761" i="1"/>
  <c r="BJ19" i="1"/>
  <c r="BK19" i="1" s="1"/>
  <c r="CQ80" i="1"/>
  <c r="CP80" i="1"/>
  <c r="CQ79" i="1"/>
  <c r="CP79" i="1"/>
  <c r="BH691" i="1"/>
  <c r="CO30" i="1"/>
  <c r="CP30" i="1" s="1"/>
  <c r="CO33" i="1"/>
  <c r="CO29" i="1"/>
  <c r="CO32" i="1"/>
  <c r="CP32" i="1" s="1"/>
  <c r="CP28" i="1"/>
  <c r="CS267" i="1"/>
  <c r="CQ268" i="1"/>
  <c r="CR267" i="1"/>
  <c r="CK628" i="1"/>
  <c r="CK75" i="1"/>
  <c r="CL73" i="1"/>
  <c r="BF786" i="1"/>
  <c r="BF778" i="1"/>
  <c r="BF774" i="1"/>
  <c r="BG770" i="1"/>
  <c r="BL799" i="1"/>
  <c r="BM669" i="1"/>
  <c r="BL672" i="1"/>
  <c r="BM14" i="1"/>
  <c r="BG882" i="1"/>
  <c r="BF887" i="1"/>
  <c r="BG887" i="1" s="1"/>
  <c r="BF886" i="1"/>
  <c r="BG886" i="1" s="1"/>
  <c r="BF888" i="1"/>
  <c r="BG888" i="1" s="1"/>
  <c r="BF781" i="1"/>
  <c r="BG781" i="1" s="1"/>
  <c r="BG777" i="1"/>
  <c r="BL638" i="1"/>
  <c r="BM638" i="1" s="1"/>
  <c r="CI923" i="1"/>
  <c r="CI699" i="1"/>
  <c r="CI703" i="1" s="1"/>
  <c r="CI656" i="1"/>
  <c r="CJ653" i="1"/>
  <c r="BF883" i="1"/>
  <c r="BG883" i="1" s="1"/>
  <c r="BG868" i="1"/>
  <c r="BJ728" i="1"/>
  <c r="BK728" i="1" s="1"/>
  <c r="BK725" i="1"/>
  <c r="BJ803" i="1"/>
  <c r="BJ907" i="1"/>
  <c r="BK907" i="1" s="1"/>
  <c r="BJ898" i="1"/>
  <c r="BK898" i="1" s="1"/>
  <c r="BJ679" i="1"/>
  <c r="BK677" i="1"/>
  <c r="BJ17" i="1"/>
  <c r="CJ11" i="1"/>
  <c r="CI14" i="1"/>
  <c r="BU29" i="14"/>
  <c r="CC33" i="13"/>
  <c r="BL16" i="1" l="1"/>
  <c r="CJ14" i="1"/>
  <c r="BJ686" i="1"/>
  <c r="BK679" i="1"/>
  <c r="BJ808" i="1"/>
  <c r="BK803" i="1"/>
  <c r="CJ656" i="1"/>
  <c r="CI716" i="1"/>
  <c r="CJ716" i="1" s="1"/>
  <c r="CI710" i="1"/>
  <c r="CJ710" i="1" s="1"/>
  <c r="CI715" i="1"/>
  <c r="CJ715" i="1" s="1"/>
  <c r="CI713" i="1"/>
  <c r="CJ713" i="1" s="1"/>
  <c r="CI712" i="1"/>
  <c r="CJ712" i="1" s="1"/>
  <c r="CI711" i="1"/>
  <c r="CJ711" i="1" s="1"/>
  <c r="CI709" i="1"/>
  <c r="BM672" i="1"/>
  <c r="BL721" i="1"/>
  <c r="BM721" i="1" s="1"/>
  <c r="BL727" i="1"/>
  <c r="BM727" i="1" s="1"/>
  <c r="BL726" i="1"/>
  <c r="BM726" i="1" s="1"/>
  <c r="BL724" i="1"/>
  <c r="BM724" i="1" s="1"/>
  <c r="BL723" i="1"/>
  <c r="BM723" i="1" s="1"/>
  <c r="BL722" i="1"/>
  <c r="BM722" i="1" s="1"/>
  <c r="BL720" i="1"/>
  <c r="BF820" i="1"/>
  <c r="BF813" i="1"/>
  <c r="BG813" i="1" s="1"/>
  <c r="BG774" i="1"/>
  <c r="CS268" i="1"/>
  <c r="CR268" i="1"/>
  <c r="CQ273" i="1"/>
  <c r="CP29" i="1"/>
  <c r="CO31" i="1"/>
  <c r="BI691" i="1"/>
  <c r="BH694" i="1"/>
  <c r="CS80" i="1"/>
  <c r="CR80" i="1"/>
  <c r="CP650" i="1"/>
  <c r="CM619" i="1"/>
  <c r="CN619" i="1" s="1"/>
  <c r="CN56" i="1"/>
  <c r="CI637" i="1"/>
  <c r="CJ636" i="1"/>
  <c r="CI657" i="1"/>
  <c r="CI15" i="1"/>
  <c r="CJ15" i="1" s="1"/>
  <c r="BF782" i="1"/>
  <c r="BG782" i="1" s="1"/>
  <c r="BG778" i="1"/>
  <c r="CK630" i="1"/>
  <c r="CL630" i="1" s="1"/>
  <c r="CL75" i="1"/>
  <c r="CP33" i="1"/>
  <c r="CO46" i="1"/>
  <c r="CP46" i="1" s="1"/>
  <c r="BJ946" i="1"/>
  <c r="BK945" i="1"/>
  <c r="BM709" i="1"/>
  <c r="BL714" i="1"/>
  <c r="BL819" i="1"/>
  <c r="BL661" i="1"/>
  <c r="BM659" i="1"/>
  <c r="CM620" i="1"/>
  <c r="CN620" i="1" s="1"/>
  <c r="CN57" i="1"/>
  <c r="BL801" i="1"/>
  <c r="BM799" i="1"/>
  <c r="BG786" i="1"/>
  <c r="BF787" i="1"/>
  <c r="CL628" i="1"/>
  <c r="CS79" i="1"/>
  <c r="CR79" i="1"/>
  <c r="CO920" i="1"/>
  <c r="CP274" i="1"/>
  <c r="CI799" i="1"/>
  <c r="CJ799" i="1" s="1"/>
  <c r="CI672" i="1"/>
  <c r="CJ669" i="1"/>
  <c r="BM16" i="1"/>
  <c r="CK76" i="1"/>
  <c r="BK763" i="1"/>
  <c r="BJ20" i="1"/>
  <c r="BK20" i="1" s="1"/>
  <c r="BJ681" i="1"/>
  <c r="BJ682" i="1" s="1"/>
  <c r="CO666" i="1"/>
  <c r="CO282" i="1"/>
  <c r="CO280" i="1"/>
  <c r="CP280" i="1" s="1"/>
  <c r="CP279" i="1"/>
  <c r="CM618" i="1"/>
  <c r="CM58" i="1"/>
  <c r="CN53" i="1"/>
  <c r="CM623" i="1"/>
  <c r="CM627" i="1" s="1"/>
  <c r="CM72" i="1"/>
  <c r="CN59" i="1"/>
  <c r="BM657" i="1"/>
  <c r="BL658" i="1"/>
  <c r="BV29" i="14"/>
  <c r="CD33" i="13"/>
  <c r="BX29" i="14"/>
  <c r="CF33" i="13"/>
  <c r="CK633" i="1" l="1"/>
  <c r="CL633" i="1" s="1"/>
  <c r="CJ657" i="1"/>
  <c r="CI658" i="1"/>
  <c r="CI714" i="1"/>
  <c r="CJ709" i="1"/>
  <c r="CN58" i="1"/>
  <c r="CM60" i="1"/>
  <c r="CI801" i="1"/>
  <c r="CJ801" i="1" s="1"/>
  <c r="BL802" i="1"/>
  <c r="BM801" i="1"/>
  <c r="BL758" i="1"/>
  <c r="BM661" i="1"/>
  <c r="BH759" i="1"/>
  <c r="BI759" i="1" s="1"/>
  <c r="BI694" i="1"/>
  <c r="BH696" i="1"/>
  <c r="BH751" i="1"/>
  <c r="BI751" i="1" s="1"/>
  <c r="BH876" i="1"/>
  <c r="BH877" i="1"/>
  <c r="CQ650" i="1"/>
  <c r="CS273" i="1"/>
  <c r="CQ274" i="1"/>
  <c r="CR273" i="1"/>
  <c r="CQ279" i="1"/>
  <c r="CQ8" i="1"/>
  <c r="BK686" i="1"/>
  <c r="BJ691" i="1"/>
  <c r="BJ689" i="1"/>
  <c r="CN72" i="1"/>
  <c r="CN618" i="1"/>
  <c r="CM622" i="1"/>
  <c r="CP666" i="1"/>
  <c r="CL76" i="1"/>
  <c r="CK83" i="1"/>
  <c r="CJ672" i="1"/>
  <c r="CI727" i="1"/>
  <c r="CJ727" i="1" s="1"/>
  <c r="CI721" i="1"/>
  <c r="CJ721" i="1" s="1"/>
  <c r="CI726" i="1"/>
  <c r="CJ726" i="1" s="1"/>
  <c r="CI724" i="1"/>
  <c r="CJ724" i="1" s="1"/>
  <c r="CI723" i="1"/>
  <c r="CJ723" i="1" s="1"/>
  <c r="CI722" i="1"/>
  <c r="CJ722" i="1" s="1"/>
  <c r="CI720" i="1"/>
  <c r="BF795" i="1"/>
  <c r="BG787" i="1"/>
  <c r="BF788" i="1"/>
  <c r="BG788" i="1" s="1"/>
  <c r="BF789" i="1"/>
  <c r="BM819" i="1"/>
  <c r="CK637" i="1"/>
  <c r="CJ637" i="1"/>
  <c r="BF822" i="1"/>
  <c r="BF826" i="1"/>
  <c r="BG826" i="1" s="1"/>
  <c r="BG820" i="1"/>
  <c r="BJ815" i="1"/>
  <c r="BK815" i="1" s="1"/>
  <c r="BK808" i="1"/>
  <c r="BM658" i="1"/>
  <c r="BL674" i="1"/>
  <c r="BL676" i="1"/>
  <c r="BM676" i="1" s="1"/>
  <c r="BL927" i="1"/>
  <c r="BM927" i="1" s="1"/>
  <c r="BL933" i="1"/>
  <c r="BM933" i="1" s="1"/>
  <c r="BL932" i="1"/>
  <c r="BM932" i="1" s="1"/>
  <c r="BL930" i="1"/>
  <c r="BM930" i="1" s="1"/>
  <c r="BL929" i="1"/>
  <c r="BM929" i="1" s="1"/>
  <c r="BL928" i="1"/>
  <c r="BM928" i="1" s="1"/>
  <c r="BL926" i="1"/>
  <c r="CN627" i="1"/>
  <c r="BM714" i="1"/>
  <c r="BL717" i="1"/>
  <c r="BM717" i="1" s="1"/>
  <c r="CO38" i="1"/>
  <c r="CP38" i="1" s="1"/>
  <c r="CO35" i="1"/>
  <c r="BM720" i="1"/>
  <c r="BL725" i="1"/>
  <c r="CI659" i="1"/>
  <c r="CI16" i="1"/>
  <c r="CK635" i="1" l="1"/>
  <c r="CL635" i="1" s="1"/>
  <c r="BM725" i="1"/>
  <c r="BL728" i="1"/>
  <c r="BM728" i="1" s="1"/>
  <c r="CJ16" i="1"/>
  <c r="CQ28" i="1"/>
  <c r="CO36" i="1"/>
  <c r="CP35" i="1"/>
  <c r="CI819" i="1"/>
  <c r="CI661" i="1"/>
  <c r="CJ659" i="1"/>
  <c r="BF823" i="1"/>
  <c r="BG823" i="1" s="1"/>
  <c r="BF828" i="1"/>
  <c r="BG822" i="1"/>
  <c r="BF894" i="1"/>
  <c r="BF794" i="1"/>
  <c r="BG794" i="1" s="1"/>
  <c r="BG795" i="1"/>
  <c r="CQ666" i="1"/>
  <c r="CQ282" i="1"/>
  <c r="CS282" i="1" s="1"/>
  <c r="CS279" i="1"/>
  <c r="CQ280" i="1"/>
  <c r="CR279" i="1"/>
  <c r="CS650" i="1"/>
  <c r="CR650" i="1"/>
  <c r="CM73" i="1"/>
  <c r="CN60" i="1"/>
  <c r="CM74" i="1"/>
  <c r="CI674" i="1"/>
  <c r="CJ658" i="1"/>
  <c r="CI676" i="1"/>
  <c r="CJ676" i="1" s="1"/>
  <c r="CI725" i="1"/>
  <c r="CJ720" i="1"/>
  <c r="BK691" i="1"/>
  <c r="BJ694" i="1"/>
  <c r="BJ877" i="1" s="1"/>
  <c r="BH908" i="1"/>
  <c r="BI908" i="1" s="1"/>
  <c r="BH905" i="1"/>
  <c r="BI905" i="1" s="1"/>
  <c r="BH906" i="1"/>
  <c r="BI906" i="1" s="1"/>
  <c r="BH902" i="1"/>
  <c r="BI902" i="1" s="1"/>
  <c r="BH880" i="1"/>
  <c r="BI877" i="1"/>
  <c r="BH875" i="1"/>
  <c r="BI875" i="1" s="1"/>
  <c r="BH769" i="1"/>
  <c r="BH747" i="1"/>
  <c r="BH904" i="1"/>
  <c r="BI904" i="1" s="1"/>
  <c r="BH865" i="1"/>
  <c r="BH903" i="1"/>
  <c r="BI903" i="1" s="1"/>
  <c r="BH881" i="1"/>
  <c r="CI802" i="1"/>
  <c r="CJ802" i="1" s="1"/>
  <c r="BM802" i="1"/>
  <c r="BL931" i="1"/>
  <c r="BM926" i="1"/>
  <c r="BL705" i="1"/>
  <c r="BL704" i="1" s="1"/>
  <c r="BL706" i="1" s="1"/>
  <c r="BM674" i="1"/>
  <c r="BL673" i="1"/>
  <c r="BL944" i="1"/>
  <c r="BM944" i="1" s="1"/>
  <c r="BL938" i="1"/>
  <c r="BM938" i="1" s="1"/>
  <c r="BL943" i="1"/>
  <c r="BM943" i="1" s="1"/>
  <c r="BL941" i="1"/>
  <c r="BM941" i="1" s="1"/>
  <c r="BL940" i="1"/>
  <c r="BM940" i="1" s="1"/>
  <c r="BL939" i="1"/>
  <c r="BM939" i="1" s="1"/>
  <c r="BL937" i="1"/>
  <c r="CM637" i="1"/>
  <c r="CL637" i="1"/>
  <c r="CK648" i="1"/>
  <c r="CK90" i="1"/>
  <c r="CK84" i="1"/>
  <c r="CL83" i="1"/>
  <c r="CK6" i="1"/>
  <c r="CQ920" i="1"/>
  <c r="CR274" i="1"/>
  <c r="CS274" i="1"/>
  <c r="BI876" i="1"/>
  <c r="BL803" i="1"/>
  <c r="CK636" i="1"/>
  <c r="CM624" i="1"/>
  <c r="CN622" i="1"/>
  <c r="BK689" i="1"/>
  <c r="CS8" i="1"/>
  <c r="CR8" i="1"/>
  <c r="BM758" i="1"/>
  <c r="BL18" i="1"/>
  <c r="BM18" i="1" s="1"/>
  <c r="BL733" i="1"/>
  <c r="BM733" i="1" s="1"/>
  <c r="CJ714" i="1"/>
  <c r="CI717" i="1"/>
  <c r="CJ717" i="1" s="1"/>
  <c r="BJ876" i="1" l="1"/>
  <c r="BJ875" i="1" s="1"/>
  <c r="BK875" i="1" s="1"/>
  <c r="BJ908" i="1"/>
  <c r="BK908" i="1" s="1"/>
  <c r="BJ906" i="1"/>
  <c r="BK906" i="1" s="1"/>
  <c r="BJ905" i="1"/>
  <c r="BK905" i="1" s="1"/>
  <c r="BJ902" i="1"/>
  <c r="BK902" i="1" s="1"/>
  <c r="BJ880" i="1"/>
  <c r="BJ882" i="1" s="1"/>
  <c r="BJ888" i="1" s="1"/>
  <c r="BK888" i="1" s="1"/>
  <c r="BK877" i="1"/>
  <c r="BJ769" i="1"/>
  <c r="BJ904" i="1"/>
  <c r="BK904" i="1" s="1"/>
  <c r="BJ903" i="1"/>
  <c r="BK903" i="1" s="1"/>
  <c r="BJ865" i="1"/>
  <c r="BJ881" i="1"/>
  <c r="BK881" i="1" s="1"/>
  <c r="CK657" i="1"/>
  <c r="CL636" i="1"/>
  <c r="CK15" i="1"/>
  <c r="CL15" i="1" s="1"/>
  <c r="BK876" i="1"/>
  <c r="CK664" i="1"/>
  <c r="CK94" i="1"/>
  <c r="CK91" i="1"/>
  <c r="CL91" i="1" s="1"/>
  <c r="CK92" i="1"/>
  <c r="CL90" i="1"/>
  <c r="BL942" i="1"/>
  <c r="BM937" i="1"/>
  <c r="BI865" i="1"/>
  <c r="BH868" i="1"/>
  <c r="BH892" i="1"/>
  <c r="BI892" i="1" s="1"/>
  <c r="BH899" i="1"/>
  <c r="BI899" i="1" s="1"/>
  <c r="BH897" i="1"/>
  <c r="BI897" i="1" s="1"/>
  <c r="BH896" i="1"/>
  <c r="BI896" i="1" s="1"/>
  <c r="BI880" i="1"/>
  <c r="BH770" i="1"/>
  <c r="BH895" i="1"/>
  <c r="BI895" i="1" s="1"/>
  <c r="BH893" i="1"/>
  <c r="BI893" i="1" s="1"/>
  <c r="BH882" i="1"/>
  <c r="CJ725" i="1"/>
  <c r="CI728" i="1"/>
  <c r="CJ728" i="1" s="1"/>
  <c r="CM629" i="1"/>
  <c r="CN629" i="1" s="1"/>
  <c r="CN74" i="1"/>
  <c r="CR280" i="1"/>
  <c r="CS280" i="1"/>
  <c r="BG828" i="1"/>
  <c r="BF831" i="1"/>
  <c r="BG831" i="1" s="1"/>
  <c r="BF830" i="1"/>
  <c r="BG830" i="1" s="1"/>
  <c r="CJ819" i="1"/>
  <c r="BJ889" i="1"/>
  <c r="BK889" i="1" s="1"/>
  <c r="BJ759" i="1"/>
  <c r="BK759" i="1" s="1"/>
  <c r="BJ696" i="1"/>
  <c r="BJ747" i="1" s="1"/>
  <c r="BK694" i="1"/>
  <c r="BJ751" i="1"/>
  <c r="BK751" i="1" s="1"/>
  <c r="CK11" i="1"/>
  <c r="CL6" i="1"/>
  <c r="CK653" i="1"/>
  <c r="CL648" i="1"/>
  <c r="CK638" i="1"/>
  <c r="CL638" i="1" s="1"/>
  <c r="BI881" i="1"/>
  <c r="BH889" i="1"/>
  <c r="BI889" i="1" s="1"/>
  <c r="CM628" i="1"/>
  <c r="CM75" i="1"/>
  <c r="CN73" i="1"/>
  <c r="CM76" i="1"/>
  <c r="CO57" i="1"/>
  <c r="CO56" i="1"/>
  <c r="CO59" i="1"/>
  <c r="CO53" i="1"/>
  <c r="CP36" i="1"/>
  <c r="BL808" i="1"/>
  <c r="CI803" i="1"/>
  <c r="BM803" i="1"/>
  <c r="CK918" i="1"/>
  <c r="CL84" i="1"/>
  <c r="CO637" i="1"/>
  <c r="CN637" i="1"/>
  <c r="BM673" i="1"/>
  <c r="BL675" i="1"/>
  <c r="BL934" i="1"/>
  <c r="BM934" i="1" s="1"/>
  <c r="BM931" i="1"/>
  <c r="BI769" i="1"/>
  <c r="BH777" i="1"/>
  <c r="BH773" i="1"/>
  <c r="BI773" i="1" s="1"/>
  <c r="CI673" i="1"/>
  <c r="CI705" i="1"/>
  <c r="CI704" i="1" s="1"/>
  <c r="CI706" i="1" s="1"/>
  <c r="CJ674" i="1"/>
  <c r="CI944" i="1"/>
  <c r="CJ944" i="1" s="1"/>
  <c r="CI938" i="1"/>
  <c r="CJ938" i="1" s="1"/>
  <c r="CI943" i="1"/>
  <c r="CJ943" i="1" s="1"/>
  <c r="CI941" i="1"/>
  <c r="CJ941" i="1" s="1"/>
  <c r="CI940" i="1"/>
  <c r="CJ940" i="1" s="1"/>
  <c r="CI939" i="1"/>
  <c r="CJ939" i="1" s="1"/>
  <c r="CI937" i="1"/>
  <c r="CR666" i="1"/>
  <c r="CS666" i="1"/>
  <c r="CI758" i="1"/>
  <c r="CJ661" i="1"/>
  <c r="CQ32" i="1"/>
  <c r="CR28" i="1"/>
  <c r="CS28" i="1"/>
  <c r="CQ30" i="1"/>
  <c r="CQ33" i="1"/>
  <c r="CQ29" i="1"/>
  <c r="CS29" i="1" l="1"/>
  <c r="CQ31" i="1"/>
  <c r="CR29" i="1"/>
  <c r="CJ758" i="1"/>
  <c r="CI18" i="1"/>
  <c r="CJ18" i="1" s="1"/>
  <c r="CI733" i="1"/>
  <c r="CJ733" i="1" s="1"/>
  <c r="BI777" i="1"/>
  <c r="BH781" i="1"/>
  <c r="BI781" i="1" s="1"/>
  <c r="BL761" i="1"/>
  <c r="BM675" i="1"/>
  <c r="BL677" i="1"/>
  <c r="BL750" i="1"/>
  <c r="BM750" i="1" s="1"/>
  <c r="BL815" i="1"/>
  <c r="BM815" i="1" s="1"/>
  <c r="BM808" i="1"/>
  <c r="CO623" i="1"/>
  <c r="CO627" i="1" s="1"/>
  <c r="CP59" i="1"/>
  <c r="CO72" i="1"/>
  <c r="BI882" i="1"/>
  <c r="BH887" i="1"/>
  <c r="BI887" i="1" s="1"/>
  <c r="BH886" i="1"/>
  <c r="BI886" i="1" s="1"/>
  <c r="BH888" i="1"/>
  <c r="BI888" i="1" s="1"/>
  <c r="CQ637" i="1"/>
  <c r="CP637" i="1"/>
  <c r="CO618" i="1"/>
  <c r="CP53" i="1"/>
  <c r="CO58" i="1"/>
  <c r="CK923" i="1"/>
  <c r="CK699" i="1"/>
  <c r="CK703" i="1" s="1"/>
  <c r="CK656" i="1"/>
  <c r="CK658" i="1" s="1"/>
  <c r="CL653" i="1"/>
  <c r="BH786" i="1"/>
  <c r="BI770" i="1"/>
  <c r="BH778" i="1"/>
  <c r="BH774" i="1"/>
  <c r="CL657" i="1"/>
  <c r="CQ46" i="1"/>
  <c r="CS33" i="1"/>
  <c r="CR33" i="1"/>
  <c r="CI942" i="1"/>
  <c r="CJ937" i="1"/>
  <c r="CO619" i="1"/>
  <c r="CP619" i="1" s="1"/>
  <c r="CP56" i="1"/>
  <c r="CM630" i="1"/>
  <c r="CN630" i="1" s="1"/>
  <c r="CN75" i="1"/>
  <c r="BK882" i="1"/>
  <c r="BJ887" i="1"/>
  <c r="BK887" i="1" s="1"/>
  <c r="BJ886" i="1"/>
  <c r="BK886" i="1" s="1"/>
  <c r="BL945" i="1"/>
  <c r="BM942" i="1"/>
  <c r="BK865" i="1"/>
  <c r="BJ868" i="1"/>
  <c r="BJ777" i="1"/>
  <c r="BJ773" i="1"/>
  <c r="BK773" i="1" s="1"/>
  <c r="BK769" i="1"/>
  <c r="BJ899" i="1"/>
  <c r="BK899" i="1" s="1"/>
  <c r="BJ897" i="1"/>
  <c r="BK897" i="1" s="1"/>
  <c r="BJ896" i="1"/>
  <c r="BK896" i="1" s="1"/>
  <c r="BJ892" i="1"/>
  <c r="BK892" i="1" s="1"/>
  <c r="BK880" i="1"/>
  <c r="BJ770" i="1"/>
  <c r="BJ895" i="1"/>
  <c r="BK895" i="1" s="1"/>
  <c r="BJ893" i="1"/>
  <c r="BK893" i="1" s="1"/>
  <c r="CI808" i="1"/>
  <c r="CJ803" i="1"/>
  <c r="CN76" i="1"/>
  <c r="CM83" i="1"/>
  <c r="CS30" i="1"/>
  <c r="CR30" i="1"/>
  <c r="CS32" i="1"/>
  <c r="CR32" i="1"/>
  <c r="CJ673" i="1"/>
  <c r="CI675" i="1"/>
  <c r="CO620" i="1"/>
  <c r="CP620" i="1" s="1"/>
  <c r="CP57" i="1"/>
  <c r="CN628" i="1"/>
  <c r="CL11" i="1"/>
  <c r="CK14" i="1"/>
  <c r="BH883" i="1"/>
  <c r="BI883" i="1" s="1"/>
  <c r="BI868" i="1"/>
  <c r="CK669" i="1"/>
  <c r="CL664" i="1"/>
  <c r="CM648" i="1" l="1"/>
  <c r="CM90" i="1"/>
  <c r="CM6" i="1"/>
  <c r="CM84" i="1"/>
  <c r="CN83" i="1"/>
  <c r="CI945" i="1"/>
  <c r="CJ942" i="1"/>
  <c r="CO622" i="1"/>
  <c r="CP618" i="1"/>
  <c r="CQ38" i="1"/>
  <c r="CS31" i="1"/>
  <c r="CQ35" i="1"/>
  <c r="BJ786" i="1"/>
  <c r="BJ778" i="1"/>
  <c r="BJ774" i="1"/>
  <c r="BK770" i="1"/>
  <c r="BH820" i="1"/>
  <c r="BH813" i="1"/>
  <c r="BI813" i="1" s="1"/>
  <c r="BI774" i="1"/>
  <c r="CO60" i="1"/>
  <c r="CP58" i="1"/>
  <c r="CS637" i="1"/>
  <c r="CR637" i="1"/>
  <c r="CK16" i="1"/>
  <c r="CL14" i="1"/>
  <c r="BJ883" i="1"/>
  <c r="BK883" i="1" s="1"/>
  <c r="BK868" i="1"/>
  <c r="CM633" i="1"/>
  <c r="CI761" i="1"/>
  <c r="CI677" i="1"/>
  <c r="CJ675" i="1"/>
  <c r="CI750" i="1"/>
  <c r="CJ750" i="1" s="1"/>
  <c r="CK799" i="1"/>
  <c r="CK672" i="1"/>
  <c r="CL669" i="1"/>
  <c r="CI815" i="1"/>
  <c r="CJ815" i="1" s="1"/>
  <c r="CJ808" i="1"/>
  <c r="BJ781" i="1"/>
  <c r="BK781" i="1" s="1"/>
  <c r="BK777" i="1"/>
  <c r="BL946" i="1"/>
  <c r="BM945" i="1"/>
  <c r="CS46" i="1"/>
  <c r="CR46" i="1"/>
  <c r="BI778" i="1"/>
  <c r="BH782" i="1"/>
  <c r="BI782" i="1" s="1"/>
  <c r="CK659" i="1"/>
  <c r="CL656" i="1"/>
  <c r="CK710" i="1"/>
  <c r="CL710" i="1" s="1"/>
  <c r="CK716" i="1"/>
  <c r="CL716" i="1" s="1"/>
  <c r="CK715" i="1"/>
  <c r="CL715" i="1" s="1"/>
  <c r="CK712" i="1"/>
  <c r="CL712" i="1" s="1"/>
  <c r="CK713" i="1"/>
  <c r="CL713" i="1" s="1"/>
  <c r="CK711" i="1"/>
  <c r="CL711" i="1" s="1"/>
  <c r="CK709" i="1"/>
  <c r="CP72" i="1"/>
  <c r="BL763" i="1"/>
  <c r="BM761" i="1"/>
  <c r="BL19" i="1"/>
  <c r="BM19" i="1" s="1"/>
  <c r="CK674" i="1"/>
  <c r="CL658" i="1"/>
  <c r="CK676" i="1"/>
  <c r="CL676" i="1" s="1"/>
  <c r="BI786" i="1"/>
  <c r="BH787" i="1"/>
  <c r="CP627" i="1"/>
  <c r="BL907" i="1"/>
  <c r="BM907" i="1" s="1"/>
  <c r="BL898" i="1"/>
  <c r="BM898" i="1" s="1"/>
  <c r="BM677" i="1"/>
  <c r="BL679" i="1"/>
  <c r="BL17" i="1"/>
  <c r="CS38" i="1" l="1"/>
  <c r="CR38" i="1"/>
  <c r="BH822" i="1"/>
  <c r="BH826" i="1"/>
  <c r="BI826" i="1" s="1"/>
  <c r="BI820" i="1"/>
  <c r="BK786" i="1"/>
  <c r="BJ787" i="1"/>
  <c r="CM11" i="1"/>
  <c r="CN6" i="1"/>
  <c r="BH795" i="1"/>
  <c r="BI787" i="1"/>
  <c r="BH789" i="1"/>
  <c r="BH788" i="1"/>
  <c r="BI788" i="1" s="1"/>
  <c r="CK705" i="1"/>
  <c r="CK704" i="1" s="1"/>
  <c r="CK706" i="1" s="1"/>
  <c r="CL674" i="1"/>
  <c r="CK673" i="1"/>
  <c r="CL673" i="1" s="1"/>
  <c r="CK944" i="1"/>
  <c r="CL944" i="1" s="1"/>
  <c r="CK938" i="1"/>
  <c r="CL938" i="1" s="1"/>
  <c r="CK943" i="1"/>
  <c r="CL943" i="1" s="1"/>
  <c r="CK940" i="1"/>
  <c r="CL940" i="1" s="1"/>
  <c r="CK941" i="1"/>
  <c r="CL941" i="1" s="1"/>
  <c r="CK939" i="1"/>
  <c r="CL939" i="1" s="1"/>
  <c r="CK937" i="1"/>
  <c r="BJ782" i="1"/>
  <c r="BK782" i="1" s="1"/>
  <c r="BK778" i="1"/>
  <c r="BL686" i="1"/>
  <c r="BM679" i="1"/>
  <c r="CK714" i="1"/>
  <c r="CL709" i="1"/>
  <c r="CK819" i="1"/>
  <c r="CK661" i="1"/>
  <c r="CL659" i="1"/>
  <c r="CL672" i="1"/>
  <c r="CK721" i="1"/>
  <c r="CL721" i="1" s="1"/>
  <c r="CK727" i="1"/>
  <c r="CL727" i="1" s="1"/>
  <c r="CK726" i="1"/>
  <c r="CL726" i="1" s="1"/>
  <c r="CK723" i="1"/>
  <c r="CL723" i="1" s="1"/>
  <c r="CK724" i="1"/>
  <c r="CL724" i="1" s="1"/>
  <c r="CK722" i="1"/>
  <c r="CL722" i="1" s="1"/>
  <c r="CK720" i="1"/>
  <c r="CI907" i="1"/>
  <c r="CJ907" i="1" s="1"/>
  <c r="CI898" i="1"/>
  <c r="CJ898" i="1" s="1"/>
  <c r="CI679" i="1"/>
  <c r="CJ677" i="1"/>
  <c r="CI17" i="1"/>
  <c r="CN633" i="1"/>
  <c r="CM635" i="1"/>
  <c r="CL16" i="1"/>
  <c r="CP60" i="1"/>
  <c r="CO74" i="1"/>
  <c r="CO73" i="1"/>
  <c r="CS35" i="1"/>
  <c r="CQ36" i="1"/>
  <c r="CR35" i="1"/>
  <c r="CO624" i="1"/>
  <c r="CP622" i="1"/>
  <c r="CI946" i="1"/>
  <c r="CJ945" i="1"/>
  <c r="CM664" i="1"/>
  <c r="CM94" i="1"/>
  <c r="CM91" i="1"/>
  <c r="CN91" i="1" s="1"/>
  <c r="CN90" i="1"/>
  <c r="CM92" i="1"/>
  <c r="CM918" i="1"/>
  <c r="CN84" i="1"/>
  <c r="BM763" i="1"/>
  <c r="BL20" i="1"/>
  <c r="BM20" i="1" s="1"/>
  <c r="BL681" i="1"/>
  <c r="BL682" i="1" s="1"/>
  <c r="CI682" i="1" s="1"/>
  <c r="CK801" i="1"/>
  <c r="CL799" i="1"/>
  <c r="CJ761" i="1"/>
  <c r="CI19" i="1"/>
  <c r="CJ19" i="1" s="1"/>
  <c r="BJ820" i="1"/>
  <c r="BJ813" i="1"/>
  <c r="BK813" i="1" s="1"/>
  <c r="BK774" i="1"/>
  <c r="CM653" i="1"/>
  <c r="CN648" i="1"/>
  <c r="CK675" i="1" l="1"/>
  <c r="CL819" i="1"/>
  <c r="CK942" i="1"/>
  <c r="CL937" i="1"/>
  <c r="BJ795" i="1"/>
  <c r="BK787" i="1"/>
  <c r="BJ788" i="1"/>
  <c r="BK788" i="1" s="1"/>
  <c r="BJ789" i="1"/>
  <c r="BH823" i="1"/>
  <c r="BI823" i="1" s="1"/>
  <c r="BH828" i="1"/>
  <c r="BI822" i="1"/>
  <c r="BH894" i="1"/>
  <c r="CK758" i="1"/>
  <c r="CL661" i="1"/>
  <c r="CM14" i="1"/>
  <c r="CN11" i="1"/>
  <c r="CM923" i="1"/>
  <c r="CM699" i="1"/>
  <c r="CM703" i="1" s="1"/>
  <c r="CM656" i="1"/>
  <c r="CN653" i="1"/>
  <c r="BJ822" i="1"/>
  <c r="BK820" i="1"/>
  <c r="BJ826" i="1"/>
  <c r="BK826" i="1" s="1"/>
  <c r="CK802" i="1"/>
  <c r="CL802" i="1" s="1"/>
  <c r="CL801" i="1"/>
  <c r="CQ59" i="1"/>
  <c r="CR36" i="1"/>
  <c r="CQ53" i="1"/>
  <c r="CQ57" i="1"/>
  <c r="CQ56" i="1"/>
  <c r="CS36" i="1"/>
  <c r="CO629" i="1"/>
  <c r="CP629" i="1" s="1"/>
  <c r="CP74" i="1"/>
  <c r="CM636" i="1"/>
  <c r="CM638" i="1" s="1"/>
  <c r="CN638" i="1" s="1"/>
  <c r="CN635" i="1"/>
  <c r="CJ679" i="1"/>
  <c r="CK725" i="1"/>
  <c r="CL720" i="1"/>
  <c r="BM686" i="1"/>
  <c r="CI686" i="1"/>
  <c r="BL689" i="1"/>
  <c r="BI795" i="1"/>
  <c r="BH794" i="1"/>
  <c r="BI794" i="1" s="1"/>
  <c r="CM669" i="1"/>
  <c r="CN664" i="1"/>
  <c r="CO628" i="1"/>
  <c r="CO75" i="1"/>
  <c r="CO76" i="1" s="1"/>
  <c r="CP73" i="1"/>
  <c r="CI763" i="1"/>
  <c r="CI681" i="1"/>
  <c r="CK717" i="1"/>
  <c r="CL717" i="1" s="1"/>
  <c r="CL714" i="1"/>
  <c r="CK803" i="1" l="1"/>
  <c r="CP76" i="1"/>
  <c r="CO83" i="1"/>
  <c r="BM689" i="1"/>
  <c r="CI689" i="1"/>
  <c r="CQ618" i="1"/>
  <c r="CS53" i="1"/>
  <c r="CQ58" i="1"/>
  <c r="CR53" i="1"/>
  <c r="BJ823" i="1"/>
  <c r="BK823" i="1" s="1"/>
  <c r="BJ828" i="1"/>
  <c r="BK822" i="1"/>
  <c r="BJ894" i="1"/>
  <c r="CP628" i="1"/>
  <c r="CJ686" i="1"/>
  <c r="CI692" i="1"/>
  <c r="CK728" i="1"/>
  <c r="CL728" i="1" s="1"/>
  <c r="CL725" i="1"/>
  <c r="CL758" i="1"/>
  <c r="CK18" i="1"/>
  <c r="CL18" i="1" s="1"/>
  <c r="CK733" i="1"/>
  <c r="CL733" i="1" s="1"/>
  <c r="BJ794" i="1"/>
  <c r="BK794" i="1" s="1"/>
  <c r="BK795" i="1"/>
  <c r="CK808" i="1"/>
  <c r="CL803" i="1"/>
  <c r="CJ763" i="1"/>
  <c r="CI20" i="1"/>
  <c r="CJ20" i="1" s="1"/>
  <c r="BL691" i="1"/>
  <c r="CN636" i="1"/>
  <c r="CM657" i="1"/>
  <c r="CM15" i="1"/>
  <c r="CN15" i="1" s="1"/>
  <c r="CQ619" i="1"/>
  <c r="CS56" i="1"/>
  <c r="CR56" i="1"/>
  <c r="CQ623" i="1"/>
  <c r="CQ72" i="1"/>
  <c r="CS59" i="1"/>
  <c r="CR59" i="1"/>
  <c r="CN656" i="1"/>
  <c r="CM710" i="1"/>
  <c r="CN710" i="1" s="1"/>
  <c r="CM716" i="1"/>
  <c r="CN716" i="1" s="1"/>
  <c r="CM715" i="1"/>
  <c r="CN715" i="1" s="1"/>
  <c r="CM713" i="1"/>
  <c r="CN713" i="1" s="1"/>
  <c r="CM712" i="1"/>
  <c r="CN712" i="1" s="1"/>
  <c r="CM711" i="1"/>
  <c r="CN711" i="1" s="1"/>
  <c r="CM709" i="1"/>
  <c r="CN14" i="1"/>
  <c r="CK761" i="1"/>
  <c r="CL675" i="1"/>
  <c r="CK677" i="1"/>
  <c r="CK750" i="1"/>
  <c r="CL750" i="1" s="1"/>
  <c r="CO630" i="1"/>
  <c r="CP630" i="1" s="1"/>
  <c r="CP75" i="1"/>
  <c r="BI828" i="1"/>
  <c r="BH830" i="1"/>
  <c r="BI830" i="1" s="1"/>
  <c r="BH831" i="1"/>
  <c r="BI831" i="1" s="1"/>
  <c r="CM799" i="1"/>
  <c r="CM672" i="1"/>
  <c r="CN669" i="1"/>
  <c r="CQ620" i="1"/>
  <c r="CS57" i="1"/>
  <c r="CR57" i="1"/>
  <c r="CK945" i="1"/>
  <c r="CL942" i="1"/>
  <c r="CM714" i="1" l="1"/>
  <c r="CN709" i="1"/>
  <c r="CK692" i="1"/>
  <c r="CJ692" i="1"/>
  <c r="CL689" i="1"/>
  <c r="CJ689" i="1"/>
  <c r="CN672" i="1"/>
  <c r="CM721" i="1"/>
  <c r="CN721" i="1" s="1"/>
  <c r="CM727" i="1"/>
  <c r="CN727" i="1" s="1"/>
  <c r="CM726" i="1"/>
  <c r="CN726" i="1" s="1"/>
  <c r="CM723" i="1"/>
  <c r="CN723" i="1" s="1"/>
  <c r="CM724" i="1"/>
  <c r="CN724" i="1" s="1"/>
  <c r="CM722" i="1"/>
  <c r="CN722" i="1" s="1"/>
  <c r="CM720" i="1"/>
  <c r="CK907" i="1"/>
  <c r="CL907" i="1" s="1"/>
  <c r="CK898" i="1"/>
  <c r="CL898" i="1" s="1"/>
  <c r="CK679" i="1"/>
  <c r="CL677" i="1"/>
  <c r="CK17" i="1"/>
  <c r="CN657" i="1"/>
  <c r="CM658" i="1"/>
  <c r="CR58" i="1"/>
  <c r="CQ60" i="1"/>
  <c r="CS58" i="1"/>
  <c r="CK946" i="1"/>
  <c r="CL945" i="1"/>
  <c r="CO633" i="1"/>
  <c r="BK828" i="1"/>
  <c r="BJ831" i="1"/>
  <c r="BK831" i="1" s="1"/>
  <c r="BJ830" i="1"/>
  <c r="BK830" i="1" s="1"/>
  <c r="CO648" i="1"/>
  <c r="CO90" i="1"/>
  <c r="CO84" i="1"/>
  <c r="CP83" i="1"/>
  <c r="CO6" i="1"/>
  <c r="CQ627" i="1"/>
  <c r="CS623" i="1"/>
  <c r="CM801" i="1"/>
  <c r="CN799" i="1"/>
  <c r="CS620" i="1"/>
  <c r="CR620" i="1"/>
  <c r="CK763" i="1"/>
  <c r="CL761" i="1"/>
  <c r="CK19" i="1"/>
  <c r="CL19" i="1" s="1"/>
  <c r="CM16" i="1"/>
  <c r="CM659" i="1"/>
  <c r="CR72" i="1"/>
  <c r="CS72" i="1"/>
  <c r="CS619" i="1"/>
  <c r="CR619" i="1"/>
  <c r="BM691" i="1"/>
  <c r="BL694" i="1"/>
  <c r="CK815" i="1"/>
  <c r="CL815" i="1" s="1"/>
  <c r="CL808" i="1"/>
  <c r="CI691" i="1"/>
  <c r="CR618" i="1"/>
  <c r="CQ622" i="1"/>
  <c r="CS618" i="1"/>
  <c r="CS622" i="1" l="1"/>
  <c r="CQ624" i="1"/>
  <c r="CR622" i="1"/>
  <c r="BL759" i="1"/>
  <c r="BM759" i="1" s="1"/>
  <c r="BM694" i="1"/>
  <c r="BL696" i="1"/>
  <c r="BL751" i="1"/>
  <c r="BM751" i="1" s="1"/>
  <c r="BL877" i="1"/>
  <c r="BL876" i="1"/>
  <c r="CN16" i="1"/>
  <c r="CO918" i="1"/>
  <c r="CP84" i="1"/>
  <c r="CM674" i="1"/>
  <c r="CN658" i="1"/>
  <c r="CM676" i="1"/>
  <c r="CN676" i="1" s="1"/>
  <c r="CL679" i="1"/>
  <c r="CK686" i="1"/>
  <c r="CM725" i="1"/>
  <c r="CN720" i="1"/>
  <c r="CM692" i="1"/>
  <c r="CL692" i="1"/>
  <c r="CM819" i="1"/>
  <c r="CM661" i="1"/>
  <c r="CN659" i="1"/>
  <c r="CL763" i="1"/>
  <c r="CK20" i="1"/>
  <c r="CL20" i="1" s="1"/>
  <c r="CK681" i="1"/>
  <c r="CK682" i="1" s="1"/>
  <c r="CM802" i="1"/>
  <c r="CN802" i="1" s="1"/>
  <c r="CN801" i="1"/>
  <c r="CS627" i="1"/>
  <c r="CR627" i="1"/>
  <c r="CO664" i="1"/>
  <c r="CO94" i="1"/>
  <c r="CO91" i="1"/>
  <c r="CP91" i="1" s="1"/>
  <c r="CP90" i="1"/>
  <c r="CO92" i="1"/>
  <c r="CJ691" i="1"/>
  <c r="CI694" i="1"/>
  <c r="CP6" i="1"/>
  <c r="CO11" i="1"/>
  <c r="CO653" i="1"/>
  <c r="CP648" i="1"/>
  <c r="CP633" i="1"/>
  <c r="CO635" i="1"/>
  <c r="CQ73" i="1"/>
  <c r="CS60" i="1"/>
  <c r="CR60" i="1"/>
  <c r="CQ74" i="1"/>
  <c r="CN714" i="1"/>
  <c r="CM717" i="1"/>
  <c r="CN717" i="1" s="1"/>
  <c r="BU10" i="14"/>
  <c r="CM803" i="1" l="1"/>
  <c r="CM808" i="1" s="1"/>
  <c r="CO636" i="1"/>
  <c r="CO638" i="1" s="1"/>
  <c r="CP638" i="1" s="1"/>
  <c r="CP635" i="1"/>
  <c r="CM758" i="1"/>
  <c r="CN661" i="1"/>
  <c r="BM876" i="1"/>
  <c r="CI876" i="1"/>
  <c r="CQ629" i="1"/>
  <c r="CS74" i="1"/>
  <c r="CR74" i="1"/>
  <c r="CI759" i="1"/>
  <c r="CJ759" i="1" s="1"/>
  <c r="CJ694" i="1"/>
  <c r="CI696" i="1"/>
  <c r="CI751" i="1"/>
  <c r="CJ751" i="1" s="1"/>
  <c r="CO692" i="1"/>
  <c r="CN692" i="1"/>
  <c r="CO14" i="1"/>
  <c r="CP11" i="1"/>
  <c r="CO669" i="1"/>
  <c r="CP664" i="1"/>
  <c r="CN819" i="1"/>
  <c r="CN725" i="1"/>
  <c r="CM728" i="1"/>
  <c r="CN728" i="1" s="1"/>
  <c r="BL908" i="1"/>
  <c r="BM908" i="1" s="1"/>
  <c r="BL902" i="1"/>
  <c r="BM902" i="1" s="1"/>
  <c r="BL906" i="1"/>
  <c r="BM906" i="1" s="1"/>
  <c r="BL905" i="1"/>
  <c r="BM905" i="1" s="1"/>
  <c r="BL880" i="1"/>
  <c r="BM877" i="1"/>
  <c r="BL875" i="1"/>
  <c r="BL769" i="1"/>
  <c r="BL747" i="1"/>
  <c r="BL904" i="1"/>
  <c r="BM904" i="1" s="1"/>
  <c r="BL903" i="1"/>
  <c r="BM903" i="1" s="1"/>
  <c r="BL865" i="1"/>
  <c r="BL881" i="1"/>
  <c r="CS624" i="1"/>
  <c r="CO923" i="1"/>
  <c r="CO699" i="1"/>
  <c r="CO703" i="1" s="1"/>
  <c r="CO656" i="1"/>
  <c r="CP653" i="1"/>
  <c r="CM673" i="1"/>
  <c r="CM705" i="1"/>
  <c r="CM704" i="1" s="1"/>
  <c r="CM706" i="1" s="1"/>
  <c r="CN674" i="1"/>
  <c r="CM938" i="1"/>
  <c r="CN938" i="1" s="1"/>
  <c r="CM944" i="1"/>
  <c r="CN944" i="1" s="1"/>
  <c r="CM943" i="1"/>
  <c r="CN943" i="1" s="1"/>
  <c r="CM940" i="1"/>
  <c r="CN940" i="1" s="1"/>
  <c r="CM941" i="1"/>
  <c r="CN941" i="1" s="1"/>
  <c r="CM939" i="1"/>
  <c r="CN939" i="1" s="1"/>
  <c r="CM937" i="1"/>
  <c r="CQ628" i="1"/>
  <c r="CQ75" i="1"/>
  <c r="CS73" i="1"/>
  <c r="CR73" i="1"/>
  <c r="CK691" i="1"/>
  <c r="CL686" i="1"/>
  <c r="BV10" i="14"/>
  <c r="CC9" i="13"/>
  <c r="CN803" i="1" l="1"/>
  <c r="CN673" i="1"/>
  <c r="CM675" i="1"/>
  <c r="CI865" i="1"/>
  <c r="BM865" i="1"/>
  <c r="BL868" i="1"/>
  <c r="BM769" i="1"/>
  <c r="BL777" i="1"/>
  <c r="BL773" i="1"/>
  <c r="BM773" i="1" s="1"/>
  <c r="CR629" i="1"/>
  <c r="CS629" i="1"/>
  <c r="BL899" i="1"/>
  <c r="BM899" i="1" s="1"/>
  <c r="BL897" i="1"/>
  <c r="BM897" i="1" s="1"/>
  <c r="BL896" i="1"/>
  <c r="BM896" i="1" s="1"/>
  <c r="BL892" i="1"/>
  <c r="BM892" i="1" s="1"/>
  <c r="BM880" i="1"/>
  <c r="BL770" i="1"/>
  <c r="BL893" i="1"/>
  <c r="BM893" i="1" s="1"/>
  <c r="BL895" i="1"/>
  <c r="BM895" i="1" s="1"/>
  <c r="BL882" i="1"/>
  <c r="CQ692" i="1"/>
  <c r="CP692" i="1"/>
  <c r="CL691" i="1"/>
  <c r="CK694" i="1"/>
  <c r="CK876" i="1" s="1"/>
  <c r="CQ630" i="1"/>
  <c r="CQ633" i="1" s="1"/>
  <c r="CS75" i="1"/>
  <c r="CR75" i="1"/>
  <c r="BM875" i="1"/>
  <c r="CI875" i="1"/>
  <c r="CO799" i="1"/>
  <c r="CO672" i="1"/>
  <c r="CP669" i="1"/>
  <c r="CP14" i="1"/>
  <c r="CJ876" i="1"/>
  <c r="CN758" i="1"/>
  <c r="CM18" i="1"/>
  <c r="CN18" i="1" s="1"/>
  <c r="CM733" i="1"/>
  <c r="CN733" i="1" s="1"/>
  <c r="CM942" i="1"/>
  <c r="CN937" i="1"/>
  <c r="BM881" i="1"/>
  <c r="BL889" i="1"/>
  <c r="BM889" i="1" s="1"/>
  <c r="CO657" i="1"/>
  <c r="CO659" i="1" s="1"/>
  <c r="CP636" i="1"/>
  <c r="CO15" i="1"/>
  <c r="CP15" i="1" s="1"/>
  <c r="CQ76" i="1"/>
  <c r="CS628" i="1"/>
  <c r="CR628" i="1"/>
  <c r="CP656" i="1"/>
  <c r="CO716" i="1"/>
  <c r="CP716" i="1" s="1"/>
  <c r="CO710" i="1"/>
  <c r="CP710" i="1" s="1"/>
  <c r="CO715" i="1"/>
  <c r="CP715" i="1" s="1"/>
  <c r="CO712" i="1"/>
  <c r="CP712" i="1" s="1"/>
  <c r="CO713" i="1"/>
  <c r="CP713" i="1" s="1"/>
  <c r="CO711" i="1"/>
  <c r="CP711" i="1" s="1"/>
  <c r="CO709" i="1"/>
  <c r="CM815" i="1"/>
  <c r="CN815" i="1" s="1"/>
  <c r="CN808" i="1"/>
  <c r="CD9" i="13"/>
  <c r="CS633" i="1" l="1"/>
  <c r="CR633" i="1"/>
  <c r="CQ635" i="1"/>
  <c r="CO801" i="1"/>
  <c r="CP799" i="1"/>
  <c r="BM777" i="1"/>
  <c r="BL781" i="1"/>
  <c r="BM781" i="1" s="1"/>
  <c r="CJ865" i="1"/>
  <c r="CI868" i="1"/>
  <c r="CO714" i="1"/>
  <c r="CP709" i="1"/>
  <c r="CO819" i="1"/>
  <c r="CO661" i="1"/>
  <c r="CP659" i="1"/>
  <c r="CR76" i="1"/>
  <c r="CS76" i="1"/>
  <c r="CQ83" i="1"/>
  <c r="CL876" i="1"/>
  <c r="CP672" i="1"/>
  <c r="CO727" i="1"/>
  <c r="CP727" i="1" s="1"/>
  <c r="CO721" i="1"/>
  <c r="CP721" i="1" s="1"/>
  <c r="CO726" i="1"/>
  <c r="CP726" i="1" s="1"/>
  <c r="CO723" i="1"/>
  <c r="CP723" i="1" s="1"/>
  <c r="CO724" i="1"/>
  <c r="CP724" i="1" s="1"/>
  <c r="CO722" i="1"/>
  <c r="CP722" i="1" s="1"/>
  <c r="CO720" i="1"/>
  <c r="CO16" i="1"/>
  <c r="CJ875" i="1"/>
  <c r="CI877" i="1"/>
  <c r="CS630" i="1"/>
  <c r="CR630" i="1"/>
  <c r="CS692" i="1"/>
  <c r="CR692" i="1"/>
  <c r="BL786" i="1"/>
  <c r="BM770" i="1"/>
  <c r="BL778" i="1"/>
  <c r="BL774" i="1"/>
  <c r="CM761" i="1"/>
  <c r="CM677" i="1"/>
  <c r="CN675" i="1"/>
  <c r="CM750" i="1"/>
  <c r="CN750" i="1" s="1"/>
  <c r="CO658" i="1"/>
  <c r="CP657" i="1"/>
  <c r="CM945" i="1"/>
  <c r="CN942" i="1"/>
  <c r="CK759" i="1"/>
  <c r="CL759" i="1" s="1"/>
  <c r="CK696" i="1"/>
  <c r="CL694" i="1"/>
  <c r="CK751" i="1"/>
  <c r="CL751" i="1" s="1"/>
  <c r="BM882" i="1"/>
  <c r="BL887" i="1"/>
  <c r="BM887" i="1" s="1"/>
  <c r="BL886" i="1"/>
  <c r="BM886" i="1" s="1"/>
  <c r="BL888" i="1"/>
  <c r="BM888" i="1" s="1"/>
  <c r="BL883" i="1"/>
  <c r="BM883" i="1" s="1"/>
  <c r="BM868" i="1"/>
  <c r="CM946" i="1" l="1"/>
  <c r="CN945" i="1"/>
  <c r="CP819" i="1"/>
  <c r="CM907" i="1"/>
  <c r="CN907" i="1" s="1"/>
  <c r="CM898" i="1"/>
  <c r="CN898" i="1" s="1"/>
  <c r="CM679" i="1"/>
  <c r="CN677" i="1"/>
  <c r="CM17" i="1"/>
  <c r="BL820" i="1"/>
  <c r="BL813" i="1"/>
  <c r="BM813" i="1" s="1"/>
  <c r="BM774" i="1"/>
  <c r="CI908" i="1"/>
  <c r="CJ908" i="1" s="1"/>
  <c r="CI906" i="1"/>
  <c r="CJ906" i="1" s="1"/>
  <c r="CI902" i="1"/>
  <c r="CJ902" i="1" s="1"/>
  <c r="CI905" i="1"/>
  <c r="CJ905" i="1" s="1"/>
  <c r="CI880" i="1"/>
  <c r="CJ877" i="1"/>
  <c r="CK877" i="1"/>
  <c r="CK881" i="1" s="1"/>
  <c r="CI769" i="1"/>
  <c r="CI747" i="1"/>
  <c r="CI881" i="1"/>
  <c r="CI903" i="1"/>
  <c r="CJ903" i="1" s="1"/>
  <c r="CI904" i="1"/>
  <c r="CJ904" i="1" s="1"/>
  <c r="CS635" i="1"/>
  <c r="CQ636" i="1"/>
  <c r="CR635" i="1"/>
  <c r="CO802" i="1"/>
  <c r="CP802" i="1" s="1"/>
  <c r="CP801" i="1"/>
  <c r="CO674" i="1"/>
  <c r="CP658" i="1"/>
  <c r="CO676" i="1"/>
  <c r="CP676" i="1" s="1"/>
  <c r="CM763" i="1"/>
  <c r="CN761" i="1"/>
  <c r="CM19" i="1"/>
  <c r="CN19" i="1" s="1"/>
  <c r="BM778" i="1"/>
  <c r="BL782" i="1"/>
  <c r="BM782" i="1" s="1"/>
  <c r="CO717" i="1"/>
  <c r="CP717" i="1" s="1"/>
  <c r="CP714" i="1"/>
  <c r="BM786" i="1"/>
  <c r="BL787" i="1"/>
  <c r="CO725" i="1"/>
  <c r="CP720" i="1"/>
  <c r="CP16" i="1"/>
  <c r="CQ648" i="1"/>
  <c r="CQ90" i="1"/>
  <c r="CS83" i="1"/>
  <c r="CQ6" i="1"/>
  <c r="CQ84" i="1"/>
  <c r="CR83" i="1"/>
  <c r="CO758" i="1"/>
  <c r="CP661" i="1"/>
  <c r="CI883" i="1"/>
  <c r="CJ883" i="1" s="1"/>
  <c r="CJ868" i="1"/>
  <c r="BW10" i="14"/>
  <c r="CO803" i="1" l="1"/>
  <c r="CQ664" i="1"/>
  <c r="CQ94" i="1"/>
  <c r="CS94" i="1" s="1"/>
  <c r="CQ91" i="1"/>
  <c r="CS90" i="1"/>
  <c r="CR90" i="1"/>
  <c r="CQ92" i="1"/>
  <c r="CS92" i="1" s="1"/>
  <c r="CI899" i="1"/>
  <c r="CJ899" i="1" s="1"/>
  <c r="CI896" i="1"/>
  <c r="CJ896" i="1" s="1"/>
  <c r="CI897" i="1"/>
  <c r="CJ897" i="1" s="1"/>
  <c r="CI892" i="1"/>
  <c r="CJ892" i="1" s="1"/>
  <c r="CJ880" i="1"/>
  <c r="CI770" i="1"/>
  <c r="CI882" i="1"/>
  <c r="CI895" i="1"/>
  <c r="CJ895" i="1" s="1"/>
  <c r="CI893" i="1"/>
  <c r="CJ893" i="1" s="1"/>
  <c r="BL822" i="1"/>
  <c r="BM820" i="1"/>
  <c r="BL826" i="1"/>
  <c r="CO808" i="1"/>
  <c r="CP803" i="1"/>
  <c r="CR636" i="1"/>
  <c r="CQ657" i="1"/>
  <c r="CS636" i="1"/>
  <c r="CQ15" i="1"/>
  <c r="CQ918" i="1"/>
  <c r="CS84" i="1"/>
  <c r="CR84" i="1"/>
  <c r="CQ653" i="1"/>
  <c r="CR648" i="1"/>
  <c r="CS648" i="1"/>
  <c r="CO728" i="1"/>
  <c r="CP728" i="1" s="1"/>
  <c r="CP725" i="1"/>
  <c r="CO705" i="1"/>
  <c r="CO704" i="1" s="1"/>
  <c r="CO706" i="1" s="1"/>
  <c r="CP674" i="1"/>
  <c r="CO673" i="1"/>
  <c r="CO944" i="1"/>
  <c r="CP944" i="1" s="1"/>
  <c r="CO938" i="1"/>
  <c r="CP938" i="1" s="1"/>
  <c r="CO943" i="1"/>
  <c r="CP943" i="1" s="1"/>
  <c r="CO940" i="1"/>
  <c r="CP940" i="1" s="1"/>
  <c r="CO941" i="1"/>
  <c r="CP941" i="1" s="1"/>
  <c r="CO939" i="1"/>
  <c r="CP939" i="1" s="1"/>
  <c r="CO937" i="1"/>
  <c r="CQ638" i="1"/>
  <c r="CJ769" i="1"/>
  <c r="CI777" i="1"/>
  <c r="CI773" i="1"/>
  <c r="CJ773" i="1" s="1"/>
  <c r="CL881" i="1"/>
  <c r="CK889" i="1"/>
  <c r="CP758" i="1"/>
  <c r="CO18" i="1"/>
  <c r="CP18" i="1" s="1"/>
  <c r="CO733" i="1"/>
  <c r="CP733" i="1" s="1"/>
  <c r="CJ881" i="1"/>
  <c r="CI889" i="1"/>
  <c r="CJ889" i="1" s="1"/>
  <c r="CM686" i="1"/>
  <c r="CN679" i="1"/>
  <c r="CQ11" i="1"/>
  <c r="CR6" i="1"/>
  <c r="CS6" i="1"/>
  <c r="BL795" i="1"/>
  <c r="BM787" i="1"/>
  <c r="BL789" i="1"/>
  <c r="BL788" i="1"/>
  <c r="BM788" i="1" s="1"/>
  <c r="CN763" i="1"/>
  <c r="CM20" i="1"/>
  <c r="CN20" i="1" s="1"/>
  <c r="CM681" i="1"/>
  <c r="CM682" i="1" s="1"/>
  <c r="CK906" i="1"/>
  <c r="CL906" i="1" s="1"/>
  <c r="CK902" i="1"/>
  <c r="CL902" i="1" s="1"/>
  <c r="CK905" i="1"/>
  <c r="CL905" i="1" s="1"/>
  <c r="CK908" i="1"/>
  <c r="CL908" i="1" s="1"/>
  <c r="CK875" i="1"/>
  <c r="CL875" i="1" s="1"/>
  <c r="CL877" i="1"/>
  <c r="CK880" i="1"/>
  <c r="CK882" i="1" s="1"/>
  <c r="CK769" i="1"/>
  <c r="CK747" i="1"/>
  <c r="CK904" i="1"/>
  <c r="CL904" i="1" s="1"/>
  <c r="CK903" i="1"/>
  <c r="CL903" i="1" s="1"/>
  <c r="CK865" i="1"/>
  <c r="BX10" i="14"/>
  <c r="CE9" i="13"/>
  <c r="CL889" i="1" l="1"/>
  <c r="CM691" i="1"/>
  <c r="CN686" i="1"/>
  <c r="CO815" i="1"/>
  <c r="CP815" i="1" s="1"/>
  <c r="CP808" i="1"/>
  <c r="CL882" i="1"/>
  <c r="CK887" i="1"/>
  <c r="CK886" i="1"/>
  <c r="CK888" i="1"/>
  <c r="CR11" i="1"/>
  <c r="CS11" i="1"/>
  <c r="CQ14" i="1"/>
  <c r="CJ777" i="1"/>
  <c r="CI781" i="1"/>
  <c r="CJ781" i="1" s="1"/>
  <c r="CS657" i="1"/>
  <c r="CR657" i="1"/>
  <c r="BM826" i="1"/>
  <c r="CI826" i="1"/>
  <c r="CJ826" i="1" s="1"/>
  <c r="CS91" i="1"/>
  <c r="CR91" i="1"/>
  <c r="CL865" i="1"/>
  <c r="CK868" i="1"/>
  <c r="BM795" i="1"/>
  <c r="BL794" i="1"/>
  <c r="BM794" i="1" s="1"/>
  <c r="CQ923" i="1"/>
  <c r="CQ699" i="1"/>
  <c r="CQ656" i="1"/>
  <c r="CQ658" i="1" s="1"/>
  <c r="CS653" i="1"/>
  <c r="CR653" i="1"/>
  <c r="CJ882" i="1"/>
  <c r="CI887" i="1"/>
  <c r="CJ887" i="1" s="1"/>
  <c r="CI886" i="1"/>
  <c r="CJ886" i="1" s="1"/>
  <c r="CI888" i="1"/>
  <c r="CJ888" i="1" s="1"/>
  <c r="CO942" i="1"/>
  <c r="CP937" i="1"/>
  <c r="CK777" i="1"/>
  <c r="CK773" i="1"/>
  <c r="CL773" i="1" s="1"/>
  <c r="CL769" i="1"/>
  <c r="CK897" i="1"/>
  <c r="CL897" i="1" s="1"/>
  <c r="CK892" i="1"/>
  <c r="CL892" i="1" s="1"/>
  <c r="CK899" i="1"/>
  <c r="CL899" i="1" s="1"/>
  <c r="CK896" i="1"/>
  <c r="CL896" i="1" s="1"/>
  <c r="CL880" i="1"/>
  <c r="CK770" i="1"/>
  <c r="CK893" i="1"/>
  <c r="CL893" i="1" s="1"/>
  <c r="CK895" i="1"/>
  <c r="CL895" i="1" s="1"/>
  <c r="CS638" i="1"/>
  <c r="CR638" i="1"/>
  <c r="CP673" i="1"/>
  <c r="CO675" i="1"/>
  <c r="CR15" i="1"/>
  <c r="CS15" i="1"/>
  <c r="BL823" i="1"/>
  <c r="BM823" i="1" s="1"/>
  <c r="BL828" i="1"/>
  <c r="BM822" i="1"/>
  <c r="BL894" i="1"/>
  <c r="CI786" i="1"/>
  <c r="CJ770" i="1"/>
  <c r="CI778" i="1"/>
  <c r="CI774" i="1"/>
  <c r="CS664" i="1"/>
  <c r="CQ669" i="1"/>
  <c r="CR664" i="1"/>
  <c r="CF9" i="13"/>
  <c r="BY10" i="14"/>
  <c r="CL888" i="1" l="1"/>
  <c r="BM828" i="1"/>
  <c r="CI828" i="1"/>
  <c r="BL830" i="1"/>
  <c r="BM830" i="1" s="1"/>
  <c r="BL831" i="1"/>
  <c r="BM831" i="1" s="1"/>
  <c r="CO761" i="1"/>
  <c r="CP675" i="1"/>
  <c r="CO677" i="1"/>
  <c r="CO750" i="1"/>
  <c r="CP750" i="1" s="1"/>
  <c r="CS656" i="1"/>
  <c r="CR656" i="1"/>
  <c r="CQ659" i="1"/>
  <c r="CQ716" i="1"/>
  <c r="CQ710" i="1"/>
  <c r="CQ715" i="1"/>
  <c r="CQ713" i="1"/>
  <c r="CQ712" i="1"/>
  <c r="CQ711" i="1"/>
  <c r="CQ709" i="1"/>
  <c r="CQ16" i="1"/>
  <c r="CR14" i="1"/>
  <c r="CS14" i="1"/>
  <c r="CL886" i="1"/>
  <c r="CK781" i="1"/>
  <c r="CL781" i="1" s="1"/>
  <c r="CL777" i="1"/>
  <c r="CQ674" i="1"/>
  <c r="CS658" i="1"/>
  <c r="CR658" i="1"/>
  <c r="CQ676" i="1"/>
  <c r="CJ786" i="1"/>
  <c r="CI787" i="1"/>
  <c r="CO945" i="1"/>
  <c r="CP942" i="1"/>
  <c r="CS699" i="1"/>
  <c r="CQ703" i="1"/>
  <c r="CK883" i="1"/>
  <c r="CL883" i="1" s="1"/>
  <c r="CL868" i="1"/>
  <c r="CL887" i="1"/>
  <c r="CJ778" i="1"/>
  <c r="CI782" i="1"/>
  <c r="CJ782" i="1" s="1"/>
  <c r="CQ799" i="1"/>
  <c r="CQ672" i="1"/>
  <c r="CS669" i="1"/>
  <c r="CR669" i="1"/>
  <c r="CI820" i="1"/>
  <c r="CI813" i="1"/>
  <c r="CJ813" i="1" s="1"/>
  <c r="CJ774" i="1"/>
  <c r="CK786" i="1"/>
  <c r="CK778" i="1"/>
  <c r="CK774" i="1"/>
  <c r="CL770" i="1"/>
  <c r="CN691" i="1"/>
  <c r="CM694" i="1"/>
  <c r="BU8" i="14"/>
  <c r="BZ10" i="14"/>
  <c r="CG9" i="13"/>
  <c r="CS709" i="1" l="1"/>
  <c r="CQ714" i="1"/>
  <c r="CR709" i="1"/>
  <c r="CR715" i="1"/>
  <c r="CS715" i="1"/>
  <c r="CK820" i="1"/>
  <c r="CK813" i="1"/>
  <c r="CL813" i="1" s="1"/>
  <c r="CL774" i="1"/>
  <c r="CS674" i="1"/>
  <c r="CQ673" i="1"/>
  <c r="CQ675" i="1" s="1"/>
  <c r="CQ705" i="1"/>
  <c r="CS705" i="1" s="1"/>
  <c r="CR674" i="1"/>
  <c r="CQ944" i="1"/>
  <c r="CR944" i="1" s="1"/>
  <c r="CQ938" i="1"/>
  <c r="CR938" i="1" s="1"/>
  <c r="CQ943" i="1"/>
  <c r="CR943" i="1" s="1"/>
  <c r="CQ941" i="1"/>
  <c r="CR941" i="1" s="1"/>
  <c r="CQ940" i="1"/>
  <c r="CR940" i="1" s="1"/>
  <c r="CQ939" i="1"/>
  <c r="CR939" i="1" s="1"/>
  <c r="CQ937" i="1"/>
  <c r="CR711" i="1"/>
  <c r="CS711" i="1"/>
  <c r="CS710" i="1"/>
  <c r="CR710" i="1"/>
  <c r="CO763" i="1"/>
  <c r="CP761" i="1"/>
  <c r="CO19" i="1"/>
  <c r="CP19" i="1" s="1"/>
  <c r="CS703" i="1"/>
  <c r="CI795" i="1"/>
  <c r="CJ787" i="1"/>
  <c r="CI788" i="1"/>
  <c r="CJ788" i="1" s="1"/>
  <c r="CI789" i="1"/>
  <c r="CS672" i="1"/>
  <c r="CR672" i="1"/>
  <c r="CQ727" i="1"/>
  <c r="CQ721" i="1"/>
  <c r="CQ726" i="1"/>
  <c r="CQ724" i="1"/>
  <c r="CQ723" i="1"/>
  <c r="CQ722" i="1"/>
  <c r="CQ720" i="1"/>
  <c r="CM759" i="1"/>
  <c r="CN759" i="1" s="1"/>
  <c r="CN694" i="1"/>
  <c r="CM696" i="1"/>
  <c r="CM751" i="1"/>
  <c r="CN751" i="1" s="1"/>
  <c r="CM876" i="1"/>
  <c r="CM877" i="1"/>
  <c r="CK782" i="1"/>
  <c r="CL782" i="1" s="1"/>
  <c r="CL778" i="1"/>
  <c r="CI822" i="1"/>
  <c r="CJ820" i="1"/>
  <c r="CQ801" i="1"/>
  <c r="CR799" i="1"/>
  <c r="CS676" i="1"/>
  <c r="CR676" i="1"/>
  <c r="CS712" i="1"/>
  <c r="CR712" i="1"/>
  <c r="CS716" i="1"/>
  <c r="CR716" i="1"/>
  <c r="CJ828" i="1"/>
  <c r="CI830" i="1"/>
  <c r="CJ830" i="1" s="1"/>
  <c r="CI831" i="1"/>
  <c r="CJ831" i="1" s="1"/>
  <c r="CL786" i="1"/>
  <c r="CK787" i="1"/>
  <c r="CO946" i="1"/>
  <c r="CP945" i="1"/>
  <c r="CS16" i="1"/>
  <c r="CR16" i="1"/>
  <c r="CS713" i="1"/>
  <c r="CR713" i="1"/>
  <c r="CQ819" i="1"/>
  <c r="CQ661" i="1"/>
  <c r="CS659" i="1"/>
  <c r="CR659" i="1"/>
  <c r="CO907" i="1"/>
  <c r="CP907" i="1" s="1"/>
  <c r="CO898" i="1"/>
  <c r="CP898" i="1" s="1"/>
  <c r="CO679" i="1"/>
  <c r="CP677" i="1"/>
  <c r="CO17" i="1"/>
  <c r="CA10" i="14"/>
  <c r="CH9" i="13"/>
  <c r="BV8" i="14"/>
  <c r="CC7" i="13"/>
  <c r="CQ704" i="1" l="1"/>
  <c r="CS704" i="1" s="1"/>
  <c r="CQ758" i="1"/>
  <c r="CS661" i="1"/>
  <c r="CR661" i="1"/>
  <c r="CR819" i="1"/>
  <c r="CK795" i="1"/>
  <c r="CL787" i="1"/>
  <c r="CK788" i="1"/>
  <c r="CL788" i="1" s="1"/>
  <c r="CK789" i="1"/>
  <c r="CQ802" i="1"/>
  <c r="CR802" i="1" s="1"/>
  <c r="CR801" i="1"/>
  <c r="CS724" i="1"/>
  <c r="CR724" i="1"/>
  <c r="CP763" i="1"/>
  <c r="CO20" i="1"/>
  <c r="CP20" i="1" s="1"/>
  <c r="CO681" i="1"/>
  <c r="CO682" i="1" s="1"/>
  <c r="CP679" i="1"/>
  <c r="CO686" i="1"/>
  <c r="CM908" i="1"/>
  <c r="CN908" i="1" s="1"/>
  <c r="CM906" i="1"/>
  <c r="CN906" i="1" s="1"/>
  <c r="CM902" i="1"/>
  <c r="CN902" i="1" s="1"/>
  <c r="CM905" i="1"/>
  <c r="CN905" i="1" s="1"/>
  <c r="CN877" i="1"/>
  <c r="CM880" i="1"/>
  <c r="CM875" i="1"/>
  <c r="CN875" i="1" s="1"/>
  <c r="CM769" i="1"/>
  <c r="CM747" i="1"/>
  <c r="CM904" i="1"/>
  <c r="CN904" i="1" s="1"/>
  <c r="CM903" i="1"/>
  <c r="CN903" i="1" s="1"/>
  <c r="CM865" i="1"/>
  <c r="CM881" i="1"/>
  <c r="CS720" i="1"/>
  <c r="CQ725" i="1"/>
  <c r="CR720" i="1"/>
  <c r="CS726" i="1"/>
  <c r="CR726" i="1"/>
  <c r="CQ706" i="1"/>
  <c r="CS706" i="1" s="1"/>
  <c r="CQ942" i="1"/>
  <c r="CR937" i="1"/>
  <c r="CI823" i="1"/>
  <c r="CJ823" i="1" s="1"/>
  <c r="CJ822" i="1"/>
  <c r="CI894" i="1"/>
  <c r="CN876" i="1"/>
  <c r="CS722" i="1"/>
  <c r="CR722" i="1"/>
  <c r="CR721" i="1"/>
  <c r="CS721" i="1"/>
  <c r="CQ761" i="1"/>
  <c r="CQ677" i="1"/>
  <c r="CS675" i="1"/>
  <c r="CR675" i="1"/>
  <c r="CQ750" i="1"/>
  <c r="CI794" i="1"/>
  <c r="CJ794" i="1" s="1"/>
  <c r="CJ795" i="1"/>
  <c r="CS673" i="1"/>
  <c r="CR673" i="1"/>
  <c r="CK822" i="1"/>
  <c r="CK826" i="1"/>
  <c r="CL826" i="1" s="1"/>
  <c r="CL820" i="1"/>
  <c r="CS714" i="1"/>
  <c r="CR714" i="1"/>
  <c r="CQ717" i="1"/>
  <c r="CS723" i="1"/>
  <c r="CR723" i="1"/>
  <c r="CS727" i="1"/>
  <c r="CR727" i="1"/>
  <c r="BU13" i="14"/>
  <c r="CC10" i="14"/>
  <c r="CD7" i="13"/>
  <c r="CB10" i="14"/>
  <c r="CI9" i="13"/>
  <c r="CQ803" i="1" l="1"/>
  <c r="CQ808" i="1" s="1"/>
  <c r="CS750" i="1"/>
  <c r="CR750" i="1"/>
  <c r="CS761" i="1"/>
  <c r="CQ763" i="1"/>
  <c r="CR761" i="1"/>
  <c r="CQ19" i="1"/>
  <c r="CN881" i="1"/>
  <c r="CM889" i="1"/>
  <c r="CN889" i="1" s="1"/>
  <c r="CM899" i="1"/>
  <c r="CN899" i="1" s="1"/>
  <c r="CM892" i="1"/>
  <c r="CN892" i="1" s="1"/>
  <c r="CM896" i="1"/>
  <c r="CN896" i="1" s="1"/>
  <c r="CM897" i="1"/>
  <c r="CN897" i="1" s="1"/>
  <c r="CN880" i="1"/>
  <c r="CM770" i="1"/>
  <c r="CM895" i="1"/>
  <c r="CN895" i="1" s="1"/>
  <c r="CM893" i="1"/>
  <c r="CN893" i="1" s="1"/>
  <c r="CM882" i="1"/>
  <c r="CO691" i="1"/>
  <c r="CP686" i="1"/>
  <c r="CQ945" i="1"/>
  <c r="CR942" i="1"/>
  <c r="CN865" i="1"/>
  <c r="CM868" i="1"/>
  <c r="CN769" i="1"/>
  <c r="CM777" i="1"/>
  <c r="CM773" i="1"/>
  <c r="CN773" i="1" s="1"/>
  <c r="CR803" i="1"/>
  <c r="CK794" i="1"/>
  <c r="CL794" i="1" s="1"/>
  <c r="CL795" i="1"/>
  <c r="CS717" i="1"/>
  <c r="CR717" i="1"/>
  <c r="CR725" i="1"/>
  <c r="CQ728" i="1"/>
  <c r="CS725" i="1"/>
  <c r="CK823" i="1"/>
  <c r="CL823" i="1" s="1"/>
  <c r="CK828" i="1"/>
  <c r="CL822" i="1"/>
  <c r="CK894" i="1"/>
  <c r="CK830" i="1"/>
  <c r="CL830" i="1" s="1"/>
  <c r="CQ907" i="1"/>
  <c r="CQ898" i="1"/>
  <c r="CS677" i="1"/>
  <c r="CQ679" i="1"/>
  <c r="CR677" i="1"/>
  <c r="CQ17" i="1"/>
  <c r="CS17" i="1" s="1"/>
  <c r="CS758" i="1"/>
  <c r="CR758" i="1"/>
  <c r="CQ18" i="1"/>
  <c r="CQ733" i="1"/>
  <c r="CJ9" i="13"/>
  <c r="CC12" i="13"/>
  <c r="CE10" i="14"/>
  <c r="CD10" i="14"/>
  <c r="CK9" i="13"/>
  <c r="BU16" i="14"/>
  <c r="BV13" i="14"/>
  <c r="CS733" i="1" l="1"/>
  <c r="CR733" i="1"/>
  <c r="CQ815" i="1"/>
  <c r="CR815" i="1" s="1"/>
  <c r="CR808" i="1"/>
  <c r="CM883" i="1"/>
  <c r="CN883" i="1" s="1"/>
  <c r="CN868" i="1"/>
  <c r="CS763" i="1"/>
  <c r="CR763" i="1"/>
  <c r="CQ20" i="1"/>
  <c r="CQ681" i="1"/>
  <c r="CQ682" i="1" s="1"/>
  <c r="CS682" i="1" s="1"/>
  <c r="CS18" i="1"/>
  <c r="CR18" i="1"/>
  <c r="CR898" i="1"/>
  <c r="CS898" i="1"/>
  <c r="CS728" i="1"/>
  <c r="CR728" i="1"/>
  <c r="CP691" i="1"/>
  <c r="CO694" i="1"/>
  <c r="CN770" i="1"/>
  <c r="CM778" i="1"/>
  <c r="CM774" i="1"/>
  <c r="CM786" i="1"/>
  <c r="CS679" i="1"/>
  <c r="CQ686" i="1"/>
  <c r="CR679" i="1"/>
  <c r="CR907" i="1"/>
  <c r="CS907" i="1"/>
  <c r="CL828" i="1"/>
  <c r="CK831" i="1"/>
  <c r="CL831" i="1" s="1"/>
  <c r="CN777" i="1"/>
  <c r="CM781" i="1"/>
  <c r="CN781" i="1" s="1"/>
  <c r="CN882" i="1"/>
  <c r="CM887" i="1"/>
  <c r="CN887" i="1" s="1"/>
  <c r="CM886" i="1"/>
  <c r="CN886" i="1" s="1"/>
  <c r="CM888" i="1"/>
  <c r="CN888" i="1" s="1"/>
  <c r="CS19" i="1"/>
  <c r="CR19" i="1"/>
  <c r="CQ946" i="1"/>
  <c r="CR945" i="1"/>
  <c r="BV16" i="14"/>
  <c r="BU68" i="14"/>
  <c r="CM9" i="13"/>
  <c r="CL9" i="13"/>
  <c r="BU18" i="14"/>
  <c r="CD12" i="13"/>
  <c r="CC15" i="13"/>
  <c r="CN778" i="1" l="1"/>
  <c r="CM782" i="1"/>
  <c r="CN782" i="1" s="1"/>
  <c r="CN786" i="1"/>
  <c r="CM787" i="1"/>
  <c r="CO759" i="1"/>
  <c r="CP759" i="1" s="1"/>
  <c r="CO696" i="1"/>
  <c r="CP694" i="1"/>
  <c r="CO751" i="1"/>
  <c r="CP751" i="1" s="1"/>
  <c r="CO877" i="1"/>
  <c r="CO876" i="1"/>
  <c r="CS686" i="1"/>
  <c r="CR686" i="1"/>
  <c r="CQ691" i="1"/>
  <c r="CM820" i="1"/>
  <c r="CM813" i="1"/>
  <c r="CN813" i="1" s="1"/>
  <c r="CN774" i="1"/>
  <c r="CS20" i="1"/>
  <c r="CR20" i="1"/>
  <c r="BU20" i="14"/>
  <c r="BU21" i="14" s="1"/>
  <c r="BV74" i="14"/>
  <c r="BU74" i="14"/>
  <c r="BV70" i="14"/>
  <c r="BU70" i="14"/>
  <c r="BV69" i="14"/>
  <c r="BU69" i="14"/>
  <c r="BV72" i="14"/>
  <c r="BU72" i="14"/>
  <c r="BV75" i="14"/>
  <c r="BU75" i="14"/>
  <c r="BV71" i="14"/>
  <c r="BU71" i="14"/>
  <c r="BW8" i="14"/>
  <c r="BU19" i="14"/>
  <c r="BV18" i="14"/>
  <c r="BV68" i="14"/>
  <c r="CD15" i="13"/>
  <c r="CC70" i="13"/>
  <c r="CM822" i="1" l="1"/>
  <c r="CM826" i="1"/>
  <c r="CN826" i="1" s="1"/>
  <c r="CN820" i="1"/>
  <c r="CP876" i="1"/>
  <c r="CM795" i="1"/>
  <c r="CN787" i="1"/>
  <c r="CM788" i="1"/>
  <c r="CN788" i="1" s="1"/>
  <c r="CM789" i="1"/>
  <c r="CS691" i="1"/>
  <c r="CR691" i="1"/>
  <c r="CQ694" i="1"/>
  <c r="CQ877" i="1" s="1"/>
  <c r="CO906" i="1"/>
  <c r="CP906" i="1" s="1"/>
  <c r="CO902" i="1"/>
  <c r="CP902" i="1" s="1"/>
  <c r="CO905" i="1"/>
  <c r="CP905" i="1" s="1"/>
  <c r="CO908" i="1"/>
  <c r="CP908" i="1" s="1"/>
  <c r="CO880" i="1"/>
  <c r="CO875" i="1"/>
  <c r="CP875" i="1" s="1"/>
  <c r="CP877" i="1"/>
  <c r="CO769" i="1"/>
  <c r="CO747" i="1"/>
  <c r="CO904" i="1"/>
  <c r="CP904" i="1" s="1"/>
  <c r="CO903" i="1"/>
  <c r="CP903" i="1" s="1"/>
  <c r="CO865" i="1"/>
  <c r="CO881" i="1"/>
  <c r="BV20" i="14"/>
  <c r="CD76" i="13"/>
  <c r="CC76" i="13"/>
  <c r="CD72" i="13"/>
  <c r="CC72" i="13"/>
  <c r="CD77" i="13"/>
  <c r="CC77" i="13"/>
  <c r="CD74" i="13"/>
  <c r="CC74" i="13"/>
  <c r="CD71" i="13"/>
  <c r="CC71" i="13"/>
  <c r="CD73" i="13"/>
  <c r="CC73" i="13"/>
  <c r="CC75" i="13"/>
  <c r="CD70" i="13"/>
  <c r="CE7" i="13"/>
  <c r="BX8" i="14"/>
  <c r="CC18" i="13"/>
  <c r="BV19" i="14"/>
  <c r="CQ759" i="1" l="1"/>
  <c r="CR694" i="1"/>
  <c r="CQ696" i="1"/>
  <c r="CS696" i="1" s="1"/>
  <c r="CS694" i="1"/>
  <c r="CQ751" i="1"/>
  <c r="CQ876" i="1"/>
  <c r="CP881" i="1"/>
  <c r="CO889" i="1"/>
  <c r="CP889" i="1" s="1"/>
  <c r="CQ908" i="1"/>
  <c r="CQ906" i="1"/>
  <c r="CQ902" i="1"/>
  <c r="CQ905" i="1"/>
  <c r="CQ880" i="1"/>
  <c r="CQ882" i="1" s="1"/>
  <c r="CR877" i="1"/>
  <c r="CS877" i="1"/>
  <c r="CQ769" i="1"/>
  <c r="CQ903" i="1"/>
  <c r="CQ904" i="1"/>
  <c r="CQ865" i="1"/>
  <c r="CP865" i="1"/>
  <c r="CO868" i="1"/>
  <c r="CO777" i="1"/>
  <c r="CO773" i="1"/>
  <c r="CP773" i="1" s="1"/>
  <c r="CP769" i="1"/>
  <c r="CO897" i="1"/>
  <c r="CP897" i="1" s="1"/>
  <c r="CO899" i="1"/>
  <c r="CP899" i="1" s="1"/>
  <c r="CO896" i="1"/>
  <c r="CP896" i="1" s="1"/>
  <c r="CO892" i="1"/>
  <c r="CP892" i="1" s="1"/>
  <c r="CP880" i="1"/>
  <c r="CO770" i="1"/>
  <c r="CO893" i="1"/>
  <c r="CP893" i="1" s="1"/>
  <c r="CO895" i="1"/>
  <c r="CP895" i="1" s="1"/>
  <c r="CO882" i="1"/>
  <c r="CM794" i="1"/>
  <c r="CN794" i="1" s="1"/>
  <c r="CN795" i="1"/>
  <c r="CQ881" i="1"/>
  <c r="CQ889" i="1" s="1"/>
  <c r="CM823" i="1"/>
  <c r="CN823" i="1" s="1"/>
  <c r="CN822" i="1"/>
  <c r="CM828" i="1"/>
  <c r="CM894" i="1"/>
  <c r="CM830" i="1"/>
  <c r="CN830" i="1" s="1"/>
  <c r="BV76" i="14"/>
  <c r="BU76" i="14"/>
  <c r="CD20" i="13"/>
  <c r="CC20" i="13"/>
  <c r="BU24" i="14"/>
  <c r="BU25" i="14" s="1"/>
  <c r="CC28" i="13"/>
  <c r="CD75" i="13"/>
  <c r="CC17" i="13"/>
  <c r="CD18" i="13"/>
  <c r="BW13" i="14"/>
  <c r="CF7" i="13"/>
  <c r="CQ747" i="1" l="1"/>
  <c r="CS747" i="1" s="1"/>
  <c r="CS889" i="1"/>
  <c r="CR889" i="1"/>
  <c r="CN828" i="1"/>
  <c r="CM831" i="1"/>
  <c r="CN831" i="1" s="1"/>
  <c r="CS906" i="1"/>
  <c r="CR906" i="1"/>
  <c r="CS876" i="1"/>
  <c r="CR876" i="1"/>
  <c r="CO786" i="1"/>
  <c r="CO778" i="1"/>
  <c r="CO774" i="1"/>
  <c r="CP770" i="1"/>
  <c r="CR865" i="1"/>
  <c r="CS865" i="1"/>
  <c r="CQ868" i="1"/>
  <c r="CR769" i="1"/>
  <c r="CQ777" i="1"/>
  <c r="CQ773" i="1"/>
  <c r="CR773" i="1" s="1"/>
  <c r="CQ899" i="1"/>
  <c r="CQ897" i="1"/>
  <c r="CQ896" i="1"/>
  <c r="CQ892" i="1"/>
  <c r="CR880" i="1"/>
  <c r="CS880" i="1"/>
  <c r="CQ770" i="1"/>
  <c r="CQ893" i="1"/>
  <c r="CQ895" i="1"/>
  <c r="CS908" i="1"/>
  <c r="CR908" i="1"/>
  <c r="CS751" i="1"/>
  <c r="CR751" i="1"/>
  <c r="CR759" i="1"/>
  <c r="CS759" i="1"/>
  <c r="CP882" i="1"/>
  <c r="CO887" i="1"/>
  <c r="CP887" i="1" s="1"/>
  <c r="CO886" i="1"/>
  <c r="CP886" i="1" s="1"/>
  <c r="CO888" i="1"/>
  <c r="CP888" i="1" s="1"/>
  <c r="CR882" i="1"/>
  <c r="CS882" i="1"/>
  <c r="CQ887" i="1"/>
  <c r="CQ886" i="1"/>
  <c r="CO781" i="1"/>
  <c r="CP781" i="1" s="1"/>
  <c r="CP777" i="1"/>
  <c r="CS904" i="1"/>
  <c r="CR904" i="1"/>
  <c r="CS905" i="1"/>
  <c r="CR905" i="1"/>
  <c r="CS881" i="1"/>
  <c r="CR881" i="1"/>
  <c r="CO883" i="1"/>
  <c r="CP883" i="1" s="1"/>
  <c r="CP868" i="1"/>
  <c r="CR903" i="1"/>
  <c r="CS903" i="1"/>
  <c r="CQ875" i="1"/>
  <c r="CS902" i="1"/>
  <c r="CR902" i="1"/>
  <c r="CQ888" i="1"/>
  <c r="BW18" i="14"/>
  <c r="CD78" i="13"/>
  <c r="CC78" i="13"/>
  <c r="BV24" i="14"/>
  <c r="CD28" i="13"/>
  <c r="BU51" i="14"/>
  <c r="CC54" i="13"/>
  <c r="BX13" i="14"/>
  <c r="BW16" i="14"/>
  <c r="BX18" i="14"/>
  <c r="CD17" i="13"/>
  <c r="CC19" i="13"/>
  <c r="CE12" i="13"/>
  <c r="CR887" i="1" l="1"/>
  <c r="CS887" i="1"/>
  <c r="CS897" i="1"/>
  <c r="CR897" i="1"/>
  <c r="CS895" i="1"/>
  <c r="CR895" i="1"/>
  <c r="CS899" i="1"/>
  <c r="CR899" i="1"/>
  <c r="CQ883" i="1"/>
  <c r="CS868" i="1"/>
  <c r="CR868" i="1"/>
  <c r="CO820" i="1"/>
  <c r="CO813" i="1"/>
  <c r="CP813" i="1" s="1"/>
  <c r="CP774" i="1"/>
  <c r="CS875" i="1"/>
  <c r="CR875" i="1"/>
  <c r="CS893" i="1"/>
  <c r="CR893" i="1"/>
  <c r="CS892" i="1"/>
  <c r="CR892" i="1"/>
  <c r="CO782" i="1"/>
  <c r="CP782" i="1" s="1"/>
  <c r="CP778" i="1"/>
  <c r="CR888" i="1"/>
  <c r="CS888" i="1"/>
  <c r="CS886" i="1"/>
  <c r="CR886" i="1"/>
  <c r="CR770" i="1"/>
  <c r="CQ786" i="1"/>
  <c r="CQ778" i="1"/>
  <c r="CQ774" i="1"/>
  <c r="CS896" i="1"/>
  <c r="CR896" i="1"/>
  <c r="CR777" i="1"/>
  <c r="CQ781" i="1"/>
  <c r="CR781" i="1" s="1"/>
  <c r="CP786" i="1"/>
  <c r="CO787" i="1"/>
  <c r="BW19" i="14"/>
  <c r="CD48" i="13"/>
  <c r="BU45" i="14"/>
  <c r="CC48" i="13"/>
  <c r="BV51" i="14"/>
  <c r="CD54" i="13"/>
  <c r="CF12" i="13"/>
  <c r="CE15" i="13"/>
  <c r="CC25" i="13"/>
  <c r="CC27" i="13" s="1"/>
  <c r="CC21" i="13"/>
  <c r="CD19" i="13"/>
  <c r="BY8" i="14"/>
  <c r="BX16" i="14"/>
  <c r="BW20" i="14"/>
  <c r="BW68" i="14"/>
  <c r="CO795" i="1" l="1"/>
  <c r="CP787" i="1"/>
  <c r="CO788" i="1"/>
  <c r="CP788" i="1" s="1"/>
  <c r="CO789" i="1"/>
  <c r="CR786" i="1"/>
  <c r="CQ787" i="1"/>
  <c r="CO822" i="1"/>
  <c r="CO826" i="1"/>
  <c r="CP826" i="1" s="1"/>
  <c r="CP820" i="1"/>
  <c r="CQ820" i="1"/>
  <c r="CQ813" i="1"/>
  <c r="CR813" i="1" s="1"/>
  <c r="CR774" i="1"/>
  <c r="CR778" i="1"/>
  <c r="CQ782" i="1"/>
  <c r="CR782" i="1" s="1"/>
  <c r="CS883" i="1"/>
  <c r="CR883" i="1"/>
  <c r="CE20" i="13"/>
  <c r="CE18" i="13"/>
  <c r="BX19" i="14"/>
  <c r="BV45" i="14"/>
  <c r="BX74" i="14"/>
  <c r="BW74" i="14"/>
  <c r="BX71" i="14"/>
  <c r="BW71" i="14"/>
  <c r="BX75" i="14"/>
  <c r="BW75" i="14"/>
  <c r="BW21" i="14"/>
  <c r="BX72" i="14"/>
  <c r="BW72" i="14"/>
  <c r="CC29" i="13"/>
  <c r="CC22" i="13"/>
  <c r="BX70" i="14"/>
  <c r="BW70" i="14"/>
  <c r="BX69" i="14"/>
  <c r="BW69" i="14"/>
  <c r="CC26" i="13"/>
  <c r="BX20" i="14"/>
  <c r="BZ8" i="14"/>
  <c r="CG7" i="13"/>
  <c r="BX68" i="14"/>
  <c r="CD21" i="13"/>
  <c r="CD25" i="13"/>
  <c r="CF15" i="13"/>
  <c r="CE70" i="13"/>
  <c r="CO823" i="1" l="1"/>
  <c r="CP823" i="1" s="1"/>
  <c r="CO828" i="1"/>
  <c r="CP822" i="1"/>
  <c r="CO894" i="1"/>
  <c r="CO830" i="1"/>
  <c r="CP830" i="1" s="1"/>
  <c r="CQ822" i="1"/>
  <c r="CR820" i="1"/>
  <c r="CQ826" i="1"/>
  <c r="CR826" i="1" s="1"/>
  <c r="CQ795" i="1"/>
  <c r="CR787" i="1"/>
  <c r="CQ788" i="1"/>
  <c r="CR788" i="1" s="1"/>
  <c r="CQ789" i="1"/>
  <c r="CO794" i="1"/>
  <c r="CP794" i="1" s="1"/>
  <c r="CP795" i="1"/>
  <c r="CF17" i="13"/>
  <c r="CF18" i="13"/>
  <c r="CF20" i="13"/>
  <c r="CF76" i="13"/>
  <c r="CE76" i="13"/>
  <c r="CF72" i="13"/>
  <c r="CE72" i="13"/>
  <c r="CD86" i="13"/>
  <c r="BU84" i="14"/>
  <c r="CC86" i="13"/>
  <c r="CF71" i="13"/>
  <c r="CE71" i="13"/>
  <c r="CF74" i="13"/>
  <c r="CE74" i="13"/>
  <c r="CF77" i="13"/>
  <c r="CE77" i="13"/>
  <c r="BV94" i="14"/>
  <c r="BU94" i="14"/>
  <c r="CC97" i="13"/>
  <c r="CF73" i="13"/>
  <c r="CE73" i="13"/>
  <c r="BY18" i="14"/>
  <c r="BY13" i="14"/>
  <c r="CE75" i="13"/>
  <c r="CF70" i="13"/>
  <c r="CH7" i="13"/>
  <c r="CQ823" i="1" l="1"/>
  <c r="CR823" i="1" s="1"/>
  <c r="CQ828" i="1"/>
  <c r="CR822" i="1"/>
  <c r="CQ894" i="1"/>
  <c r="CS894" i="1" s="1"/>
  <c r="CQ830" i="1"/>
  <c r="CR830" i="1" s="1"/>
  <c r="CP828" i="1"/>
  <c r="CO831" i="1"/>
  <c r="CP831" i="1" s="1"/>
  <c r="CQ794" i="1"/>
  <c r="CR794" i="1" s="1"/>
  <c r="CR795" i="1"/>
  <c r="CE17" i="13"/>
  <c r="CE19" i="13"/>
  <c r="CD97" i="13"/>
  <c r="BV84" i="14"/>
  <c r="BX76" i="14"/>
  <c r="BW76" i="14"/>
  <c r="BU30" i="14"/>
  <c r="CC34" i="13"/>
  <c r="BW24" i="14"/>
  <c r="BW25" i="14" s="1"/>
  <c r="CE28" i="13"/>
  <c r="BU27" i="14"/>
  <c r="CC31" i="13"/>
  <c r="BY16" i="14"/>
  <c r="BZ13" i="14"/>
  <c r="BZ18" i="14"/>
  <c r="CG12" i="13"/>
  <c r="CF75" i="13"/>
  <c r="CR828" i="1" l="1"/>
  <c r="CQ831" i="1"/>
  <c r="CR831" i="1" s="1"/>
  <c r="CE21" i="13"/>
  <c r="CE22" i="13" s="1"/>
  <c r="CF19" i="13"/>
  <c r="CE25" i="13"/>
  <c r="CE26" i="13" s="1"/>
  <c r="BY19" i="14"/>
  <c r="BW51" i="14"/>
  <c r="CE54" i="13"/>
  <c r="CE29" i="13"/>
  <c r="CF78" i="13"/>
  <c r="CE78" i="13"/>
  <c r="BX24" i="14"/>
  <c r="CF28" i="13"/>
  <c r="BV30" i="14"/>
  <c r="CD34" i="13"/>
  <c r="BV27" i="14"/>
  <c r="CD31" i="13"/>
  <c r="BU33" i="14"/>
  <c r="CC37" i="13"/>
  <c r="CA8" i="14"/>
  <c r="BY20" i="14"/>
  <c r="BZ16" i="14"/>
  <c r="BY68" i="14"/>
  <c r="CH12" i="13"/>
  <c r="CG15" i="13"/>
  <c r="CE86" i="13" l="1"/>
  <c r="CF21" i="13"/>
  <c r="CH20" i="13"/>
  <c r="CF25" i="13"/>
  <c r="BW27" i="14"/>
  <c r="CE27" i="13"/>
  <c r="BU35" i="14"/>
  <c r="BU36" i="14" s="1"/>
  <c r="CC39" i="13"/>
  <c r="CC40" i="13" s="1"/>
  <c r="BZ19" i="14"/>
  <c r="CG18" i="13"/>
  <c r="BW45" i="14"/>
  <c r="CE48" i="13"/>
  <c r="BY21" i="14"/>
  <c r="BZ70" i="14"/>
  <c r="BY70" i="14"/>
  <c r="BZ69" i="14"/>
  <c r="BY69" i="14"/>
  <c r="BX33" i="14"/>
  <c r="CF37" i="13"/>
  <c r="BZ75" i="14"/>
  <c r="BY75" i="14"/>
  <c r="BZ74" i="14"/>
  <c r="BY74" i="14"/>
  <c r="BZ72" i="14"/>
  <c r="BY72" i="14"/>
  <c r="BV33" i="14"/>
  <c r="CD37" i="13"/>
  <c r="BZ71" i="14"/>
  <c r="BY71" i="14"/>
  <c r="BX51" i="14"/>
  <c r="CF54" i="13"/>
  <c r="BZ20" i="14"/>
  <c r="CI7" i="13"/>
  <c r="CB8" i="14"/>
  <c r="CH15" i="13"/>
  <c r="CG70" i="13"/>
  <c r="BZ68" i="14"/>
  <c r="CE97" i="13" l="1"/>
  <c r="BW30" i="14"/>
  <c r="BW84" i="14"/>
  <c r="BX84" i="14"/>
  <c r="BW94" i="14"/>
  <c r="CG20" i="13"/>
  <c r="BX27" i="14"/>
  <c r="CE31" i="13"/>
  <c r="CC41" i="13"/>
  <c r="CC42" i="13" s="1"/>
  <c r="BU38" i="14"/>
  <c r="BU39" i="14" s="1"/>
  <c r="BV35" i="14"/>
  <c r="CD39" i="13"/>
  <c r="CH18" i="13"/>
  <c r="CG19" i="13"/>
  <c r="BX45" i="14"/>
  <c r="CF48" i="13"/>
  <c r="CH72" i="13"/>
  <c r="CG72" i="13"/>
  <c r="CH77" i="13"/>
  <c r="CG77" i="13"/>
  <c r="CH73" i="13"/>
  <c r="CG73" i="13"/>
  <c r="CH74" i="13"/>
  <c r="CG74" i="13"/>
  <c r="CH71" i="13"/>
  <c r="CG71" i="13"/>
  <c r="BX94" i="14"/>
  <c r="CF97" i="13"/>
  <c r="CH76" i="13"/>
  <c r="CG76" i="13"/>
  <c r="CG75" i="13"/>
  <c r="CH70" i="13"/>
  <c r="CA13" i="14"/>
  <c r="CJ7" i="13"/>
  <c r="CE34" i="13" l="1"/>
  <c r="CF86" i="13"/>
  <c r="CF31" i="13"/>
  <c r="CG17" i="13"/>
  <c r="CG21" i="13"/>
  <c r="CD41" i="13"/>
  <c r="BV38" i="14"/>
  <c r="CG25" i="13"/>
  <c r="CH17" i="13"/>
  <c r="CH19" i="13"/>
  <c r="BZ76" i="14"/>
  <c r="BY76" i="14"/>
  <c r="BY24" i="14"/>
  <c r="BY25" i="14" s="1"/>
  <c r="CG28" i="13"/>
  <c r="BX30" i="14"/>
  <c r="CF34" i="13"/>
  <c r="CH75" i="13"/>
  <c r="CA18" i="14"/>
  <c r="CB13" i="14"/>
  <c r="CA16" i="14"/>
  <c r="CI12" i="13"/>
  <c r="BW35" i="14" l="1"/>
  <c r="CG31" i="13"/>
  <c r="CG86" i="13"/>
  <c r="CH25" i="13"/>
  <c r="CH21" i="13"/>
  <c r="CH78" i="13"/>
  <c r="CG78" i="13"/>
  <c r="BY51" i="14"/>
  <c r="CG54" i="13"/>
  <c r="BZ24" i="14"/>
  <c r="CH28" i="13"/>
  <c r="CE58" i="14"/>
  <c r="CC8" i="14"/>
  <c r="CB18" i="14"/>
  <c r="CA19" i="14"/>
  <c r="CB16" i="14"/>
  <c r="CA20" i="14"/>
  <c r="CA68" i="14"/>
  <c r="CJ12" i="13"/>
  <c r="CI15" i="13"/>
  <c r="BX35" i="14" l="1"/>
  <c r="CE39" i="13"/>
  <c r="CE40" i="13" s="1"/>
  <c r="CE41" i="13"/>
  <c r="BZ27" i="14"/>
  <c r="BY27" i="14"/>
  <c r="CH86" i="13"/>
  <c r="BY84" i="14"/>
  <c r="CG97" i="13"/>
  <c r="BY94" i="14"/>
  <c r="BY45" i="14"/>
  <c r="CG48" i="13"/>
  <c r="BZ51" i="14"/>
  <c r="CH54" i="13"/>
  <c r="CB72" i="14"/>
  <c r="CA72" i="14"/>
  <c r="CB75" i="14"/>
  <c r="CA75" i="14"/>
  <c r="CB71" i="14"/>
  <c r="CA71" i="14"/>
  <c r="CA21" i="14"/>
  <c r="BZ94" i="14"/>
  <c r="CH97" i="13"/>
  <c r="BY30" i="14"/>
  <c r="CG34" i="13"/>
  <c r="CB74" i="14"/>
  <c r="CA74" i="14"/>
  <c r="CB70" i="14"/>
  <c r="CA70" i="14"/>
  <c r="CB69" i="14"/>
  <c r="CA69" i="14"/>
  <c r="BW36" i="14"/>
  <c r="CB20" i="14"/>
  <c r="CJ15" i="13"/>
  <c r="CI70" i="13"/>
  <c r="CB68" i="14"/>
  <c r="CB19" i="14"/>
  <c r="CI18" i="13"/>
  <c r="CD8" i="14"/>
  <c r="CK7" i="13"/>
  <c r="CE8" i="14"/>
  <c r="BW38" i="14" l="1"/>
  <c r="BW39" i="14" s="1"/>
  <c r="CE42" i="13"/>
  <c r="BX38" i="14"/>
  <c r="CF39" i="13"/>
  <c r="CH31" i="13"/>
  <c r="BZ84" i="14"/>
  <c r="BZ45" i="14"/>
  <c r="CH48" i="13"/>
  <c r="CJ77" i="13"/>
  <c r="CI77" i="13"/>
  <c r="BU92" i="14"/>
  <c r="CC95" i="13"/>
  <c r="CJ20" i="13"/>
  <c r="CI20" i="13"/>
  <c r="CJ73" i="13"/>
  <c r="CI73" i="13"/>
  <c r="BU93" i="14"/>
  <c r="CC96" i="13"/>
  <c r="CJ74" i="13"/>
  <c r="CI74" i="13"/>
  <c r="CJ76" i="13"/>
  <c r="CI76" i="13"/>
  <c r="BU90" i="14"/>
  <c r="CC93" i="13"/>
  <c r="BU95" i="14"/>
  <c r="CC98" i="13"/>
  <c r="CJ72" i="13"/>
  <c r="CI72" i="13"/>
  <c r="CJ71" i="13"/>
  <c r="CI71" i="13"/>
  <c r="BU91" i="14"/>
  <c r="CC94" i="13"/>
  <c r="BU89" i="14"/>
  <c r="CC92" i="13"/>
  <c r="BZ30" i="14"/>
  <c r="CH34" i="13"/>
  <c r="CJ18" i="13"/>
  <c r="CI17" i="13"/>
  <c r="CI75" i="13"/>
  <c r="CJ70" i="13"/>
  <c r="CC18" i="14"/>
  <c r="CC13" i="14"/>
  <c r="CM7" i="13"/>
  <c r="CL7" i="13"/>
  <c r="CF41" i="13" l="1"/>
  <c r="BW93" i="14"/>
  <c r="CE96" i="13"/>
  <c r="BY35" i="14"/>
  <c r="CG39" i="13"/>
  <c r="BV95" i="14"/>
  <c r="CD98" i="13"/>
  <c r="BW90" i="14"/>
  <c r="CE93" i="13"/>
  <c r="BW92" i="14"/>
  <c r="CE95" i="13"/>
  <c r="CA24" i="14"/>
  <c r="CA25" i="14" s="1"/>
  <c r="CI28" i="13"/>
  <c r="BU85" i="14"/>
  <c r="CC87" i="13"/>
  <c r="BV91" i="14"/>
  <c r="CD94" i="13"/>
  <c r="BV92" i="14"/>
  <c r="CD95" i="13"/>
  <c r="CB76" i="14"/>
  <c r="CA76" i="14"/>
  <c r="BW95" i="14"/>
  <c r="CE98" i="13"/>
  <c r="BU81" i="14"/>
  <c r="CC83" i="13"/>
  <c r="BU79" i="14"/>
  <c r="CC81" i="13"/>
  <c r="BV89" i="14"/>
  <c r="CD92" i="13"/>
  <c r="BV93" i="14"/>
  <c r="CD96" i="13"/>
  <c r="BW91" i="14"/>
  <c r="CE94" i="13"/>
  <c r="BU82" i="14"/>
  <c r="CC84" i="13"/>
  <c r="BW89" i="14"/>
  <c r="CE92" i="13"/>
  <c r="BU80" i="14"/>
  <c r="CC82" i="13"/>
  <c r="BU83" i="14"/>
  <c r="CC85" i="13"/>
  <c r="BV90" i="14"/>
  <c r="CD93" i="13"/>
  <c r="CC16" i="14"/>
  <c r="CE13" i="14"/>
  <c r="CD13" i="14"/>
  <c r="CE18" i="14"/>
  <c r="CD18" i="14"/>
  <c r="CK12" i="13"/>
  <c r="CJ75" i="13"/>
  <c r="CJ17" i="13"/>
  <c r="CI19" i="13"/>
  <c r="CG96" i="13" l="1"/>
  <c r="CG98" i="13"/>
  <c r="BW79" i="14"/>
  <c r="CE81" i="13"/>
  <c r="BV81" i="14"/>
  <c r="CD83" i="13"/>
  <c r="BZ35" i="14"/>
  <c r="CH39" i="13"/>
  <c r="BW82" i="14"/>
  <c r="CE84" i="13"/>
  <c r="CD46" i="13"/>
  <c r="BU43" i="14"/>
  <c r="CC46" i="13"/>
  <c r="BW43" i="14"/>
  <c r="CE46" i="13"/>
  <c r="BV80" i="14"/>
  <c r="CD82" i="13"/>
  <c r="BV79" i="14"/>
  <c r="CD81" i="13"/>
  <c r="BX92" i="14"/>
  <c r="CF95" i="13"/>
  <c r="BX90" i="14"/>
  <c r="CF93" i="13"/>
  <c r="BY36" i="14"/>
  <c r="BW85" i="14"/>
  <c r="CE87" i="13"/>
  <c r="CD99" i="13"/>
  <c r="CC99" i="13"/>
  <c r="CB24" i="14"/>
  <c r="CJ28" i="13"/>
  <c r="BV83" i="14"/>
  <c r="CD85" i="13"/>
  <c r="BX91" i="14"/>
  <c r="CF94" i="13"/>
  <c r="BY38" i="14"/>
  <c r="BY39" i="14" s="1"/>
  <c r="CG41" i="13"/>
  <c r="BW81" i="14"/>
  <c r="CE83" i="13"/>
  <c r="CJ78" i="13"/>
  <c r="CI78" i="13"/>
  <c r="BW80" i="14"/>
  <c r="CE82" i="13"/>
  <c r="BW83" i="14"/>
  <c r="CE85" i="13"/>
  <c r="BV82" i="14"/>
  <c r="CD84" i="13"/>
  <c r="BX95" i="14"/>
  <c r="CF98" i="13"/>
  <c r="CA51" i="14"/>
  <c r="CI54" i="13"/>
  <c r="BX89" i="14"/>
  <c r="CF92" i="13"/>
  <c r="BV85" i="14"/>
  <c r="CD87" i="13"/>
  <c r="BX93" i="14"/>
  <c r="CF96" i="13"/>
  <c r="CE16" i="14"/>
  <c r="CC20" i="14"/>
  <c r="CD16" i="14"/>
  <c r="CC75" i="14"/>
  <c r="CC69" i="14"/>
  <c r="CC74" i="14"/>
  <c r="CC71" i="14"/>
  <c r="CC72" i="14"/>
  <c r="CC70" i="14"/>
  <c r="CC68" i="14"/>
  <c r="CI25" i="13"/>
  <c r="CJ19" i="13"/>
  <c r="CI21" i="13"/>
  <c r="CL12" i="13"/>
  <c r="CK15" i="13"/>
  <c r="CM12" i="13"/>
  <c r="CC19" i="14"/>
  <c r="CG92" i="13" l="1"/>
  <c r="BY89" i="14"/>
  <c r="CG81" i="13"/>
  <c r="BY93" i="14"/>
  <c r="BY91" i="14"/>
  <c r="BZ93" i="14"/>
  <c r="CG85" i="13"/>
  <c r="BY95" i="14"/>
  <c r="CG93" i="13"/>
  <c r="BZ95" i="14"/>
  <c r="BY90" i="14"/>
  <c r="CA45" i="14"/>
  <c r="CI48" i="13"/>
  <c r="BY92" i="14"/>
  <c r="CG95" i="13"/>
  <c r="CG94" i="13"/>
  <c r="BV43" i="14"/>
  <c r="BX80" i="14"/>
  <c r="CF82" i="13"/>
  <c r="BZ38" i="14"/>
  <c r="CH41" i="13"/>
  <c r="BX85" i="14"/>
  <c r="CF87" i="13"/>
  <c r="BX82" i="14"/>
  <c r="CF84" i="13"/>
  <c r="BX43" i="14"/>
  <c r="CF46" i="13"/>
  <c r="CD88" i="13"/>
  <c r="CC88" i="13"/>
  <c r="CF99" i="13"/>
  <c r="CE99" i="13"/>
  <c r="BX83" i="14"/>
  <c r="CF85" i="13"/>
  <c r="BX81" i="14"/>
  <c r="CF83" i="13"/>
  <c r="BZ91" i="14"/>
  <c r="CH94" i="13"/>
  <c r="CC21" i="14"/>
  <c r="BU47" i="14"/>
  <c r="CC50" i="13"/>
  <c r="BZ89" i="14"/>
  <c r="CH92" i="13"/>
  <c r="BZ90" i="14"/>
  <c r="CH93" i="13"/>
  <c r="CB51" i="14"/>
  <c r="CJ54" i="13"/>
  <c r="BZ92" i="14"/>
  <c r="CH95" i="13"/>
  <c r="BX79" i="14"/>
  <c r="CF81" i="13"/>
  <c r="CE72" i="14"/>
  <c r="CD72" i="14"/>
  <c r="CD75" i="14"/>
  <c r="CE75" i="14"/>
  <c r="CD70" i="14"/>
  <c r="CE70" i="14"/>
  <c r="CE69" i="14"/>
  <c r="CD69" i="14"/>
  <c r="CL15" i="13"/>
  <c r="CM15" i="13"/>
  <c r="CK71" i="13"/>
  <c r="CK77" i="13"/>
  <c r="CK76" i="13"/>
  <c r="CK73" i="13"/>
  <c r="CK74" i="13"/>
  <c r="CK72" i="13"/>
  <c r="CK70" i="13"/>
  <c r="CJ21" i="13"/>
  <c r="CD71" i="14"/>
  <c r="CE71" i="14"/>
  <c r="CK18" i="13"/>
  <c r="CE19" i="14"/>
  <c r="CD19" i="14"/>
  <c r="CK20" i="13"/>
  <c r="CE68" i="14"/>
  <c r="CD68" i="14"/>
  <c r="CD74" i="14"/>
  <c r="CE74" i="14"/>
  <c r="CE20" i="14"/>
  <c r="CD20" i="14"/>
  <c r="CJ25" i="13"/>
  <c r="CH99" i="13" l="1"/>
  <c r="BY79" i="14"/>
  <c r="BZ79" i="14"/>
  <c r="CG82" i="13"/>
  <c r="BY80" i="14"/>
  <c r="CG83" i="13"/>
  <c r="CG84" i="13"/>
  <c r="BY82" i="14"/>
  <c r="CH85" i="13"/>
  <c r="BY81" i="14"/>
  <c r="CG87" i="13"/>
  <c r="CH96" i="13"/>
  <c r="BY85" i="14"/>
  <c r="BY83" i="14"/>
  <c r="CH98" i="13"/>
  <c r="CB45" i="14"/>
  <c r="CJ48" i="13"/>
  <c r="CD45" i="13"/>
  <c r="CC45" i="13"/>
  <c r="BZ82" i="14"/>
  <c r="CH84" i="13"/>
  <c r="BZ81" i="14"/>
  <c r="CH83" i="13"/>
  <c r="BU42" i="14"/>
  <c r="CC44" i="13"/>
  <c r="CA84" i="14"/>
  <c r="CI86" i="13"/>
  <c r="BZ80" i="14"/>
  <c r="CH82" i="13"/>
  <c r="BZ85" i="14"/>
  <c r="CH87" i="13"/>
  <c r="CA27" i="14"/>
  <c r="CI31" i="13"/>
  <c r="CA94" i="14"/>
  <c r="CI97" i="13"/>
  <c r="CF88" i="13"/>
  <c r="CE88" i="13"/>
  <c r="BW47" i="14"/>
  <c r="CE50" i="13"/>
  <c r="BV47" i="14"/>
  <c r="CD50" i="13"/>
  <c r="CM18" i="13"/>
  <c r="CL18" i="13"/>
  <c r="CK17" i="13"/>
  <c r="CL72" i="13"/>
  <c r="CM72" i="13"/>
  <c r="CM70" i="13"/>
  <c r="CK75" i="13"/>
  <c r="CL70" i="13"/>
  <c r="CL76" i="13"/>
  <c r="CM76" i="13"/>
  <c r="CM77" i="13"/>
  <c r="CL77" i="13"/>
  <c r="CM20" i="13"/>
  <c r="CL20" i="13"/>
  <c r="CM74" i="13"/>
  <c r="CL74" i="13"/>
  <c r="CL71" i="13"/>
  <c r="CM71" i="13"/>
  <c r="CC76" i="14"/>
  <c r="CM73" i="13"/>
  <c r="CL73" i="13"/>
  <c r="BZ83" i="14" l="1"/>
  <c r="CG99" i="13"/>
  <c r="CH81" i="13"/>
  <c r="BY43" i="14"/>
  <c r="CG46" i="13"/>
  <c r="CC24" i="14"/>
  <c r="CC25" i="14" s="1"/>
  <c r="CK28" i="13"/>
  <c r="BU86" i="14"/>
  <c r="BU44" i="14"/>
  <c r="CC89" i="13"/>
  <c r="CC47" i="13"/>
  <c r="BY47" i="14"/>
  <c r="CG50" i="13"/>
  <c r="BV42" i="14"/>
  <c r="CD44" i="13"/>
  <c r="CB27" i="14"/>
  <c r="CJ31" i="13"/>
  <c r="CA30" i="14"/>
  <c r="CI34" i="13"/>
  <c r="CH88" i="13"/>
  <c r="CG88" i="13"/>
  <c r="BX47" i="14"/>
  <c r="CF50" i="13"/>
  <c r="CB84" i="14"/>
  <c r="CJ86" i="13"/>
  <c r="CB94" i="14"/>
  <c r="CJ97" i="13"/>
  <c r="CM17" i="13"/>
  <c r="CL17" i="13"/>
  <c r="CK19" i="13"/>
  <c r="CE76" i="14"/>
  <c r="CD76" i="14"/>
  <c r="CL75" i="13"/>
  <c r="CK78" i="13"/>
  <c r="CM75" i="13"/>
  <c r="CH46" i="13" l="1"/>
  <c r="BZ43" i="14"/>
  <c r="BW42" i="14"/>
  <c r="CE44" i="13"/>
  <c r="BW86" i="14"/>
  <c r="BW44" i="14"/>
  <c r="CE89" i="13"/>
  <c r="CE47" i="13"/>
  <c r="CB30" i="14"/>
  <c r="CJ34" i="13"/>
  <c r="CC51" i="14"/>
  <c r="CK54" i="13"/>
  <c r="BZ47" i="14"/>
  <c r="CH50" i="13"/>
  <c r="CD24" i="14"/>
  <c r="CL28" i="13"/>
  <c r="BV86" i="14"/>
  <c r="BV44" i="14"/>
  <c r="CD89" i="13"/>
  <c r="CD47" i="13"/>
  <c r="CE24" i="14"/>
  <c r="CM28" i="13"/>
  <c r="CK25" i="13"/>
  <c r="CK21" i="13"/>
  <c r="CM19" i="13"/>
  <c r="CL19" i="13"/>
  <c r="CM78" i="13"/>
  <c r="CL78" i="13"/>
  <c r="BY86" i="14" l="1"/>
  <c r="BY44" i="14"/>
  <c r="CG89" i="13"/>
  <c r="CG47" i="13"/>
  <c r="CF45" i="13"/>
  <c r="CE45" i="13"/>
  <c r="BX44" i="14"/>
  <c r="BX86" i="14"/>
  <c r="CF89" i="13"/>
  <c r="CF47" i="13"/>
  <c r="BY42" i="14"/>
  <c r="CG44" i="13"/>
  <c r="CA35" i="14"/>
  <c r="CI39" i="13"/>
  <c r="CD51" i="14"/>
  <c r="CL54" i="13"/>
  <c r="BX42" i="14"/>
  <c r="CF44" i="13"/>
  <c r="CE51" i="14"/>
  <c r="CM54" i="13"/>
  <c r="CM21" i="13"/>
  <c r="CL21" i="13"/>
  <c r="CL25" i="13"/>
  <c r="CM25" i="13"/>
  <c r="CC45" i="14" l="1"/>
  <c r="CK48" i="13"/>
  <c r="CC84" i="14"/>
  <c r="CK86" i="13"/>
  <c r="CH45" i="13"/>
  <c r="CG45" i="13"/>
  <c r="BZ42" i="14"/>
  <c r="CH44" i="13"/>
  <c r="CC94" i="14"/>
  <c r="CK97" i="13"/>
  <c r="CB35" i="14"/>
  <c r="CJ39" i="13"/>
  <c r="CA38" i="14"/>
  <c r="CA39" i="14" s="1"/>
  <c r="CI41" i="13"/>
  <c r="CC27" i="14"/>
  <c r="CK31" i="13"/>
  <c r="CA36" i="14"/>
  <c r="BZ86" i="14"/>
  <c r="BZ44" i="14"/>
  <c r="CH89" i="13"/>
  <c r="CH47" i="13"/>
  <c r="CD45" i="14" l="1"/>
  <c r="CL48" i="13"/>
  <c r="CD84" i="14"/>
  <c r="CL86" i="13"/>
  <c r="CA93" i="14"/>
  <c r="CI96" i="13"/>
  <c r="CD27" i="14"/>
  <c r="CL31" i="13"/>
  <c r="CA91" i="14"/>
  <c r="CI94" i="13"/>
  <c r="CC30" i="14"/>
  <c r="CK34" i="13"/>
  <c r="CA90" i="14"/>
  <c r="CI93" i="13"/>
  <c r="CA92" i="14"/>
  <c r="CI95" i="13"/>
  <c r="CB38" i="14"/>
  <c r="CJ41" i="13"/>
  <c r="CA95" i="14"/>
  <c r="CI98" i="13"/>
  <c r="CD94" i="14"/>
  <c r="CL97" i="13"/>
  <c r="CE27" i="14"/>
  <c r="CM31" i="13"/>
  <c r="CA89" i="14"/>
  <c r="CI92" i="13"/>
  <c r="CE84" i="14"/>
  <c r="CM86" i="13"/>
  <c r="CE94" i="14"/>
  <c r="CM97" i="13"/>
  <c r="CA43" i="14" l="1"/>
  <c r="CI46" i="13"/>
  <c r="CA79" i="14"/>
  <c r="CI81" i="13"/>
  <c r="CA82" i="14"/>
  <c r="CI84" i="13"/>
  <c r="CE30" i="14"/>
  <c r="CM34" i="13"/>
  <c r="CB89" i="14"/>
  <c r="CJ92" i="13"/>
  <c r="CB92" i="14"/>
  <c r="CJ95" i="13"/>
  <c r="CB91" i="14"/>
  <c r="CJ94" i="13"/>
  <c r="CA81" i="14"/>
  <c r="CI83" i="13"/>
  <c r="CA80" i="14"/>
  <c r="CI82" i="13"/>
  <c r="CA85" i="14"/>
  <c r="CI87" i="13"/>
  <c r="CB93" i="14"/>
  <c r="CJ96" i="13"/>
  <c r="CA83" i="14"/>
  <c r="CI85" i="13"/>
  <c r="CD30" i="14"/>
  <c r="CL34" i="13"/>
  <c r="CB95" i="14"/>
  <c r="CJ98" i="13"/>
  <c r="CB90" i="14"/>
  <c r="CJ93" i="13"/>
  <c r="CB43" i="14" l="1"/>
  <c r="CJ46" i="13"/>
  <c r="CC35" i="14"/>
  <c r="CK39" i="13"/>
  <c r="CB82" i="14"/>
  <c r="CJ84" i="13"/>
  <c r="CB85" i="14"/>
  <c r="CJ87" i="13"/>
  <c r="CB83" i="14"/>
  <c r="CJ85" i="13"/>
  <c r="CB81" i="14"/>
  <c r="CJ83" i="13"/>
  <c r="CB79" i="14"/>
  <c r="CJ81" i="13"/>
  <c r="CJ99" i="13"/>
  <c r="CI99" i="13"/>
  <c r="CB80" i="14"/>
  <c r="CJ82" i="13"/>
  <c r="CA47" i="14" l="1"/>
  <c r="CI50" i="13"/>
  <c r="CJ88" i="13"/>
  <c r="CI88" i="13"/>
  <c r="CD35" i="14"/>
  <c r="CL39" i="13"/>
  <c r="CC38" i="14"/>
  <c r="CC39" i="14" s="1"/>
  <c r="CK41" i="13"/>
  <c r="CC36" i="14"/>
  <c r="CM39" i="13"/>
  <c r="CE35" i="14"/>
  <c r="CD38" i="14" l="1"/>
  <c r="CL41" i="13"/>
  <c r="CC90" i="14"/>
  <c r="CK93" i="13"/>
  <c r="CC89" i="14"/>
  <c r="CK92" i="13"/>
  <c r="CC91" i="14"/>
  <c r="CK94" i="13"/>
  <c r="CC92" i="14"/>
  <c r="CK95" i="13"/>
  <c r="CC93" i="14"/>
  <c r="CK96" i="13"/>
  <c r="CC95" i="14"/>
  <c r="CK98" i="13"/>
  <c r="CB47" i="14"/>
  <c r="CJ50" i="13"/>
  <c r="CE38" i="14"/>
  <c r="CM41" i="13"/>
  <c r="CC43" i="14" l="1"/>
  <c r="CK46" i="13"/>
  <c r="CC79" i="14"/>
  <c r="CK81" i="13"/>
  <c r="CA42" i="14"/>
  <c r="CI44" i="13"/>
  <c r="CD92" i="14"/>
  <c r="CL95" i="13"/>
  <c r="CD90" i="14"/>
  <c r="CL93" i="13"/>
  <c r="CD89" i="14"/>
  <c r="CL92" i="13"/>
  <c r="CC80" i="14"/>
  <c r="CK82" i="13"/>
  <c r="CC83" i="14"/>
  <c r="CK85" i="13"/>
  <c r="CE93" i="14"/>
  <c r="CM96" i="13"/>
  <c r="CE90" i="14"/>
  <c r="CM93" i="13"/>
  <c r="CE95" i="14"/>
  <c r="CM98" i="13"/>
  <c r="CC85" i="14"/>
  <c r="CK87" i="13"/>
  <c r="CD93" i="14"/>
  <c r="CL96" i="13"/>
  <c r="CA86" i="14"/>
  <c r="CA44" i="14"/>
  <c r="CI89" i="13"/>
  <c r="CI47" i="13"/>
  <c r="CE89" i="14"/>
  <c r="CM92" i="13"/>
  <c r="CC81" i="14"/>
  <c r="CK83" i="13"/>
  <c r="CC82" i="14"/>
  <c r="CK84" i="13"/>
  <c r="CE92" i="14"/>
  <c r="CM95" i="13"/>
  <c r="CD91" i="14"/>
  <c r="CL94" i="13"/>
  <c r="CD95" i="14"/>
  <c r="CL98" i="13"/>
  <c r="CE91" i="14"/>
  <c r="CM94" i="13"/>
  <c r="CD43" i="14" l="1"/>
  <c r="CL46" i="13"/>
  <c r="CE43" i="14"/>
  <c r="CM46" i="13"/>
  <c r="CD83" i="14"/>
  <c r="CL85" i="13"/>
  <c r="CL99" i="13"/>
  <c r="CK99" i="13"/>
  <c r="CD82" i="14"/>
  <c r="CL84" i="13"/>
  <c r="CJ45" i="13"/>
  <c r="CI45" i="13"/>
  <c r="CD80" i="14"/>
  <c r="CL82" i="13"/>
  <c r="CB42" i="14"/>
  <c r="CJ44" i="13"/>
  <c r="CE82" i="14"/>
  <c r="CM84" i="13"/>
  <c r="CE85" i="14"/>
  <c r="CM87" i="13"/>
  <c r="CE80" i="14"/>
  <c r="CM82" i="13"/>
  <c r="CD79" i="14"/>
  <c r="CL81" i="13"/>
  <c r="CD81" i="14"/>
  <c r="CL83" i="13"/>
  <c r="CE79" i="14"/>
  <c r="CM81" i="13"/>
  <c r="CE81" i="14"/>
  <c r="CM83" i="13"/>
  <c r="CE83" i="14"/>
  <c r="CM85" i="13"/>
  <c r="CD85" i="14"/>
  <c r="CL87" i="13"/>
  <c r="CB44" i="14"/>
  <c r="CB86" i="14"/>
  <c r="CJ89" i="13"/>
  <c r="CJ47" i="13"/>
  <c r="CC47" i="14" l="1"/>
  <c r="CK50" i="13"/>
  <c r="CL88" i="13"/>
  <c r="CK88" i="13"/>
  <c r="CD47" i="14" l="1"/>
  <c r="CL50" i="13"/>
  <c r="CC42" i="14" l="1"/>
  <c r="CK44" i="13"/>
  <c r="CC86" i="14"/>
  <c r="CC44" i="14"/>
  <c r="CK89" i="13"/>
  <c r="CK47" i="13"/>
  <c r="CD86" i="14" l="1"/>
  <c r="CD44" i="14"/>
  <c r="CL89" i="13"/>
  <c r="CL47" i="13"/>
  <c r="CL45" i="13"/>
  <c r="CK45" i="13"/>
  <c r="CD42" i="14"/>
  <c r="CL44" i="13"/>
</calcChain>
</file>

<file path=xl/comments1.xml><?xml version="1.0" encoding="utf-8"?>
<comments xmlns="http://schemas.openxmlformats.org/spreadsheetml/2006/main">
  <authors>
    <author>Zamora, Diana (Research)</author>
    <author>Sanchez Bolanos, Laura (Research)</author>
    <author>Laura Sanchez</author>
    <author>Gupta, Tanmay (Research)</author>
    <author>Dally, Nigel (Research)</author>
    <author>Locker, Hayley (Research)</author>
    <author>Huang, Bob (Research)</author>
    <author>Zheng, Chaodan (Research)</author>
    <author>dianaz</author>
  </authors>
  <commentList>
    <comment ref="A24" authorId="0">
      <text>
        <r>
          <rPr>
            <b/>
            <sz val="9"/>
            <color indexed="81"/>
            <rFont val="Tahoma"/>
            <family val="2"/>
          </rPr>
          <t>Zamora, Diana (Research):</t>
        </r>
        <r>
          <rPr>
            <sz val="9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B3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transfer to reinsurer</t>
        </r>
      </text>
    </comment>
    <comment ref="BY3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mgmt model: $2.4bn</t>
        </r>
      </text>
    </comment>
    <comment ref="AF4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Corporate Markets typically see highest transfer / single deposits</t>
        </r>
      </text>
    </comment>
    <comment ref="AN4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Corporate Markets typically see highest transfer / single deposits</t>
        </r>
      </text>
    </comment>
    <comment ref="AP4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Corporate Markets typically see highest transfer / single deposits</t>
        </r>
      </text>
    </comment>
    <comment ref="AR4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Corporate Markets typically see highest transfer / single deposits</t>
        </r>
      </text>
    </comment>
    <comment ref="Z4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corporate mkts tend to have the highest recurring deposits</t>
        </r>
      </text>
    </comment>
    <comment ref="AD4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3Q: Education Tax-Exempt Markets typically see lowest recurring deposits</t>
        </r>
      </text>
    </comment>
    <comment ref="AF4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Recurring deposits in Corporate Markets may be lower</t>
        </r>
      </text>
    </comment>
    <comment ref="AH4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corporate mkts tend to have the highest recurring deposits</t>
        </r>
      </text>
    </comment>
    <comment ref="AN4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Recurring deposits in Corporate Markets may be lower</t>
        </r>
      </text>
    </comment>
    <comment ref="AP4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Recurring deposits in Corporate Markets may be lower</t>
        </r>
      </text>
    </comment>
    <comment ref="AR4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Recurring deposits in Corporate Markets may be lower</t>
        </r>
      </text>
    </comment>
    <comment ref="Z4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withdrawals tend to be higher</t>
        </r>
      </text>
    </comment>
    <comment ref="AF4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withdrawals tend to increase</t>
        </r>
      </text>
    </comment>
    <comment ref="AH4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withdrawals tend to be higher</t>
        </r>
      </text>
    </comment>
    <comment ref="AN4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withdrawals tend to increase</t>
        </r>
      </text>
    </comment>
    <comment ref="AP4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withdrawals tend to increase</t>
        </r>
      </text>
    </comment>
    <comment ref="AR4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withdrawals tend to increase</t>
        </r>
      </text>
    </comment>
    <comment ref="AN55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run-rate of $43mn/Q
4Q14 guid: unchanged
3Q14 guid: run rate of $45mn reflecting decision to exit the defined benefit administration business and non-renewal of certain plans
</t>
        </r>
      </text>
    </comment>
    <comment ref="AP55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run-rate of $43mn/Q
4Q14 guid: unchanged
3Q14 guid: run rate of $45mn reflecting decision to exit the defined benefit administration business and non-renewal of certain plans
</t>
        </r>
      </text>
    </comment>
    <comment ref="AR55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run-rate of $43mn/Q
4Q14 guid: unchanged
3Q14 guid: run rate of $45mn reflecting decision to exit the defined benefit administration business and non-renewal of certain plans
</t>
        </r>
      </text>
    </comment>
    <comment ref="AT55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run-rate of $43mn/Q
4Q14 guid: unchanged
3Q14 guid: run rate of $45mn reflecting decision to exit the defined benefit administration business and non-renewal of certain plans
</t>
        </r>
      </text>
    </comment>
    <comment ref="CE7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Full year 2016 administrative expenses expected to be lower than full year 2015</t>
        </r>
      </text>
    </comment>
    <comment ref="Z79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AH79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BF7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higher admin expenses</t>
        </r>
      </text>
    </comment>
    <comment ref="CI79" authorId="4">
      <text>
        <r>
          <rPr>
            <b/>
            <sz val="9"/>
            <color indexed="81"/>
            <rFont val="Tahoma"/>
            <family val="2"/>
          </rPr>
          <t xml:space="preserve">Dally, Nigel (Research):
</t>
        </r>
        <r>
          <rPr>
            <sz val="9"/>
            <color indexed="81"/>
            <rFont val="Tahoma"/>
            <family val="2"/>
          </rPr>
          <t>Allocation of strategic investment spend back to operating units</t>
        </r>
      </text>
    </comment>
    <comment ref="BF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Lower DAC Amortization</t>
        </r>
      </text>
    </comment>
    <comment ref="AZ86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contract modification in its retirement accounts with fixed offerings triggered a DAC unlocking</t>
        </r>
      </text>
    </comment>
    <comment ref="R8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13mn benefit from variable compensation accrual (50% in Ret. with the remaining being split evenly)</t>
        </r>
      </text>
    </comment>
    <comment ref="T8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assumed normalized prepayment income of $5mn where the difference above that is abnormal - see 2Q13 supp pg 21
assuming lower recordkeeping fee based margin, $6.6 was ~10% of $60.3; 0-5% to be a normalized level, we assume 6%</t>
        </r>
      </text>
    </comment>
    <comment ref="V8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+13 gain from Lehman Recovery/LIHTC - calculated to include decimals provided in supplement</t>
        </r>
      </text>
    </comment>
    <comment ref="X8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gain from Lehman Recovery/LIHTC
From Supp</t>
        </r>
      </text>
    </comment>
    <comment ref="AD88" authorId="5">
      <text>
        <r>
          <rPr>
            <b/>
            <sz val="9"/>
            <color indexed="81"/>
            <rFont val="Tahoma"/>
            <family val="2"/>
          </rPr>
          <t>Locker, Hayley (Research):</t>
        </r>
        <r>
          <rPr>
            <sz val="9"/>
            <color indexed="81"/>
            <rFont val="Tahoma"/>
            <family val="2"/>
          </rPr>
          <t xml:space="preserve">
vii &amp; prepayment income</t>
        </r>
      </text>
    </comment>
    <comment ref="AH8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J8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L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input to match core, due to rounding</t>
        </r>
      </text>
    </comment>
    <comment ref="AT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+ Prepay above plan ~ $6mn</t>
        </r>
      </text>
    </comment>
    <comment ref="AV88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supp pg 65, Gain on lehman</t>
        </r>
      </text>
    </comment>
    <comment ref="AX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+ Prepay above plan ~ $3mn</t>
        </r>
      </text>
    </comment>
    <comment ref="AZ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-2mn: prepay below
+6mn: fav expenses</t>
        </r>
      </text>
    </comment>
    <comment ref="AN9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expected run-rate of $130mn</t>
        </r>
      </text>
    </comment>
    <comment ref="AP9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expected run-rate of $130mn</t>
        </r>
      </text>
    </comment>
    <comment ref="AR9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expected run-rate of $130mn</t>
        </r>
      </text>
    </comment>
    <comment ref="AT9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expected run-rate of $130mn</t>
        </r>
      </text>
    </comment>
    <comment ref="AV94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look up ending capital</t>
        </r>
      </text>
    </comment>
    <comment ref="AX94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look up ending capital</t>
        </r>
      </text>
    </comment>
    <comment ref="CI94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4Q16: 9.5-10.5%
3Q16: Revised to 9.5-10.5% by 2018
2Q16 Target: 11-12%</t>
        </r>
      </text>
    </comment>
    <comment ref="A96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look up "ending capital"</t>
        </r>
      </text>
    </comment>
    <comment ref="R139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rounding</t>
        </r>
      </text>
    </comment>
    <comment ref="Z16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AH16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CI164" authorId="6">
      <text>
        <r>
          <rPr>
            <sz val="9"/>
            <color indexed="81"/>
            <rFont val="Tahoma"/>
            <family val="2"/>
          </rPr>
          <t>Gupta, Tanmay (Research):
Investments reported back in the segment</t>
        </r>
      </text>
    </comment>
    <comment ref="R17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13mn benefit from variable compensation accrual (50% in Ret. with the remaining being split evenly)</t>
        </r>
      </text>
    </comment>
    <comment ref="T17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assumed normalized prepayment income of $6mn where the difference above that is abnormal - see 2Q13 supp pg 26 </t>
        </r>
      </text>
    </comment>
    <comment ref="V17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+13 gain from Lehman Recovery/LIHTC - calculated to include decimals provided in supplement</t>
        </r>
      </text>
    </comment>
    <comment ref="X17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gain from Lehman Recovery/LIHTC
From Supp</t>
        </r>
      </text>
    </comment>
    <comment ref="AF17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above/(below) normal prepayment income and alt. inv. income</t>
        </r>
      </text>
    </comment>
    <comment ref="AH17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J17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L17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T17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+ Prepay above plan ~ $5mn</t>
        </r>
      </text>
    </comment>
    <comment ref="AV173" authorId="6">
      <text>
        <r>
          <rPr>
            <b/>
            <sz val="9"/>
            <color indexed="81"/>
            <rFont val="Tahoma"/>
            <family val="2"/>
          </rPr>
          <t xml:space="preserve">Huang, Bob (Research): 
</t>
        </r>
        <r>
          <rPr>
            <sz val="9"/>
            <color indexed="81"/>
            <rFont val="Tahoma"/>
            <family val="2"/>
          </rPr>
          <t>4Q16 supp pg 65, Gain on lehman</t>
        </r>
      </text>
    </comment>
    <comment ref="AX17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+ Prepay above plan ~ $1mn</t>
        </r>
      </text>
    </comment>
    <comment ref="AZ17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$3mn: Prepay above
$1mn: fav expenses</t>
        </r>
      </text>
    </comment>
    <comment ref="BB17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$3mn: Prepay above
$1mn: fav expenses</t>
        </r>
      </text>
    </comment>
    <comment ref="BD17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$3mn: Prepay above
$1mn: fav expenses</t>
        </r>
      </text>
    </comment>
    <comment ref="AN17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P17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R17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T17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V17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X17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CI178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guide: 9.5-10.5%</t>
        </r>
      </text>
    </comment>
    <comment ref="P18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$481mn from takeovers</t>
        </r>
      </text>
    </comment>
    <comment ref="CA192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mgmt estimate</t>
        </r>
      </text>
    </comment>
    <comment ref="Z20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$4,671.9 of sub-advisor replacements</t>
        </r>
      </text>
    </comment>
    <comment ref="AD20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includes 2bn of inflows from sub-advisor replacements</t>
        </r>
      </text>
    </comment>
    <comment ref="AL20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includes 2bn of inflows from sub-advisor replacements</t>
        </r>
      </text>
    </comment>
    <comment ref="CA209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 estimate</t>
        </r>
      </text>
    </comment>
    <comment ref="BY21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mgmt estimates ~$470mn inflows (mgmt model)</t>
        </r>
      </text>
    </comment>
    <comment ref="CA21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mgmt estimates -$518mn net outflows</t>
        </r>
      </text>
    </comment>
    <comment ref="Z231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expected to increase in 2Q and the remainder of the yr</t>
        </r>
      </text>
    </comment>
    <comment ref="BL250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guide:
2017 performance fees expected to return to normalized levels (approximately $14 million lower than 2016 on a gross basis)</t>
        </r>
      </text>
    </comment>
    <comment ref="BJ261" authorId="4">
      <text>
        <r>
          <rPr>
            <b/>
            <sz val="9"/>
            <color indexed="81"/>
            <rFont val="Tahoma"/>
            <family val="2"/>
          </rPr>
          <t>Dally, Nigel (Research):</t>
        </r>
        <r>
          <rPr>
            <sz val="9"/>
            <color indexed="81"/>
            <rFont val="Tahoma"/>
            <family val="2"/>
          </rPr>
          <t xml:space="preserve">
Reflects $35 million annualized negative impact on investment management from CBVA sale</t>
        </r>
      </text>
    </comment>
    <comment ref="Z26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Performance fees tend to be lowest</t>
        </r>
      </text>
    </comment>
    <comment ref="AF26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4Q: Performance fees tend to be highest</t>
        </r>
      </text>
    </comment>
    <comment ref="Z271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AH271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AJ27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2Q15: unusually high performance fees</t>
        </r>
      </text>
    </comment>
    <comment ref="AL27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2Q15: unusually high performance fees</t>
        </r>
      </text>
    </comment>
    <comment ref="BF27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Lower performance fees</t>
        </r>
      </text>
    </comment>
    <comment ref="CI271" authorId="6">
      <text>
        <r>
          <rPr>
            <b/>
            <sz val="9"/>
            <color indexed="81"/>
            <rFont val="Tahoma"/>
            <family val="2"/>
          </rPr>
          <t xml:space="preserve">Gupta, Tanmay (Research):
</t>
        </r>
        <r>
          <rPr>
            <sz val="9"/>
            <color indexed="81"/>
            <rFont val="Tahoma"/>
            <family val="2"/>
          </rPr>
          <t xml:space="preserve">Investments reported back in the segment
</t>
        </r>
      </text>
    </comment>
    <comment ref="CG274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4Q16: no new guidance
2Q13 guidance: 30-34% target</t>
        </r>
      </text>
    </comment>
    <comment ref="CI274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4Q16 guide: 33-35%</t>
        </r>
      </text>
    </comment>
    <comment ref="R27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13mn benefit from variable compensation accrual (50% in Ret. with the remaining being split evenly)</t>
        </r>
      </text>
    </comment>
    <comment ref="V27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+12 gain from Lehman Recovery/LIHTC
</t>
        </r>
      </text>
    </comment>
    <comment ref="X27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gain from Lehman Recovery/LIHTC
From Supp</t>
        </r>
      </text>
    </comment>
    <comment ref="AD277" authorId="0">
      <text>
        <r>
          <rPr>
            <b/>
            <sz val="9"/>
            <color indexed="81"/>
            <rFont val="Tahoma"/>
            <family val="2"/>
          </rPr>
          <t>Zamora, Diana (Research):</t>
        </r>
        <r>
          <rPr>
            <sz val="9"/>
            <color indexed="81"/>
            <rFont val="Tahoma"/>
            <family val="2"/>
          </rPr>
          <t xml:space="preserve">
above/(below) normal prepayment income and alt. inv. income</t>
        </r>
      </text>
    </comment>
    <comment ref="AF27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above/(below) normal prepayment income and alt. inv. income</t>
        </r>
      </text>
    </comment>
    <comment ref="AH27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J27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L27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T27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Gain from Lehman Recovery</t>
        </r>
      </text>
    </comment>
    <comment ref="AV277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supp pg 65, Gain on lehman</t>
        </r>
      </text>
    </comment>
    <comment ref="AX27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+ Prepay Above Plan ~ $4mn</t>
        </r>
      </text>
    </comment>
    <comment ref="AZ27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$30mn: prepay above
$1mn: fav. expenses</t>
        </r>
      </text>
    </comment>
    <comment ref="BB27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$30mn: prepay above
$1mn: fav. expenses</t>
        </r>
      </text>
    </comment>
    <comment ref="BD27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$30mn: prepay above
$1mn: fav. expenses</t>
        </r>
      </text>
    </comment>
    <comment ref="V29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includes whole life</t>
        </r>
      </text>
    </comment>
    <comment ref="X29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includes whole life</t>
        </r>
      </text>
    </comment>
    <comment ref="CG324" authorId="4">
      <text>
        <r>
          <rPr>
            <b/>
            <sz val="9"/>
            <color indexed="81"/>
            <rFont val="Tahoma"/>
            <family val="2"/>
          </rPr>
          <t>Dally, Nigel (Research):</t>
        </r>
        <r>
          <rPr>
            <sz val="9"/>
            <color indexed="81"/>
            <rFont val="Tahoma"/>
            <family val="2"/>
          </rPr>
          <t xml:space="preserve">
Reflects benefit of reserve financing restructuring 
</t>
        </r>
      </text>
    </comment>
    <comment ref="CI324" authorId="4">
      <text>
        <r>
          <rPr>
            <b/>
            <sz val="9"/>
            <color indexed="81"/>
            <rFont val="Tahoma"/>
            <family val="2"/>
          </rPr>
          <t>Dally, Nigel (Research):</t>
        </r>
        <r>
          <rPr>
            <sz val="9"/>
            <color indexed="81"/>
            <rFont val="Tahoma"/>
            <family val="2"/>
          </rPr>
          <t xml:space="preserve">
Reflects benefit of reserve financing restructuring 
</t>
        </r>
      </text>
    </comment>
    <comment ref="AF32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favorable mortality</t>
        </r>
      </text>
    </comment>
    <comment ref="AH32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elevated mortality relative to mgmt expectations</t>
        </r>
      </text>
    </comment>
    <comment ref="AJ32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elevated mortality relative to mgmt expectations</t>
        </r>
      </text>
    </comment>
    <comment ref="AL32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elevated mortality relative to mgmt expectations</t>
        </r>
      </text>
    </comment>
    <comment ref="Z33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AH33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CI338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Investments reported back in the segment.</t>
        </r>
      </text>
    </comment>
    <comment ref="BL34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1Q17: Seasonally higher in 1Q and 4Q</t>
        </r>
      </text>
    </comment>
    <comment ref="R34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13mn benefit from variable compensation accrual (50% in Ret. with the remaining being split evenly)</t>
        </r>
      </text>
    </comment>
    <comment ref="V34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+13 gain from Lehman Recovery/LIHTC - calculated to include decimals provided in supplement</t>
        </r>
      </text>
    </comment>
    <comment ref="X34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+13 gain from Lehman Recovery/LIHTC - calculated to include decimals provided in supplement</t>
        </r>
      </text>
    </comment>
    <comment ref="AF34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+20 reinsurance recapture
+1.7 above/(below) normal prepayment income and alt. inv. income</t>
        </r>
      </text>
    </comment>
    <comment ref="AH34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J34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L34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to account for rounding</t>
        </r>
      </text>
    </comment>
    <comment ref="AN34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$21mn reserve refinement in IUL</t>
        </r>
      </text>
    </comment>
    <comment ref="AT34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+ Prepay ~ $2mn above plan</t>
        </r>
      </text>
    </comment>
    <comment ref="AV347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supp pg 65, Gain on lehman</t>
        </r>
      </text>
    </comment>
    <comment ref="AX34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+ Prepay ~ $1mn above plan</t>
        </r>
      </text>
    </comment>
    <comment ref="AZ34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$4mn: fav expenses</t>
        </r>
      </text>
    </comment>
    <comment ref="BB34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$4mn: fav expenses</t>
        </r>
      </text>
    </comment>
    <comment ref="BD34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$4mn: fav expenses</t>
        </r>
      </text>
    </comment>
    <comment ref="CG352" authorId="3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4Q16: no new guidance
2Q16: restructuring a significant portion of our redundant reserve financing. lead to an additional 150 to 200 basis point improvement in individual life's return on capital. We expect 75% of the benefit to emerge in 2017, with the remaining emerging in 2018.</t>
        </r>
      </text>
    </comment>
    <comment ref="CI352" authorId="3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4Q16 guide: 7.5-8.5%
2Q16: restructuring a significant portion of our redundant reserve financing. lead to an additional 150 to 200 basis point improvement in individual life's return on capital. We expect 75% of the benefit to emerge in 2017, with the remaining emerging in 2018.`</t>
        </r>
      </text>
    </comment>
    <comment ref="CK352" authorId="3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2Q16: restructuring a significant portion of our redundant reserve financing. lead to an additional 150 to 200 basis point improvement in individual life's return on capital. We expect 75% of the benefit to emerge in 2017, with the remaining emerging in 2018.</t>
        </r>
      </text>
    </comment>
    <comment ref="CM352" authorId="3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2Q16: restructuring a significant portion of our redundant reserve financing. lead to an additional 150 to 200 basis point improvement in individual life's return on capital. We expect 75% of the benefit to emerge in 2017, with the remaining emerging in 2018.</t>
        </r>
      </text>
    </comment>
    <comment ref="CA36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mgmt estimate of above 40% growth</t>
        </r>
      </text>
    </comment>
    <comment ref="Z37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Group Life loss ratio tends to be highest</t>
        </r>
      </text>
    </comment>
    <comment ref="AH37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Group Life loss ratio tends to be highest</t>
        </r>
      </text>
    </comment>
    <comment ref="BF374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1Q18: higher seasonal group life ratio</t>
        </r>
      </text>
    </comment>
    <comment ref="CC374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77-80%</t>
        </r>
      </text>
    </comment>
    <comment ref="CE374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77-80%</t>
        </r>
      </text>
    </comment>
    <comment ref="CG374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guid: 77-80%</t>
        </r>
      </text>
    </comment>
    <comment ref="CI374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guid: 77-80%</t>
        </r>
      </text>
    </comment>
    <comment ref="AN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3Q15 guid: 77-80%</t>
        </r>
      </text>
    </comment>
    <comment ref="AR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2Q tends to be highest seasonally.
3Q15 guid: 77-80%</t>
        </r>
      </text>
    </comment>
    <comment ref="AT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2Q tends to be highest seasonally.
3Q15 guid: 77-80%</t>
        </r>
      </text>
    </comment>
    <comment ref="AV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2Q tends to be highest seasonally.
3Q15 guid: 77-80%</t>
        </r>
      </text>
    </comment>
    <comment ref="AX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2Q tends to be highest seasonally.
3Q15 guid: 77-80%</t>
        </r>
      </text>
    </comment>
    <comment ref="AZ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2Q tends to be highest seasonally.
3Q15 guid: 77-80%</t>
        </r>
      </text>
    </comment>
    <comment ref="BB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2Q tends to be highest seasonally.
3Q15 guid: 77-80%</t>
        </r>
      </text>
    </comment>
    <comment ref="BD381" authorId="7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2Q tends to be highest seasonally.
3Q15 guid: 77-80%</t>
        </r>
      </text>
    </comment>
    <comment ref="CC3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2Q15 guid: 77-80%</t>
        </r>
      </text>
    </comment>
    <comment ref="CE3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4Q15 guid: 77-80%</t>
        </r>
      </text>
    </comment>
    <comment ref="CG3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 guid: Expect Stop Loss ratio to be above target of 77-80% in 2017
4Q16 guid: 77-80%
</t>
        </r>
      </text>
    </comment>
    <comment ref="CI3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Expect improvement in 2018</t>
        </r>
      </text>
    </comment>
    <comment ref="R39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hardcoded because of rounding differences</t>
        </r>
      </text>
    </comment>
    <comment ref="T39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hardcoded because of rounding differences</t>
        </r>
      </text>
    </comment>
    <comment ref="V39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hardcoded because of rounding differences</t>
        </r>
      </text>
    </comment>
    <comment ref="X39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hardcoded because of rounding differences</t>
        </r>
      </text>
    </comment>
    <comment ref="Z41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AH41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R42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13mn benefit from variable compensation accrual (50% in Ret. with the remaining being split evenly)</t>
        </r>
      </text>
    </comment>
    <comment ref="V42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+4 gain from Lehman Recovery/LIHTC
</t>
        </r>
      </text>
    </comment>
    <comment ref="X42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+4 gain from Lehman Recovery/LIHTC
</t>
        </r>
      </text>
    </comment>
    <comment ref="Z42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DAC</t>
        </r>
      </text>
    </comment>
    <comment ref="AB42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DAC</t>
        </r>
      </text>
    </comment>
    <comment ref="AD420" authorId="0">
      <text>
        <r>
          <rPr>
            <b/>
            <sz val="9"/>
            <color indexed="81"/>
            <rFont val="Tahoma"/>
            <family val="2"/>
          </rPr>
          <t>Zamora, Diana (Research):</t>
        </r>
        <r>
          <rPr>
            <sz val="9"/>
            <color indexed="81"/>
            <rFont val="Tahoma"/>
            <family val="2"/>
          </rPr>
          <t xml:space="preserve">
DAC and other</t>
        </r>
      </text>
    </comment>
    <comment ref="AF420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above/(below) normal prepayment income and alt. inv. income</t>
        </r>
      </text>
    </comment>
    <comment ref="AH420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-0.7 DAC unlock
-0.81 net above/(below) normal alt. &amp; prep. Income (calculated in "Normalizing Earnings" tab</t>
        </r>
      </text>
    </comment>
    <comment ref="AJ420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-0.9 DAC unlock
+0.49 net above/(below) normal alt. &amp; prep. Income (calculated in "Normalizing Earnings" tab</t>
        </r>
      </text>
    </comment>
    <comment ref="AL420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-0.9 DAC unlock
+0.49 net above/(below) normal alt. &amp; prep. Income (calculated in "Normalizing Earnings" tab</t>
        </r>
      </text>
    </comment>
    <comment ref="AP420" authorId="7">
      <text>
        <r>
          <rPr>
            <b/>
            <sz val="9"/>
            <color indexed="81"/>
            <rFont val="Tahoma"/>
            <family val="2"/>
          </rPr>
          <t>Zheng, Chaodan (Research):</t>
        </r>
        <r>
          <rPr>
            <sz val="9"/>
            <color indexed="81"/>
            <rFont val="Tahoma"/>
            <family val="2"/>
          </rPr>
          <t xml:space="preserve">
DAC/VOBA and other intangibles unlocking</t>
        </r>
      </text>
    </comment>
    <comment ref="AR420" authorId="7">
      <text>
        <r>
          <rPr>
            <b/>
            <sz val="9"/>
            <color indexed="81"/>
            <rFont val="Tahoma"/>
            <family val="2"/>
          </rPr>
          <t>Zheng, Chaodan (Research):</t>
        </r>
        <r>
          <rPr>
            <sz val="9"/>
            <color indexed="81"/>
            <rFont val="Tahoma"/>
            <family val="2"/>
          </rPr>
          <t xml:space="preserve">
DAC/VOBA and other intangibles unlocking</t>
        </r>
      </text>
    </comment>
    <comment ref="AT42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Alt Inv + Prepay ~ $1mn above plan
- $17mn post DAC favorable reserve release. </t>
        </r>
      </text>
    </comment>
    <comment ref="AV420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supp pg 65, Gain on lehman</t>
        </r>
      </text>
    </comment>
    <comment ref="AX420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supp pg 65, Gain on lehman</t>
        </r>
      </text>
    </comment>
    <comment ref="AZ42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-$1mn: DAC
+$2mn: fav expenses</t>
        </r>
      </text>
    </comment>
    <comment ref="BB42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-$1mn: DAC
+$2mn: fav expenses</t>
        </r>
      </text>
    </comment>
    <comment ref="BD42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-$1mn: DAC
+$2mn: fav expenses</t>
        </r>
      </text>
    </comment>
    <comment ref="CI425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guide: 23-25%</t>
        </r>
      </text>
    </comment>
    <comment ref="BJ432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Reduce debt by $300mn in 2018, $638mm of senior debt retirement; assumes $350mm new issuance of hybrid security</t>
        </r>
      </text>
    </comment>
    <comment ref="AV436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Expect spend of $25-$35mn in 4Q16</t>
        </r>
      </text>
    </comment>
    <comment ref="AX436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Expect spend of $25-$35mn in 4Q16</t>
        </r>
      </text>
    </comment>
    <comment ref="AZ436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1Q17: Expect spend of $20-$30mn in 2Q17</t>
        </r>
      </text>
    </comment>
    <comment ref="BB436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1Q17: Expect spend of $20-$30mn in 2Q17</t>
        </r>
      </text>
    </comment>
    <comment ref="BD436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1Q17: Expect spend of $20-$30mn in 2Q17</t>
        </r>
      </text>
    </comment>
    <comment ref="CE436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to reflect higher investments of $110-130mn total in 2016</t>
        </r>
      </text>
    </comment>
    <comment ref="CG436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guide
Department of Labor upfront compliance costs of $15-20 million for full year 2017</t>
        </r>
      </text>
    </comment>
    <comment ref="CI436" authorId="6">
      <text>
        <r>
          <rPr>
            <b/>
            <sz val="9"/>
            <color indexed="81"/>
            <rFont val="Tahoma"/>
            <family val="2"/>
          </rPr>
          <t xml:space="preserve">Dally, Nigel (Research):
</t>
        </r>
        <r>
          <rPr>
            <sz val="9"/>
            <color indexed="81"/>
            <rFont val="Tahoma"/>
            <family val="2"/>
          </rPr>
          <t>Remaining of $350 million investment spend being placed back into operating units</t>
        </r>
      </text>
    </comment>
    <comment ref="AJ43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includes strategic investment program</t>
        </r>
      </text>
    </comment>
    <comment ref="CE43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to reflect higher investments of $110-130mn total in 2016</t>
        </r>
      </text>
    </comment>
    <comment ref="X442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Lehman Recovery</t>
        </r>
      </text>
    </comment>
    <comment ref="Z442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Lehman Recovery
(see difference between what they normalize for and int. expense)</t>
        </r>
      </text>
    </comment>
    <comment ref="AB442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Lehman Recovery
(see difference between what they normalize for and int. expense)</t>
        </r>
      </text>
    </comment>
    <comment ref="AP442" authorId="7">
      <text>
        <r>
          <rPr>
            <b/>
            <sz val="9"/>
            <color indexed="81"/>
            <rFont val="Tahoma"/>
            <family val="2"/>
          </rPr>
          <t>Zheng, Chaodan (Research):</t>
        </r>
        <r>
          <rPr>
            <sz val="9"/>
            <color indexed="81"/>
            <rFont val="Tahoma"/>
            <family val="2"/>
          </rPr>
          <t xml:space="preserve">
="total adjustment to operating earnings" from "Adjusted Operating Earnings by Segment" on page 10 of supp - "interest expense" from "Consolidated Earnings Before Income Taxes"</t>
        </r>
      </text>
    </comment>
    <comment ref="AR442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2Q16: legal reserve increase</t>
        </r>
      </text>
    </comment>
    <comment ref="AV442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Gain on lehman recovery</t>
        </r>
      </text>
    </comment>
    <comment ref="AX442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Supp: Corporate - Interest Expense (Page 44 &amp; 11)</t>
        </r>
      </text>
    </comment>
    <comment ref="BY44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linked to 1Q13</t>
        </r>
      </text>
    </comment>
    <comment ref="V47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includes premiums</t>
        </r>
      </text>
    </comment>
    <comment ref="X47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includes premiums</t>
        </r>
      </text>
    </comment>
    <comment ref="AT4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high as lowered LT int rates.</t>
        </r>
      </text>
    </comment>
    <comment ref="AV4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high as lowered LT int rates.</t>
        </r>
      </text>
    </comment>
    <comment ref="CI493" authorId="6">
      <text>
        <r>
          <rPr>
            <b/>
            <sz val="9"/>
            <color indexed="81"/>
            <rFont val="Tahoma"/>
            <family val="2"/>
          </rPr>
          <t xml:space="preserve">Gupta, Tanmay (Research):
</t>
        </r>
        <r>
          <rPr>
            <sz val="9"/>
            <color indexed="81"/>
            <rFont val="Tahoma"/>
            <family val="2"/>
          </rPr>
          <t>Investments reported in the segments</t>
        </r>
      </text>
    </comment>
    <comment ref="R54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rounding</t>
        </r>
      </text>
    </comment>
    <comment ref="Z572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AH572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seasonality in 1Q: annual expenses are concentrated</t>
        </r>
      </text>
    </comment>
    <comment ref="CI572" authorId="6">
      <text>
        <r>
          <rPr>
            <sz val="9"/>
            <color indexed="81"/>
            <rFont val="Tahoma"/>
            <family val="2"/>
          </rPr>
          <t>Gupta, Tanmay (Research):
Investments reported back in the segment</t>
        </r>
      </text>
    </comment>
    <comment ref="R581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13mn benefit from variable compensation accrual (50% in Ret. with the remaining being split evenly)</t>
        </r>
      </text>
    </comment>
    <comment ref="T581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assumed normalized prepayment income of $6mn where the difference above that is abnormal - see 2Q13 supp pg 26 </t>
        </r>
      </text>
    </comment>
    <comment ref="V581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+13 gain from Lehman Recovery/LIHTC - calculated to include decimals provided in supplement</t>
        </r>
      </text>
    </comment>
    <comment ref="X581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gain from Lehman Recovery/LIHTC
From Supp</t>
        </r>
      </text>
    </comment>
    <comment ref="AF581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above/(below) normal prepayment income and alt. inv. income</t>
        </r>
      </text>
    </comment>
    <comment ref="AH581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J581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L581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net above/(below) normal alt. &amp; prep. Income (calculated in "Normalizing Earnings" tab</t>
        </r>
      </text>
    </comment>
    <comment ref="AT5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+ Prepay above plan ~ $5mn</t>
        </r>
      </text>
    </comment>
    <comment ref="AV581" authorId="6">
      <text>
        <r>
          <rPr>
            <b/>
            <sz val="9"/>
            <color indexed="81"/>
            <rFont val="Tahoma"/>
            <family val="2"/>
          </rPr>
          <t xml:space="preserve">Huang, Bob (Research): 
</t>
        </r>
        <r>
          <rPr>
            <sz val="9"/>
            <color indexed="81"/>
            <rFont val="Tahoma"/>
            <family val="2"/>
          </rPr>
          <t>4Q16 supp pg 65, Gain on lehman</t>
        </r>
      </text>
    </comment>
    <comment ref="AX5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+ Prepay above plan ~ $1mn</t>
        </r>
      </text>
    </comment>
    <comment ref="AZ5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$3mn: Prepay above
$1mn: fav expenses</t>
        </r>
      </text>
    </comment>
    <comment ref="BB5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$3mn: Prepay above
$1mn: fav expenses</t>
        </r>
      </text>
    </comment>
    <comment ref="BD58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$3mn: Prepay above
$1mn: fav expenses</t>
        </r>
      </text>
    </comment>
    <comment ref="AN5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P5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R5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T5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V5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AX583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Darin: $56 mn run-rate</t>
        </r>
      </text>
    </comment>
    <comment ref="CI586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guide: 9.5-10.5%</t>
        </r>
      </text>
    </comment>
    <comment ref="R594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includes net realized gains/(losses)</t>
        </r>
      </text>
    </comment>
    <comment ref="AV594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no longer on pg 13 or 14 of the supp</t>
        </r>
      </text>
    </comment>
    <comment ref="AX594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no longer on pg 13 or 14 of the supp</t>
        </r>
      </text>
    </comment>
    <comment ref="BF594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no longer on pg 13 or 14 of the supp</t>
        </r>
      </text>
    </comment>
    <comment ref="AV61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Expect approximately $20-30 million operating loss in 4Q’16, from accelerated run-off</t>
        </r>
      </text>
    </comment>
    <comment ref="AX61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Expect approximately $20-30 million operating loss in 4Q’16, from accelerated run-off</t>
        </r>
      </text>
    </comment>
    <comment ref="BF610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3Q16: Expect approximately $20-30 million operating loss in 4Q’16, from accelerated run-off</t>
        </r>
      </text>
    </comment>
    <comment ref="AD612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above/(below) normal prepayment income and alt. inv. income</t>
        </r>
      </text>
    </comment>
    <comment ref="AF612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above/(below) normal prepayment income and alt. inv. income</t>
        </r>
      </text>
    </comment>
    <comment ref="BF63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Guid: tax rate between 18-20%</t>
        </r>
      </text>
    </comment>
    <comment ref="CC63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4Q14 guid: 32%</t>
        </r>
      </text>
    </comment>
    <comment ref="CE63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4Q14 guid: 32%</t>
        </r>
      </text>
    </comment>
    <comment ref="CG637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4Q16 guid: 32%</t>
        </r>
      </text>
    </comment>
    <comment ref="CI63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2018 guid: 18-20%</t>
        </r>
      </text>
    </comment>
    <comment ref="CK637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2018 guid: 18-20%</t>
        </r>
      </text>
    </comment>
    <comment ref="AX641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disclosed with slides</t>
        </r>
      </text>
    </comment>
    <comment ref="AZ641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stat capital</t>
        </r>
      </text>
    </comment>
    <comment ref="BB641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stat capital</t>
        </r>
      </text>
    </comment>
    <comment ref="AZ643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total excess capital</t>
        </r>
      </text>
    </comment>
    <comment ref="BB643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total excess capital at 944mn</t>
        </r>
      </text>
    </comment>
    <comment ref="AN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AP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AR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AT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AV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AX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CC68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deferred non-operating PT GAAP loss to be recognized at an avg rate of $10mn a year over next 20 years related to the reinsurance transaction announced during the 3Q14</t>
        </r>
      </text>
    </comment>
    <comment ref="CE68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deferred non-operating PT GAAP loss to be recognized at an avg rate of $10mn a year over next 20 years related to the reinsurance transaction announced during the 3Q14</t>
        </r>
      </text>
    </comment>
    <comment ref="CG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no new guidance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CI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no new guidance
3Q15: deferred non-operating PT GAAP loss to be recognized at an avg rate of $12mn a year over next 20 years related to the reinsurance transaction with RGA
3Q14: deferred non-operating PT GAAP loss to be recognized at an avg rate of $10mn a year over next 20 years related to the reinsurance transaction</t>
        </r>
      </text>
    </comment>
    <comment ref="CK688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742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AL742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AZ742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Shares repurchased in prev Q. The company will look to continue the program, where shares repurchased are reflected in the next Q.</t>
        </r>
      </text>
    </comment>
    <comment ref="AN74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Voya entered into a share repurchase arrangement with a financial institution to repurchase $100 million of Voya’s common stock. All of the shares deliverable to Voya under this arrangement will be delivered in the fourth quarter.</t>
        </r>
      </text>
    </comment>
    <comment ref="AP74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Voya entered into a share repurchase arrangement with a financial institution to repurchase $100 million of Voya’s common stock. All of the shares deliverable to Voya under this arrangement will be delivered in the fourth quarter.</t>
        </r>
      </text>
    </comment>
    <comment ref="AR74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Voya entered into a share repurchase arrangement with a financial institution to repurchase $150 million of Voya’s common stock. All of the shares deliverable to Voya under this arrangement will be delivered in the third quarter.</t>
        </r>
      </text>
    </comment>
    <comment ref="AT74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Voya entered into a share repurchase arrangement with a financial institution to repurchase $150 million of Voya’s common stock. All of the shares deliverable to Voya under this arrangement will be delivered in the third quarter.</t>
        </r>
      </text>
    </comment>
    <comment ref="AV745" authorId="3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3Q16: Planned share repurchase of $200mn in 4Q16</t>
        </r>
      </text>
    </comment>
    <comment ref="AX745" authorId="3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3Q16: Planned share repurchase of $200mn in 4Q16</t>
        </r>
      </text>
    </comment>
    <comment ref="BF74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accelerated share repurchase of $500mn in 1Q18. Received $400mn in 4Q17
- Expect to complete additional $500mn in repurchase by 2Q18.
</t>
        </r>
      </text>
    </comment>
    <comment ref="BH74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accelerate the utilization of our existing $1 billion share repurchase authorization to be completed by June of 2018.</t>
        </r>
      </text>
    </comment>
    <comment ref="BJ74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deploy excess capital &gt;$500mn from CBVA deal towards share repurchase</t>
        </r>
      </text>
    </comment>
    <comment ref="CE745" authorId="3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2Q16: Management guidance of $720mn. We expect additional authorization and repurchase in 4Q16.</t>
        </r>
      </text>
    </comment>
    <comment ref="CG745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guide: $633mn still authorized</t>
        </r>
      </text>
    </comment>
    <comment ref="CI745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guide: $633mn still authorized</t>
        </r>
      </text>
    </comment>
    <comment ref="BF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BH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BJ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BL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CK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CM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CO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CQ755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slides: 
Additional diluted shares when Voya stock trades above $48.75</t>
        </r>
      </text>
    </comment>
    <comment ref="AV75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For periods in which there is a net loss available to common shareholders, the operating earnings per share calculation includes additional dilutive shares, as the inclusion of these shares for stock compensation plans would not be anti-dilutive to the operating earnings per share calculation.</t>
        </r>
      </text>
    </comment>
    <comment ref="AX75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For periods in which there is a net loss available to common shareholders, the operating earnings per share calculation includes additional dilutive shares, as the inclusion of these shares for stock compensation plans would not be anti-dilutive to the operating earnings per share calculation.</t>
        </r>
      </text>
    </comment>
    <comment ref="AZ75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For periods in which there is a net loss available to common shareholders, the operating earnings per share calculation includes additional dilutive shares, as the inclusion of these shares for stock compensation plans would not be anti-dilutive to the operating earnings per share calculation.</t>
        </r>
      </text>
    </comment>
    <comment ref="BB75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For periods in which there is a net loss available to common shareholders, the operating earnings per share calculation includes additional dilutive shares, as the inclusion of these shares for stock compensation plans would not be anti-dilutive to the operating earnings per share calculation.</t>
        </r>
      </text>
    </comment>
    <comment ref="BD75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For periods in which there is a net loss available to common shareholders, the operating earnings per share calculation includes additional dilutive shares, as the inclusion of these shares for stock compensation plans would not be anti-dilutive to the operating earnings per share calculation.</t>
        </r>
      </text>
    </comment>
    <comment ref="CG76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linked to core for estimated periods</t>
        </r>
      </text>
    </comment>
    <comment ref="CI76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linked to core for estimated periods</t>
        </r>
      </text>
    </comment>
    <comment ref="CK763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80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supp pg 8</t>
        </r>
      </text>
    </comment>
    <comment ref="T80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supp pg 8</t>
        </r>
      </text>
    </comment>
    <comment ref="V80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supp pg 8</t>
        </r>
      </text>
    </comment>
    <comment ref="X80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supp pg 8</t>
        </r>
      </text>
    </comment>
    <comment ref="AF811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hardcoded to match ROE estimate</t>
        </r>
      </text>
    </comment>
    <comment ref="BY83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mgmt estimate: ~9.5%</t>
        </r>
      </text>
    </comment>
    <comment ref="CG830" authorId="8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2Q13 guidance: 12-13%</t>
        </r>
      </text>
    </comment>
    <comment ref="CI830" authorId="8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2Q13 guidance: 12-13%</t>
        </r>
      </text>
    </comment>
    <comment ref="CA87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mgmt estimates</t>
        </r>
      </text>
    </comment>
    <comment ref="BH87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2Q18: Shareholders' Equity reduced by $0.5B due to AOCI related to unrealized gains going away</t>
        </r>
      </text>
    </comment>
    <comment ref="BB899" authorId="3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$2.3B AT charge on GAAP book value due to CBVA deal</t>
        </r>
      </text>
    </comment>
  </commentList>
</comments>
</file>

<file path=xl/comments2.xml><?xml version="1.0" encoding="utf-8"?>
<comments xmlns="http://schemas.openxmlformats.org/spreadsheetml/2006/main">
  <authors>
    <author>Laura Sanchez</author>
    <author>Sanchez Bolanos, Laura (Research)</author>
    <author>dianaz</author>
    <author>Zheng, Chaodan (Research)</author>
    <author>Rojas, Isabel (Research)</author>
    <author>Huang, Bob (Research)</author>
  </authors>
  <commentList>
    <comment ref="E4" authorId="0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4Q14 guid: unchanged
3Q14 guid: unchanged
2Q14 guid: unchanged
2Q13 guidance: unchanged
ROC + impact of leverage</t>
        </r>
      </text>
    </comment>
    <comment ref="G4" authorId="1">
      <text>
        <r>
          <rPr>
            <b/>
            <sz val="8"/>
            <color indexed="81"/>
            <rFont val="Tahoma"/>
            <family val="2"/>
          </rPr>
          <t>Sanchez Bolanos, Laura (Research):</t>
        </r>
        <r>
          <rPr>
            <sz val="8"/>
            <color indexed="81"/>
            <rFont val="Tahoma"/>
            <family val="2"/>
          </rPr>
          <t xml:space="preserve">
4Q16 guid: unchanged
3Q15 guid: 13.5-14.5%
1Q15 guid unchanged
4Q14 guid</t>
        </r>
      </text>
    </comment>
    <comment ref="E5" authorId="2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3Q14 guid: unchanged
2Q14 guid: unchanged
2Q13 guidance: unchanged</t>
        </r>
      </text>
    </comment>
    <comment ref="G5" authorId="1">
      <text>
        <r>
          <rPr>
            <b/>
            <sz val="9"/>
            <color indexed="81"/>
            <rFont val="Tahoma"/>
            <family val="2"/>
          </rPr>
          <t xml:space="preserve">Sanchez Bolanos, Laura (Research):
</t>
        </r>
        <r>
          <rPr>
            <sz val="9"/>
            <color indexed="81"/>
            <rFont val="Tahoma"/>
            <family val="2"/>
          </rPr>
          <t>4Q16 guid: unchanged
3Q15 guid: 11.5-12.5%
1Q15 guid unchanged
4Q14 guid</t>
        </r>
      </text>
    </comment>
    <comment ref="E8" authorId="2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4Q14 guid: unchanged
3Q14 guid: unchanged
2Q14 guid: unchanged
2Q13 guidance: unchanged</t>
        </r>
      </text>
    </comment>
    <comment ref="G8" authorId="3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4Q16 guid: unchanged
3Q16 guid: Reduced lower to 9.5-10.5% due to lower int rates
3Q15 guid: 11-12% 
</t>
        </r>
      </text>
    </comment>
    <comment ref="E11" authorId="2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4Q14 guid: unchanged
3Q14 guid: unchanged
2Q14 guid: unchanged
2Q13 guidance: unchanged </t>
        </r>
      </text>
    </comment>
    <comment ref="G11" authorId="3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4Q16 guid: unchanged
3Q15 guid: 9.5-10.5%</t>
        </r>
      </text>
    </comment>
    <comment ref="E14" authorId="2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4Q14 guid: unchanged
3Q14 guid: unchanged
2Q14 guid: unchanged
2Q13 transcript guidance: 30-34%</t>
        </r>
      </text>
    </comment>
    <comment ref="G14" authorId="3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4Q16 guid: unchanged
3Q15 guid: 33-35%</t>
        </r>
      </text>
    </comment>
    <comment ref="E17" authorId="2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4Q14 guid: unchanged
3Q14 guid: unchanged
2Q14 guid: unchanged
2Q13 guidance: unchanged </t>
        </r>
      </text>
    </comment>
    <comment ref="G17" authorId="3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4Q16 guid: unchanged
3Q15 guid: 7.5-8.5%</t>
        </r>
      </text>
    </comment>
    <comment ref="E20" authorId="2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4Q14 guid: unchanged
3Q14 guid: unchanged
2Q14 guid: unchanged
2Q13 guidance: unchanged</t>
        </r>
      </text>
    </comment>
    <comment ref="G20" authorId="3">
      <text>
        <r>
          <rPr>
            <b/>
            <sz val="8"/>
            <color indexed="81"/>
            <rFont val="Tahoma"/>
            <family val="2"/>
          </rPr>
          <t>Zheng, Chaodan (Research):</t>
        </r>
        <r>
          <rPr>
            <sz val="8"/>
            <color indexed="81"/>
            <rFont val="Tahoma"/>
            <family val="2"/>
          </rPr>
          <t xml:space="preserve">
4Q16 guid: unchanged
3Q15 guid: 23-25%
</t>
        </r>
      </text>
    </comment>
    <comment ref="D21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3Q15 guid: unchanged
2Q15 guid: unchanged
4Q14 guid</t>
        </r>
      </text>
    </comment>
    <comment ref="E21" authorId="4">
      <text>
        <r>
          <rPr>
            <b/>
            <sz val="9"/>
            <color indexed="81"/>
            <rFont val="Tahoma"/>
            <family val="2"/>
          </rPr>
          <t>Rojas, Isabel (Research):</t>
        </r>
        <r>
          <rPr>
            <sz val="9"/>
            <color indexed="81"/>
            <rFont val="Tahoma"/>
            <family val="2"/>
          </rPr>
          <t xml:space="preserve">
3Q14 guid: unchanged</t>
        </r>
      </text>
    </comment>
    <comment ref="F21" authorId="4">
      <text>
        <r>
          <rPr>
            <b/>
            <sz val="9"/>
            <color indexed="81"/>
            <rFont val="Tahoma"/>
            <family val="2"/>
          </rPr>
          <t>Rojas, Isabel (Research):</t>
        </r>
        <r>
          <rPr>
            <sz val="9"/>
            <color indexed="81"/>
            <rFont val="Tahoma"/>
            <family val="2"/>
          </rPr>
          <t xml:space="preserve">
3Q14 guid: unchanged</t>
        </r>
      </text>
    </comment>
    <comment ref="D24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4Q14 guid</t>
        </r>
      </text>
    </comment>
    <comment ref="F24" authorId="5">
      <text>
        <r>
          <rPr>
            <b/>
            <sz val="9"/>
            <color indexed="81"/>
            <rFont val="Tahoma"/>
            <family val="2"/>
          </rPr>
          <t xml:space="preserve">Huang, Bob (Research):
</t>
        </r>
        <r>
          <rPr>
            <sz val="9"/>
            <color indexed="81"/>
            <rFont val="Tahoma"/>
            <family val="2"/>
          </rPr>
          <t>4Q16 #
200mn in 1Q17 due to a repurchase in 4Q16 agreement 
$633 remaining under repurchase authorization as of 4Q16</t>
        </r>
      </text>
    </comment>
    <comment ref="D25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4Q14 guid</t>
        </r>
      </text>
    </comment>
    <comment ref="H26" authorId="4">
      <text>
        <r>
          <rPr>
            <b/>
            <sz val="9"/>
            <color indexed="81"/>
            <rFont val="Tahoma"/>
            <family val="2"/>
          </rPr>
          <t>Rojas, Isabel (Research):</t>
        </r>
        <r>
          <rPr>
            <sz val="9"/>
            <color indexed="81"/>
            <rFont val="Tahoma"/>
            <family val="2"/>
          </rPr>
          <t xml:space="preserve">
4Q16 guid: unchanged
3Q15 guid: target maintained at 25%
3Q14 guid: Target 25% debt-to-capital ratio</t>
        </r>
      </text>
    </comment>
    <comment ref="H27" authorId="4">
      <text>
        <r>
          <rPr>
            <b/>
            <sz val="9"/>
            <color indexed="81"/>
            <rFont val="Tahoma"/>
            <family val="2"/>
          </rPr>
          <t>Rojas, Isabel (Research):</t>
        </r>
        <r>
          <rPr>
            <sz val="9"/>
            <color indexed="81"/>
            <rFont val="Tahoma"/>
            <family val="2"/>
          </rPr>
          <t xml:space="preserve">
4Q16 guid: unchanged
3Q15 guid: Target maintained at 425%
3Q14 guid: Target 425% RBC ratio</t>
        </r>
      </text>
    </comment>
    <comment ref="H28" authorId="1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No 2017 guid
4Q14 guid 60-70%</t>
        </r>
      </text>
    </comment>
    <comment ref="H30" authorId="5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no new guidance</t>
        </r>
      </text>
    </comment>
    <comment ref="F31" authorId="5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no new guidance</t>
        </r>
      </text>
    </comment>
    <comment ref="G31" authorId="5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4Q16 no new guidance</t>
        </r>
      </text>
    </comment>
  </commentList>
</comments>
</file>

<file path=xl/comments3.xml><?xml version="1.0" encoding="utf-8"?>
<comments xmlns="http://schemas.openxmlformats.org/spreadsheetml/2006/main">
  <authors>
    <author>Gupta, Tanmay (Research)</author>
    <author>dallyn</author>
    <author>Sanchez Bolanos, Laura (Research)</author>
  </authors>
  <commentList>
    <comment ref="H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Supp, Page 7 (Adjusted Operating Return on Capital and Return on Equity)</t>
        </r>
      </text>
    </comment>
    <comment ref="C5" authorId="1">
      <text>
        <r>
          <rPr>
            <b/>
            <sz val="8"/>
            <color indexed="81"/>
            <rFont val="Tahoma"/>
            <family val="2"/>
          </rPr>
          <t>dallyn:</t>
        </r>
        <r>
          <rPr>
            <sz val="8"/>
            <color indexed="81"/>
            <rFont val="Tahoma"/>
            <family val="2"/>
          </rPr>
          <t xml:space="preserve">
Largely Run-off
discounted for MYGA impact</t>
        </r>
      </text>
    </comment>
    <comment ref="C7" authorId="2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using LNC only</t>
        </r>
      </text>
    </comment>
    <comment ref="H1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did not disclose. Using 2Q17 values</t>
        </r>
      </text>
    </comment>
    <comment ref="D1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1Q17: PV of cashflow of $1.6B if int rates follow forward curve and 5% equity returns</t>
        </r>
      </text>
    </comment>
    <comment ref="D18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earnings slides; Slide 17. 
~$1.4B
NPV of DTA</t>
        </r>
      </text>
    </comment>
  </commentList>
</comments>
</file>

<file path=xl/sharedStrings.xml><?xml version="1.0" encoding="utf-8"?>
<sst xmlns="http://schemas.openxmlformats.org/spreadsheetml/2006/main" count="1512" uniqueCount="918">
  <si>
    <t>Modelware Adjustment</t>
  </si>
  <si>
    <t>Op.Earnings - For consensus</t>
  </si>
  <si>
    <t>AUM &amp; AUA EOP Balance</t>
  </si>
  <si>
    <t>Total Inv Income/Avg AuM (%)</t>
  </si>
  <si>
    <t>Int Credited/Avg AuM (%)</t>
  </si>
  <si>
    <t>AUM  (ex-Payout)</t>
  </si>
  <si>
    <t>CAGR</t>
  </si>
  <si>
    <t>(%)</t>
  </si>
  <si>
    <t>Shares Outstanding</t>
  </si>
  <si>
    <t>Total</t>
  </si>
  <si>
    <t>Other Operating Expenses</t>
  </si>
  <si>
    <t>Total Benefits and Expenses</t>
  </si>
  <si>
    <t>Abnormal Items</t>
  </si>
  <si>
    <t>Deposits</t>
  </si>
  <si>
    <t>Other</t>
  </si>
  <si>
    <t>Total Revenues</t>
  </si>
  <si>
    <t>Interest Expense</t>
  </si>
  <si>
    <t>Revenues</t>
  </si>
  <si>
    <t>Net Investment Income</t>
  </si>
  <si>
    <t>Benefits and Expenses</t>
  </si>
  <si>
    <t>Amortization of DAC</t>
  </si>
  <si>
    <t>Pretax Operating Earnings</t>
  </si>
  <si>
    <t>Taxes</t>
  </si>
  <si>
    <t>Tax Rate (%)</t>
  </si>
  <si>
    <t>After-tax Operating Earnings</t>
  </si>
  <si>
    <t>Core Pretax Earnings by Segment</t>
  </si>
  <si>
    <t>After-tax Abnormal Items</t>
  </si>
  <si>
    <t>Realized Gains/Losses</t>
  </si>
  <si>
    <t>Realized Gains/Losses as % Op Inc</t>
  </si>
  <si>
    <t>Dividends Per Share</t>
  </si>
  <si>
    <t>Dividend Payout Ratio (%)</t>
  </si>
  <si>
    <t>Dividend Amount</t>
  </si>
  <si>
    <t>BUYBACKS/ISSUANCE</t>
  </si>
  <si>
    <t>Average Price</t>
  </si>
  <si>
    <t>When in Qtr (0%-beg; 100%-end)</t>
  </si>
  <si>
    <t>Amount Raised</t>
  </si>
  <si>
    <t>Shares Repurchased</t>
  </si>
  <si>
    <t>Amount Repurchased</t>
  </si>
  <si>
    <t>Total Capital Returned to Shareholders</t>
  </si>
  <si>
    <t xml:space="preserve">  % of Operating Earnings</t>
  </si>
  <si>
    <t xml:space="preserve">  % of Net Income</t>
  </si>
  <si>
    <t>Shares Outstanding (EOP)</t>
  </si>
  <si>
    <t>Average Shares Outstanding (Basic)</t>
  </si>
  <si>
    <t>FD Adjustment</t>
  </si>
  <si>
    <t>Average Shares Outstanding (FD)</t>
  </si>
  <si>
    <t>Operating EPS</t>
  </si>
  <si>
    <t xml:space="preserve">Reported EPS </t>
  </si>
  <si>
    <t>Core EPS</t>
  </si>
  <si>
    <t>Assets By Type</t>
  </si>
  <si>
    <t>Investments</t>
  </si>
  <si>
    <t>Deferred Acquisition Costs</t>
  </si>
  <si>
    <t>Separate Accounts</t>
  </si>
  <si>
    <t xml:space="preserve"> Total Assets </t>
  </si>
  <si>
    <t>FAS 115</t>
  </si>
  <si>
    <t>Assets (Excl FAS 115)</t>
  </si>
  <si>
    <t>Assets (Ex-FAS115, Ex-SAA)</t>
  </si>
  <si>
    <t>Below Investment Grade / Fixed Income (%)</t>
  </si>
  <si>
    <t>Below Investment Grade ($)</t>
  </si>
  <si>
    <t>Below Investment Grade /Equity (%)</t>
  </si>
  <si>
    <t>Debt, Preferred Equity, and Liabilities</t>
  </si>
  <si>
    <t>Other Liabilities</t>
  </si>
  <si>
    <t xml:space="preserve"> Total Liabilities</t>
  </si>
  <si>
    <t>Equity</t>
  </si>
  <si>
    <t>Total Equity EOP Including FAS 115</t>
  </si>
  <si>
    <t>FAS 115 Adjustment</t>
  </si>
  <si>
    <t>Common Equity EOP Excluding FAS 115</t>
  </si>
  <si>
    <t>Average Common Equity Incl FAS 115</t>
  </si>
  <si>
    <t>Average Common Equity Excl FAS 115</t>
  </si>
  <si>
    <t xml:space="preserve"> Total Liabilities and Shareholders Equity</t>
  </si>
  <si>
    <t>Profitability</t>
  </si>
  <si>
    <t>Operating ROE (Excl FAS 115)(%)</t>
  </si>
  <si>
    <t>Core ROE (Excl FAS 115)(%)</t>
  </si>
  <si>
    <t>Reported ROE (Excl FAS 115)(%)</t>
  </si>
  <si>
    <t>Reported ROE (Incl FAS 115)(%)</t>
  </si>
  <si>
    <t>Capital Structure Excl FAS 115</t>
  </si>
  <si>
    <t>Total Capital</t>
  </si>
  <si>
    <t>LT Debt to LT Capital (%)</t>
  </si>
  <si>
    <t>LT Debt to Common Equity (%)</t>
  </si>
  <si>
    <t>Equity to Assets (Excl SAA)(%)</t>
  </si>
  <si>
    <t>Equity to Total Assets (%)</t>
  </si>
  <si>
    <t>Oper Return on Avg Assets (%)</t>
  </si>
  <si>
    <t>Book Value per Share</t>
  </si>
  <si>
    <t>Capital Structure Incl FAS 115</t>
  </si>
  <si>
    <t>% Chg</t>
  </si>
  <si>
    <t>Additional Paid-in-Capital</t>
  </si>
  <si>
    <t>Retained Earnings</t>
  </si>
  <si>
    <t>Future Policy Benefits</t>
  </si>
  <si>
    <t>Shares Issued/Equity Grants</t>
  </si>
  <si>
    <t>Income attributable to Unvested Equity Awards</t>
  </si>
  <si>
    <t>Net Operating Earnigns (used in EPS calc)</t>
  </si>
  <si>
    <t>USD</t>
  </si>
  <si>
    <t>PRI.N,mscalc:targetPrice,,,,USD</t>
  </si>
  <si>
    <t>PRI.N,mscalc:closePriceCurrencyCalc</t>
  </si>
  <si>
    <t>PRI.N,mscalc:sedolCodeCalc</t>
  </si>
  <si>
    <t>NA</t>
  </si>
  <si>
    <t>1. Retirement</t>
  </si>
  <si>
    <t>Surrenders &amp; Benefits</t>
  </si>
  <si>
    <t>Interest Credited/Investment Performance</t>
  </si>
  <si>
    <t>Average Balance</t>
  </si>
  <si>
    <t>General Account</t>
  </si>
  <si>
    <t>REVENUES</t>
  </si>
  <si>
    <t>Fee Income</t>
  </si>
  <si>
    <t>Interest Credited</t>
  </si>
  <si>
    <t>Net Revenues</t>
  </si>
  <si>
    <t>Deposits/BOP AUM (%)</t>
  </si>
  <si>
    <t>Surrenders &amp; Benefits/BOP AUM (%)</t>
  </si>
  <si>
    <t>Investment Performance/BOP AUM (%)</t>
  </si>
  <si>
    <t>Investment Perform/Market Perform (%)</t>
  </si>
  <si>
    <t>Total Retirement Net Flows</t>
  </si>
  <si>
    <t>Spread Analysis</t>
  </si>
  <si>
    <t>Investment Spread (%)</t>
  </si>
  <si>
    <t>Other Revenue Analysis</t>
  </si>
  <si>
    <t>Total Inv Income/Avg GA Assets (%)</t>
  </si>
  <si>
    <t>Int Credited/Avg GA Assets (%)</t>
  </si>
  <si>
    <t>3Q11</t>
  </si>
  <si>
    <t>4Q11</t>
  </si>
  <si>
    <t>1Q12</t>
  </si>
  <si>
    <t>2Q12</t>
  </si>
  <si>
    <t>3Q12</t>
  </si>
  <si>
    <t>Fee Income/Total Avg Assets (%)</t>
  </si>
  <si>
    <t>Transfers/Single Deposits</t>
  </si>
  <si>
    <t>Recurring Deposits</t>
  </si>
  <si>
    <t>Transfers &amp; Deposits/BOP AUM (%)</t>
  </si>
  <si>
    <t>Recurring Deposits/BOP AUM (%)</t>
  </si>
  <si>
    <t>BENEFITS AND EXPENSES</t>
  </si>
  <si>
    <t>Benefit and Expense Analysis</t>
  </si>
  <si>
    <t>Operating Expenses/Total Revenues (%)</t>
  </si>
  <si>
    <t>Net DAC/Operating Expenses (%)</t>
  </si>
  <si>
    <t>Pretax Income</t>
  </si>
  <si>
    <t>Pretax Margin (%)</t>
  </si>
  <si>
    <t>Core Pretax Income</t>
  </si>
  <si>
    <t>Core Pretax Margin (%)</t>
  </si>
  <si>
    <t>2. Annuity</t>
  </si>
  <si>
    <t>Annuity (ex-Payout) Net Flows</t>
  </si>
  <si>
    <t>SPIA and Payout Reserves</t>
  </si>
  <si>
    <t>Total Annuities Ending Balance</t>
  </si>
  <si>
    <t>Average Annuities Balance</t>
  </si>
  <si>
    <t>3. Investment Management</t>
  </si>
  <si>
    <t>Inflows</t>
  </si>
  <si>
    <t>Outflows</t>
  </si>
  <si>
    <t>Investment Performance</t>
  </si>
  <si>
    <t>Inflows/BOP AUM (%)</t>
  </si>
  <si>
    <t>Outflows/BOP AUM (%)</t>
  </si>
  <si>
    <t>Money Market Net Flows</t>
  </si>
  <si>
    <t>Other  (incl Acquisitions/Divestitures)</t>
  </si>
  <si>
    <t>Average Asset Balance</t>
  </si>
  <si>
    <t>4. Individual Life</t>
  </si>
  <si>
    <t>5. Employee Benefits</t>
  </si>
  <si>
    <t>6. Corporate</t>
  </si>
  <si>
    <t>8. Consolidated Income Statement</t>
  </si>
  <si>
    <t>9. Earnings by Segment</t>
  </si>
  <si>
    <t>10. EPS Calculation</t>
  </si>
  <si>
    <t>Spread Analysis (Calculated)</t>
  </si>
  <si>
    <t>Fee Income/Avg Total Retirement Assets (%)</t>
  </si>
  <si>
    <t>UL</t>
  </si>
  <si>
    <t>Index UL</t>
  </si>
  <si>
    <t>Term</t>
  </si>
  <si>
    <t>Total Sales</t>
  </si>
  <si>
    <t>Net DAC</t>
  </si>
  <si>
    <t>Group Life</t>
  </si>
  <si>
    <t>4Q12</t>
  </si>
  <si>
    <t>Administrative Expenses</t>
  </si>
  <si>
    <t>Trail Commissions</t>
  </si>
  <si>
    <t>DAC Unlocking</t>
  </si>
  <si>
    <t>Restructuring</t>
  </si>
  <si>
    <t>Fee Income - Base</t>
  </si>
  <si>
    <t>Fee Income - Recordkeeping</t>
  </si>
  <si>
    <t>Forecast Only</t>
  </si>
  <si>
    <t>Equity Market Preformance (%)</t>
  </si>
  <si>
    <t>2Q11</t>
  </si>
  <si>
    <t>1Q11</t>
  </si>
  <si>
    <t>S&amp;P 500 Quarterly Performance (%)</t>
  </si>
  <si>
    <t>Commissions/Total Revenues (%)</t>
  </si>
  <si>
    <t>Net Investment Spread (%)</t>
  </si>
  <si>
    <t>Fee Income - General Account</t>
  </si>
  <si>
    <t>Fee Income - Other</t>
  </si>
  <si>
    <t>Investment Management Sourced</t>
  </si>
  <si>
    <t>Affiliate Sourced</t>
  </si>
  <si>
    <t>Total External</t>
  </si>
  <si>
    <t>Investment Managed Sourced</t>
  </si>
  <si>
    <t>Fee Income - Total External</t>
  </si>
  <si>
    <t>Fee Income - Administration Only (AuA)</t>
  </si>
  <si>
    <t>ROA Analysis (bps)</t>
  </si>
  <si>
    <t>EOP Balance</t>
  </si>
  <si>
    <t>BOP Balance</t>
  </si>
  <si>
    <t>Net amortization of DAC and VOBA</t>
  </si>
  <si>
    <t>Corporate</t>
  </si>
  <si>
    <t>Investment Management</t>
  </si>
  <si>
    <t>SALES BY PRODUCT</t>
  </si>
  <si>
    <t>Premium</t>
  </si>
  <si>
    <t>Benefits</t>
  </si>
  <si>
    <t>Interest expense</t>
  </si>
  <si>
    <t>Retirement</t>
  </si>
  <si>
    <t>Annuities</t>
  </si>
  <si>
    <t>Individual Life</t>
  </si>
  <si>
    <t>Employee Benefits</t>
  </si>
  <si>
    <t>Voluntary Benefits, Disability, and Other</t>
  </si>
  <si>
    <t>CBVA contingent capital LOC costs</t>
  </si>
  <si>
    <t>Amortization of intangibles</t>
  </si>
  <si>
    <t>Reserve increase related to the use of SSDMF</t>
  </si>
  <si>
    <t>Fee revenue and premiums</t>
  </si>
  <si>
    <t>Technical Margin (Interest Sensitive)</t>
  </si>
  <si>
    <t>Technical Margin (Non-Interest Sensitive)</t>
  </si>
  <si>
    <t>AUM</t>
  </si>
  <si>
    <t>Total AUM</t>
  </si>
  <si>
    <t>Admin Only (AuA)</t>
  </si>
  <si>
    <t>Total EOP AuM</t>
  </si>
  <si>
    <t>Total EOP AuM &amp; AuA</t>
  </si>
  <si>
    <t>Net Inv Income/Avg GA Assets (%)</t>
  </si>
  <si>
    <t>Net Underwriting Gain/(Loss) &amp; Other</t>
  </si>
  <si>
    <t>Separate Account</t>
  </si>
  <si>
    <t>Average GA Assets</t>
  </si>
  <si>
    <t>Average SA Assets</t>
  </si>
  <si>
    <t>NET UNDERWRITING GAIN/(LOSS)</t>
  </si>
  <si>
    <t>Loss ratio (%)</t>
  </si>
  <si>
    <t>Interest Credited &amp; Other Benefits Paid</t>
  </si>
  <si>
    <t>7.1 Closed Block - Variable Annuity</t>
  </si>
  <si>
    <t>Net Realized Gain/(Loss)</t>
  </si>
  <si>
    <t>Adiministrative Expenses</t>
  </si>
  <si>
    <t>Adiministrative Expenses &amp; Interest Expense</t>
  </si>
  <si>
    <t>Pretax Total Ongoing Operations</t>
  </si>
  <si>
    <t>Closed Block</t>
  </si>
  <si>
    <t>Operating Pretax Earnings by Segment</t>
  </si>
  <si>
    <t>Core Pretax Total Ongoing Operations</t>
  </si>
  <si>
    <t>Closed Block Variable Annuities</t>
  </si>
  <si>
    <t>Operating Earnings Contributions (% Total)</t>
  </si>
  <si>
    <t>Total Ongoing Operations</t>
  </si>
  <si>
    <t>Operating Earnings</t>
  </si>
  <si>
    <t>Core Earnings Contributions (% Total)</t>
  </si>
  <si>
    <t>Pretax Core Earnings</t>
  </si>
  <si>
    <t>After-tax Core Earnings</t>
  </si>
  <si>
    <t>5-Yr</t>
  </si>
  <si>
    <t>Inv. Mgmt</t>
  </si>
  <si>
    <t>30-34%</t>
  </si>
  <si>
    <t>Investment Mgmt</t>
  </si>
  <si>
    <t>6-8%</t>
  </si>
  <si>
    <t>18-22%</t>
  </si>
  <si>
    <t>10-11%</t>
  </si>
  <si>
    <t>12-13%</t>
  </si>
  <si>
    <t>Net Flows</t>
  </si>
  <si>
    <t>Mgmt Guid.</t>
  </si>
  <si>
    <t>Underwriting/Avg Total Retirement Assets (%)</t>
  </si>
  <si>
    <t>($Millions Except Per Share and Sales Data)</t>
  </si>
  <si>
    <t>Consolidated Operating Earnings Forecast</t>
  </si>
  <si>
    <t>PT Core Operating Earnings</t>
  </si>
  <si>
    <t>Operating Taxes</t>
  </si>
  <si>
    <t>PT Core Total Ongoing Operations</t>
  </si>
  <si>
    <t>AT Core Earnings</t>
  </si>
  <si>
    <t>PT Core Earnings</t>
  </si>
  <si>
    <t>CHECK</t>
  </si>
  <si>
    <t>Net income</t>
  </si>
  <si>
    <t>Net Income Per Share</t>
  </si>
  <si>
    <t>Dividends</t>
  </si>
  <si>
    <t xml:space="preserve">Quarterly income statement ratios are annualized where appropriate    E = Morgan Stanley Research Estimates     NM = Not Meaningful      NA = Not Available       CAGR = Cumulative Average Growth Rate       </t>
  </si>
  <si>
    <t xml:space="preserve"> Chg = Change      EPS = Earnings per Share   FAS = Financial Accounting Standards    ROE = Return on Average Equity   Excl = Excluding         Incl = Including         Exp = Expenses</t>
  </si>
  <si>
    <t>Avg Shares Outstanding (Basic)</t>
  </si>
  <si>
    <t>Avg Shares Outstanding (FD)</t>
  </si>
  <si>
    <t>Core Earnings Contributions (%)</t>
  </si>
  <si>
    <t xml:space="preserve"> Chg = Change      Excl = Excluding</t>
  </si>
  <si>
    <t>AT Operating Earnings</t>
  </si>
  <si>
    <t>PT Operating Earnings</t>
  </si>
  <si>
    <t>PT Total Ongoing Operations</t>
  </si>
  <si>
    <t>Operating Earnings Contributions (%)</t>
  </si>
  <si>
    <t>Underwriting/Total Avg Assets (%)</t>
  </si>
  <si>
    <t>Ongoing ROE (Excl FAS 115)(%)</t>
  </si>
  <si>
    <t>FOR MODELWARE PURPOSES &amp; OTHER</t>
  </si>
  <si>
    <t>Consolidated PT Margin (Ongoing)</t>
  </si>
  <si>
    <t>CBVA</t>
  </si>
  <si>
    <t>Corporate and Other</t>
  </si>
  <si>
    <t>Ongoing ROC (Excl FAS 115)(%)</t>
  </si>
  <si>
    <t>DAC Unlocking - Pretax</t>
  </si>
  <si>
    <t>Restructuring - Pretax</t>
  </si>
  <si>
    <t>Total Abnormal Items</t>
  </si>
  <si>
    <t>After Tax Adjusted Ongoing Operations</t>
  </si>
  <si>
    <t>Pretax Adjusted Ongoing Operations</t>
  </si>
  <si>
    <t>7.2 Closed Block - Institutional Spread Products &amp; Other</t>
  </si>
  <si>
    <t>ONGOING AFTER TAX OPERATIONS</t>
  </si>
  <si>
    <t>ROC</t>
  </si>
  <si>
    <t>Ongoing Operating PT Margins</t>
  </si>
  <si>
    <t>7-9%</t>
  </si>
  <si>
    <t>Mortality &amp; Other</t>
  </si>
  <si>
    <t>Interest Credited/Avg Assets (%)</t>
  </si>
  <si>
    <t>Operating Expenses/Fee Income (%)</t>
  </si>
  <si>
    <t>Net DAC/Fee Income (%)</t>
  </si>
  <si>
    <t>Book Value per Share Excl CBVA</t>
  </si>
  <si>
    <t>1Q13</t>
  </si>
  <si>
    <t>2Q13</t>
  </si>
  <si>
    <t>4Q13</t>
  </si>
  <si>
    <t>3Q13</t>
  </si>
  <si>
    <t>Net IM Sourced Flows</t>
  </si>
  <si>
    <t>Net Affiliate Sourced Flows</t>
  </si>
  <si>
    <t>Group Stop Loss</t>
  </si>
  <si>
    <t>Net External/Commercial Inflows</t>
  </si>
  <si>
    <t>Net External/Commercial Outflows</t>
  </si>
  <si>
    <t>Core AT Earnings</t>
  </si>
  <si>
    <t>Core After Tax Total Ongoing Operations</t>
  </si>
  <si>
    <t>After Tax Core Earnings</t>
  </si>
  <si>
    <t xml:space="preserve">Cash and equivalents </t>
  </si>
  <si>
    <t>Other receivables</t>
  </si>
  <si>
    <t>Reinsurance recoverable</t>
  </si>
  <si>
    <t>Goodwill and other intangibles assets</t>
  </si>
  <si>
    <t>Assets related to consolidated investment entities</t>
  </si>
  <si>
    <t>Contract owner account balances</t>
  </si>
  <si>
    <t>Future Policy Benefits &amp; contract owner account balances</t>
  </si>
  <si>
    <t>Funds held under reinsurance agreements</t>
  </si>
  <si>
    <t>Payables under securities loan agreements</t>
  </si>
  <si>
    <t>Accounts payable and accrued expensess</t>
  </si>
  <si>
    <t>Liabilities related to consolidated investment entities</t>
  </si>
  <si>
    <t>Short-term debt</t>
  </si>
  <si>
    <t>Long-term debt</t>
  </si>
  <si>
    <t>Total Noncontrolling interest</t>
  </si>
  <si>
    <t>Total Financial Debt</t>
  </si>
  <si>
    <t>Separate Accounts Liabilities</t>
  </si>
  <si>
    <t>Operating Earnings (used in EPS calc)</t>
  </si>
  <si>
    <t>Unrecorded Goodwill from Pooling and Amortized or Written Off Goodwill</t>
  </si>
  <si>
    <t>Statutory Tax Rate (%) - FOR MODELWARE</t>
  </si>
  <si>
    <t>Benefits Paid - FOR MODELWARE</t>
  </si>
  <si>
    <t>Amount Repurchased - Scenario Analysis</t>
  </si>
  <si>
    <t>Net Issuance (Repurchase) - FOR MODELWARE PURPOSES</t>
  </si>
  <si>
    <t>Unrealized gains losses - FOR MODELWARE</t>
  </si>
  <si>
    <t>LT Debt to LT Capital Excl CBVA (%)</t>
  </si>
  <si>
    <t>Common stock</t>
  </si>
  <si>
    <t>Lapse Rate</t>
  </si>
  <si>
    <t>Total AUM &amp; AUA</t>
  </si>
  <si>
    <t>Recordkeeping/stable value AUA</t>
  </si>
  <si>
    <t>Restructuring/Other</t>
  </si>
  <si>
    <t>Underwriting/Avg Assets (%)</t>
  </si>
  <si>
    <t>Gross Investment Income</t>
  </si>
  <si>
    <t>Investment Expenses &amp; Int. Credited</t>
  </si>
  <si>
    <t>Other Investment Income</t>
  </si>
  <si>
    <t>Non-Operating Items Pretax</t>
  </si>
  <si>
    <t>Guaranteed Hedging Gains/Losses</t>
  </si>
  <si>
    <t>Noncontrolling Interest</t>
  </si>
  <si>
    <t>Non-Operating Items Tax Expense</t>
  </si>
  <si>
    <t>Total Non-Operating Items After Tax</t>
  </si>
  <si>
    <t>Total - Ongoing Operations</t>
  </si>
  <si>
    <t>Operating AT Earnings</t>
  </si>
  <si>
    <t>11. Book Value and Returns on Equity</t>
  </si>
  <si>
    <t>Reported Shareholders Equity</t>
  </si>
  <si>
    <t>Common Equity Ex-AOCI</t>
  </si>
  <si>
    <t>Pro-Forma Adjusted</t>
  </si>
  <si>
    <t>As Reported</t>
  </si>
  <si>
    <t>BVPS - As Reported</t>
  </si>
  <si>
    <t>Financial Debt</t>
  </si>
  <si>
    <t>Common Equity -ex AOCI</t>
  </si>
  <si>
    <t>Capital Allocations</t>
  </si>
  <si>
    <t>Ongoing Operations</t>
  </si>
  <si>
    <t>Non-Alloctaed</t>
  </si>
  <si>
    <t>Pretax Earnings - Ongoing Operations</t>
  </si>
  <si>
    <t>Management Adjustments</t>
  </si>
  <si>
    <t>Adjusted Pretax</t>
  </si>
  <si>
    <t>Avg Equity</t>
  </si>
  <si>
    <t>Avg Debt</t>
  </si>
  <si>
    <t>Assumed Debt Expense</t>
  </si>
  <si>
    <t>Mgt ROE Ongoing</t>
  </si>
  <si>
    <t>Operating Earnings (AT)</t>
  </si>
  <si>
    <t>Int Adj Ongoing Earnings</t>
  </si>
  <si>
    <t>Debt to Capital</t>
  </si>
  <si>
    <t>Debt to Capital Ex-CBVA</t>
  </si>
  <si>
    <t>12. Capital &amp; Other</t>
  </si>
  <si>
    <t>After Tax Income</t>
  </si>
  <si>
    <t>Average Equity</t>
  </si>
  <si>
    <t>Common Equity</t>
  </si>
  <si>
    <t>Equity Ex-CBVA</t>
  </si>
  <si>
    <t>MS Op ROE - Ex-CBVA</t>
  </si>
  <si>
    <t>MS Core ROE - Ex-CBVA</t>
  </si>
  <si>
    <t>VOYA.N</t>
  </si>
  <si>
    <t>VOYA.N,mscalc:targetPrice,,,,USD</t>
  </si>
  <si>
    <t>VOYA.N,mscalc:closePriceCurrencyCalc</t>
  </si>
  <si>
    <t>VOYA.N,mscalc:sedolCodeCalc</t>
  </si>
  <si>
    <t>$L$2</t>
  </si>
  <si>
    <t>VOYA</t>
  </si>
  <si>
    <t>PF Book Value per Share Excl CBVA</t>
  </si>
  <si>
    <t>PF Book Value per Share</t>
  </si>
  <si>
    <t>MS Op. ROE Ex-AOCI (%)</t>
  </si>
  <si>
    <t>Mgmt Op. ROE for Ongoing Ops Ex-AOCI (%)</t>
  </si>
  <si>
    <t>2012</t>
  </si>
  <si>
    <t>2011</t>
  </si>
  <si>
    <t>2010</t>
  </si>
  <si>
    <t>Ongoing Operations Book and ROE</t>
  </si>
  <si>
    <t>Ongoing AT Earnings</t>
  </si>
  <si>
    <t>Equity Ongoing Ops</t>
  </si>
  <si>
    <t>Debt</t>
  </si>
  <si>
    <t>CBVA Capital/Equity</t>
  </si>
  <si>
    <t>PF Common Equity Ex-AOCI</t>
  </si>
  <si>
    <t>PF BVPS Ex-AOCI &amp; CBVA</t>
  </si>
  <si>
    <t>PF BVPS Ongoing Ex-AOCI</t>
  </si>
  <si>
    <t>MS Op. ROE Ex-AOCI &amp; CBVA (%)</t>
  </si>
  <si>
    <t>MGMT METHOD</t>
  </si>
  <si>
    <t>MS METHOD</t>
  </si>
  <si>
    <t>MS Core ROE Ex-AOCI &amp; CBVA (%)</t>
  </si>
  <si>
    <t>MS BVPS Ex-AOCI &amp; CBVA</t>
  </si>
  <si>
    <t>Mgmt BVPS Ongoing Ex-AOCI</t>
  </si>
  <si>
    <t>Mgmt BVPS Ex-AOCI &amp; CBVA</t>
  </si>
  <si>
    <t>Company</t>
  </si>
  <si>
    <t>LNC</t>
  </si>
  <si>
    <t>PFG</t>
  </si>
  <si>
    <t>TMK</t>
  </si>
  <si>
    <t>UNM</t>
  </si>
  <si>
    <t>TOTAL AUM</t>
  </si>
  <si>
    <t>2018E</t>
  </si>
  <si>
    <t>~9.5%</t>
  </si>
  <si>
    <t>Core Pretax ROA</t>
  </si>
  <si>
    <t>EPS - For Consensus</t>
  </si>
  <si>
    <t>Net Income - For Modelware</t>
  </si>
  <si>
    <t>Abnormals per share</t>
  </si>
  <si>
    <t>PE (x)</t>
  </si>
  <si>
    <t>Value</t>
  </si>
  <si>
    <t>Allocated
Capital</t>
  </si>
  <si>
    <t>Mgmt Dbt
Allocation</t>
  </si>
  <si>
    <t>Book
Value</t>
  </si>
  <si>
    <t>PB (x)</t>
  </si>
  <si>
    <t>Life</t>
  </si>
  <si>
    <t>Total Ongoing</t>
  </si>
  <si>
    <t>Total ex-CBVA</t>
  </si>
  <si>
    <t>*Value based on average of 5% and 9% equity market return scenarios, discounted at 8%</t>
  </si>
  <si>
    <t>Per Share ex-DTA</t>
  </si>
  <si>
    <t>DTA</t>
  </si>
  <si>
    <t>25Y D</t>
  </si>
  <si>
    <t>Price</t>
  </si>
  <si>
    <t>Fwd PE</t>
  </si>
  <si>
    <t>BGCP</t>
  </si>
  <si>
    <t>Peer Median</t>
  </si>
  <si>
    <t>Median</t>
  </si>
  <si>
    <t>Tax</t>
  </si>
  <si>
    <t>CBVA only</t>
  </si>
  <si>
    <t>Op. Capital excl Debt</t>
  </si>
  <si>
    <t>assuming 1.3x book</t>
  </si>
  <si>
    <t>p/share</t>
  </si>
  <si>
    <t>Administration Only (AUA)</t>
  </si>
  <si>
    <t>BOP Balance - Products in Accumulation Phase</t>
  </si>
  <si>
    <t>Contracts in Payout Status</t>
  </si>
  <si>
    <t>EOP Balance - Products in Accumulation Phase</t>
  </si>
  <si>
    <t xml:space="preserve"> Retirement</t>
  </si>
  <si>
    <t xml:space="preserve"> Annuities</t>
  </si>
  <si>
    <t xml:space="preserve"> Investment Management</t>
  </si>
  <si>
    <t xml:space="preserve"> Individual Life</t>
  </si>
  <si>
    <t xml:space="preserve"> Employee Benefits</t>
  </si>
  <si>
    <t xml:space="preserve"> Corporate</t>
  </si>
  <si>
    <t xml:space="preserve"> Closed Block</t>
  </si>
  <si>
    <t>Op. Pre-tax Income</t>
  </si>
  <si>
    <t xml:space="preserve"> PT Total Ongoing Operations</t>
  </si>
  <si>
    <t>Op. After-tax Income</t>
  </si>
  <si>
    <t>Op. EPS</t>
  </si>
  <si>
    <t>VOYA Financial</t>
  </si>
  <si>
    <t>1Q14</t>
  </si>
  <si>
    <t>Other affiliated sourced net flows</t>
  </si>
  <si>
    <t>Variable annuity net flows</t>
  </si>
  <si>
    <t>Affiliated Sourced Net Flows</t>
  </si>
  <si>
    <t>Total Net Flows</t>
  </si>
  <si>
    <t>Investment Management Sourced Flows</t>
  </si>
  <si>
    <t>Net Flows ex-Sub-advisor and VA flows</t>
  </si>
  <si>
    <t>Treasury Stock</t>
  </si>
  <si>
    <t>2Q14</t>
  </si>
  <si>
    <t>3Q14</t>
  </si>
  <si>
    <t>4Q14</t>
  </si>
  <si>
    <t>BKWQ2N2</t>
  </si>
  <si>
    <t>Peer Average</t>
  </si>
  <si>
    <t>Net Income available Common SH</t>
  </si>
  <si>
    <t>Op. Margin</t>
  </si>
  <si>
    <t>Ind. Life</t>
  </si>
  <si>
    <t>Adjusted Op. ROC</t>
  </si>
  <si>
    <t>Group Stop-Loss - Loss Ratio</t>
  </si>
  <si>
    <t>77-78%</t>
  </si>
  <si>
    <t>2019E</t>
  </si>
  <si>
    <t>2013</t>
  </si>
  <si>
    <t>Repurchases</t>
  </si>
  <si>
    <t>WDR</t>
  </si>
  <si>
    <t>Debt-to-capital ratio</t>
  </si>
  <si>
    <t>RBC</t>
  </si>
  <si>
    <t>2014</t>
  </si>
  <si>
    <t>1Q15</t>
  </si>
  <si>
    <t>Bull Case</t>
  </si>
  <si>
    <t>Base Case</t>
  </si>
  <si>
    <t>Currency</t>
  </si>
  <si>
    <t>Current Stock Price</t>
  </si>
  <si>
    <t>Count</t>
  </si>
  <si>
    <t>Upside (%)</t>
  </si>
  <si>
    <t>DTA p/Share</t>
  </si>
  <si>
    <t>Price target</t>
  </si>
  <si>
    <t>$750mn</t>
  </si>
  <si>
    <t>Tax rate</t>
  </si>
  <si>
    <t>77-80%</t>
  </si>
  <si>
    <t>FCF to GAAP Op. Earnings</t>
  </si>
  <si>
    <t>2020E</t>
  </si>
  <si>
    <t>2Q15</t>
  </si>
  <si>
    <t>AUM SPIA &amp; Payout</t>
  </si>
  <si>
    <t>AUM Total</t>
  </si>
  <si>
    <t>&lt; 2014</t>
  </si>
  <si>
    <t>= 2014</t>
  </si>
  <si>
    <t>Strategic Investment Program</t>
  </si>
  <si>
    <t>3Q15</t>
  </si>
  <si>
    <t>13.5-14.5%</t>
  </si>
  <si>
    <t>11.5-12.5%</t>
  </si>
  <si>
    <t>9.5-10.5%</t>
  </si>
  <si>
    <t>33-35%</t>
  </si>
  <si>
    <t>7.5-8.5%</t>
  </si>
  <si>
    <t>23-25%</t>
  </si>
  <si>
    <t>Value/   Share</t>
  </si>
  <si>
    <t>4Q15</t>
  </si>
  <si>
    <t>NM</t>
  </si>
  <si>
    <t>2015</t>
  </si>
  <si>
    <t>1Q16</t>
  </si>
  <si>
    <t xml:space="preserve">Beginning Capital </t>
  </si>
  <si>
    <t>Ending Capital</t>
  </si>
  <si>
    <t xml:space="preserve">Average Capital </t>
  </si>
  <si>
    <t>Adjusted Operating ROC (%) (TTM)</t>
  </si>
  <si>
    <t>Stat Surplus (assuming 425% RBC)</t>
  </si>
  <si>
    <t>Holdco Working Cap Above Target</t>
  </si>
  <si>
    <t>Excess Capital  (slides)</t>
  </si>
  <si>
    <t xml:space="preserve">Total Excess Capital </t>
  </si>
  <si>
    <t>2Q16</t>
  </si>
  <si>
    <t>2021E</t>
  </si>
  <si>
    <t>3Q16</t>
  </si>
  <si>
    <t>Strategic spend</t>
  </si>
  <si>
    <t>$350mn</t>
  </si>
  <si>
    <t>Annual Savings</t>
  </si>
  <si>
    <t>$0-5mn</t>
  </si>
  <si>
    <t>$50-60mn</t>
  </si>
  <si>
    <t>&gt; $100mn</t>
  </si>
  <si>
    <t>4Q16</t>
  </si>
  <si>
    <t>Corp &amp; Other</t>
  </si>
  <si>
    <t>BEN</t>
  </si>
  <si>
    <t>1Q17</t>
  </si>
  <si>
    <t>2018 EPS</t>
  </si>
  <si>
    <t>2Q17</t>
  </si>
  <si>
    <t>1Q18E</t>
  </si>
  <si>
    <t>2Q18E</t>
  </si>
  <si>
    <t>3Q18E</t>
  </si>
  <si>
    <t>4Q18E</t>
  </si>
  <si>
    <t>2022E</t>
  </si>
  <si>
    <t>2018e
Earnings</t>
  </si>
  <si>
    <t>Y/E 2018 Shares</t>
  </si>
  <si>
    <t>3Q17</t>
  </si>
  <si>
    <t>7.2. Fixed Annuity</t>
  </si>
  <si>
    <t>Stranded Costs</t>
  </si>
  <si>
    <t>Cost Saves</t>
  </si>
  <si>
    <t>Consolidation Premium</t>
  </si>
  <si>
    <t>Current P/B</t>
  </si>
  <si>
    <t>New P/B</t>
  </si>
  <si>
    <t>4Q17</t>
  </si>
  <si>
    <t>Discontinued Operations</t>
  </si>
  <si>
    <t>VL</t>
  </si>
  <si>
    <t>Asset held for sale</t>
  </si>
  <si>
    <t>Liabilities held for sale</t>
  </si>
  <si>
    <t>61</t>
  </si>
  <si>
    <t>BV - 4Q17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</si>
  <si>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</si>
  <si>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</si>
  <si>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</si>
  <si>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</si>
  <si>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</si>
  <si>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</si>
  <si>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</si>
  <si>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</si>
  <si>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Nigel Dally, Tanmay Gupta, Bob Huang</t>
  </si>
  <si>
    <t>Date: 05 Apr 2018</t>
  </si>
  <si>
    <t>Ticker: VOYA.N</t>
  </si>
  <si>
    <t>Stock Rating: Overweight</t>
  </si>
  <si>
    <t>Industry: Insurance - Life/Annuity</t>
  </si>
  <si>
    <t>Industry View: In-Line</t>
  </si>
  <si>
    <t>Price as of 05 Apr 2018: 50.42</t>
  </si>
  <si>
    <t>Target Price: 59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</si>
  <si>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</si>
  <si>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</si>
  <si>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</si>
  <si>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</si>
  <si>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Voya Financial Inc.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</si>
  <si>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</si>
  <si>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</si>
  <si>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</si>
  <si>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</si>
  <si>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</si>
  <si>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</si>
  <si>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</si>
  <si>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</si>
  <si>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</si>
  <si>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</si>
  <si>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</si>
  <si>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</si>
  <si>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</si>
  <si>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</si>
  <si>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</si>
  <si>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</si>
  <si>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</si>
  <si>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</si>
  <si>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</si>
  <si>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</si>
  <si>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</si>
  <si>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</si>
  <si>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</si>
  <si>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</si>
  <si>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</si>
  <si>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</si>
  <si>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</si>
  <si>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</si>
  <si>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</si>
  <si>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</si>
  <si>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</si>
  <si>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</si>
  <si>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</si>
  <si>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</si>
  <si>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</si>
  <si>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</si>
  <si>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</si>
  <si>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</si>
  <si>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</si>
  <si>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</si>
  <si>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</si>
  <si>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</si>
  <si>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</si>
  <si>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</si>
  <si>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</si>
  <si>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</si>
  <si>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</si>
  <si>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</si>
  <si>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</si>
  <si>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</si>
  <si>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</si>
  <si>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</si>
  <si>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</si>
  <si>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</si>
  <si>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</si>
  <si>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</si>
  <si>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</si>
  <si>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</si>
  <si>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</si>
  <si>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</si>
  <si>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</si>
  <si>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</si>
  <si>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</si>
  <si>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</si>
  <si>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</si>
  <si>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</si>
  <si>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</si>
  <si>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</si>
  <si>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</si>
  <si>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</si>
  <si>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</si>
  <si>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</si>
  <si>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</si>
  <si>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</si>
  <si>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</si>
  <si>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</si>
  <si>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</si>
  <si>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</si>
  <si>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</si>
  <si>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</si>
  <si>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</si>
  <si>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</si>
  <si>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</si>
  <si>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</si>
  <si>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</si>
  <si>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</si>
  <si>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</si>
  <si>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</si>
  <si>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</si>
  <si>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</si>
  <si>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</si>
  <si>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</si>
  <si>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</si>
  <si>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</si>
  <si>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</si>
  <si>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</si>
  <si>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</si>
  <si>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</si>
  <si>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</si>
  <si>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</si>
  <si>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</si>
  <si>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</si>
  <si>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</si>
  <si>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</si>
  <si>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</si>
  <si>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</si>
  <si>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</si>
  <si>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</si>
  <si>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</si>
  <si>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</si>
  <si>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</si>
  <si>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</si>
  <si>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</si>
  <si>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</si>
  <si>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</si>
  <si>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</si>
  <si>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</si>
  <si>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</si>
  <si>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</si>
  <si>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</si>
  <si>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</si>
  <si>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</si>
  <si>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</si>
  <si>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</si>
  <si>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</si>
  <si>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</si>
  <si>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</si>
  <si>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</si>
  <si>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</si>
  <si>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</si>
  <si>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</si>
  <si>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</si>
  <si>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</si>
  <si>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</si>
  <si>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</si>
  <si>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</si>
  <si>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</si>
  <si>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</si>
  <si>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</si>
  <si>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</si>
  <si>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</si>
  <si>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</si>
  <si>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</si>
  <si>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</si>
  <si>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</si>
  <si>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</si>
  <si>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</si>
  <si>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</si>
  <si>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</si>
  <si>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</si>
  <si>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</si>
  <si>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</si>
  <si>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</si>
  <si>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</si>
  <si>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</si>
  <si>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</si>
  <si>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</si>
  <si>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</si>
  <si>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</si>
  <si>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</si>
  <si>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</si>
  <si>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</si>
  <si>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</si>
  <si>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</si>
  <si>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</si>
  <si>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</si>
  <si>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</si>
  <si>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</si>
  <si>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</si>
  <si>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</si>
  <si>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</si>
  <si>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</si>
  <si>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</si>
  <si>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</si>
  <si>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</si>
  <si>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</si>
  <si>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Voya Financial Inc.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</si>
  <si>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</si>
  <si>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</si>
  <si>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</si>
  <si>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</si>
  <si>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</si>
  <si>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</si>
  <si>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</si>
  <si>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</si>
  <si>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</si>
  <si>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</si>
  <si>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</si>
  <si>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</si>
  <si>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</si>
  <si>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</si>
  <si>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</si>
  <si>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</si>
  <si>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</si>
  <si>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</si>
  <si>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</si>
  <si>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</si>
  <si>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</si>
  <si>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</si>
  <si>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</si>
  <si>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</si>
  <si>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</si>
  <si>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</si>
  <si>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</si>
  <si>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</si>
  <si>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</si>
  <si>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</si>
  <si>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</si>
  <si>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</si>
  <si>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</si>
  <si>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</si>
  <si>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</si>
  <si>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</si>
  <si>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</si>
  <si>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</si>
  <si>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</si>
  <si>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</si>
  <si>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</si>
  <si>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</si>
  <si>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</si>
  <si>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</si>
  <si>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</si>
  <si>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</si>
  <si>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</si>
  <si>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</si>
  <si>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</si>
  <si>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</si>
  <si>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</si>
  <si>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</si>
  <si>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</si>
  <si>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</si>
  <si>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</si>
  <si>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</si>
  <si>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</si>
  <si>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</si>
  <si>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</si>
  <si>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</si>
  <si>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</si>
  <si>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</si>
  <si>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</si>
  <si>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</si>
  <si>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</si>
  <si>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</si>
  <si>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</si>
  <si>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</si>
  <si>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Voya Financial Inc.</t>
  </si>
  <si>
    <t>Within the last 12 months, Morgan Stanley has provided or is providing investment banking services to,</t>
  </si>
  <si>
    <t>or has an investment banking client relationship with, the following company: Voya Financial Inc.</t>
  </si>
  <si>
    <t>Within the last 12 months, Morgan Stanley has received compensation for products and services other than</t>
  </si>
  <si>
    <t>investment banking services from Voya Financial Inc.</t>
  </si>
  <si>
    <t>In the next 3 months, Morgan Stanley expects to receive or intends to seek compensation for investment</t>
  </si>
  <si>
    <t>banking services from Voya Financial Inc.</t>
  </si>
  <si>
    <t>Within the last 12 months, Morgan Stanley has received compensation for investment banking services from</t>
  </si>
  <si>
    <t>Voya Financial Inc.</t>
  </si>
  <si>
    <t>Within the last 12 months, Morgan Stanley managed or co-managed a public offering (or 144A offering) of</t>
  </si>
  <si>
    <t>securities of Voya Financial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</si>
  <si>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</si>
  <si>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</si>
  <si>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</si>
  <si>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</si>
  <si>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</si>
  <si>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Nigel Dally.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</si>
  <si>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</si>
  <si>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</si>
  <si>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</si>
  <si>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</si>
  <si>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</si>
  <si>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</si>
  <si>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</si>
  <si>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</si>
  <si>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</si>
  <si>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</si>
  <si>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</si>
  <si>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</si>
  <si>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</si>
  <si>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</si>
  <si>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</si>
  <si>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</si>
  <si>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</si>
  <si>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</si>
  <si>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</si>
  <si>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</si>
  <si>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</si>
  <si>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</si>
  <si>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</si>
  <si>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</si>
  <si>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</si>
  <si>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</si>
  <si>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</si>
  <si>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</si>
  <si>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</si>
  <si>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</si>
  <si>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</si>
  <si>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</si>
  <si>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</si>
  <si>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</si>
  <si>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</si>
  <si>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</si>
  <si>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</si>
  <si>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</si>
  <si>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</si>
  <si>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</si>
  <si>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</si>
  <si>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</si>
  <si>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</si>
  <si>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</si>
  <si>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</si>
  <si>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</si>
  <si>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</si>
  <si>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</si>
  <si>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</si>
  <si>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</si>
  <si>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</si>
  <si>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</si>
  <si>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</si>
  <si>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</si>
  <si>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</si>
  <si>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</si>
  <si>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</si>
  <si>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</si>
  <si>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</si>
  <si>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</si>
  <si>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</si>
  <si>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</si>
  <si>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</si>
  <si>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</si>
  <si>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</si>
  <si>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</si>
  <si>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</si>
  <si>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</si>
  <si>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</si>
  <si>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Quarterly Update</t>
  </si>
  <si>
    <t>NorthAmerica</t>
  </si>
  <si>
    <t>huangb</t>
  </si>
  <si>
    <t>Voya Financial Inc</t>
  </si>
  <si>
    <t>MSA10131, MSA86LPP, MSA35NYJ</t>
  </si>
  <si>
    <t>L:\INSURANC\life&amp;annuities\models\Models to Submit\pre1Q18\CopyOf-VOYA.xlsm</t>
  </si>
  <si>
    <t>[BRO MSA]</t>
  </si>
  <si>
    <t>[PRODUCT MODEL]</t>
  </si>
  <si>
    <t>[EMAIL_ALERT YES]</t>
  </si>
  <si>
    <t>[DISCIPLINE Company]</t>
  </si>
  <si>
    <t>[SUPPRESSED NO]</t>
  </si>
  <si>
    <t>[DOCDAT 2018-04-05]</t>
  </si>
  <si>
    <t>[DOCTIME 09:48]</t>
  </si>
  <si>
    <t>[PSYM VOYA.N(S&amp;P) (None)]</t>
  </si>
  <si>
    <t>[COU 1]</t>
  </si>
  <si>
    <t>[ANA MSA86LPP MSA35NYJ]</t>
  </si>
  <si>
    <t>[HL VOYA.N Model]</t>
  </si>
  <si>
    <t>[IND INSURN]</t>
  </si>
  <si>
    <t>[PANA MSA10131]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</si>
</sst>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_);\(#,##0.0\)"/>
    <numFmt numFmtId="165" formatCode="#,##0.0"/>
    <numFmt numFmtId="166" formatCode="0.0"/>
    <numFmt numFmtId="167" formatCode="_(* #,##0.0_);_(* \(#,##0.0\);_(* &quot;-&quot;??_);_(@_)"/>
    <numFmt numFmtId="169" formatCode="#,##0_);\(#,##0\);0_);@_)"/>
    <numFmt numFmtId="170" formatCode="#,##0.0_);\(#,##0.0\);0.0_);@_)"/>
    <numFmt numFmtId="171" formatCode="#,##0.00_);\(#,##0.00\);0.00_);@_)"/>
    <numFmt numFmtId="173" formatCode="_(* #,##0_);_(* \(#,##0\);_(* &quot;-&quot;??_);_(@_)"/>
    <numFmt numFmtId="174" formatCode="0.0%"/>
    <numFmt numFmtId="175" formatCode="&quot;$&quot;#,##0.0;\(&quot;$&quot;#,##0.0\)"/>
    <numFmt numFmtId="176" formatCode="&quot;$&quot;#,##0.00;\(&quot;$&quot;#,##0.00\)"/>
    <numFmt numFmtId="177" formatCode="#,##0.00;\(#,##0.00\)"/>
    <numFmt numFmtId="178" formatCode="#,##0.0;\(#,##0.0\)"/>
    <numFmt numFmtId="179" formatCode="#,##0;\(#,##0\)"/>
    <numFmt numFmtId="180" formatCode="&quot;$&quot;#,##0;\(&quot;$&quot;#,##0\)"/>
    <numFmt numFmtId="181" formatCode="m/yy"/>
    <numFmt numFmtId="182" formatCode="_-* #,##0_-;\-* #,##0_-;_-* &quot;-&quot;_-;_-@_-"/>
    <numFmt numFmtId="183" formatCode="_-* #,##0.00_-;\-* #,##0.00_-;_-* &quot;-&quot;??_-;_-@_-"/>
    <numFmt numFmtId="184" formatCode="0.00%;\(0.00\)%"/>
    <numFmt numFmtId="185" formatCode="#,##0.0000;[Red]\(#,##0.0000\)"/>
    <numFmt numFmtId="186" formatCode="General_)"/>
    <numFmt numFmtId="187" formatCode="&quot;$&quot;#,##0.0;[Red]\(&quot;$&quot;#,##0.0\)"/>
    <numFmt numFmtId="188" formatCode="#,##0.0;[Red]\(#,##0.0\)"/>
    <numFmt numFmtId="189" formatCode="#,##0;[Red]\(#,##0\)"/>
    <numFmt numFmtId="193" formatCode="#,##0.000000"/>
    <numFmt numFmtId="194" formatCode="#,##0_)"/>
    <numFmt numFmtId="195" formatCode="#,##0.000"/>
    <numFmt numFmtId="196" formatCode="_(* #,##0.000_);_(* \(#,##0.000\);_(* &quot;-&quot;??_);_(@_)"/>
    <numFmt numFmtId="203" formatCode="0_);\(0\)"/>
    <numFmt numFmtId="209" formatCode="mm/dd/yy\ hh:mm"/>
  </numFmts>
  <fonts count="112" x14ac:knownFonts="1">
    <font>
      <sz val="10"/>
      <name val="Calibri"/>
    </font>
    <font>
      <sz val="10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2"/>
      <name val="Helv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name val="Calibri"/>
      <family val="2"/>
    </font>
    <font>
      <b/>
      <sz val="10"/>
      <name val="Calibri"/>
      <family val="2"/>
    </font>
    <font>
      <b/>
      <sz val="10"/>
      <color indexed="9"/>
      <name val="Calibri"/>
      <family val="2"/>
    </font>
    <font>
      <sz val="10"/>
      <name val="Calibri"/>
      <family val="2"/>
    </font>
    <font>
      <sz val="10"/>
      <color indexed="12"/>
      <name val="Calibri"/>
      <family val="2"/>
    </font>
    <font>
      <b/>
      <i/>
      <sz val="10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Calibri"/>
      <family val="2"/>
    </font>
    <font>
      <i/>
      <sz val="10"/>
      <color indexed="9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12"/>
      <name val="Calibri"/>
      <family val="2"/>
    </font>
    <font>
      <sz val="10"/>
      <color indexed="9"/>
      <name val="Calibri"/>
      <family val="2"/>
    </font>
    <font>
      <b/>
      <sz val="10"/>
      <color indexed="12"/>
      <name val="Calibri"/>
      <family val="2"/>
    </font>
    <font>
      <i/>
      <sz val="10"/>
      <color indexed="12"/>
      <name val="Calibri"/>
      <family val="2"/>
    </font>
    <font>
      <i/>
      <sz val="10"/>
      <color indexed="10"/>
      <name val="Calibri"/>
      <family val="2"/>
    </font>
    <font>
      <sz val="10"/>
      <color indexed="16"/>
      <name val="Calibri"/>
      <family val="2"/>
    </font>
    <font>
      <b/>
      <sz val="18"/>
      <color indexed="12"/>
      <name val="Calibri"/>
      <family val="2"/>
    </font>
    <font>
      <sz val="10"/>
      <color indexed="10"/>
      <name val="Calibri"/>
      <family val="2"/>
    </font>
    <font>
      <b/>
      <u/>
      <sz val="10"/>
      <name val="Calibri"/>
      <family val="2"/>
    </font>
    <font>
      <sz val="8"/>
      <name val="Times New Roman"/>
      <family val="1"/>
    </font>
    <font>
      <sz val="10"/>
      <color indexed="8"/>
      <name val="MS Sans Serif"/>
      <family val="2"/>
    </font>
    <font>
      <u/>
      <sz val="8.4"/>
      <color indexed="12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8"/>
      <color indexed="12"/>
      <name val="Tms Rmn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name val="Times New Roman"/>
      <family val="1"/>
    </font>
    <font>
      <sz val="8"/>
      <name val="Tms Rmn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color indexed="8"/>
      <name val="Times New Roman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8"/>
      <name val="Times New Roman"/>
      <family val="1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0"/>
      <name val="Times New Roman"/>
      <family val="1"/>
    </font>
    <font>
      <sz val="10"/>
      <color indexed="18"/>
      <name val="Times New Roman"/>
      <family val="1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u/>
      <sz val="8"/>
      <name val="Tms Rmn"/>
    </font>
    <font>
      <sz val="10"/>
      <color indexed="62"/>
      <name val="Calibri"/>
      <family val="2"/>
    </font>
    <font>
      <b/>
      <sz val="10"/>
      <color indexed="2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i/>
      <sz val="8"/>
      <name val="Calibri"/>
      <family val="2"/>
      <scheme val="minor"/>
    </font>
    <font>
      <i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indexed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i/>
      <sz val="10"/>
      <color indexed="9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b/>
      <sz val="10"/>
      <color indexed="8"/>
      <name val="Calibri"/>
      <family val="2"/>
      <scheme val="minor"/>
    </font>
    <font>
      <i/>
      <sz val="10"/>
      <color indexed="8"/>
      <name val="Calibri"/>
      <family val="2"/>
      <scheme val="minor"/>
    </font>
    <font>
      <b/>
      <i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4"/>
      <name val="Calibri"/>
      <family val="2"/>
    </font>
    <font>
      <sz val="10"/>
      <color rgb="FF0070C0"/>
      <name val="Calibri"/>
      <family val="2"/>
    </font>
    <font>
      <i/>
      <sz val="10"/>
      <color theme="0" tint="-0.499984740745262"/>
      <name val="Calibri"/>
      <family val="2"/>
    </font>
    <font>
      <sz val="10"/>
      <color rgb="FF006699"/>
      <name val="Calibri"/>
      <family val="2"/>
    </font>
    <font>
      <sz val="10"/>
      <color theme="4" tint="-0.249977111117893"/>
      <name val="Calibri"/>
      <family val="2"/>
    </font>
    <font>
      <b/>
      <sz val="9"/>
      <color indexed="81"/>
      <name val="Calibri"/>
      <family val="2"/>
      <scheme val="minor"/>
    </font>
    <font>
      <sz val="9"/>
      <color indexed="81"/>
      <name val="Calibri"/>
      <family val="2"/>
      <scheme val="minor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i/>
      <sz val="10"/>
      <color theme="0"/>
      <name val="Calibri"/>
      <family val="2"/>
    </font>
    <font>
      <sz val="10"/>
      <color theme="0"/>
      <name val="Calibri"/>
      <family val="2"/>
    </font>
    <font>
      <b/>
      <i/>
      <sz val="10"/>
      <color theme="0"/>
      <name val="Calibri"/>
      <family val="2"/>
    </font>
    <font>
      <b/>
      <sz val="10"/>
      <color rgb="FFC00000"/>
      <name val="Calibri"/>
      <family val="2"/>
    </font>
    <font>
      <i/>
      <sz val="10"/>
      <color rgb="FFC00000"/>
      <name val="Calibri"/>
      <family val="2"/>
    </font>
    <font>
      <sz val="10"/>
      <color rgb="FFC00000"/>
      <name val="Calibri"/>
      <family val="2"/>
    </font>
    <font>
      <b/>
      <i/>
      <sz val="10"/>
      <color rgb="FF7F7F7F"/>
      <name val="Calibri"/>
      <family val="2"/>
    </font>
    <font>
      <i/>
      <sz val="10"/>
      <color rgb="FF7F7F7F"/>
      <name val="Calibri"/>
      <family val="2"/>
    </font>
    <font>
      <sz val="10"/>
      <color rgb="FF7F7F7F"/>
      <name val="Calibri"/>
      <family val="2"/>
    </font>
    <font>
      <sz val="10"/>
      <color rgb="FFFF0000"/>
      <name val="Calibri"/>
      <family val="2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0"/>
      </patternFill>
    </fill>
    <fill>
      <patternFill patternType="solid">
        <fgColor indexed="54"/>
      </patternFill>
    </fill>
    <fill>
      <patternFill patternType="solid">
        <fgColor indexed="52"/>
      </patternFill>
    </fill>
    <fill>
      <patternFill patternType="solid">
        <fgColor indexed="14"/>
      </patternFill>
    </fill>
    <fill>
      <patternFill patternType="solid">
        <fgColor indexed="55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indexed="64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56">
    <xf numFmtId="0" fontId="0" fillId="0" borderId="0"/>
    <xf numFmtId="180" fontId="32" fillId="0" borderId="0">
      <alignment horizontal="right"/>
    </xf>
    <xf numFmtId="175" fontId="32" fillId="0" borderId="0">
      <alignment horizontal="right"/>
    </xf>
    <xf numFmtId="176" fontId="32" fillId="0" borderId="0">
      <alignment horizontal="right"/>
    </xf>
    <xf numFmtId="0" fontId="2" fillId="0" borderId="0"/>
    <xf numFmtId="0" fontId="19" fillId="0" borderId="0"/>
    <xf numFmtId="0" fontId="33" fillId="0" borderId="0" applyNumberFormat="0" applyFont="0" applyFill="0" applyBorder="0" applyAlignment="0" applyProtection="0"/>
    <xf numFmtId="0" fontId="2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83" fontId="19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19" fillId="0" borderId="0"/>
    <xf numFmtId="44" fontId="61" fillId="0" borderId="0" applyFont="0" applyFill="0" applyBorder="0" applyAlignment="0" applyProtection="0"/>
    <xf numFmtId="42" fontId="61" fillId="0" borderId="0" applyFont="0" applyFill="0" applyBorder="0" applyAlignment="0" applyProtection="0"/>
    <xf numFmtId="0" fontId="32" fillId="0" borderId="0">
      <alignment horizontal="right"/>
    </xf>
    <xf numFmtId="0" fontId="2" fillId="0" borderId="0"/>
    <xf numFmtId="0" fontId="61" fillId="0" borderId="0"/>
    <xf numFmtId="0" fontId="61" fillId="0" borderId="0"/>
    <xf numFmtId="0" fontId="3" fillId="0" borderId="0"/>
    <xf numFmtId="0" fontId="35" fillId="0" borderId="0"/>
    <xf numFmtId="0" fontId="3" fillId="0" borderId="0"/>
    <xf numFmtId="0" fontId="35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2" borderId="0" applyNumberFormat="0" applyBorder="0" applyAlignment="0" applyProtection="0"/>
    <xf numFmtId="0" fontId="36" fillId="5" borderId="0" applyNumberFormat="0" applyBorder="0" applyAlignment="0" applyProtection="0"/>
    <xf numFmtId="0" fontId="36" fillId="3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3" borderId="0" applyNumberFormat="0" applyBorder="0" applyAlignment="0" applyProtection="0"/>
    <xf numFmtId="0" fontId="37" fillId="11" borderId="0" applyNumberFormat="0" applyBorder="0" applyAlignment="0" applyProtection="0"/>
    <xf numFmtId="0" fontId="37" fillId="7" borderId="0" applyNumberFormat="0" applyBorder="0" applyAlignment="0" applyProtection="0"/>
    <xf numFmtId="0" fontId="37" fillId="8" borderId="0" applyNumberFormat="0" applyBorder="0" applyAlignment="0" applyProtection="0"/>
    <xf numFmtId="0" fontId="37" fillId="9" borderId="0" applyNumberFormat="0" applyBorder="0" applyAlignment="0" applyProtection="0"/>
    <xf numFmtId="0" fontId="37" fillId="11" borderId="0" applyNumberFormat="0" applyBorder="0" applyAlignment="0" applyProtection="0"/>
    <xf numFmtId="0" fontId="37" fillId="3" borderId="0" applyNumberFormat="0" applyBorder="0" applyAlignment="0" applyProtection="0"/>
    <xf numFmtId="0" fontId="37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1" borderId="0" applyNumberFormat="0" applyBorder="0" applyAlignment="0" applyProtection="0"/>
    <xf numFmtId="0" fontId="37" fillId="15" borderId="0" applyNumberFormat="0" applyBorder="0" applyAlignment="0" applyProtection="0"/>
    <xf numFmtId="0" fontId="38" fillId="16" borderId="0" applyNumberFormat="0" applyBorder="0" applyAlignment="0" applyProtection="0"/>
    <xf numFmtId="0" fontId="39" fillId="0" borderId="0" applyNumberFormat="0" applyFill="0" applyBorder="0" applyAlignment="0" applyProtection="0"/>
    <xf numFmtId="0" fontId="4" fillId="0" borderId="0"/>
    <xf numFmtId="0" fontId="40" fillId="0" borderId="0"/>
    <xf numFmtId="0" fontId="41" fillId="2" borderId="1" applyNumberFormat="0" applyAlignment="0" applyProtection="0"/>
    <xf numFmtId="1" fontId="62" fillId="0" borderId="0"/>
    <xf numFmtId="0" fontId="42" fillId="17" borderId="2" applyNumberFormat="0" applyAlignment="0" applyProtection="0"/>
    <xf numFmtId="43" fontId="1" fillId="0" borderId="0" applyFont="0" applyFill="0" applyBorder="0" applyAlignment="0" applyProtection="0"/>
    <xf numFmtId="184" fontId="32" fillId="0" borderId="0"/>
    <xf numFmtId="184" fontId="32" fillId="0" borderId="0"/>
    <xf numFmtId="184" fontId="32" fillId="0" borderId="0"/>
    <xf numFmtId="184" fontId="32" fillId="0" borderId="0"/>
    <xf numFmtId="184" fontId="32" fillId="0" borderId="0"/>
    <xf numFmtId="184" fontId="32" fillId="0" borderId="0"/>
    <xf numFmtId="184" fontId="32" fillId="0" borderId="0"/>
    <xf numFmtId="184" fontId="32" fillId="0" borderId="0"/>
    <xf numFmtId="186" fontId="43" fillId="0" borderId="0" applyFill="0" applyBorder="0">
      <alignment horizontal="left"/>
    </xf>
    <xf numFmtId="14" fontId="32" fillId="0" borderId="0">
      <alignment horizontal="right"/>
    </xf>
    <xf numFmtId="181" fontId="32" fillId="0" borderId="0">
      <alignment horizontal="right"/>
    </xf>
    <xf numFmtId="179" fontId="32" fillId="0" borderId="0">
      <alignment horizontal="right"/>
    </xf>
    <xf numFmtId="178" fontId="32" fillId="0" borderId="0">
      <alignment horizontal="right"/>
    </xf>
    <xf numFmtId="177" fontId="44" fillId="0" borderId="0">
      <alignment horizontal="right"/>
    </xf>
    <xf numFmtId="187" fontId="44" fillId="0" borderId="0"/>
    <xf numFmtId="0" fontId="45" fillId="0" borderId="0" applyNumberFormat="0" applyFill="0" applyBorder="0" applyAlignment="0" applyProtection="0"/>
    <xf numFmtId="0" fontId="63" fillId="0" borderId="0"/>
    <xf numFmtId="0" fontId="64" fillId="18" borderId="0"/>
    <xf numFmtId="188" fontId="44" fillId="0" borderId="0"/>
    <xf numFmtId="0" fontId="46" fillId="19" borderId="0" applyNumberFormat="0" applyBorder="0" applyAlignment="0" applyProtection="0"/>
    <xf numFmtId="38" fontId="21" fillId="20" borderId="0" applyNumberFormat="0" applyBorder="0" applyAlignment="0" applyProtection="0"/>
    <xf numFmtId="0" fontId="22" fillId="0" borderId="3" applyNumberFormat="0" applyAlignment="0" applyProtection="0">
      <alignment horizontal="left" vertical="center"/>
    </xf>
    <xf numFmtId="0" fontId="22" fillId="0" borderId="4">
      <alignment horizontal="left" vertical="center"/>
    </xf>
    <xf numFmtId="0" fontId="47" fillId="0" borderId="5" applyNumberFormat="0" applyFill="0" applyAlignment="0" applyProtection="0"/>
    <xf numFmtId="0" fontId="48" fillId="0" borderId="6" applyNumberFormat="0" applyFill="0" applyAlignment="0" applyProtection="0"/>
    <xf numFmtId="0" fontId="49" fillId="0" borderId="7" applyNumberFormat="0" applyFill="0" applyAlignment="0" applyProtection="0"/>
    <xf numFmtId="0" fontId="49" fillId="0" borderId="0" applyNumberFormat="0" applyFill="0" applyBorder="0" applyAlignment="0" applyProtection="0"/>
    <xf numFmtId="0" fontId="65" fillId="0" borderId="0">
      <alignment wrapText="1"/>
    </xf>
    <xf numFmtId="0" fontId="50" fillId="3" borderId="1" applyNumberFormat="0" applyAlignment="0" applyProtection="0"/>
    <xf numFmtId="10" fontId="21" fillId="21" borderId="8" applyNumberFormat="0" applyBorder="0" applyAlignment="0" applyProtection="0"/>
    <xf numFmtId="189" fontId="44" fillId="0" borderId="0"/>
    <xf numFmtId="0" fontId="51" fillId="0" borderId="9" applyNumberFormat="0" applyFill="0" applyAlignment="0" applyProtection="0"/>
    <xf numFmtId="0" fontId="64" fillId="0" borderId="0"/>
    <xf numFmtId="0" fontId="66" fillId="0" borderId="0"/>
    <xf numFmtId="0" fontId="67" fillId="0" borderId="0"/>
    <xf numFmtId="0" fontId="52" fillId="8" borderId="0" applyNumberFormat="0" applyBorder="0" applyAlignment="0" applyProtection="0"/>
    <xf numFmtId="185" fontId="32" fillId="0" borderId="0"/>
    <xf numFmtId="38" fontId="2" fillId="0" borderId="0" applyFont="0" applyFill="0" applyBorder="0" applyAlignment="0" applyProtection="0"/>
    <xf numFmtId="0" fontId="1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" borderId="10" applyNumberFormat="0" applyFont="0" applyAlignment="0" applyProtection="0"/>
    <xf numFmtId="43" fontId="61" fillId="0" borderId="0" applyFont="0" applyFill="0" applyBorder="0" applyAlignment="0" applyProtection="0"/>
    <xf numFmtId="41" fontId="61" fillId="0" borderId="0" applyFont="0" applyFill="0" applyBorder="0" applyAlignment="0" applyProtection="0"/>
    <xf numFmtId="0" fontId="44" fillId="0" borderId="0"/>
    <xf numFmtId="0" fontId="53" fillId="2" borderId="11" applyNumberFormat="0" applyAlignment="0" applyProtection="0"/>
    <xf numFmtId="0" fontId="6" fillId="0" borderId="0">
      <alignment vertical="center"/>
    </xf>
    <xf numFmtId="0" fontId="67" fillId="0" borderId="0"/>
    <xf numFmtId="9" fontId="1" fillId="0" borderId="0" applyFont="0" applyFill="0" applyBorder="0" applyAlignment="0" applyProtection="0"/>
    <xf numFmtId="10" fontId="2" fillId="0" borderId="0" applyFont="0" applyFill="0" applyBorder="0" applyAlignment="0" applyProtection="0"/>
    <xf numFmtId="174" fontId="32" fillId="0" borderId="0">
      <alignment horizontal="right"/>
    </xf>
    <xf numFmtId="10" fontId="32" fillId="0" borderId="0">
      <alignment horizontal="right"/>
    </xf>
    <xf numFmtId="9" fontId="32" fillId="0" borderId="0">
      <alignment horizontal="right"/>
    </xf>
    <xf numFmtId="0" fontId="19" fillId="22" borderId="0" applyNumberFormat="0" applyFont="0" applyBorder="0" applyAlignment="0" applyProtection="0"/>
    <xf numFmtId="0" fontId="7" fillId="0" borderId="0"/>
    <xf numFmtId="0" fontId="54" fillId="0" borderId="0"/>
    <xf numFmtId="0" fontId="7" fillId="0" borderId="12">
      <alignment horizontal="centerContinuous"/>
    </xf>
    <xf numFmtId="0" fontId="54" fillId="0" borderId="12">
      <alignment horizontal="centerContinuous"/>
    </xf>
    <xf numFmtId="0" fontId="8" fillId="0" borderId="12"/>
    <xf numFmtId="0" fontId="19" fillId="0" borderId="0" applyNumberFormat="0" applyFill="0" applyBorder="0" applyAlignment="0" applyProtection="0"/>
    <xf numFmtId="0" fontId="2" fillId="0" borderId="0">
      <alignment vertical="top"/>
    </xf>
    <xf numFmtId="0" fontId="20" fillId="23" borderId="8" applyNumberFormat="0" applyProtection="0">
      <alignment horizontal="center" wrapText="1"/>
    </xf>
    <xf numFmtId="0" fontId="2" fillId="0" borderId="0">
      <alignment vertical="top"/>
    </xf>
    <xf numFmtId="0" fontId="2" fillId="0" borderId="0"/>
    <xf numFmtId="0" fontId="2" fillId="0" borderId="0"/>
    <xf numFmtId="0" fontId="55" fillId="0" borderId="0" applyNumberFormat="0" applyFill="0" applyBorder="0" applyAlignment="0" applyProtection="0"/>
    <xf numFmtId="0" fontId="56" fillId="0" borderId="13" applyNumberFormat="0" applyFill="0" applyAlignment="0" applyProtection="0"/>
    <xf numFmtId="0" fontId="68" fillId="0" borderId="0">
      <alignment horizontal="left"/>
    </xf>
    <xf numFmtId="178" fontId="57" fillId="0" borderId="0">
      <alignment horizontal="right"/>
    </xf>
    <xf numFmtId="177" fontId="57" fillId="0" borderId="0">
      <alignment horizontal="right"/>
    </xf>
    <xf numFmtId="1" fontId="57" fillId="0" borderId="0">
      <alignment horizontal="left"/>
    </xf>
    <xf numFmtId="179" fontId="57" fillId="0" borderId="0">
      <alignment horizontal="right"/>
    </xf>
    <xf numFmtId="164" fontId="68" fillId="0" borderId="0">
      <alignment horizontal="left"/>
    </xf>
    <xf numFmtId="0" fontId="58" fillId="0" borderId="0" applyNumberFormat="0" applyFill="0" applyBorder="0" applyAlignment="0" applyProtection="0"/>
    <xf numFmtId="0" fontId="2" fillId="0" borderId="0"/>
    <xf numFmtId="0" fontId="2" fillId="22" borderId="0" applyNumberFormat="0" applyFont="0" applyBorder="0" applyAlignment="0" applyProtection="0"/>
    <xf numFmtId="44" fontId="2" fillId="0" borderId="0" applyFont="0" applyFill="0" applyBorder="0" applyAlignment="0" applyProtection="0"/>
    <xf numFmtId="0" fontId="1" fillId="0" borderId="0"/>
    <xf numFmtId="0" fontId="2" fillId="0" borderId="0"/>
    <xf numFmtId="0" fontId="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4" fillId="0" borderId="0"/>
    <xf numFmtId="38" fontId="20" fillId="20" borderId="0" applyNumberFormat="0" applyBorder="0" applyAlignment="0" applyProtection="0"/>
    <xf numFmtId="10" fontId="20" fillId="21" borderId="8" applyNumberFormat="0" applyBorder="0" applyAlignment="0" applyProtection="0"/>
    <xf numFmtId="0" fontId="1" fillId="0" borderId="0"/>
    <xf numFmtId="0" fontId="7" fillId="0" borderId="0"/>
    <xf numFmtId="0" fontId="7" fillId="0" borderId="12">
      <alignment horizontal="centerContinuous"/>
    </xf>
    <xf numFmtId="0" fontId="2" fillId="0" borderId="0" applyNumberFormat="0" applyFill="0" applyBorder="0" applyAlignment="0" applyProtection="0"/>
    <xf numFmtId="0" fontId="107" fillId="0" borderId="0"/>
  </cellStyleXfs>
  <cellXfs count="681">
    <xf numFmtId="0" fontId="0" fillId="0" borderId="0" xfId="0"/>
    <xf numFmtId="0" fontId="23" fillId="0" borderId="0" xfId="0" applyFont="1" applyFill="1"/>
    <xf numFmtId="49" fontId="0" fillId="0" borderId="0" xfId="0" applyNumberFormat="1"/>
    <xf numFmtId="0" fontId="10" fillId="0" borderId="0" xfId="0" applyFont="1"/>
    <xf numFmtId="0" fontId="12" fillId="0" borderId="0" xfId="0" applyFont="1"/>
    <xf numFmtId="3" fontId="12" fillId="0" borderId="0" xfId="0" applyNumberFormat="1" applyFont="1"/>
    <xf numFmtId="165" fontId="12" fillId="0" borderId="0" xfId="0" applyNumberFormat="1" applyFont="1"/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/>
    <xf numFmtId="3" fontId="12" fillId="0" borderId="0" xfId="0" applyNumberFormat="1" applyFont="1" applyFill="1"/>
    <xf numFmtId="0" fontId="14" fillId="0" borderId="0" xfId="0" applyFont="1"/>
    <xf numFmtId="0" fontId="12" fillId="0" borderId="0" xfId="0" applyFont="1" applyAlignment="1">
      <alignment horizontal="left" indent="1"/>
    </xf>
    <xf numFmtId="0" fontId="12" fillId="0" borderId="0" xfId="0" applyFont="1" applyFill="1"/>
    <xf numFmtId="0" fontId="12" fillId="0" borderId="0" xfId="101" applyFont="1" applyFill="1" applyBorder="1" applyAlignment="1">
      <alignment horizontal="left"/>
    </xf>
    <xf numFmtId="0" fontId="10" fillId="0" borderId="0" xfId="101" applyFont="1" applyFill="1" applyBorder="1" applyAlignment="1">
      <alignment horizontal="left"/>
    </xf>
    <xf numFmtId="41" fontId="12" fillId="0" borderId="0" xfId="99" applyNumberFormat="1" applyFont="1"/>
    <xf numFmtId="41" fontId="10" fillId="0" borderId="0" xfId="99" applyNumberFormat="1" applyFont="1"/>
    <xf numFmtId="165" fontId="10" fillId="0" borderId="0" xfId="0" applyNumberFormat="1" applyFont="1"/>
    <xf numFmtId="0" fontId="12" fillId="0" borderId="0" xfId="101" applyFont="1" applyBorder="1" applyAlignment="1">
      <alignment horizontal="left"/>
    </xf>
    <xf numFmtId="0" fontId="10" fillId="0" borderId="0" xfId="101" applyFont="1" applyBorder="1" applyAlignment="1">
      <alignment horizontal="left"/>
    </xf>
    <xf numFmtId="4" fontId="10" fillId="0" borderId="0" xfId="0" applyNumberFormat="1" applyFont="1"/>
    <xf numFmtId="10" fontId="12" fillId="0" borderId="0" xfId="101" applyNumberFormat="1" applyFont="1" applyAlignment="1"/>
    <xf numFmtId="3" fontId="17" fillId="0" borderId="0" xfId="0" applyNumberFormat="1" applyFont="1" applyFill="1" applyAlignment="1">
      <alignment horizontal="right"/>
    </xf>
    <xf numFmtId="1" fontId="17" fillId="0" borderId="0" xfId="0" applyNumberFormat="1" applyFont="1" applyFill="1" applyAlignment="1">
      <alignment horizontal="right"/>
    </xf>
    <xf numFmtId="4" fontId="17" fillId="0" borderId="0" xfId="0" applyNumberFormat="1" applyFont="1" applyAlignment="1">
      <alignment horizontal="right"/>
    </xf>
    <xf numFmtId="0" fontId="17" fillId="0" borderId="14" xfId="0" applyFont="1" applyBorder="1" applyAlignment="1">
      <alignment horizontal="right"/>
    </xf>
    <xf numFmtId="165" fontId="10" fillId="0" borderId="0" xfId="0" applyNumberFormat="1" applyFont="1" applyFill="1"/>
    <xf numFmtId="165" fontId="12" fillId="0" borderId="0" xfId="0" applyNumberFormat="1" applyFont="1" applyFill="1"/>
    <xf numFmtId="0" fontId="10" fillId="0" borderId="0" xfId="0" applyFont="1" applyBorder="1"/>
    <xf numFmtId="0" fontId="12" fillId="0" borderId="0" xfId="0" applyFont="1" applyBorder="1"/>
    <xf numFmtId="0" fontId="12" fillId="0" borderId="0" xfId="0" applyFont="1" applyAlignment="1">
      <alignment horizontal="left"/>
    </xf>
    <xf numFmtId="37" fontId="12" fillId="0" borderId="0" xfId="0" applyNumberFormat="1" applyFont="1"/>
    <xf numFmtId="167" fontId="10" fillId="0" borderId="0" xfId="59" applyNumberFormat="1" applyFont="1"/>
    <xf numFmtId="0" fontId="12" fillId="0" borderId="0" xfId="0" applyFont="1" applyFill="1" applyAlignment="1">
      <alignment horizontal="left"/>
    </xf>
    <xf numFmtId="167" fontId="12" fillId="0" borderId="0" xfId="59" applyNumberFormat="1" applyFont="1"/>
    <xf numFmtId="173" fontId="12" fillId="0" borderId="0" xfId="59" applyNumberFormat="1" applyFont="1"/>
    <xf numFmtId="167" fontId="12" fillId="0" borderId="0" xfId="59" applyNumberFormat="1" applyFont="1" applyFill="1"/>
    <xf numFmtId="167" fontId="12" fillId="0" borderId="0" xfId="59" applyNumberFormat="1" applyFont="1" applyFill="1" applyBorder="1"/>
    <xf numFmtId="167" fontId="12" fillId="0" borderId="0" xfId="59" applyNumberFormat="1" applyFont="1" applyBorder="1"/>
    <xf numFmtId="0" fontId="14" fillId="0" borderId="0" xfId="0" applyFont="1" applyAlignment="1">
      <alignment horizontal="left"/>
    </xf>
    <xf numFmtId="0" fontId="14" fillId="0" borderId="0" xfId="0" applyFont="1" applyFill="1" applyAlignment="1">
      <alignment horizontal="left"/>
    </xf>
    <xf numFmtId="167" fontId="10" fillId="0" borderId="0" xfId="59" applyNumberFormat="1" applyFont="1" applyFill="1"/>
    <xf numFmtId="4" fontId="12" fillId="0" borderId="0" xfId="0" applyNumberFormat="1" applyFont="1"/>
    <xf numFmtId="167" fontId="17" fillId="0" borderId="0" xfId="59" applyNumberFormat="1" applyFont="1" applyFill="1" applyAlignment="1">
      <alignment horizontal="right"/>
    </xf>
    <xf numFmtId="41" fontId="12" fillId="0" borderId="0" xfId="101" applyNumberFormat="1" applyFont="1" applyFill="1" applyBorder="1"/>
    <xf numFmtId="0" fontId="10" fillId="0" borderId="0" xfId="101" applyNumberFormat="1" applyFont="1" applyFill="1"/>
    <xf numFmtId="167" fontId="23" fillId="0" borderId="0" xfId="59" applyNumberFormat="1" applyFont="1"/>
    <xf numFmtId="173" fontId="23" fillId="0" borderId="0" xfId="59" applyNumberFormat="1" applyFont="1"/>
    <xf numFmtId="173" fontId="23" fillId="0" borderId="0" xfId="59" applyNumberFormat="1" applyFont="1" applyFill="1"/>
    <xf numFmtId="167" fontId="23" fillId="0" borderId="0" xfId="59" applyNumberFormat="1" applyFont="1" applyBorder="1"/>
    <xf numFmtId="0" fontId="12" fillId="0" borderId="0" xfId="100" applyFont="1"/>
    <xf numFmtId="0" fontId="10" fillId="0" borderId="0" xfId="100" applyFont="1"/>
    <xf numFmtId="0" fontId="10" fillId="0" borderId="0" xfId="100" applyFont="1" applyAlignment="1">
      <alignment vertical="center" wrapText="1"/>
    </xf>
    <xf numFmtId="174" fontId="23" fillId="0" borderId="0" xfId="100" applyNumberFormat="1" applyFont="1"/>
    <xf numFmtId="0" fontId="23" fillId="0" borderId="0" xfId="100" applyFont="1" applyAlignment="1">
      <alignment horizontal="right"/>
    </xf>
    <xf numFmtId="173" fontId="12" fillId="0" borderId="0" xfId="59" applyNumberFormat="1" applyFont="1" applyFill="1"/>
    <xf numFmtId="1" fontId="17" fillId="0" borderId="0" xfId="0" applyNumberFormat="1" applyFont="1" applyAlignment="1">
      <alignment horizontal="right"/>
    </xf>
    <xf numFmtId="1" fontId="17" fillId="0" borderId="0" xfId="0" applyNumberFormat="1" applyFont="1" applyBorder="1" applyAlignment="1">
      <alignment horizontal="right"/>
    </xf>
    <xf numFmtId="1" fontId="17" fillId="0" borderId="0" xfId="59" applyNumberFormat="1" applyFont="1" applyFill="1" applyAlignment="1">
      <alignment horizontal="right"/>
    </xf>
    <xf numFmtId="1" fontId="17" fillId="0" borderId="0" xfId="59" applyNumberFormat="1" applyFont="1" applyAlignment="1">
      <alignment horizontal="right"/>
    </xf>
    <xf numFmtId="1" fontId="17" fillId="0" borderId="0" xfId="59" applyNumberFormat="1" applyFont="1" applyFill="1" applyBorder="1" applyAlignment="1">
      <alignment horizontal="right"/>
    </xf>
    <xf numFmtId="1" fontId="14" fillId="0" borderId="0" xfId="0" applyNumberFormat="1" applyFont="1" applyAlignment="1">
      <alignment horizontal="right"/>
    </xf>
    <xf numFmtId="167" fontId="17" fillId="0" borderId="0" xfId="59" applyNumberFormat="1" applyFont="1" applyAlignment="1">
      <alignment horizontal="right"/>
    </xf>
    <xf numFmtId="173" fontId="17" fillId="0" borderId="0" xfId="59" applyNumberFormat="1" applyFont="1" applyFill="1" applyAlignment="1">
      <alignment horizontal="right"/>
    </xf>
    <xf numFmtId="173" fontId="17" fillId="0" borderId="0" xfId="59" applyNumberFormat="1" applyFont="1" applyAlignment="1">
      <alignment horizontal="right"/>
    </xf>
    <xf numFmtId="1" fontId="17" fillId="20" borderId="0" xfId="59" applyNumberFormat="1" applyFont="1" applyFill="1" applyAlignment="1">
      <alignment horizontal="right"/>
    </xf>
    <xf numFmtId="173" fontId="12" fillId="0" borderId="0" xfId="0" applyNumberFormat="1" applyFont="1"/>
    <xf numFmtId="0" fontId="27" fillId="0" borderId="0" xfId="101" applyFont="1" applyFill="1" applyBorder="1" applyAlignment="1">
      <alignment horizontal="left"/>
    </xf>
    <xf numFmtId="1" fontId="27" fillId="0" borderId="0" xfId="0" applyNumberFormat="1" applyFont="1" applyAlignment="1">
      <alignment horizontal="right"/>
    </xf>
    <xf numFmtId="0" fontId="27" fillId="0" borderId="0" xfId="0" applyFont="1"/>
    <xf numFmtId="0" fontId="27" fillId="0" borderId="0" xfId="0" applyFont="1" applyFill="1"/>
    <xf numFmtId="173" fontId="10" fillId="0" borderId="0" xfId="59" applyNumberFormat="1" applyFont="1"/>
    <xf numFmtId="173" fontId="10" fillId="0" borderId="0" xfId="59" applyNumberFormat="1" applyFont="1" applyFill="1"/>
    <xf numFmtId="173" fontId="23" fillId="20" borderId="0" xfId="59" applyNumberFormat="1" applyFont="1" applyFill="1"/>
    <xf numFmtId="173" fontId="23" fillId="0" borderId="0" xfId="59" applyNumberFormat="1" applyFont="1" applyFill="1" applyBorder="1"/>
    <xf numFmtId="173" fontId="12" fillId="0" borderId="0" xfId="59" applyNumberFormat="1" applyFont="1" applyFill="1" applyBorder="1"/>
    <xf numFmtId="173" fontId="23" fillId="0" borderId="0" xfId="59" applyNumberFormat="1" applyFont="1" applyBorder="1"/>
    <xf numFmtId="173" fontId="12" fillId="0" borderId="0" xfId="59" applyNumberFormat="1" applyFont="1" applyBorder="1"/>
    <xf numFmtId="43" fontId="12" fillId="0" borderId="0" xfId="59" applyFont="1"/>
    <xf numFmtId="1" fontId="12" fillId="0" borderId="0" xfId="0" applyNumberFormat="1" applyFont="1" applyFill="1" applyAlignment="1">
      <alignment horizontal="right"/>
    </xf>
    <xf numFmtId="167" fontId="12" fillId="0" borderId="0" xfId="59" applyNumberFormat="1" applyFont="1" applyFill="1" applyAlignment="1"/>
    <xf numFmtId="1" fontId="12" fillId="0" borderId="0" xfId="0" applyNumberFormat="1" applyFont="1" applyAlignment="1">
      <alignment horizontal="right"/>
    </xf>
    <xf numFmtId="1" fontId="12" fillId="0" borderId="0" xfId="59" applyNumberFormat="1" applyFont="1" applyFill="1" applyAlignment="1">
      <alignment horizontal="right"/>
    </xf>
    <xf numFmtId="167" fontId="12" fillId="0" borderId="0" xfId="59" applyNumberFormat="1" applyFont="1" applyFill="1" applyAlignment="1">
      <alignment horizontal="right"/>
    </xf>
    <xf numFmtId="166" fontId="12" fillId="0" borderId="0" xfId="0" applyNumberFormat="1" applyFont="1"/>
    <xf numFmtId="1" fontId="10" fillId="0" borderId="0" xfId="0" applyNumberFormat="1" applyFont="1" applyAlignment="1">
      <alignment horizontal="right"/>
    </xf>
    <xf numFmtId="43" fontId="12" fillId="0" borderId="0" xfId="59" applyFont="1" applyFill="1" applyAlignment="1">
      <alignment horizontal="right"/>
    </xf>
    <xf numFmtId="167" fontId="23" fillId="0" borderId="0" xfId="59" applyNumberFormat="1" applyFont="1" applyFill="1" applyAlignment="1">
      <alignment horizontal="right"/>
    </xf>
    <xf numFmtId="43" fontId="10" fillId="0" borderId="0" xfId="59" applyFont="1" applyFill="1" applyAlignment="1">
      <alignment horizontal="right"/>
    </xf>
    <xf numFmtId="1" fontId="10" fillId="0" borderId="0" xfId="59" applyNumberFormat="1" applyFont="1" applyFill="1" applyAlignment="1">
      <alignment horizontal="right"/>
    </xf>
    <xf numFmtId="43" fontId="12" fillId="0" borderId="0" xfId="59" applyFont="1" applyFill="1"/>
    <xf numFmtId="43" fontId="23" fillId="0" borderId="0" xfId="59" applyFont="1" applyFill="1" applyAlignment="1">
      <alignment horizontal="right"/>
    </xf>
    <xf numFmtId="173" fontId="12" fillId="0" borderId="0" xfId="59" applyNumberFormat="1" applyFont="1" applyFill="1" applyAlignment="1">
      <alignment horizontal="right"/>
    </xf>
    <xf numFmtId="173" fontId="23" fillId="0" borderId="0" xfId="59" applyNumberFormat="1" applyFont="1" applyFill="1" applyAlignment="1">
      <alignment horizontal="right"/>
    </xf>
    <xf numFmtId="1" fontId="14" fillId="0" borderId="0" xfId="0" applyNumberFormat="1" applyFont="1" applyFill="1" applyAlignment="1">
      <alignment horizontal="right"/>
    </xf>
    <xf numFmtId="0" fontId="12" fillId="0" borderId="0" xfId="0" applyFont="1" applyFill="1" applyAlignment="1">
      <alignment horizontal="left" indent="1"/>
    </xf>
    <xf numFmtId="164" fontId="27" fillId="0" borderId="0" xfId="0" applyNumberFormat="1" applyFont="1"/>
    <xf numFmtId="0" fontId="12" fillId="0" borderId="0" xfId="101" applyFont="1" applyBorder="1" applyAlignment="1">
      <alignment horizontal="left" indent="1"/>
    </xf>
    <xf numFmtId="37" fontId="23" fillId="0" borderId="0" xfId="0" applyNumberFormat="1" applyFont="1"/>
    <xf numFmtId="1" fontId="26" fillId="0" borderId="0" xfId="0" applyNumberFormat="1" applyFont="1" applyAlignment="1">
      <alignment horizontal="right"/>
    </xf>
    <xf numFmtId="0" fontId="23" fillId="0" borderId="0" xfId="0" applyFont="1"/>
    <xf numFmtId="3" fontId="23" fillId="0" borderId="0" xfId="0" applyNumberFormat="1" applyFont="1"/>
    <xf numFmtId="9" fontId="12" fillId="0" borderId="0" xfId="111" applyFont="1" applyFill="1" applyBorder="1" applyAlignment="1">
      <alignment horizontal="left"/>
    </xf>
    <xf numFmtId="9" fontId="12" fillId="0" borderId="0" xfId="111" applyFont="1" applyFill="1"/>
    <xf numFmtId="9" fontId="23" fillId="0" borderId="0" xfId="111" applyFont="1"/>
    <xf numFmtId="9" fontId="26" fillId="0" borderId="0" xfId="111" applyFont="1" applyAlignment="1">
      <alignment horizontal="right"/>
    </xf>
    <xf numFmtId="0" fontId="28" fillId="0" borderId="0" xfId="101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10" fontId="12" fillId="0" borderId="0" xfId="0" applyNumberFormat="1" applyFont="1" applyAlignment="1"/>
    <xf numFmtId="0" fontId="12" fillId="0" borderId="14" xfId="0" applyFont="1" applyFill="1" applyBorder="1"/>
    <xf numFmtId="0" fontId="12" fillId="0" borderId="0" xfId="0" applyFont="1" applyFill="1" applyBorder="1"/>
    <xf numFmtId="173" fontId="12" fillId="20" borderId="0" xfId="59" applyNumberFormat="1" applyFont="1" applyFill="1"/>
    <xf numFmtId="167" fontId="12" fillId="20" borderId="0" xfId="59" applyNumberFormat="1" applyFont="1" applyFill="1"/>
    <xf numFmtId="167" fontId="23" fillId="0" borderId="0" xfId="59" applyNumberFormat="1" applyFont="1" applyFill="1"/>
    <xf numFmtId="43" fontId="12" fillId="0" borderId="0" xfId="59" applyNumberFormat="1" applyFont="1"/>
    <xf numFmtId="43" fontId="12" fillId="0" borderId="0" xfId="59" applyNumberFormat="1" applyFont="1" applyFill="1"/>
    <xf numFmtId="43" fontId="23" fillId="0" borderId="0" xfId="59" applyNumberFormat="1" applyFont="1"/>
    <xf numFmtId="43" fontId="23" fillId="0" borderId="0" xfId="59" applyNumberFormat="1" applyFont="1" applyFill="1"/>
    <xf numFmtId="37" fontId="12" fillId="0" borderId="0" xfId="0" applyNumberFormat="1" applyFont="1" applyFill="1"/>
    <xf numFmtId="37" fontId="23" fillId="0" borderId="0" xfId="0" applyNumberFormat="1" applyFont="1" applyFill="1"/>
    <xf numFmtId="0" fontId="12" fillId="0" borderId="0" xfId="0" applyFont="1" applyAlignment="1">
      <alignment horizontal="left" indent="2"/>
    </xf>
    <xf numFmtId="37" fontId="12" fillId="0" borderId="0" xfId="0" applyNumberFormat="1" applyFont="1" applyBorder="1"/>
    <xf numFmtId="3" fontId="12" fillId="0" borderId="0" xfId="0" applyNumberFormat="1" applyFont="1" applyBorder="1"/>
    <xf numFmtId="3" fontId="12" fillId="0" borderId="0" xfId="0" applyNumberFormat="1" applyFont="1" applyFill="1" applyBorder="1"/>
    <xf numFmtId="1" fontId="26" fillId="0" borderId="0" xfId="59" applyNumberFormat="1" applyFont="1" applyFill="1" applyAlignment="1">
      <alignment horizontal="right"/>
    </xf>
    <xf numFmtId="0" fontId="11" fillId="25" borderId="0" xfId="0" applyFont="1" applyFill="1"/>
    <xf numFmtId="37" fontId="24" fillId="25" borderId="0" xfId="0" applyNumberFormat="1" applyFont="1" applyFill="1"/>
    <xf numFmtId="1" fontId="18" fillId="25" borderId="0" xfId="0" applyNumberFormat="1" applyFont="1" applyFill="1" applyAlignment="1">
      <alignment horizontal="right"/>
    </xf>
    <xf numFmtId="0" fontId="24" fillId="25" borderId="0" xfId="0" applyFont="1" applyFill="1"/>
    <xf numFmtId="0" fontId="18" fillId="25" borderId="0" xfId="0" applyFont="1" applyFill="1" applyAlignment="1">
      <alignment horizontal="right"/>
    </xf>
    <xf numFmtId="0" fontId="12" fillId="24" borderId="0" xfId="0" applyFont="1" applyFill="1"/>
    <xf numFmtId="0" fontId="10" fillId="24" borderId="0" xfId="0" applyFont="1" applyFill="1"/>
    <xf numFmtId="0" fontId="12" fillId="24" borderId="14" xfId="0" applyFont="1" applyFill="1" applyBorder="1"/>
    <xf numFmtId="0" fontId="12" fillId="24" borderId="0" xfId="0" applyFont="1" applyFill="1" applyBorder="1"/>
    <xf numFmtId="0" fontId="24" fillId="24" borderId="0" xfId="0" applyFont="1" applyFill="1"/>
    <xf numFmtId="3" fontId="12" fillId="24" borderId="0" xfId="0" applyNumberFormat="1" applyFont="1" applyFill="1"/>
    <xf numFmtId="173" fontId="12" fillId="24" borderId="0" xfId="59" applyNumberFormat="1" applyFont="1" applyFill="1"/>
    <xf numFmtId="167" fontId="12" fillId="24" borderId="0" xfId="59" applyNumberFormat="1" applyFont="1" applyFill="1"/>
    <xf numFmtId="43" fontId="12" fillId="24" borderId="0" xfId="59" applyNumberFormat="1" applyFont="1" applyFill="1"/>
    <xf numFmtId="3" fontId="12" fillId="24" borderId="0" xfId="0" applyNumberFormat="1" applyFont="1" applyFill="1" applyBorder="1"/>
    <xf numFmtId="173" fontId="12" fillId="24" borderId="0" xfId="59" applyNumberFormat="1" applyFont="1" applyFill="1" applyBorder="1"/>
    <xf numFmtId="167" fontId="12" fillId="24" borderId="0" xfId="59" applyNumberFormat="1" applyFont="1" applyFill="1" applyBorder="1"/>
    <xf numFmtId="173" fontId="10" fillId="24" borderId="0" xfId="59" applyNumberFormat="1" applyFont="1" applyFill="1"/>
    <xf numFmtId="167" fontId="10" fillId="24" borderId="0" xfId="59" applyNumberFormat="1" applyFont="1" applyFill="1"/>
    <xf numFmtId="43" fontId="12" fillId="24" borderId="0" xfId="59" applyFont="1" applyFill="1"/>
    <xf numFmtId="167" fontId="12" fillId="24" borderId="0" xfId="0" applyNumberFormat="1" applyFont="1" applyFill="1"/>
    <xf numFmtId="173" fontId="12" fillId="24" borderId="0" xfId="0" applyNumberFormat="1" applyFont="1" applyFill="1"/>
    <xf numFmtId="0" fontId="23" fillId="24" borderId="0" xfId="0" applyFont="1" applyFill="1"/>
    <xf numFmtId="9" fontId="23" fillId="24" borderId="0" xfId="111" applyFont="1" applyFill="1"/>
    <xf numFmtId="0" fontId="27" fillId="24" borderId="0" xfId="0" applyFont="1" applyFill="1"/>
    <xf numFmtId="43" fontId="12" fillId="20" borderId="0" xfId="59" applyNumberFormat="1" applyFont="1" applyFill="1"/>
    <xf numFmtId="3" fontId="12" fillId="20" borderId="0" xfId="0" applyNumberFormat="1" applyFont="1" applyFill="1"/>
    <xf numFmtId="37" fontId="12" fillId="20" borderId="0" xfId="0" applyNumberFormat="1" applyFont="1" applyFill="1"/>
    <xf numFmtId="167" fontId="23" fillId="0" borderId="0" xfId="59" applyNumberFormat="1" applyFont="1" applyFill="1" applyBorder="1"/>
    <xf numFmtId="3" fontId="12" fillId="20" borderId="0" xfId="0" applyNumberFormat="1" applyFont="1" applyFill="1" applyBorder="1"/>
    <xf numFmtId="173" fontId="25" fillId="0" borderId="0" xfId="59" applyNumberFormat="1" applyFont="1" applyFill="1"/>
    <xf numFmtId="164" fontId="12" fillId="0" borderId="0" xfId="0" applyNumberFormat="1" applyFont="1"/>
    <xf numFmtId="173" fontId="13" fillId="0" borderId="0" xfId="59" applyNumberFormat="1" applyFont="1" applyFill="1"/>
    <xf numFmtId="173" fontId="30" fillId="0" borderId="0" xfId="59" applyNumberFormat="1" applyFont="1" applyFill="1"/>
    <xf numFmtId="173" fontId="25" fillId="0" borderId="0" xfId="59" applyNumberFormat="1" applyFont="1"/>
    <xf numFmtId="0" fontId="31" fillId="0" borderId="0" xfId="101" applyFont="1" applyFill="1" applyBorder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left"/>
    </xf>
    <xf numFmtId="0" fontId="12" fillId="0" borderId="0" xfId="0" applyFont="1" applyFill="1" applyAlignment="1">
      <alignment horizontal="left" indent="2"/>
    </xf>
    <xf numFmtId="0" fontId="12" fillId="0" borderId="0" xfId="101" applyNumberFormat="1" applyFont="1" applyFill="1"/>
    <xf numFmtId="39" fontId="12" fillId="0" borderId="0" xfId="0" applyNumberFormat="1" applyFont="1"/>
    <xf numFmtId="43" fontId="12" fillId="0" borderId="0" xfId="0" applyNumberFormat="1" applyFont="1" applyFill="1"/>
    <xf numFmtId="3" fontId="12" fillId="0" borderId="0" xfId="0" applyNumberFormat="1" applyFont="1" applyAlignment="1">
      <alignment horizontal="right"/>
    </xf>
    <xf numFmtId="164" fontId="12" fillId="0" borderId="0" xfId="0" applyNumberFormat="1" applyFont="1" applyAlignment="1">
      <alignment horizontal="right"/>
    </xf>
    <xf numFmtId="167" fontId="10" fillId="0" borderId="0" xfId="59" applyNumberFormat="1" applyFont="1" applyAlignment="1">
      <alignment horizontal="right"/>
    </xf>
    <xf numFmtId="173" fontId="12" fillId="0" borderId="0" xfId="0" applyNumberFormat="1" applyFont="1" applyFill="1"/>
    <xf numFmtId="43" fontId="12" fillId="0" borderId="0" xfId="59" applyNumberFormat="1" applyFont="1" applyAlignment="1">
      <alignment horizontal="right"/>
    </xf>
    <xf numFmtId="167" fontId="12" fillId="0" borderId="0" xfId="59" applyNumberFormat="1" applyFont="1" applyAlignment="1">
      <alignment horizontal="right"/>
    </xf>
    <xf numFmtId="43" fontId="30" fillId="0" borderId="0" xfId="59" applyNumberFormat="1" applyFont="1"/>
    <xf numFmtId="3" fontId="30" fillId="0" borderId="0" xfId="0" applyNumberFormat="1" applyFont="1"/>
    <xf numFmtId="0" fontId="17" fillId="0" borderId="0" xfId="0" applyFont="1"/>
    <xf numFmtId="0" fontId="17" fillId="0" borderId="0" xfId="0" applyFont="1" applyFill="1"/>
    <xf numFmtId="173" fontId="17" fillId="0" borderId="0" xfId="59" applyNumberFormat="1" applyFont="1"/>
    <xf numFmtId="0" fontId="17" fillId="0" borderId="0" xfId="0" applyFont="1" applyBorder="1"/>
    <xf numFmtId="0" fontId="17" fillId="0" borderId="0" xfId="0" applyFont="1" applyFill="1" applyBorder="1"/>
    <xf numFmtId="3" fontId="17" fillId="0" borderId="0" xfId="0" applyNumberFormat="1" applyFont="1" applyFill="1"/>
    <xf numFmtId="3" fontId="17" fillId="0" borderId="0" xfId="0" applyNumberFormat="1" applyFont="1"/>
    <xf numFmtId="165" fontId="17" fillId="0" borderId="0" xfId="0" applyNumberFormat="1" applyFont="1" applyFill="1"/>
    <xf numFmtId="165" fontId="17" fillId="0" borderId="0" xfId="0" applyNumberFormat="1" applyFont="1"/>
    <xf numFmtId="9" fontId="17" fillId="0" borderId="0" xfId="111" applyFont="1"/>
    <xf numFmtId="0" fontId="31" fillId="0" borderId="0" xfId="101" applyNumberFormat="1" applyFont="1" applyFill="1"/>
    <xf numFmtId="0" fontId="31" fillId="27" borderId="0" xfId="101" applyNumberFormat="1" applyFont="1" applyFill="1"/>
    <xf numFmtId="37" fontId="12" fillId="27" borderId="0" xfId="0" applyNumberFormat="1" applyFont="1" applyFill="1"/>
    <xf numFmtId="1" fontId="12" fillId="27" borderId="0" xfId="0" applyNumberFormat="1" applyFont="1" applyFill="1" applyAlignment="1">
      <alignment horizontal="right"/>
    </xf>
    <xf numFmtId="3" fontId="12" fillId="27" borderId="0" xfId="0" applyNumberFormat="1" applyFont="1" applyFill="1"/>
    <xf numFmtId="165" fontId="17" fillId="27" borderId="0" xfId="0" applyNumberFormat="1" applyFont="1" applyFill="1"/>
    <xf numFmtId="165" fontId="12" fillId="27" borderId="0" xfId="0" applyNumberFormat="1" applyFont="1" applyFill="1"/>
    <xf numFmtId="0" fontId="12" fillId="27" borderId="0" xfId="0" applyFont="1" applyFill="1"/>
    <xf numFmtId="0" fontId="10" fillId="27" borderId="0" xfId="101" applyNumberFormat="1" applyFont="1" applyFill="1"/>
    <xf numFmtId="0" fontId="12" fillId="27" borderId="0" xfId="101" applyNumberFormat="1" applyFont="1" applyFill="1"/>
    <xf numFmtId="173" fontId="12" fillId="27" borderId="0" xfId="59" applyNumberFormat="1" applyFont="1" applyFill="1"/>
    <xf numFmtId="3" fontId="17" fillId="27" borderId="0" xfId="0" applyNumberFormat="1" applyFont="1" applyFill="1" applyAlignment="1">
      <alignment horizontal="right"/>
    </xf>
    <xf numFmtId="173" fontId="23" fillId="27" borderId="0" xfId="59" applyNumberFormat="1" applyFont="1" applyFill="1"/>
    <xf numFmtId="43" fontId="12" fillId="27" borderId="0" xfId="59" applyFont="1" applyFill="1"/>
    <xf numFmtId="43" fontId="12" fillId="27" borderId="0" xfId="59" applyFont="1" applyFill="1" applyAlignment="1">
      <alignment horizontal="right"/>
    </xf>
    <xf numFmtId="43" fontId="30" fillId="27" borderId="0" xfId="59" applyFont="1" applyFill="1"/>
    <xf numFmtId="37" fontId="10" fillId="27" borderId="0" xfId="0" applyNumberFormat="1" applyFont="1" applyFill="1"/>
    <xf numFmtId="1" fontId="10" fillId="27" borderId="0" xfId="0" applyNumberFormat="1" applyFont="1" applyFill="1" applyAlignment="1">
      <alignment horizontal="right"/>
    </xf>
    <xf numFmtId="0" fontId="10" fillId="27" borderId="0" xfId="0" applyFont="1" applyFill="1"/>
    <xf numFmtId="165" fontId="10" fillId="27" borderId="0" xfId="0" applyNumberFormat="1" applyFont="1" applyFill="1"/>
    <xf numFmtId="167" fontId="10" fillId="27" borderId="0" xfId="59" applyNumberFormat="1" applyFont="1" applyFill="1"/>
    <xf numFmtId="1" fontId="17" fillId="0" borderId="0" xfId="0" applyNumberFormat="1" applyFont="1"/>
    <xf numFmtId="193" fontId="12" fillId="0" borderId="0" xfId="0" applyNumberFormat="1" applyFont="1"/>
    <xf numFmtId="4" fontId="17" fillId="0" borderId="0" xfId="0" applyNumberFormat="1" applyFont="1" applyFill="1" applyAlignment="1">
      <alignment horizontal="right"/>
    </xf>
    <xf numFmtId="167" fontId="23" fillId="26" borderId="0" xfId="59" applyNumberFormat="1" applyFont="1" applyFill="1"/>
    <xf numFmtId="173" fontId="12" fillId="26" borderId="0" xfId="59" applyNumberFormat="1" applyFont="1" applyFill="1"/>
    <xf numFmtId="167" fontId="12" fillId="26" borderId="0" xfId="59" applyNumberFormat="1" applyFont="1" applyFill="1"/>
    <xf numFmtId="43" fontId="23" fillId="26" borderId="0" xfId="59" applyNumberFormat="1" applyFont="1" applyFill="1"/>
    <xf numFmtId="43" fontId="12" fillId="26" borderId="0" xfId="59" applyNumberFormat="1" applyFont="1" applyFill="1"/>
    <xf numFmtId="3" fontId="17" fillId="26" borderId="0" xfId="0" applyNumberFormat="1" applyFont="1" applyFill="1" applyAlignment="1">
      <alignment horizontal="right"/>
    </xf>
    <xf numFmtId="0" fontId="17" fillId="26" borderId="0" xfId="0" applyFont="1" applyFill="1"/>
    <xf numFmtId="173" fontId="23" fillId="26" borderId="0" xfId="59" applyNumberFormat="1" applyFont="1" applyFill="1"/>
    <xf numFmtId="43" fontId="23" fillId="26" borderId="0" xfId="59" applyFont="1" applyFill="1" applyAlignment="1">
      <alignment horizontal="right"/>
    </xf>
    <xf numFmtId="173" fontId="23" fillId="26" borderId="0" xfId="59" applyNumberFormat="1" applyFont="1" applyFill="1" applyAlignment="1">
      <alignment horizontal="right"/>
    </xf>
    <xf numFmtId="165" fontId="12" fillId="26" borderId="0" xfId="0" applyNumberFormat="1" applyFont="1" applyFill="1"/>
    <xf numFmtId="165" fontId="17" fillId="26" borderId="0" xfId="0" applyNumberFormat="1" applyFont="1" applyFill="1"/>
    <xf numFmtId="0" fontId="12" fillId="26" borderId="0" xfId="0" applyFont="1" applyFill="1"/>
    <xf numFmtId="174" fontId="23" fillId="0" borderId="0" xfId="100" applyNumberFormat="1" applyFont="1" applyAlignment="1">
      <alignment horizontal="right"/>
    </xf>
    <xf numFmtId="1" fontId="17" fillId="0" borderId="0" xfId="0" applyNumberFormat="1" applyFont="1" applyFill="1"/>
    <xf numFmtId="43" fontId="10" fillId="27" borderId="0" xfId="59" applyFont="1" applyFill="1" applyAlignment="1">
      <alignment horizontal="right"/>
    </xf>
    <xf numFmtId="4" fontId="10" fillId="27" borderId="0" xfId="0" applyNumberFormat="1" applyFont="1" applyFill="1"/>
    <xf numFmtId="43" fontId="12" fillId="0" borderId="0" xfId="0" applyNumberFormat="1" applyFont="1"/>
    <xf numFmtId="43" fontId="23" fillId="0" borderId="0" xfId="0" applyNumberFormat="1" applyFont="1"/>
    <xf numFmtId="43" fontId="23" fillId="0" borderId="0" xfId="0" applyNumberFormat="1" applyFont="1" applyFill="1"/>
    <xf numFmtId="43" fontId="10" fillId="0" borderId="0" xfId="59" applyNumberFormat="1" applyFont="1" applyFill="1" applyAlignment="1">
      <alignment horizontal="right"/>
    </xf>
    <xf numFmtId="43" fontId="10" fillId="27" borderId="0" xfId="59" applyNumberFormat="1" applyFont="1" applyFill="1" applyAlignment="1">
      <alignment horizontal="right"/>
    </xf>
    <xf numFmtId="0" fontId="12" fillId="0" borderId="0" xfId="102" applyFont="1"/>
    <xf numFmtId="3" fontId="23" fillId="0" borderId="0" xfId="102" applyNumberFormat="1" applyFont="1" applyBorder="1"/>
    <xf numFmtId="165" fontId="12" fillId="0" borderId="0" xfId="102" applyNumberFormat="1" applyFont="1" applyBorder="1"/>
    <xf numFmtId="3" fontId="12" fillId="0" borderId="0" xfId="102" applyNumberFormat="1" applyFont="1" applyBorder="1"/>
    <xf numFmtId="3" fontId="12" fillId="0" borderId="0" xfId="102" applyNumberFormat="1" applyFont="1"/>
    <xf numFmtId="165" fontId="12" fillId="0" borderId="0" xfId="102" applyNumberFormat="1" applyFont="1"/>
    <xf numFmtId="3" fontId="12" fillId="0" borderId="0" xfId="102" applyNumberFormat="1" applyFont="1" applyFill="1" applyBorder="1"/>
    <xf numFmtId="3" fontId="69" fillId="0" borderId="0" xfId="102" applyNumberFormat="1" applyFont="1" applyFill="1" applyBorder="1"/>
    <xf numFmtId="3" fontId="23" fillId="0" borderId="0" xfId="102" applyNumberFormat="1" applyFont="1" applyFill="1" applyBorder="1"/>
    <xf numFmtId="3" fontId="10" fillId="0" borderId="0" xfId="102" applyNumberFormat="1" applyFont="1" applyBorder="1"/>
    <xf numFmtId="165" fontId="10" fillId="0" borderId="0" xfId="102" applyNumberFormat="1" applyFont="1" applyBorder="1"/>
    <xf numFmtId="4" fontId="12" fillId="0" borderId="0" xfId="102" applyNumberFormat="1" applyFont="1"/>
    <xf numFmtId="0" fontId="10" fillId="0" borderId="14" xfId="102" applyFont="1" applyBorder="1"/>
    <xf numFmtId="3" fontId="10" fillId="0" borderId="14" xfId="102" applyNumberFormat="1" applyFont="1" applyBorder="1" applyAlignment="1">
      <alignment horizontal="right"/>
    </xf>
    <xf numFmtId="3" fontId="69" fillId="0" borderId="0" xfId="102" applyNumberFormat="1" applyFont="1" applyBorder="1"/>
    <xf numFmtId="3" fontId="70" fillId="0" borderId="0" xfId="102" applyNumberFormat="1" applyFont="1" applyBorder="1"/>
    <xf numFmtId="6" fontId="12" fillId="0" borderId="0" xfId="59" applyNumberFormat="1" applyFont="1"/>
    <xf numFmtId="6" fontId="23" fillId="0" borderId="0" xfId="59" applyNumberFormat="1" applyFont="1" applyBorder="1"/>
    <xf numFmtId="0" fontId="10" fillId="0" borderId="14" xfId="102" applyFont="1" applyBorder="1" applyAlignment="1">
      <alignment horizontal="right" wrapText="1"/>
    </xf>
    <xf numFmtId="0" fontId="10" fillId="0" borderId="14" xfId="102" applyFont="1" applyBorder="1" applyAlignment="1">
      <alignment horizontal="right"/>
    </xf>
    <xf numFmtId="167" fontId="13" fillId="0" borderId="0" xfId="59" applyNumberFormat="1" applyFont="1"/>
    <xf numFmtId="167" fontId="13" fillId="0" borderId="0" xfId="59" applyNumberFormat="1" applyFont="1" applyFill="1"/>
    <xf numFmtId="173" fontId="23" fillId="0" borderId="16" xfId="59" applyNumberFormat="1" applyFont="1" applyFill="1" applyBorder="1"/>
    <xf numFmtId="173" fontId="12" fillId="0" borderId="16" xfId="59" applyNumberFormat="1" applyFont="1" applyFill="1" applyBorder="1"/>
    <xf numFmtId="9" fontId="12" fillId="0" borderId="0" xfId="111" applyFont="1"/>
    <xf numFmtId="0" fontId="10" fillId="0" borderId="14" xfId="0" applyFont="1" applyBorder="1" applyAlignment="1">
      <alignment horizontal="right"/>
    </xf>
    <xf numFmtId="1" fontId="14" fillId="0" borderId="14" xfId="0" applyNumberFormat="1" applyFont="1" applyBorder="1" applyAlignment="1">
      <alignment horizontal="right"/>
    </xf>
    <xf numFmtId="41" fontId="60" fillId="27" borderId="0" xfId="0" applyNumberFormat="1" applyFont="1" applyFill="1" applyBorder="1"/>
    <xf numFmtId="0" fontId="12" fillId="27" borderId="0" xfId="0" applyFont="1" applyFill="1" applyBorder="1" applyAlignment="1">
      <alignment horizontal="right"/>
    </xf>
    <xf numFmtId="1" fontId="17" fillId="27" borderId="0" xfId="0" applyNumberFormat="1" applyFont="1" applyFill="1" applyBorder="1" applyAlignment="1">
      <alignment horizontal="right"/>
    </xf>
    <xf numFmtId="0" fontId="17" fillId="27" borderId="0" xfId="0" applyFont="1" applyFill="1" applyBorder="1" applyAlignment="1">
      <alignment horizontal="right"/>
    </xf>
    <xf numFmtId="0" fontId="12" fillId="27" borderId="0" xfId="0" applyFont="1" applyFill="1" applyBorder="1"/>
    <xf numFmtId="0" fontId="12" fillId="27" borderId="0" xfId="0" quotePrefix="1" applyFont="1" applyFill="1" applyBorder="1" applyAlignment="1">
      <alignment horizontal="right"/>
    </xf>
    <xf numFmtId="0" fontId="10" fillId="27" borderId="0" xfId="0" applyFont="1" applyFill="1" applyBorder="1"/>
    <xf numFmtId="37" fontId="12" fillId="27" borderId="0" xfId="0" applyNumberFormat="1" applyFont="1" applyFill="1" applyBorder="1" applyAlignment="1">
      <alignment horizontal="right"/>
    </xf>
    <xf numFmtId="164" fontId="12" fillId="27" borderId="0" xfId="0" applyNumberFormat="1" applyFont="1" applyFill="1" applyBorder="1" applyAlignment="1">
      <alignment horizontal="right"/>
    </xf>
    <xf numFmtId="167" fontId="23" fillId="27" borderId="0" xfId="59" applyNumberFormat="1" applyFont="1" applyFill="1" applyBorder="1" applyAlignment="1"/>
    <xf numFmtId="1" fontId="26" fillId="27" borderId="0" xfId="59" applyNumberFormat="1" applyFont="1" applyFill="1" applyBorder="1" applyAlignment="1">
      <alignment horizontal="right"/>
    </xf>
    <xf numFmtId="41" fontId="59" fillId="27" borderId="0" xfId="0" applyNumberFormat="1" applyFont="1" applyFill="1" applyBorder="1"/>
    <xf numFmtId="0" fontId="10" fillId="0" borderId="14" xfId="0" applyFont="1" applyBorder="1"/>
    <xf numFmtId="0" fontId="10" fillId="0" borderId="14" xfId="0" quotePrefix="1" applyFont="1" applyBorder="1" applyAlignment="1">
      <alignment horizontal="right"/>
    </xf>
    <xf numFmtId="0" fontId="10" fillId="0" borderId="14" xfId="0" quotePrefix="1" applyFont="1" applyFill="1" applyBorder="1" applyAlignment="1">
      <alignment horizontal="right"/>
    </xf>
    <xf numFmtId="0" fontId="10" fillId="0" borderId="14" xfId="0" applyFont="1" applyFill="1" applyBorder="1" applyAlignment="1">
      <alignment horizontal="right"/>
    </xf>
    <xf numFmtId="173" fontId="12" fillId="27" borderId="0" xfId="0" applyNumberFormat="1" applyFont="1" applyFill="1" applyBorder="1" applyAlignment="1">
      <alignment horizontal="right"/>
    </xf>
    <xf numFmtId="173" fontId="10" fillId="27" borderId="0" xfId="0" applyNumberFormat="1" applyFont="1" applyFill="1" applyBorder="1" applyAlignment="1">
      <alignment horizontal="right"/>
    </xf>
    <xf numFmtId="1" fontId="14" fillId="27" borderId="0" xfId="0" applyNumberFormat="1" applyFont="1" applyFill="1" applyBorder="1" applyAlignment="1">
      <alignment horizontal="right"/>
    </xf>
    <xf numFmtId="0" fontId="10" fillId="27" borderId="0" xfId="0" applyFont="1" applyFill="1" applyBorder="1" applyAlignment="1">
      <alignment horizontal="right"/>
    </xf>
    <xf numFmtId="0" fontId="10" fillId="24" borderId="0" xfId="0" applyFont="1" applyFill="1" applyBorder="1"/>
    <xf numFmtId="0" fontId="10" fillId="27" borderId="0" xfId="0" quotePrefix="1" applyFont="1" applyFill="1" applyBorder="1" applyAlignment="1">
      <alignment horizontal="right"/>
    </xf>
    <xf numFmtId="43" fontId="10" fillId="27" borderId="0" xfId="0" applyNumberFormat="1" applyFont="1" applyFill="1" applyBorder="1" applyAlignment="1">
      <alignment horizontal="right"/>
    </xf>
    <xf numFmtId="6" fontId="10" fillId="0" borderId="0" xfId="59" applyNumberFormat="1" applyFont="1"/>
    <xf numFmtId="3" fontId="10" fillId="0" borderId="0" xfId="102" applyNumberFormat="1" applyFont="1"/>
    <xf numFmtId="43" fontId="23" fillId="0" borderId="0" xfId="59" applyFont="1" applyFill="1"/>
    <xf numFmtId="41" fontId="30" fillId="27" borderId="0" xfId="0" applyNumberFormat="1" applyFont="1" applyFill="1" applyBorder="1"/>
    <xf numFmtId="165" fontId="30" fillId="27" borderId="0" xfId="0" applyNumberFormat="1" applyFont="1" applyFill="1" applyBorder="1" applyAlignment="1">
      <alignment horizontal="right"/>
    </xf>
    <xf numFmtId="173" fontId="13" fillId="0" borderId="0" xfId="59" applyNumberFormat="1" applyFont="1"/>
    <xf numFmtId="37" fontId="17" fillId="0" borderId="0" xfId="0" applyNumberFormat="1" applyFont="1"/>
    <xf numFmtId="3" fontId="17" fillId="24" borderId="0" xfId="0" applyNumberFormat="1" applyFont="1" applyFill="1"/>
    <xf numFmtId="0" fontId="73" fillId="0" borderId="0" xfId="0" applyNumberFormat="1" applyFont="1" applyBorder="1"/>
    <xf numFmtId="0" fontId="74" fillId="0" borderId="0" xfId="0" applyNumberFormat="1" applyFont="1" applyBorder="1"/>
    <xf numFmtId="0" fontId="75" fillId="29" borderId="0" xfId="0" applyNumberFormat="1" applyFont="1" applyFill="1" applyBorder="1"/>
    <xf numFmtId="0" fontId="73" fillId="29" borderId="0" xfId="0" applyNumberFormat="1" applyFont="1" applyFill="1" applyBorder="1"/>
    <xf numFmtId="0" fontId="74" fillId="29" borderId="0" xfId="0" applyNumberFormat="1" applyFont="1" applyFill="1" applyBorder="1"/>
    <xf numFmtId="2" fontId="76" fillId="29" borderId="0" xfId="0" quotePrefix="1" applyNumberFormat="1" applyFont="1" applyFill="1" applyBorder="1" applyAlignment="1">
      <alignment horizontal="left"/>
    </xf>
    <xf numFmtId="0" fontId="77" fillId="0" borderId="0" xfId="0" applyFont="1"/>
    <xf numFmtId="3" fontId="76" fillId="0" borderId="0" xfId="0" applyNumberFormat="1" applyFont="1"/>
    <xf numFmtId="0" fontId="77" fillId="0" borderId="14" xfId="0" applyFont="1" applyBorder="1"/>
    <xf numFmtId="0" fontId="77" fillId="0" borderId="0" xfId="0" applyFont="1" applyAlignment="1">
      <alignment horizontal="right"/>
    </xf>
    <xf numFmtId="0" fontId="78" fillId="0" borderId="0" xfId="0" applyFont="1"/>
    <xf numFmtId="0" fontId="77" fillId="0" borderId="0" xfId="0" applyNumberFormat="1" applyFont="1" applyFill="1" applyBorder="1"/>
    <xf numFmtId="0" fontId="79" fillId="0" borderId="0" xfId="0" applyNumberFormat="1" applyFont="1" applyFill="1" applyBorder="1"/>
    <xf numFmtId="10" fontId="76" fillId="0" borderId="0" xfId="0" applyNumberFormat="1" applyFont="1" applyFill="1" applyBorder="1" applyAlignment="1">
      <alignment horizontal="right"/>
    </xf>
    <xf numFmtId="0" fontId="76" fillId="0" borderId="0" xfId="0" applyNumberFormat="1" applyFont="1" applyBorder="1" applyAlignment="1">
      <alignment horizontal="right"/>
    </xf>
    <xf numFmtId="3" fontId="76" fillId="0" borderId="0" xfId="0" applyNumberFormat="1" applyFont="1" applyBorder="1" applyAlignment="1">
      <alignment horizontal="right"/>
    </xf>
    <xf numFmtId="10" fontId="76" fillId="0" borderId="0" xfId="0" applyNumberFormat="1" applyFont="1" applyBorder="1" applyAlignment="1">
      <alignment horizontal="right"/>
    </xf>
    <xf numFmtId="164" fontId="79" fillId="0" borderId="0" xfId="59" applyNumberFormat="1" applyFont="1" applyFill="1" applyBorder="1" applyAlignment="1">
      <alignment horizontal="right"/>
    </xf>
    <xf numFmtId="173" fontId="79" fillId="0" borderId="0" xfId="59" applyNumberFormat="1" applyFont="1" applyFill="1" applyBorder="1" applyAlignment="1">
      <alignment horizontal="right"/>
    </xf>
    <xf numFmtId="39" fontId="79" fillId="0" borderId="0" xfId="59" applyNumberFormat="1" applyFont="1" applyFill="1" applyBorder="1" applyAlignment="1">
      <alignment horizontal="right"/>
    </xf>
    <xf numFmtId="3" fontId="79" fillId="0" borderId="0" xfId="0" applyNumberFormat="1" applyFont="1" applyFill="1" applyBorder="1" applyAlignment="1">
      <alignment horizontal="right"/>
    </xf>
    <xf numFmtId="0" fontId="78" fillId="0" borderId="0" xfId="0" applyFont="1" applyFill="1" applyBorder="1"/>
    <xf numFmtId="0" fontId="81" fillId="25" borderId="0" xfId="0" applyNumberFormat="1" applyFont="1" applyFill="1" applyBorder="1"/>
    <xf numFmtId="171" fontId="81" fillId="25" borderId="0" xfId="0" applyNumberFormat="1" applyFont="1" applyFill="1" applyBorder="1" applyAlignment="1">
      <alignment horizontal="right"/>
    </xf>
    <xf numFmtId="3" fontId="82" fillId="25" borderId="0" xfId="0" applyNumberFormat="1" applyFont="1" applyFill="1" applyBorder="1" applyAlignment="1">
      <alignment horizontal="right"/>
    </xf>
    <xf numFmtId="4" fontId="83" fillId="25" borderId="0" xfId="0" applyNumberFormat="1" applyFont="1" applyFill="1" applyBorder="1" applyAlignment="1">
      <alignment horizontal="right"/>
    </xf>
    <xf numFmtId="171" fontId="83" fillId="25" borderId="0" xfId="0" applyNumberFormat="1" applyFont="1" applyFill="1" applyBorder="1" applyAlignment="1">
      <alignment horizontal="right"/>
    </xf>
    <xf numFmtId="0" fontId="81" fillId="25" borderId="0" xfId="0" applyFont="1" applyFill="1" applyBorder="1"/>
    <xf numFmtId="0" fontId="78" fillId="27" borderId="0" xfId="0" applyNumberFormat="1" applyFont="1" applyFill="1" applyBorder="1"/>
    <xf numFmtId="171" fontId="78" fillId="27" borderId="0" xfId="0" applyNumberFormat="1" applyFont="1" applyFill="1" applyBorder="1" applyAlignment="1">
      <alignment horizontal="right"/>
    </xf>
    <xf numFmtId="2" fontId="80" fillId="27" borderId="0" xfId="0" applyNumberFormat="1" applyFont="1" applyFill="1" applyBorder="1" applyAlignment="1">
      <alignment horizontal="right"/>
    </xf>
    <xf numFmtId="1" fontId="76" fillId="27" borderId="0" xfId="0" applyNumberFormat="1" applyFont="1" applyFill="1" applyBorder="1" applyAlignment="1">
      <alignment horizontal="right"/>
    </xf>
    <xf numFmtId="171" fontId="80" fillId="27" borderId="0" xfId="0" applyNumberFormat="1" applyFont="1" applyFill="1" applyBorder="1" applyAlignment="1">
      <alignment horizontal="right"/>
    </xf>
    <xf numFmtId="0" fontId="78" fillId="27" borderId="0" xfId="0" applyFont="1" applyFill="1" applyBorder="1"/>
    <xf numFmtId="0" fontId="84" fillId="24" borderId="0" xfId="0" applyNumberFormat="1" applyFont="1" applyFill="1" applyBorder="1"/>
    <xf numFmtId="171" fontId="84" fillId="24" borderId="0" xfId="0" applyNumberFormat="1" applyFont="1" applyFill="1" applyBorder="1" applyAlignment="1">
      <alignment horizontal="right"/>
    </xf>
    <xf numFmtId="1" fontId="85" fillId="24" borderId="0" xfId="0" applyNumberFormat="1" applyFont="1" applyFill="1" applyBorder="1" applyAlignment="1">
      <alignment horizontal="right"/>
    </xf>
    <xf numFmtId="2" fontId="86" fillId="24" borderId="0" xfId="0" applyNumberFormat="1" applyFont="1" applyFill="1" applyBorder="1" applyAlignment="1">
      <alignment horizontal="right"/>
    </xf>
    <xf numFmtId="171" fontId="85" fillId="24" borderId="0" xfId="0" applyNumberFormat="1" applyFont="1" applyFill="1" applyBorder="1" applyAlignment="1">
      <alignment horizontal="right"/>
    </xf>
    <xf numFmtId="171" fontId="86" fillId="24" borderId="0" xfId="0" applyNumberFormat="1" applyFont="1" applyFill="1" applyBorder="1" applyAlignment="1">
      <alignment horizontal="right"/>
    </xf>
    <xf numFmtId="0" fontId="84" fillId="24" borderId="0" xfId="0" applyFont="1" applyFill="1" applyBorder="1"/>
    <xf numFmtId="0" fontId="77" fillId="29" borderId="0" xfId="0" applyFont="1" applyFill="1"/>
    <xf numFmtId="3" fontId="76" fillId="29" borderId="0" xfId="0" applyNumberFormat="1" applyFont="1" applyFill="1"/>
    <xf numFmtId="10" fontId="76" fillId="29" borderId="0" xfId="0" applyNumberFormat="1" applyFont="1" applyFill="1" applyBorder="1" applyAlignment="1">
      <alignment horizontal="right"/>
    </xf>
    <xf numFmtId="0" fontId="74" fillId="29" borderId="14" xfId="0" applyNumberFormat="1" applyFont="1" applyFill="1" applyBorder="1"/>
    <xf numFmtId="0" fontId="77" fillId="29" borderId="14" xfId="0" applyFont="1" applyFill="1" applyBorder="1"/>
    <xf numFmtId="3" fontId="76" fillId="29" borderId="14" xfId="0" applyNumberFormat="1" applyFont="1" applyFill="1" applyBorder="1"/>
    <xf numFmtId="10" fontId="76" fillId="29" borderId="14" xfId="0" applyNumberFormat="1" applyFont="1" applyFill="1" applyBorder="1" applyAlignment="1">
      <alignment horizontal="right"/>
    </xf>
    <xf numFmtId="0" fontId="76" fillId="29" borderId="0" xfId="0" applyNumberFormat="1" applyFont="1" applyFill="1" applyBorder="1" applyAlignment="1">
      <alignment horizontal="right"/>
    </xf>
    <xf numFmtId="3" fontId="76" fillId="29" borderId="0" xfId="0" applyNumberFormat="1" applyFont="1" applyFill="1" applyBorder="1" applyAlignment="1">
      <alignment horizontal="right"/>
    </xf>
    <xf numFmtId="1" fontId="76" fillId="29" borderId="0" xfId="0" applyNumberFormat="1" applyFont="1" applyFill="1" applyBorder="1" applyAlignment="1">
      <alignment horizontal="right"/>
    </xf>
    <xf numFmtId="0" fontId="77" fillId="29" borderId="0" xfId="0" applyFont="1" applyFill="1" applyAlignment="1">
      <alignment horizontal="right"/>
    </xf>
    <xf numFmtId="0" fontId="78" fillId="29" borderId="0" xfId="0" applyFont="1" applyFill="1"/>
    <xf numFmtId="10" fontId="80" fillId="29" borderId="0" xfId="0" applyNumberFormat="1" applyFont="1" applyFill="1" applyBorder="1" applyAlignment="1">
      <alignment horizontal="right"/>
    </xf>
    <xf numFmtId="0" fontId="77" fillId="29" borderId="0" xfId="0" applyFont="1" applyFill="1" applyAlignment="1">
      <alignment horizontal="left"/>
    </xf>
    <xf numFmtId="37" fontId="77" fillId="29" borderId="0" xfId="0" applyNumberFormat="1" applyFont="1" applyFill="1" applyAlignment="1">
      <alignment horizontal="right"/>
    </xf>
    <xf numFmtId="3" fontId="76" fillId="29" borderId="0" xfId="0" applyNumberFormat="1" applyFont="1" applyFill="1" applyAlignment="1">
      <alignment horizontal="right"/>
    </xf>
    <xf numFmtId="173" fontId="77" fillId="29" borderId="0" xfId="59" applyNumberFormat="1" applyFont="1" applyFill="1" applyBorder="1" applyAlignment="1">
      <alignment horizontal="right"/>
    </xf>
    <xf numFmtId="0" fontId="78" fillId="29" borderId="0" xfId="0" applyNumberFormat="1" applyFont="1" applyFill="1" applyBorder="1"/>
    <xf numFmtId="37" fontId="78" fillId="29" borderId="0" xfId="0" applyNumberFormat="1" applyFont="1" applyFill="1" applyAlignment="1">
      <alignment horizontal="right"/>
    </xf>
    <xf numFmtId="173" fontId="78" fillId="29" borderId="0" xfId="59" applyNumberFormat="1" applyFont="1" applyFill="1" applyBorder="1" applyAlignment="1">
      <alignment horizontal="right"/>
    </xf>
    <xf numFmtId="0" fontId="77" fillId="29" borderId="0" xfId="0" applyNumberFormat="1" applyFont="1" applyFill="1" applyBorder="1"/>
    <xf numFmtId="37" fontId="78" fillId="29" borderId="0" xfId="0" applyNumberFormat="1" applyFont="1" applyFill="1"/>
    <xf numFmtId="0" fontId="79" fillId="29" borderId="0" xfId="0" applyNumberFormat="1" applyFont="1" applyFill="1" applyBorder="1"/>
    <xf numFmtId="164" fontId="79" fillId="29" borderId="0" xfId="59" applyNumberFormat="1" applyFont="1" applyFill="1" applyBorder="1" applyAlignment="1">
      <alignment horizontal="right"/>
    </xf>
    <xf numFmtId="37" fontId="77" fillId="29" borderId="0" xfId="0" applyNumberFormat="1" applyFont="1" applyFill="1"/>
    <xf numFmtId="171" fontId="79" fillId="29" borderId="0" xfId="0" applyNumberFormat="1" applyFont="1" applyFill="1" applyBorder="1" applyAlignment="1">
      <alignment horizontal="right"/>
    </xf>
    <xf numFmtId="173" fontId="79" fillId="29" borderId="0" xfId="59" applyNumberFormat="1" applyFont="1" applyFill="1" applyBorder="1" applyAlignment="1">
      <alignment horizontal="right"/>
    </xf>
    <xf numFmtId="39" fontId="79" fillId="29" borderId="0" xfId="59" applyNumberFormat="1" applyFont="1" applyFill="1" applyBorder="1" applyAlignment="1">
      <alignment horizontal="right"/>
    </xf>
    <xf numFmtId="3" fontId="79" fillId="29" borderId="0" xfId="0" applyNumberFormat="1" applyFont="1" applyFill="1" applyBorder="1" applyAlignment="1">
      <alignment horizontal="right"/>
    </xf>
    <xf numFmtId="0" fontId="78" fillId="29" borderId="0" xfId="0" applyFont="1" applyFill="1" applyBorder="1"/>
    <xf numFmtId="169" fontId="76" fillId="29" borderId="0" xfId="0" applyNumberFormat="1" applyFont="1" applyFill="1" applyBorder="1" applyAlignment="1">
      <alignment horizontal="right"/>
    </xf>
    <xf numFmtId="0" fontId="77" fillId="29" borderId="0" xfId="101" applyFont="1" applyFill="1" applyBorder="1" applyAlignment="1">
      <alignment horizontal="left"/>
    </xf>
    <xf numFmtId="164" fontId="77" fillId="29" borderId="0" xfId="0" applyNumberFormat="1" applyFont="1" applyFill="1" applyAlignment="1">
      <alignment horizontal="right"/>
    </xf>
    <xf numFmtId="1" fontId="76" fillId="29" borderId="0" xfId="0" applyNumberFormat="1" applyFont="1" applyFill="1" applyAlignment="1">
      <alignment horizontal="right"/>
    </xf>
    <xf numFmtId="39" fontId="77" fillId="29" borderId="0" xfId="0" applyNumberFormat="1" applyFont="1" applyFill="1" applyAlignment="1">
      <alignment horizontal="right"/>
    </xf>
    <xf numFmtId="0" fontId="84" fillId="29" borderId="0" xfId="0" applyNumberFormat="1" applyFont="1" applyFill="1" applyBorder="1"/>
    <xf numFmtId="170" fontId="78" fillId="29" borderId="0" xfId="0" applyNumberFormat="1" applyFont="1" applyFill="1" applyBorder="1" applyAlignment="1">
      <alignment horizontal="right"/>
    </xf>
    <xf numFmtId="164" fontId="76" fillId="29" borderId="0" xfId="0" applyNumberFormat="1" applyFont="1" applyFill="1" applyAlignment="1">
      <alignment horizontal="right"/>
    </xf>
    <xf numFmtId="171" fontId="76" fillId="29" borderId="0" xfId="0" applyNumberFormat="1" applyFont="1" applyFill="1" applyBorder="1" applyAlignment="1">
      <alignment horizontal="right"/>
    </xf>
    <xf numFmtId="171" fontId="77" fillId="29" borderId="0" xfId="0" applyNumberFormat="1" applyFont="1" applyFill="1" applyBorder="1" applyAlignment="1">
      <alignment horizontal="right"/>
    </xf>
    <xf numFmtId="0" fontId="75" fillId="29" borderId="15" xfId="0" applyNumberFormat="1" applyFont="1" applyFill="1" applyBorder="1"/>
    <xf numFmtId="0" fontId="76" fillId="29" borderId="15" xfId="0" applyNumberFormat="1" applyFont="1" applyFill="1" applyBorder="1" applyAlignment="1">
      <alignment horizontal="right"/>
    </xf>
    <xf numFmtId="3" fontId="76" fillId="29" borderId="15" xfId="0" applyNumberFormat="1" applyFont="1" applyFill="1" applyBorder="1" applyAlignment="1">
      <alignment horizontal="right"/>
    </xf>
    <xf numFmtId="10" fontId="76" fillId="29" borderId="15" xfId="0" applyNumberFormat="1" applyFont="1" applyFill="1" applyBorder="1" applyAlignment="1">
      <alignment horizontal="right"/>
    </xf>
    <xf numFmtId="0" fontId="77" fillId="29" borderId="14" xfId="0" applyFont="1" applyFill="1" applyBorder="1" applyAlignment="1">
      <alignment horizontal="right"/>
    </xf>
    <xf numFmtId="3" fontId="78" fillId="29" borderId="0" xfId="0" applyNumberFormat="1" applyFont="1" applyFill="1"/>
    <xf numFmtId="3" fontId="77" fillId="29" borderId="0" xfId="0" applyNumberFormat="1" applyFont="1" applyFill="1"/>
    <xf numFmtId="43" fontId="77" fillId="29" borderId="0" xfId="59" applyNumberFormat="1" applyFont="1" applyFill="1" applyAlignment="1">
      <alignment horizontal="right"/>
    </xf>
    <xf numFmtId="170" fontId="77" fillId="29" borderId="0" xfId="0" applyNumberFormat="1" applyFont="1" applyFill="1" applyBorder="1" applyAlignment="1">
      <alignment horizontal="right"/>
    </xf>
    <xf numFmtId="0" fontId="77" fillId="29" borderId="0" xfId="0" applyFont="1" applyFill="1" applyBorder="1" applyProtection="1">
      <protection locked="0"/>
    </xf>
    <xf numFmtId="1" fontId="76" fillId="0" borderId="0" xfId="0" applyNumberFormat="1" applyFont="1"/>
    <xf numFmtId="0" fontId="77" fillId="0" borderId="0" xfId="0" applyFont="1" applyBorder="1"/>
    <xf numFmtId="3" fontId="76" fillId="0" borderId="0" xfId="0" applyNumberFormat="1" applyFont="1" applyBorder="1"/>
    <xf numFmtId="1" fontId="76" fillId="0" borderId="0" xfId="0" applyNumberFormat="1" applyFont="1" applyBorder="1"/>
    <xf numFmtId="1" fontId="76" fillId="29" borderId="0" xfId="0" applyNumberFormat="1" applyFont="1" applyFill="1"/>
    <xf numFmtId="1" fontId="77" fillId="29" borderId="14" xfId="0" applyNumberFormat="1" applyFont="1" applyFill="1" applyBorder="1" applyAlignment="1">
      <alignment horizontal="right"/>
    </xf>
    <xf numFmtId="1" fontId="82" fillId="25" borderId="0" xfId="0" applyNumberFormat="1" applyFont="1" applyFill="1" applyBorder="1" applyAlignment="1">
      <alignment horizontal="right"/>
    </xf>
    <xf numFmtId="3" fontId="76" fillId="29" borderId="14" xfId="0" applyNumberFormat="1" applyFont="1" applyFill="1" applyBorder="1" applyAlignment="1">
      <alignment horizontal="right"/>
    </xf>
    <xf numFmtId="1" fontId="76" fillId="29" borderId="14" xfId="0" applyNumberFormat="1" applyFont="1" applyFill="1" applyBorder="1" applyAlignment="1">
      <alignment horizontal="right"/>
    </xf>
    <xf numFmtId="171" fontId="78" fillId="29" borderId="0" xfId="0" applyNumberFormat="1" applyFont="1" applyFill="1" applyBorder="1" applyAlignment="1">
      <alignment horizontal="right"/>
    </xf>
    <xf numFmtId="2" fontId="80" fillId="29" borderId="0" xfId="0" applyNumberFormat="1" applyFont="1" applyFill="1" applyBorder="1" applyAlignment="1">
      <alignment horizontal="right"/>
    </xf>
    <xf numFmtId="171" fontId="80" fillId="29" borderId="0" xfId="0" applyNumberFormat="1" applyFont="1" applyFill="1" applyBorder="1" applyAlignment="1">
      <alignment horizontal="right"/>
    </xf>
    <xf numFmtId="0" fontId="12" fillId="29" borderId="14" xfId="102" applyFont="1" applyFill="1" applyBorder="1"/>
    <xf numFmtId="0" fontId="10" fillId="29" borderId="14" xfId="102" applyFont="1" applyFill="1" applyBorder="1" applyAlignment="1">
      <alignment horizontal="right" wrapText="1"/>
    </xf>
    <xf numFmtId="0" fontId="10" fillId="29" borderId="14" xfId="102" applyFont="1" applyFill="1" applyBorder="1" applyAlignment="1">
      <alignment horizontal="right"/>
    </xf>
    <xf numFmtId="165" fontId="1" fillId="29" borderId="0" xfId="102" applyNumberFormat="1" applyFont="1" applyFill="1" applyBorder="1"/>
    <xf numFmtId="0" fontId="10" fillId="29" borderId="0" xfId="102" applyFont="1" applyFill="1" applyBorder="1"/>
    <xf numFmtId="3" fontId="10" fillId="29" borderId="0" xfId="102" applyNumberFormat="1" applyFont="1" applyFill="1" applyBorder="1"/>
    <xf numFmtId="165" fontId="10" fillId="29" borderId="0" xfId="102" applyNumberFormat="1" applyFont="1" applyFill="1" applyBorder="1"/>
    <xf numFmtId="0" fontId="17" fillId="29" borderId="0" xfId="0" applyFont="1" applyFill="1"/>
    <xf numFmtId="167" fontId="88" fillId="0" borderId="0" xfId="59" applyNumberFormat="1" applyFont="1" applyFill="1" applyAlignment="1">
      <alignment horizontal="right"/>
    </xf>
    <xf numFmtId="196" fontId="12" fillId="0" borderId="0" xfId="59" applyNumberFormat="1" applyFont="1" applyFill="1"/>
    <xf numFmtId="0" fontId="1" fillId="0" borderId="0" xfId="100" applyFont="1"/>
    <xf numFmtId="0" fontId="88" fillId="0" borderId="0" xfId="100" applyFont="1" applyAlignment="1">
      <alignment horizontal="right"/>
    </xf>
    <xf numFmtId="3" fontId="77" fillId="29" borderId="0" xfId="0" applyNumberFormat="1" applyFont="1" applyFill="1" applyBorder="1" applyAlignment="1">
      <alignment horizontal="right"/>
    </xf>
    <xf numFmtId="166" fontId="17" fillId="0" borderId="0" xfId="0" applyNumberFormat="1" applyFont="1"/>
    <xf numFmtId="166" fontId="12" fillId="0" borderId="0" xfId="59" applyNumberFormat="1" applyFont="1"/>
    <xf numFmtId="0" fontId="1" fillId="0" borderId="0" xfId="0" applyFont="1"/>
    <xf numFmtId="167" fontId="1" fillId="0" borderId="0" xfId="59" applyNumberFormat="1" applyFont="1"/>
    <xf numFmtId="173" fontId="1" fillId="0" borderId="0" xfId="59" applyNumberFormat="1" applyFont="1"/>
    <xf numFmtId="167" fontId="1" fillId="0" borderId="0" xfId="59" applyNumberFormat="1" applyFont="1" applyFill="1"/>
    <xf numFmtId="173" fontId="88" fillId="0" borderId="0" xfId="59" applyNumberFormat="1" applyFont="1" applyFill="1"/>
    <xf numFmtId="173" fontId="1" fillId="0" borderId="0" xfId="59" applyNumberFormat="1" applyFont="1" applyFill="1"/>
    <xf numFmtId="0" fontId="1" fillId="29" borderId="0" xfId="102" applyFont="1" applyFill="1" applyBorder="1"/>
    <xf numFmtId="43" fontId="1" fillId="0" borderId="0" xfId="59" applyFont="1" applyFill="1" applyAlignment="1">
      <alignment horizontal="right"/>
    </xf>
    <xf numFmtId="3" fontId="17" fillId="28" borderId="0" xfId="0" applyNumberFormat="1" applyFont="1" applyFill="1" applyAlignment="1">
      <alignment horizontal="right"/>
    </xf>
    <xf numFmtId="167" fontId="12" fillId="0" borderId="0" xfId="0" applyNumberFormat="1" applyFont="1" applyFill="1"/>
    <xf numFmtId="43" fontId="13" fillId="0" borderId="0" xfId="59" applyFont="1" applyFill="1"/>
    <xf numFmtId="0" fontId="23" fillId="0" borderId="0" xfId="100" applyFont="1" applyFill="1" applyAlignment="1">
      <alignment horizontal="right"/>
    </xf>
    <xf numFmtId="0" fontId="11" fillId="31" borderId="0" xfId="102" applyFont="1" applyFill="1" applyBorder="1"/>
    <xf numFmtId="3" fontId="11" fillId="31" borderId="0" xfId="102" applyNumberFormat="1" applyFont="1" applyFill="1" applyBorder="1"/>
    <xf numFmtId="3" fontId="12" fillId="0" borderId="0" xfId="102" applyNumberFormat="1" applyFont="1" applyFill="1"/>
    <xf numFmtId="0" fontId="10" fillId="0" borderId="14" xfId="102" applyFont="1" applyFill="1" applyBorder="1" applyAlignment="1">
      <alignment horizontal="right"/>
    </xf>
    <xf numFmtId="3" fontId="10" fillId="0" borderId="0" xfId="102" applyNumberFormat="1" applyFont="1" applyFill="1" applyBorder="1"/>
    <xf numFmtId="3" fontId="11" fillId="0" borderId="0" xfId="102" applyNumberFormat="1" applyFont="1" applyFill="1" applyBorder="1"/>
    <xf numFmtId="4" fontId="12" fillId="0" borderId="0" xfId="102" applyNumberFormat="1" applyFont="1" applyFill="1"/>
    <xf numFmtId="3" fontId="10" fillId="0" borderId="0" xfId="102" applyNumberFormat="1" applyFont="1" applyFill="1" applyBorder="1" applyAlignment="1">
      <alignment horizontal="right"/>
    </xf>
    <xf numFmtId="165" fontId="12" fillId="0" borderId="0" xfId="102" applyNumberFormat="1" applyFont="1" applyFill="1"/>
    <xf numFmtId="165" fontId="10" fillId="0" borderId="0" xfId="102" applyNumberFormat="1" applyFont="1" applyFill="1"/>
    <xf numFmtId="0" fontId="2" fillId="0" borderId="0" xfId="137"/>
    <xf numFmtId="0" fontId="12" fillId="32" borderId="0" xfId="102" applyFont="1" applyFill="1" applyAlignment="1">
      <alignment horizontal="right"/>
    </xf>
    <xf numFmtId="3" fontId="12" fillId="32" borderId="0" xfId="102" applyNumberFormat="1" applyFont="1" applyFill="1"/>
    <xf numFmtId="0" fontId="1" fillId="0" borderId="0" xfId="102" applyFont="1"/>
    <xf numFmtId="0" fontId="10" fillId="30" borderId="0" xfId="102" applyFont="1" applyFill="1"/>
    <xf numFmtId="3" fontId="10" fillId="30" borderId="0" xfId="102" applyNumberFormat="1" applyFont="1" applyFill="1"/>
    <xf numFmtId="0" fontId="10" fillId="33" borderId="0" xfId="102" applyFont="1" applyFill="1"/>
    <xf numFmtId="4" fontId="10" fillId="33" borderId="0" xfId="102" applyNumberFormat="1" applyFont="1" applyFill="1"/>
    <xf numFmtId="167" fontId="10" fillId="30" borderId="0" xfId="59" applyNumberFormat="1" applyFont="1" applyFill="1"/>
    <xf numFmtId="173" fontId="10" fillId="29" borderId="0" xfId="59" applyNumberFormat="1" applyFont="1" applyFill="1" applyBorder="1"/>
    <xf numFmtId="4" fontId="10" fillId="29" borderId="0" xfId="102" applyNumberFormat="1" applyFont="1" applyFill="1" applyBorder="1"/>
    <xf numFmtId="173" fontId="11" fillId="31" borderId="0" xfId="59" applyNumberFormat="1" applyFont="1" applyFill="1" applyBorder="1"/>
    <xf numFmtId="0" fontId="12" fillId="0" borderId="0" xfId="102" applyFont="1" applyFill="1" applyAlignment="1">
      <alignment horizontal="right"/>
    </xf>
    <xf numFmtId="173" fontId="89" fillId="0" borderId="0" xfId="59" applyNumberFormat="1" applyFont="1"/>
    <xf numFmtId="167" fontId="89" fillId="0" borderId="0" xfId="59" applyNumberFormat="1" applyFont="1" applyFill="1" applyAlignment="1">
      <alignment horizontal="right"/>
    </xf>
    <xf numFmtId="43" fontId="1" fillId="0" borderId="0" xfId="59" applyNumberFormat="1" applyFont="1" applyFill="1"/>
    <xf numFmtId="0" fontId="13" fillId="0" borderId="0" xfId="100" applyFont="1" applyAlignment="1">
      <alignment horizontal="right"/>
    </xf>
    <xf numFmtId="173" fontId="89" fillId="0" borderId="0" xfId="59" applyNumberFormat="1" applyFont="1" applyAlignment="1">
      <alignment horizontal="right"/>
    </xf>
    <xf numFmtId="9" fontId="89" fillId="0" borderId="0" xfId="59" applyNumberFormat="1" applyFont="1" applyAlignment="1">
      <alignment horizontal="right"/>
    </xf>
    <xf numFmtId="174" fontId="13" fillId="0" borderId="0" xfId="100" quotePrefix="1" applyNumberFormat="1" applyFont="1" applyAlignment="1">
      <alignment horizontal="right"/>
    </xf>
    <xf numFmtId="4" fontId="1" fillId="0" borderId="0" xfId="0" applyNumberFormat="1" applyFont="1"/>
    <xf numFmtId="173" fontId="1" fillId="27" borderId="0" xfId="0" applyNumberFormat="1" applyFont="1" applyFill="1" applyBorder="1" applyAlignment="1">
      <alignment horizontal="right"/>
    </xf>
    <xf numFmtId="37" fontId="1" fillId="27" borderId="0" xfId="0" applyNumberFormat="1" applyFont="1" applyFill="1" applyBorder="1" applyAlignment="1">
      <alignment horizontal="right"/>
    </xf>
    <xf numFmtId="167" fontId="13" fillId="27" borderId="0" xfId="59" applyNumberFormat="1" applyFont="1" applyFill="1" applyBorder="1" applyAlignment="1"/>
    <xf numFmtId="43" fontId="13" fillId="26" borderId="0" xfId="59" applyNumberFormat="1" applyFont="1" applyFill="1"/>
    <xf numFmtId="167" fontId="1" fillId="26" borderId="0" xfId="59" applyNumberFormat="1" applyFont="1" applyFill="1"/>
    <xf numFmtId="173" fontId="1" fillId="26" borderId="0" xfId="59" applyNumberFormat="1" applyFont="1" applyFill="1"/>
    <xf numFmtId="43" fontId="1" fillId="0" borderId="0" xfId="59" applyNumberFormat="1" applyFont="1"/>
    <xf numFmtId="37" fontId="1" fillId="0" borderId="0" xfId="0" applyNumberFormat="1" applyFont="1" applyFill="1"/>
    <xf numFmtId="0" fontId="1" fillId="0" borderId="0" xfId="0" applyFont="1" applyFill="1"/>
    <xf numFmtId="173" fontId="13" fillId="0" borderId="0" xfId="59" applyNumberFormat="1" applyFont="1" applyBorder="1"/>
    <xf numFmtId="173" fontId="1" fillId="0" borderId="0" xfId="59" applyNumberFormat="1" applyFont="1" applyBorder="1"/>
    <xf numFmtId="173" fontId="1" fillId="0" borderId="0" xfId="59" applyNumberFormat="1" applyFont="1" applyFill="1" applyBorder="1"/>
    <xf numFmtId="167" fontId="13" fillId="0" borderId="0" xfId="59" applyNumberFormat="1" applyFont="1" applyBorder="1"/>
    <xf numFmtId="167" fontId="1" fillId="0" borderId="0" xfId="59" applyNumberFormat="1" applyFont="1" applyBorder="1"/>
    <xf numFmtId="167" fontId="1" fillId="0" borderId="0" xfId="59" applyNumberFormat="1" applyFont="1" applyFill="1" applyBorder="1"/>
    <xf numFmtId="43" fontId="13" fillId="0" borderId="0" xfId="59" applyFont="1" applyFill="1" applyAlignment="1">
      <alignment horizontal="right"/>
    </xf>
    <xf numFmtId="167" fontId="1" fillId="0" borderId="0" xfId="59" applyNumberFormat="1" applyFont="1" applyFill="1" applyAlignment="1"/>
    <xf numFmtId="165" fontId="1" fillId="0" borderId="0" xfId="0" applyNumberFormat="1" applyFont="1" applyFill="1"/>
    <xf numFmtId="167" fontId="13" fillId="0" borderId="0" xfId="59" applyNumberFormat="1" applyFont="1" applyFill="1" applyAlignment="1">
      <alignment horizontal="right"/>
    </xf>
    <xf numFmtId="173" fontId="1" fillId="0" borderId="0" xfId="59" applyNumberFormat="1" applyFont="1" applyFill="1" applyAlignment="1">
      <alignment horizontal="right"/>
    </xf>
    <xf numFmtId="167" fontId="1" fillId="0" borderId="0" xfId="59" applyNumberFormat="1" applyFont="1" applyFill="1" applyAlignment="1">
      <alignment horizontal="right"/>
    </xf>
    <xf numFmtId="173" fontId="13" fillId="0" borderId="0" xfId="59" applyNumberFormat="1" applyFont="1" applyFill="1" applyAlignment="1">
      <alignment horizontal="right"/>
    </xf>
    <xf numFmtId="165" fontId="1" fillId="0" borderId="0" xfId="0" applyNumberFormat="1" applyFont="1"/>
    <xf numFmtId="39" fontId="1" fillId="0" borderId="0" xfId="0" applyNumberFormat="1" applyFont="1"/>
    <xf numFmtId="3" fontId="1" fillId="0" borderId="0" xfId="0" applyNumberFormat="1" applyFont="1"/>
    <xf numFmtId="3" fontId="1" fillId="27" borderId="0" xfId="0" applyNumberFormat="1" applyFont="1" applyFill="1"/>
    <xf numFmtId="165" fontId="1" fillId="27" borderId="0" xfId="0" applyNumberFormat="1" applyFont="1" applyFill="1"/>
    <xf numFmtId="173" fontId="1" fillId="27" borderId="0" xfId="59" applyNumberFormat="1" applyFont="1" applyFill="1"/>
    <xf numFmtId="43" fontId="1" fillId="27" borderId="0" xfId="59" applyFont="1" applyFill="1"/>
    <xf numFmtId="173" fontId="1" fillId="0" borderId="0" xfId="0" applyNumberFormat="1" applyFont="1"/>
    <xf numFmtId="43" fontId="1" fillId="0" borderId="0" xfId="59" applyFont="1"/>
    <xf numFmtId="43" fontId="1" fillId="0" borderId="0" xfId="59" applyFont="1" applyFill="1"/>
    <xf numFmtId="9" fontId="13" fillId="0" borderId="0" xfId="111" applyFont="1"/>
    <xf numFmtId="37" fontId="1" fillId="0" borderId="0" xfId="0" applyNumberFormat="1" applyFont="1"/>
    <xf numFmtId="3" fontId="17" fillId="34" borderId="0" xfId="0" applyNumberFormat="1" applyFont="1" applyFill="1" applyAlignment="1">
      <alignment horizontal="right"/>
    </xf>
    <xf numFmtId="173" fontId="89" fillId="0" borderId="0" xfId="59" applyNumberFormat="1" applyFont="1" applyFill="1"/>
    <xf numFmtId="194" fontId="90" fillId="0" borderId="0" xfId="0" applyNumberFormat="1" applyFont="1" applyFill="1" applyBorder="1" applyAlignment="1">
      <alignment horizontal="right"/>
    </xf>
    <xf numFmtId="0" fontId="1" fillId="29" borderId="0" xfId="102" applyFont="1" applyFill="1" applyBorder="1" applyAlignment="1">
      <alignment horizontal="left" indent="1"/>
    </xf>
    <xf numFmtId="173" fontId="1" fillId="29" borderId="0" xfId="59" applyNumberFormat="1" applyFont="1" applyFill="1" applyBorder="1"/>
    <xf numFmtId="3" fontId="1" fillId="29" borderId="0" xfId="102" applyNumberFormat="1" applyFont="1" applyFill="1" applyBorder="1"/>
    <xf numFmtId="165" fontId="89" fillId="29" borderId="0" xfId="102" applyNumberFormat="1" applyFont="1" applyFill="1" applyBorder="1"/>
    <xf numFmtId="173" fontId="89" fillId="29" borderId="0" xfId="59" applyNumberFormat="1" applyFont="1" applyFill="1" applyBorder="1"/>
    <xf numFmtId="167" fontId="12" fillId="27" borderId="0" xfId="59" applyNumberFormat="1" applyFont="1" applyFill="1"/>
    <xf numFmtId="173" fontId="12" fillId="28" borderId="0" xfId="59" applyNumberFormat="1" applyFont="1" applyFill="1"/>
    <xf numFmtId="173" fontId="23" fillId="0" borderId="0" xfId="0" applyNumberFormat="1" applyFont="1" applyFill="1"/>
    <xf numFmtId="173" fontId="17" fillId="0" borderId="0" xfId="0" applyNumberFormat="1" applyFont="1" applyAlignment="1">
      <alignment horizontal="right"/>
    </xf>
    <xf numFmtId="173" fontId="17" fillId="0" borderId="0" xfId="0" applyNumberFormat="1" applyFont="1" applyFill="1" applyAlignment="1">
      <alignment horizontal="right"/>
    </xf>
    <xf numFmtId="4" fontId="23" fillId="0" borderId="0" xfId="102" applyNumberFormat="1" applyFont="1" applyFill="1" applyBorder="1"/>
    <xf numFmtId="3" fontId="10" fillId="0" borderId="0" xfId="102" applyNumberFormat="1" applyFont="1" applyBorder="1" applyAlignment="1">
      <alignment horizontal="right"/>
    </xf>
    <xf numFmtId="167" fontId="1" fillId="29" borderId="0" xfId="59" applyNumberFormat="1" applyFont="1" applyFill="1" applyBorder="1"/>
    <xf numFmtId="39" fontId="1" fillId="29" borderId="0" xfId="59" applyNumberFormat="1" applyFont="1" applyFill="1" applyBorder="1"/>
    <xf numFmtId="165" fontId="10" fillId="28" borderId="0" xfId="102" applyNumberFormat="1" applyFont="1" applyFill="1"/>
    <xf numFmtId="173" fontId="13" fillId="0" borderId="0" xfId="0" applyNumberFormat="1" applyFont="1" applyFill="1"/>
    <xf numFmtId="37" fontId="13" fillId="0" borderId="0" xfId="0" applyNumberFormat="1" applyFont="1" applyFill="1"/>
    <xf numFmtId="37" fontId="13" fillId="0" borderId="0" xfId="0" applyNumberFormat="1" applyFont="1"/>
    <xf numFmtId="3" fontId="1" fillId="0" borderId="0" xfId="0" applyNumberFormat="1" applyFont="1" applyFill="1"/>
    <xf numFmtId="3" fontId="1" fillId="0" borderId="0" xfId="0" applyNumberFormat="1" applyFont="1" applyBorder="1"/>
    <xf numFmtId="173" fontId="13" fillId="0" borderId="0" xfId="59" applyNumberFormat="1" applyFont="1" applyFill="1" applyBorder="1"/>
    <xf numFmtId="3" fontId="13" fillId="0" borderId="0" xfId="0" applyNumberFormat="1" applyFont="1"/>
    <xf numFmtId="173" fontId="13" fillId="29" borderId="0" xfId="59" applyNumberFormat="1" applyFont="1" applyFill="1"/>
    <xf numFmtId="173" fontId="88" fillId="29" borderId="0" xfId="59" applyNumberFormat="1" applyFont="1" applyFill="1"/>
    <xf numFmtId="0" fontId="77" fillId="29" borderId="0" xfId="0" applyFont="1" applyFill="1" applyBorder="1"/>
    <xf numFmtId="3" fontId="76" fillId="29" borderId="0" xfId="0" applyNumberFormat="1" applyFont="1" applyFill="1" applyBorder="1"/>
    <xf numFmtId="1" fontId="76" fillId="29" borderId="0" xfId="0" applyNumberFormat="1" applyFont="1" applyFill="1" applyBorder="1"/>
    <xf numFmtId="37" fontId="77" fillId="29" borderId="0" xfId="0" applyNumberFormat="1" applyFont="1" applyFill="1" applyBorder="1" applyAlignment="1">
      <alignment horizontal="right"/>
    </xf>
    <xf numFmtId="37" fontId="87" fillId="29" borderId="0" xfId="0" applyNumberFormat="1" applyFont="1" applyFill="1" applyBorder="1" applyAlignment="1">
      <alignment horizontal="right"/>
    </xf>
    <xf numFmtId="37" fontId="78" fillId="29" borderId="0" xfId="0" applyNumberFormat="1" applyFont="1" applyFill="1" applyBorder="1" applyAlignment="1">
      <alignment horizontal="right"/>
    </xf>
    <xf numFmtId="37" fontId="78" fillId="29" borderId="0" xfId="0" applyNumberFormat="1" applyFont="1" applyFill="1" applyBorder="1"/>
    <xf numFmtId="37" fontId="77" fillId="29" borderId="0" xfId="0" applyNumberFormat="1" applyFont="1" applyFill="1" applyBorder="1"/>
    <xf numFmtId="39" fontId="77" fillId="29" borderId="0" xfId="0" applyNumberFormat="1" applyFont="1" applyFill="1" applyBorder="1"/>
    <xf numFmtId="37" fontId="76" fillId="29" borderId="0" xfId="0" applyNumberFormat="1" applyFont="1" applyFill="1" applyBorder="1" applyAlignment="1">
      <alignment horizontal="right"/>
    </xf>
    <xf numFmtId="164" fontId="77" fillId="29" borderId="0" xfId="0" applyNumberFormat="1" applyFont="1" applyFill="1" applyBorder="1" applyAlignment="1">
      <alignment horizontal="right"/>
    </xf>
    <xf numFmtId="39" fontId="77" fillId="29" borderId="0" xfId="0" applyNumberFormat="1" applyFont="1" applyFill="1" applyBorder="1" applyAlignment="1">
      <alignment horizontal="right"/>
    </xf>
    <xf numFmtId="164" fontId="76" fillId="29" borderId="0" xfId="0" applyNumberFormat="1" applyFont="1" applyFill="1" applyBorder="1" applyAlignment="1">
      <alignment horizontal="right"/>
    </xf>
    <xf numFmtId="164" fontId="77" fillId="29" borderId="0" xfId="0" applyNumberFormat="1" applyFont="1" applyFill="1" applyBorder="1"/>
    <xf numFmtId="164" fontId="23" fillId="0" borderId="0" xfId="59" applyNumberFormat="1" applyFont="1"/>
    <xf numFmtId="37" fontId="1" fillId="0" borderId="0" xfId="59" applyNumberFormat="1" applyFont="1"/>
    <xf numFmtId="37" fontId="91" fillId="0" borderId="0" xfId="59" applyNumberFormat="1" applyFont="1"/>
    <xf numFmtId="37" fontId="12" fillId="0" borderId="0" xfId="59" applyNumberFormat="1" applyFont="1"/>
    <xf numFmtId="164" fontId="13" fillId="0" borderId="0" xfId="59" applyNumberFormat="1" applyFont="1"/>
    <xf numFmtId="37" fontId="23" fillId="0" borderId="0" xfId="59" applyNumberFormat="1" applyFont="1"/>
    <xf numFmtId="164" fontId="12" fillId="0" borderId="0" xfId="59" applyNumberFormat="1" applyFont="1"/>
    <xf numFmtId="164" fontId="1" fillId="0" borderId="0" xfId="59" applyNumberFormat="1" applyFont="1"/>
    <xf numFmtId="1" fontId="1" fillId="0" borderId="0" xfId="59" applyNumberFormat="1" applyFont="1"/>
    <xf numFmtId="1" fontId="91" fillId="0" borderId="0" xfId="59" applyNumberFormat="1" applyFont="1"/>
    <xf numFmtId="166" fontId="1" fillId="0" borderId="0" xfId="0" applyNumberFormat="1" applyFont="1"/>
    <xf numFmtId="166" fontId="1" fillId="0" borderId="0" xfId="59" applyNumberFormat="1" applyFont="1" applyAlignment="1">
      <alignment horizontal="right"/>
    </xf>
    <xf numFmtId="173" fontId="92" fillId="0" borderId="0" xfId="59" applyNumberFormat="1" applyFont="1"/>
    <xf numFmtId="37" fontId="92" fillId="0" borderId="0" xfId="59" applyNumberFormat="1" applyFont="1" applyAlignment="1">
      <alignment horizontal="right"/>
    </xf>
    <xf numFmtId="37" fontId="13" fillId="0" borderId="0" xfId="59" applyNumberFormat="1" applyFont="1"/>
    <xf numFmtId="37" fontId="13" fillId="0" borderId="0" xfId="59" applyNumberFormat="1" applyFont="1" applyFill="1"/>
    <xf numFmtId="37" fontId="1" fillId="0" borderId="0" xfId="59" applyNumberFormat="1" applyFont="1" applyFill="1"/>
    <xf numFmtId="193" fontId="1" fillId="0" borderId="0" xfId="0" applyNumberFormat="1" applyFont="1"/>
    <xf numFmtId="165" fontId="1" fillId="26" borderId="0" xfId="0" applyNumberFormat="1" applyFont="1" applyFill="1"/>
    <xf numFmtId="173" fontId="13" fillId="27" borderId="0" xfId="59" applyNumberFormat="1" applyFont="1" applyFill="1"/>
    <xf numFmtId="173" fontId="91" fillId="29" borderId="0" xfId="59" applyNumberFormat="1" applyFont="1" applyFill="1"/>
    <xf numFmtId="174" fontId="13" fillId="0" borderId="0" xfId="111" applyNumberFormat="1" applyFont="1"/>
    <xf numFmtId="164" fontId="95" fillId="0" borderId="0" xfId="59" applyNumberFormat="1" applyFont="1"/>
    <xf numFmtId="3" fontId="96" fillId="0" borderId="0" xfId="0" applyNumberFormat="1" applyFont="1" applyFill="1" applyAlignment="1">
      <alignment horizontal="right"/>
    </xf>
    <xf numFmtId="37" fontId="95" fillId="0" borderId="0" xfId="59" applyNumberFormat="1" applyFont="1"/>
    <xf numFmtId="1" fontId="97" fillId="0" borderId="0" xfId="0" applyNumberFormat="1" applyFont="1" applyAlignment="1">
      <alignment horizontal="right"/>
    </xf>
    <xf numFmtId="0" fontId="97" fillId="0" borderId="0" xfId="0" applyFont="1"/>
    <xf numFmtId="0" fontId="98" fillId="0" borderId="0" xfId="0" applyFont="1"/>
    <xf numFmtId="0" fontId="98" fillId="0" borderId="0" xfId="0" applyFont="1" applyFill="1"/>
    <xf numFmtId="4" fontId="97" fillId="0" borderId="0" xfId="0" applyNumberFormat="1" applyFont="1" applyAlignment="1">
      <alignment horizontal="right"/>
    </xf>
    <xf numFmtId="4" fontId="98" fillId="0" borderId="0" xfId="0" applyNumberFormat="1" applyFont="1"/>
    <xf numFmtId="1" fontId="97" fillId="0" borderId="0" xfId="0" applyNumberFormat="1" applyFont="1" applyFill="1" applyAlignment="1">
      <alignment horizontal="right"/>
    </xf>
    <xf numFmtId="194" fontId="97" fillId="0" borderId="0" xfId="0" applyNumberFormat="1" applyFont="1" applyFill="1" applyBorder="1" applyAlignment="1">
      <alignment horizontal="right"/>
    </xf>
    <xf numFmtId="2" fontId="99" fillId="0" borderId="0" xfId="0" applyNumberFormat="1" applyFont="1" applyFill="1" applyBorder="1" applyAlignment="1">
      <alignment horizontal="right"/>
    </xf>
    <xf numFmtId="4" fontId="98" fillId="0" borderId="0" xfId="0" applyNumberFormat="1" applyFont="1" applyFill="1"/>
    <xf numFmtId="0" fontId="100" fillId="0" borderId="0" xfId="0" applyFont="1"/>
    <xf numFmtId="43" fontId="100" fillId="0" borderId="0" xfId="59" applyFont="1"/>
    <xf numFmtId="1" fontId="101" fillId="0" borderId="0" xfId="0" applyNumberFormat="1" applyFont="1" applyAlignment="1">
      <alignment horizontal="right"/>
    </xf>
    <xf numFmtId="0" fontId="101" fillId="0" borderId="0" xfId="0" applyFont="1"/>
    <xf numFmtId="0" fontId="102" fillId="0" borderId="0" xfId="0" applyFont="1"/>
    <xf numFmtId="0" fontId="102" fillId="24" borderId="0" xfId="0" applyFont="1" applyFill="1"/>
    <xf numFmtId="2" fontId="103" fillId="0" borderId="0" xfId="0" applyNumberFormat="1" applyFont="1" applyFill="1" applyBorder="1" applyAlignment="1">
      <alignment horizontal="right"/>
    </xf>
    <xf numFmtId="194" fontId="104" fillId="0" borderId="0" xfId="0" applyNumberFormat="1" applyFont="1" applyFill="1" applyBorder="1" applyAlignment="1">
      <alignment horizontal="right"/>
    </xf>
    <xf numFmtId="4" fontId="104" fillId="0" borderId="0" xfId="0" applyNumberFormat="1" applyFont="1" applyAlignment="1">
      <alignment horizontal="right"/>
    </xf>
    <xf numFmtId="0" fontId="105" fillId="0" borderId="0" xfId="0" applyFont="1"/>
    <xf numFmtId="0" fontId="105" fillId="24" borderId="0" xfId="0" applyFont="1" applyFill="1"/>
    <xf numFmtId="4" fontId="105" fillId="0" borderId="0" xfId="0" applyNumberFormat="1" applyFont="1"/>
    <xf numFmtId="4" fontId="105" fillId="0" borderId="0" xfId="0" applyNumberFormat="1" applyFont="1" applyFill="1"/>
    <xf numFmtId="195" fontId="105" fillId="0" borderId="0" xfId="0" applyNumberFormat="1" applyFont="1" applyFill="1"/>
    <xf numFmtId="10" fontId="104" fillId="0" borderId="0" xfId="0" applyNumberFormat="1" applyFont="1" applyFill="1" applyBorder="1" applyAlignment="1">
      <alignment horizontal="right"/>
    </xf>
    <xf numFmtId="3" fontId="17" fillId="29" borderId="0" xfId="0" applyNumberFormat="1" applyFont="1" applyFill="1" applyAlignment="1">
      <alignment horizontal="right"/>
    </xf>
    <xf numFmtId="0" fontId="1" fillId="0" borderId="0" xfId="100" quotePrefix="1" applyFont="1" applyAlignment="1">
      <alignment horizontal="right"/>
    </xf>
    <xf numFmtId="9" fontId="13" fillId="0" borderId="0" xfId="100" applyNumberFormat="1" applyFont="1" applyAlignment="1">
      <alignment horizontal="right"/>
    </xf>
    <xf numFmtId="0" fontId="13" fillId="0" borderId="0" xfId="100" applyFont="1" applyFill="1" applyAlignment="1">
      <alignment horizontal="right"/>
    </xf>
    <xf numFmtId="37" fontId="1" fillId="20" borderId="0" xfId="0" applyNumberFormat="1" applyFont="1" applyFill="1"/>
    <xf numFmtId="173" fontId="23" fillId="28" borderId="0" xfId="59" applyNumberFormat="1" applyFont="1" applyFill="1"/>
    <xf numFmtId="3" fontId="13" fillId="0" borderId="0" xfId="102" applyNumberFormat="1" applyFont="1" applyBorder="1"/>
    <xf numFmtId="43" fontId="13" fillId="0" borderId="0" xfId="0" applyNumberFormat="1" applyFont="1" applyFill="1"/>
    <xf numFmtId="3" fontId="106" fillId="0" borderId="0" xfId="0" applyNumberFormat="1" applyFont="1" applyFill="1"/>
    <xf numFmtId="166" fontId="1" fillId="0" borderId="0" xfId="59" applyNumberFormat="1" applyFont="1" applyFill="1" applyAlignment="1">
      <alignment horizontal="right"/>
    </xf>
    <xf numFmtId="169" fontId="82" fillId="25" borderId="0" xfId="0" applyNumberFormat="1" applyFont="1" applyFill="1" applyBorder="1" applyAlignment="1">
      <alignment horizontal="right"/>
    </xf>
    <xf numFmtId="167" fontId="13" fillId="0" borderId="0" xfId="59" applyNumberFormat="1" applyFont="1" applyFill="1"/>
    <xf numFmtId="39" fontId="79" fillId="0" borderId="0" xfId="59" applyNumberFormat="1" applyFont="1" applyFill="1" applyBorder="1" applyAlignment="1">
      <alignment horizontal="right"/>
    </xf>
    <xf numFmtId="164" fontId="79" fillId="29" borderId="0" xfId="59" applyNumberFormat="1" applyFont="1" applyFill="1" applyBorder="1" applyAlignment="1">
      <alignment horizontal="right"/>
    </xf>
    <xf numFmtId="43" fontId="77" fillId="29" borderId="0" xfId="59" applyNumberFormat="1" applyFont="1" applyFill="1" applyAlignment="1">
      <alignment horizontal="right"/>
    </xf>
    <xf numFmtId="1" fontId="79" fillId="0" borderId="0" xfId="59" applyNumberFormat="1" applyFont="1" applyFill="1" applyBorder="1" applyAlignment="1">
      <alignment horizontal="right"/>
    </xf>
    <xf numFmtId="173" fontId="88" fillId="0" borderId="0" xfId="59" applyNumberFormat="1" applyFont="1" applyFill="1"/>
    <xf numFmtId="43" fontId="77" fillId="29" borderId="0" xfId="59" applyNumberFormat="1" applyFont="1" applyFill="1" applyBorder="1" applyAlignment="1">
      <alignment horizontal="right"/>
    </xf>
    <xf numFmtId="4" fontId="106" fillId="0" borderId="0" xfId="0" applyNumberFormat="1" applyFont="1" applyFill="1"/>
    <xf numFmtId="173" fontId="91" fillId="0" borderId="0" xfId="59" applyNumberFormat="1" applyFont="1" applyFill="1"/>
    <xf numFmtId="43" fontId="1" fillId="0" borderId="0" xfId="59" applyNumberFormat="1" applyFont="1" applyFill="1" applyAlignment="1">
      <alignment horizontal="right"/>
    </xf>
    <xf numFmtId="0" fontId="76" fillId="29" borderId="17" xfId="0" applyNumberFormat="1" applyFont="1" applyFill="1" applyBorder="1"/>
    <xf numFmtId="0" fontId="76" fillId="29" borderId="18" xfId="0" applyNumberFormat="1" applyFont="1" applyFill="1" applyBorder="1" applyAlignment="1">
      <alignment horizontal="right"/>
    </xf>
    <xf numFmtId="3" fontId="76" fillId="29" borderId="18" xfId="0" applyNumberFormat="1" applyFont="1" applyFill="1" applyBorder="1" applyAlignment="1">
      <alignment horizontal="right"/>
    </xf>
    <xf numFmtId="10" fontId="76" fillId="29" borderId="18" xfId="0" applyNumberFormat="1" applyFont="1" applyFill="1" applyBorder="1" applyAlignment="1">
      <alignment horizontal="right"/>
    </xf>
    <xf numFmtId="1" fontId="76" fillId="29" borderId="18" xfId="0" applyNumberFormat="1" applyFont="1" applyFill="1" applyBorder="1" applyAlignment="1">
      <alignment horizontal="right"/>
    </xf>
    <xf numFmtId="3" fontId="76" fillId="29" borderId="19" xfId="0" applyNumberFormat="1" applyFont="1" applyFill="1" applyBorder="1" applyAlignment="1">
      <alignment horizontal="right"/>
    </xf>
    <xf numFmtId="0" fontId="77" fillId="29" borderId="20" xfId="0" applyFont="1" applyFill="1" applyBorder="1"/>
    <xf numFmtId="1" fontId="76" fillId="29" borderId="21" xfId="0" applyNumberFormat="1" applyFont="1" applyFill="1" applyBorder="1" applyAlignment="1">
      <alignment horizontal="right"/>
    </xf>
    <xf numFmtId="0" fontId="77" fillId="29" borderId="22" xfId="0" applyFont="1" applyFill="1" applyBorder="1"/>
    <xf numFmtId="3" fontId="76" fillId="29" borderId="23" xfId="0" applyNumberFormat="1" applyFont="1" applyFill="1" applyBorder="1" applyAlignment="1">
      <alignment horizontal="right"/>
    </xf>
    <xf numFmtId="0" fontId="78" fillId="29" borderId="20" xfId="0" applyFont="1" applyFill="1" applyBorder="1"/>
    <xf numFmtId="3" fontId="76" fillId="29" borderId="21" xfId="0" applyNumberFormat="1" applyFont="1" applyFill="1" applyBorder="1"/>
    <xf numFmtId="0" fontId="77" fillId="29" borderId="20" xfId="0" applyFont="1" applyFill="1" applyBorder="1" applyAlignment="1">
      <alignment horizontal="left"/>
    </xf>
    <xf numFmtId="3" fontId="76" fillId="29" borderId="21" xfId="0" applyNumberFormat="1" applyFont="1" applyFill="1" applyBorder="1" applyAlignment="1">
      <alignment horizontal="right"/>
    </xf>
    <xf numFmtId="0" fontId="78" fillId="29" borderId="20" xfId="0" applyNumberFormat="1" applyFont="1" applyFill="1" applyBorder="1"/>
    <xf numFmtId="0" fontId="77" fillId="29" borderId="20" xfId="0" applyNumberFormat="1" applyFont="1" applyFill="1" applyBorder="1"/>
    <xf numFmtId="0" fontId="79" fillId="29" borderId="20" xfId="0" applyNumberFormat="1" applyFont="1" applyFill="1" applyBorder="1"/>
    <xf numFmtId="164" fontId="79" fillId="29" borderId="21" xfId="59" applyNumberFormat="1" applyFont="1" applyFill="1" applyBorder="1" applyAlignment="1">
      <alignment horizontal="right"/>
    </xf>
    <xf numFmtId="0" fontId="81" fillId="25" borderId="20" xfId="0" applyNumberFormat="1" applyFont="1" applyFill="1" applyBorder="1"/>
    <xf numFmtId="169" fontId="82" fillId="25" borderId="21" xfId="0" applyNumberFormat="1" applyFont="1" applyFill="1" applyBorder="1" applyAlignment="1">
      <alignment horizontal="right"/>
    </xf>
    <xf numFmtId="0" fontId="79" fillId="0" borderId="20" xfId="0" applyNumberFormat="1" applyFont="1" applyFill="1" applyBorder="1"/>
    <xf numFmtId="173" fontId="79" fillId="0" borderId="21" xfId="59" applyNumberFormat="1" applyFont="1" applyFill="1" applyBorder="1" applyAlignment="1">
      <alignment horizontal="right"/>
    </xf>
    <xf numFmtId="0" fontId="84" fillId="24" borderId="20" xfId="0" applyNumberFormat="1" applyFont="1" applyFill="1" applyBorder="1"/>
    <xf numFmtId="1" fontId="85" fillId="24" borderId="21" xfId="0" applyNumberFormat="1" applyFont="1" applyFill="1" applyBorder="1" applyAlignment="1">
      <alignment horizontal="right"/>
    </xf>
    <xf numFmtId="37" fontId="77" fillId="29" borderId="21" xfId="0" applyNumberFormat="1" applyFont="1" applyFill="1" applyBorder="1" applyAlignment="1">
      <alignment horizontal="right"/>
    </xf>
    <xf numFmtId="3" fontId="77" fillId="29" borderId="20" xfId="0" applyNumberFormat="1" applyFont="1" applyFill="1" applyBorder="1"/>
    <xf numFmtId="0" fontId="77" fillId="29" borderId="20" xfId="101" applyFont="1" applyFill="1" applyBorder="1" applyAlignment="1">
      <alignment horizontal="left"/>
    </xf>
    <xf numFmtId="0" fontId="84" fillId="29" borderId="20" xfId="0" applyNumberFormat="1" applyFont="1" applyFill="1" applyBorder="1"/>
    <xf numFmtId="0" fontId="77" fillId="29" borderId="24" xfId="0" applyFont="1" applyFill="1" applyBorder="1"/>
    <xf numFmtId="164" fontId="77" fillId="29" borderId="25" xfId="0" applyNumberFormat="1" applyFont="1" applyFill="1" applyBorder="1" applyAlignment="1">
      <alignment horizontal="right"/>
    </xf>
    <xf numFmtId="3" fontId="76" fillId="29" borderId="25" xfId="0" applyNumberFormat="1" applyFont="1" applyFill="1" applyBorder="1" applyAlignment="1">
      <alignment horizontal="right"/>
    </xf>
    <xf numFmtId="173" fontId="77" fillId="29" borderId="25" xfId="59" applyNumberFormat="1" applyFont="1" applyFill="1" applyBorder="1" applyAlignment="1">
      <alignment horizontal="right"/>
    </xf>
    <xf numFmtId="1" fontId="76" fillId="29" borderId="25" xfId="0" applyNumberFormat="1" applyFont="1" applyFill="1" applyBorder="1" applyAlignment="1">
      <alignment horizontal="right"/>
    </xf>
    <xf numFmtId="3" fontId="76" fillId="29" borderId="26" xfId="0" applyNumberFormat="1" applyFont="1" applyFill="1" applyBorder="1" applyAlignment="1">
      <alignment horizontal="right"/>
    </xf>
    <xf numFmtId="1" fontId="77" fillId="29" borderId="23" xfId="0" applyNumberFormat="1" applyFont="1" applyFill="1" applyBorder="1" applyAlignment="1">
      <alignment horizontal="right"/>
    </xf>
    <xf numFmtId="3" fontId="78" fillId="29" borderId="20" xfId="0" applyNumberFormat="1" applyFont="1" applyFill="1" applyBorder="1"/>
    <xf numFmtId="0" fontId="77" fillId="29" borderId="24" xfId="101" applyFont="1" applyFill="1" applyBorder="1" applyAlignment="1">
      <alignment horizontal="left"/>
    </xf>
    <xf numFmtId="39" fontId="77" fillId="29" borderId="25" xfId="0" applyNumberFormat="1" applyFont="1" applyFill="1" applyBorder="1" applyAlignment="1">
      <alignment horizontal="right"/>
    </xf>
    <xf numFmtId="203" fontId="91" fillId="0" borderId="0" xfId="59" applyNumberFormat="1" applyFont="1"/>
    <xf numFmtId="203" fontId="17" fillId="0" borderId="0" xfId="0" applyNumberFormat="1" applyFont="1" applyFill="1" applyAlignment="1">
      <alignment horizontal="right"/>
    </xf>
    <xf numFmtId="9" fontId="1" fillId="29" borderId="0" xfId="111" applyFont="1" applyFill="1" applyBorder="1"/>
    <xf numFmtId="3" fontId="13" fillId="0" borderId="0" xfId="102" applyNumberFormat="1" applyFont="1" applyBorder="1" applyAlignment="1">
      <alignment horizontal="right"/>
    </xf>
    <xf numFmtId="3" fontId="1" fillId="0" borderId="0" xfId="102" applyNumberFormat="1" applyFont="1"/>
    <xf numFmtId="3" fontId="1" fillId="0" borderId="0" xfId="102" applyNumberFormat="1" applyFont="1" applyBorder="1" applyAlignment="1">
      <alignment horizontal="right"/>
    </xf>
    <xf numFmtId="9" fontId="12" fillId="0" borderId="0" xfId="111" applyFont="1" applyBorder="1"/>
    <xf numFmtId="4" fontId="13" fillId="0" borderId="0" xfId="102" applyNumberFormat="1" applyFont="1" applyFill="1" applyBorder="1"/>
    <xf numFmtId="3" fontId="1" fillId="0" borderId="0" xfId="102" applyNumberFormat="1" applyFont="1" applyAlignment="1">
      <alignment horizontal="right"/>
    </xf>
    <xf numFmtId="43" fontId="12" fillId="27" borderId="0" xfId="0" applyNumberFormat="1" applyFont="1" applyFill="1"/>
    <xf numFmtId="43" fontId="13" fillId="0" borderId="0" xfId="59" applyNumberFormat="1" applyFont="1" applyFill="1"/>
    <xf numFmtId="43" fontId="13" fillId="0" borderId="0" xfId="59" applyNumberFormat="1" applyFont="1"/>
    <xf numFmtId="0" fontId="1" fillId="0" borderId="0" xfId="101" applyFont="1" applyBorder="1" applyAlignment="1">
      <alignment horizontal="left"/>
    </xf>
    <xf numFmtId="37" fontId="13" fillId="29" borderId="0" xfId="59" applyNumberFormat="1" applyFont="1" applyFill="1"/>
    <xf numFmtId="173" fontId="1" fillId="29" borderId="0" xfId="59" applyNumberFormat="1" applyFont="1" applyFill="1"/>
    <xf numFmtId="167" fontId="1" fillId="29" borderId="0" xfId="59" applyNumberFormat="1" applyFont="1" applyFill="1"/>
    <xf numFmtId="167" fontId="13" fillId="29" borderId="0" xfId="59" applyNumberFormat="1" applyFont="1" applyFill="1"/>
    <xf numFmtId="3" fontId="13" fillId="28" borderId="0" xfId="102" applyNumberFormat="1" applyFont="1" applyFill="1" applyBorder="1"/>
    <xf numFmtId="49" fontId="29" fillId="0" borderId="0" xfId="59" applyNumberFormat="1" applyFont="1" applyFill="1" applyAlignment="1">
      <alignment horizontal="left"/>
    </xf>
    <xf numFmtId="0" fontId="10" fillId="0" borderId="14" xfId="100" applyFont="1" applyBorder="1" applyAlignment="1">
      <alignment horizontal="center"/>
    </xf>
    <xf numFmtId="0" fontId="2" fillId="35" borderId="0" xfId="155" applyFont="1" applyFill="1" applyAlignment="1">
      <alignment vertical="top"/>
    </xf>
    <xf numFmtId="0" fontId="2" fillId="35" borderId="0" xfId="137" applyFill="1" applyAlignment="1">
      <alignment vertical="top"/>
    </xf>
    <xf numFmtId="0" fontId="2" fillId="35" borderId="0" xfId="137" applyFill="1"/>
    <xf numFmtId="0" fontId="108" fillId="35" borderId="0" xfId="155" applyFont="1" applyFill="1" applyAlignment="1">
      <alignment horizontal="left" vertical="top"/>
    </xf>
    <xf numFmtId="0" fontId="2" fillId="35" borderId="0" xfId="137" applyFont="1" applyFill="1" applyAlignment="1">
      <alignment vertical="top"/>
    </xf>
    <xf numFmtId="0" fontId="109" fillId="35" borderId="0" xfId="155" applyFont="1" applyFill="1" applyAlignment="1">
      <alignment vertical="top"/>
    </xf>
    <xf numFmtId="0" fontId="0" fillId="35" borderId="0" xfId="0" applyFill="1" applyAlignment="1">
      <alignment vertical="top"/>
    </xf>
    <xf numFmtId="0" fontId="110" fillId="35" borderId="0" xfId="0" applyFont="1" applyFill="1" applyAlignment="1">
      <alignment vertical="top"/>
    </xf>
    <xf numFmtId="0" fontId="111" fillId="35" borderId="0" xfId="0" applyFont="1" applyFill="1" applyAlignment="1">
      <alignment vertical="top"/>
    </xf>
    <xf numFmtId="0" fontId="111" fillId="35" borderId="0" xfId="0" applyFont="1" applyFill="1" applyAlignment="1">
      <alignment vertical="top"/>
    </xf>
    <xf numFmtId="0" fontId="110" fillId="35" borderId="0" xfId="0" applyFont="1" applyFill="1" applyAlignment="1">
      <alignment vertical="top"/>
    </xf>
    <xf numFmtId="0" fontId="0" fillId="35" borderId="0" xfId="0" applyFill="1" applyAlignment="1">
      <alignment vertical="top"/>
    </xf>
    <xf numFmtId="0" fontId="0" fillId="35" borderId="31" xfId="0" applyFill="1" applyBorder="1" applyAlignment="1">
      <alignment vertical="top"/>
    </xf>
    <xf numFmtId="0" fontId="110" fillId="35" borderId="27" xfId="0" applyFont="1" applyFill="1" applyBorder="1" applyAlignment="1">
      <alignment vertical="top"/>
    </xf>
    <xf numFmtId="0" fontId="110" fillId="35" borderId="28" xfId="0" applyFont="1" applyFill="1" applyBorder="1" applyAlignment="1">
      <alignment vertical="top"/>
    </xf>
    <xf numFmtId="0" fontId="110" fillId="35" borderId="29" xfId="0" applyFont="1" applyFill="1" applyBorder="1" applyAlignment="1">
      <alignment vertical="top"/>
    </xf>
    <xf numFmtId="0" fontId="110" fillId="35" borderId="30" xfId="0" applyFont="1" applyFill="1" applyBorder="1" applyAlignment="1">
      <alignment vertical="top"/>
    </xf>
    <xf numFmtId="9" fontId="110" fillId="35" borderId="27" xfId="0" applyNumberFormat="1" applyFont="1" applyFill="1" applyBorder="1" applyAlignment="1">
      <alignment vertical="top"/>
    </xf>
    <xf numFmtId="3" fontId="110" fillId="35" borderId="27" xfId="0" applyNumberFormat="1" applyFont="1" applyFill="1" applyBorder="1" applyAlignment="1">
      <alignment vertical="top"/>
    </xf>
    <xf numFmtId="0" fontId="0" fillId="35" borderId="32" xfId="0" applyFill="1" applyBorder="1" applyAlignment="1">
      <alignment vertical="top"/>
    </xf>
    <xf numFmtId="2" fontId="2" fillId="0" borderId="0" xfId="137" applyNumberFormat="1" applyAlignment="1">
      <alignment horizontal="left"/>
    </xf>
    <xf numFmtId="0" fontId="2" fillId="0" borderId="0" xfId="137" applyNumberFormat="1" applyAlignment="1">
      <alignment horizontal="left"/>
    </xf>
    <xf numFmtId="1" fontId="2" fillId="0" borderId="0" xfId="137" applyNumberFormat="1" applyAlignment="1">
      <alignment horizontal="left"/>
    </xf>
    <xf numFmtId="0" fontId="2" fillId="0" borderId="0" xfId="137" applyFont="1"/>
    <xf numFmtId="209" fontId="2" fillId="0" borderId="0" xfId="137" applyNumberFormat="1" applyAlignment="1">
      <alignment horizontal="left"/>
    </xf>
    <xf numFmtId="49" fontId="2" fillId="0" borderId="0" xfId="137" applyNumberFormat="1"/>
  </cellXfs>
  <cellStyles count="156">
    <cellStyle name="$ 0 decimal" xfId="1"/>
    <cellStyle name="$ 1 decimal" xfId="2"/>
    <cellStyle name="$ 2 decimals" xfId="3"/>
    <cellStyle name="%" xfId="4"/>
    <cellStyle name="%_ValueMap" xfId="5"/>
    <cellStyle name="%_ValueMap 2" xfId="141"/>
    <cellStyle name="******************************************" xfId="6"/>
    <cellStyle name="?? [0.00]_HELPDESK_jp1.xls Chart 1" xfId="7"/>
    <cellStyle name="?? [0]_VERA" xfId="8"/>
    <cellStyle name="?????_VERA" xfId="9"/>
    <cellStyle name="??_VERA" xfId="10"/>
    <cellStyle name="_INPUT" xfId="11"/>
    <cellStyle name="_INPUT 2" xfId="142"/>
    <cellStyle name="_RRS1" xfId="12"/>
    <cellStyle name="_RRS1_ValueMap" xfId="13"/>
    <cellStyle name="_RRS1_ValueMap 2" xfId="143"/>
    <cellStyle name="_RRS27" xfId="14"/>
    <cellStyle name="_RRS27_ValueMap" xfId="15"/>
    <cellStyle name="_RRS27_ValueMap 2" xfId="144"/>
    <cellStyle name="_SUMMARY " xfId="16"/>
    <cellStyle name="_SUMMARY _ValueMap" xfId="17"/>
    <cellStyle name="_SUMMARY _ValueMap 2" xfId="145"/>
    <cellStyle name="’Ê‰Ý [0.00]_GE 3 MINIMUM" xfId="18"/>
    <cellStyle name="’Ê‰Ý_GE 3 MINIMUM" xfId="19"/>
    <cellStyle name="¥ 0 decimal" xfId="20"/>
    <cellStyle name="=C:\WINNT35\SYSTEM32\COMMAND.COM" xfId="21"/>
    <cellStyle name="•W€_GE 3 MINIMUM" xfId="22"/>
    <cellStyle name="•W_GE 3 MINIMUM" xfId="23"/>
    <cellStyle name="0_Capex &amp; Depreciation " xfId="24"/>
    <cellStyle name="0_Capex &amp; Depreciation _ValueMap" xfId="25"/>
    <cellStyle name="0_Capex &amp; Depreciation _ValueMap 2" xfId="146"/>
    <cellStyle name="0_Valuing BP " xfId="26"/>
    <cellStyle name="0_Valuing BP _ValueMap" xfId="27"/>
    <cellStyle name="0_Valuing BP _ValueMap 2" xfId="147"/>
    <cellStyle name="20% - Accent1" xfId="28" builtinId="30" customBuiltin="1"/>
    <cellStyle name="20% - Accent2" xfId="29" builtinId="34" customBuiltin="1"/>
    <cellStyle name="20% - Accent3" xfId="30" builtinId="38" customBuiltin="1"/>
    <cellStyle name="20% - Accent4" xfId="31" builtinId="42" customBuiltin="1"/>
    <cellStyle name="20% - Accent5" xfId="32" builtinId="46" customBuiltin="1"/>
    <cellStyle name="20% - Accent6" xfId="33" builtinId="50" customBuiltin="1"/>
    <cellStyle name="40% - Accent1" xfId="34" builtinId="31" customBuiltin="1"/>
    <cellStyle name="40% - Accent2" xfId="35" builtinId="35" customBuiltin="1"/>
    <cellStyle name="40% - Accent3" xfId="36" builtinId="39" customBuiltin="1"/>
    <cellStyle name="40% - Accent4" xfId="37" builtinId="43" customBuiltin="1"/>
    <cellStyle name="40% - Accent5" xfId="38" builtinId="47" customBuiltin="1"/>
    <cellStyle name="40% - Accent6" xfId="39" builtinId="51" customBuiltin="1"/>
    <cellStyle name="60% - Accent1" xfId="40" builtinId="32" customBuiltin="1"/>
    <cellStyle name="60% - Accent2" xfId="41" builtinId="36" customBuiltin="1"/>
    <cellStyle name="60% - Accent3" xfId="42" builtinId="40" customBuiltin="1"/>
    <cellStyle name="60% - Accent4" xfId="43" builtinId="44" customBuiltin="1"/>
    <cellStyle name="60% - Accent5" xfId="44" builtinId="48" customBuiltin="1"/>
    <cellStyle name="60% - Accent6" xfId="45" builtinId="52" customBuiltin="1"/>
    <cellStyle name="Accent1" xfId="46" builtinId="29" customBuiltin="1"/>
    <cellStyle name="Accent2" xfId="47" builtinId="33" customBuiltin="1"/>
    <cellStyle name="Accent3" xfId="48" builtinId="37" customBuiltin="1"/>
    <cellStyle name="Accent4" xfId="49" builtinId="41" customBuiltin="1"/>
    <cellStyle name="Accent5" xfId="50" builtinId="45" customBuiltin="1"/>
    <cellStyle name="Accent6" xfId="51" builtinId="49" customBuiltin="1"/>
    <cellStyle name="Bad" xfId="52" builtinId="27" customBuiltin="1"/>
    <cellStyle name="Blue" xfId="53"/>
    <cellStyle name="c_HardInc " xfId="54"/>
    <cellStyle name="c_HardInc _ValueMap" xfId="55"/>
    <cellStyle name="c_HardInc _ValueMap 2" xfId="148"/>
    <cellStyle name="Calculation" xfId="56" builtinId="22" customBuiltin="1"/>
    <cellStyle name="Changeable" xfId="57"/>
    <cellStyle name="Check Cell" xfId="58" builtinId="23" customBuiltin="1"/>
    <cellStyle name="Comma" xfId="59" builtinId="3"/>
    <cellStyle name="Comma  - Style1" xfId="60"/>
    <cellStyle name="Comma  - Style2" xfId="61"/>
    <cellStyle name="Comma  - Style3" xfId="62"/>
    <cellStyle name="Comma  - Style4" xfId="63"/>
    <cellStyle name="Comma  - Style5" xfId="64"/>
    <cellStyle name="Comma  - Style6" xfId="65"/>
    <cellStyle name="Comma  - Style7" xfId="66"/>
    <cellStyle name="Comma  - Style8" xfId="67"/>
    <cellStyle name="CompanyName" xfId="68"/>
    <cellStyle name="Currency 2" xfId="139"/>
    <cellStyle name="date" xfId="69"/>
    <cellStyle name="date month-year" xfId="70"/>
    <cellStyle name="decimal 0" xfId="71"/>
    <cellStyle name="decimal 1" xfId="72"/>
    <cellStyle name="decimal 2" xfId="73"/>
    <cellStyle name="Dollar" xfId="74"/>
    <cellStyle name="Explanatory Text" xfId="75" builtinId="53" customBuiltin="1"/>
    <cellStyle name="Fail" xfId="76"/>
    <cellStyle name="FiscalPeriod" xfId="77"/>
    <cellStyle name="Fixed" xfId="78"/>
    <cellStyle name="Good" xfId="79" builtinId="26" customBuiltin="1"/>
    <cellStyle name="Grey" xfId="80"/>
    <cellStyle name="Grey 2" xfId="149"/>
    <cellStyle name="Header1" xfId="81"/>
    <cellStyle name="Header2" xfId="82"/>
    <cellStyle name="Heading 1" xfId="83" builtinId="16" customBuiltin="1"/>
    <cellStyle name="Heading 2" xfId="84" builtinId="17" customBuiltin="1"/>
    <cellStyle name="Heading 3" xfId="85" builtinId="18" customBuiltin="1"/>
    <cellStyle name="Heading 4" xfId="86" builtinId="19" customBuiltin="1"/>
    <cellStyle name="Hidden" xfId="87"/>
    <cellStyle name="Input" xfId="88" builtinId="20" customBuiltin="1"/>
    <cellStyle name="Input [yellow]" xfId="89"/>
    <cellStyle name="Input [yellow] 2" xfId="150"/>
    <cellStyle name="Integer" xfId="90"/>
    <cellStyle name="Linked Cell" xfId="91" builtinId="24" customBuiltin="1"/>
    <cellStyle name="MetricLabel" xfId="92"/>
    <cellStyle name="MetricLabelBlue" xfId="93"/>
    <cellStyle name="MetricValue" xfId="94"/>
    <cellStyle name="Neutral" xfId="95" builtinId="28" customBuiltin="1"/>
    <cellStyle name="Normal" xfId="0" builtinId="0"/>
    <cellStyle name="Normal - Style1" xfId="96"/>
    <cellStyle name="Normal 2" xfId="97"/>
    <cellStyle name="Normal 3" xfId="98"/>
    <cellStyle name="Normal 3 2" xfId="151"/>
    <cellStyle name="Normal 4" xfId="137"/>
    <cellStyle name="Normal 5" xfId="140"/>
    <cellStyle name="Normal_DisclaimerSheet Samples" xfId="155"/>
    <cellStyle name="Normal_HIG" xfId="99"/>
    <cellStyle name="Normal_ING guidance" xfId="100"/>
    <cellStyle name="Normal_Model" xfId="101"/>
    <cellStyle name="Normal_Relative Valuations" xfId="102"/>
    <cellStyle name="Normalny_Ferrum . Valuation . CA IB . 8" xfId="103"/>
    <cellStyle name="Note" xfId="104" builtinId="10" customBuiltin="1"/>
    <cellStyle name="Œ…‹æØ‚è [0.00]_GE 3 MINIMUM" xfId="105"/>
    <cellStyle name="Œ…‹æØ‚è_GE 3 MINIMUM" xfId="106"/>
    <cellStyle name="onedecimal" xfId="107"/>
    <cellStyle name="Output" xfId="108" builtinId="21" customBuiltin="1"/>
    <cellStyle name="p " xfId="109"/>
    <cellStyle name="Pass" xfId="110"/>
    <cellStyle name="Percent" xfId="111" builtinId="5"/>
    <cellStyle name="Percent [2]" xfId="112"/>
    <cellStyle name="percent 1 decimal" xfId="113"/>
    <cellStyle name="percent 2 decimal" xfId="114"/>
    <cellStyle name="percent no decimal" xfId="115"/>
    <cellStyle name="RRSInstruction" xfId="116"/>
    <cellStyle name="RRSInstruction 2" xfId="138"/>
    <cellStyle name="s_HardInc " xfId="117"/>
    <cellStyle name="s_HardInc _ValueMap" xfId="118"/>
    <cellStyle name="s_HardInc _ValueMap 2" xfId="152"/>
    <cellStyle name="s_Valuation " xfId="119"/>
    <cellStyle name="s_Valuation _ValueMap" xfId="120"/>
    <cellStyle name="s_Valuation _ValueMap 2" xfId="153"/>
    <cellStyle name="ssp " xfId="121"/>
    <cellStyle name="Style 1" xfId="122"/>
    <cellStyle name="Style 1 2" xfId="154"/>
    <cellStyle name="Style 2" xfId="123"/>
    <cellStyle name="Style 24" xfId="124"/>
    <cellStyle name="Style 3" xfId="125"/>
    <cellStyle name="Style 4" xfId="126"/>
    <cellStyle name="Style 5" xfId="127"/>
    <cellStyle name="Title" xfId="128" builtinId="15" customBuiltin="1"/>
    <cellStyle name="Total" xfId="129" builtinId="25" customBuiltin="1"/>
    <cellStyle name="underline" xfId="130"/>
    <cellStyle name="underline 1 decimal" xfId="131"/>
    <cellStyle name="underline 2 decimals" xfId="132"/>
    <cellStyle name="underline flush left" xfId="133"/>
    <cellStyle name="underline no decimals" xfId="134"/>
    <cellStyle name="underline_UNM new charts" xfId="135"/>
    <cellStyle name="Warning Text" xfId="136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12607F"/>
      <rgbColor rgb="009DC9DC"/>
      <rgbColor rgb="00DDDDDD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FFFF00"/>
      <rgbColor rgb="008E466A"/>
      <rgbColor rgb="001B4694"/>
      <rgbColor rgb="00333333"/>
    </indexedColors>
    <mruColors>
      <color rgb="FF006699"/>
      <color rgb="FF7F7F7F"/>
      <color rgb="FFBFBFBF"/>
      <color rgb="FFA6A6A6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>
        <v>47.990001678466797</v>
        <stp/>
        <stp>UNM.N</stp>
        <stp>TF.RT.PriceLast()</stp>
        <tr r="B34" s="23"/>
      </tp>
      <tp>
        <v>85.05999755859375</v>
        <stp/>
        <stp>TMK.N</stp>
        <stp>TF.RT.PriceLast()</stp>
        <tr r="B39" s="23"/>
      </tp>
      <tp>
        <v>20.129999160766602</v>
        <stp/>
        <stp>WDR.N</stp>
        <stp>TF.RT.PriceLast()</stp>
        <tr r="B44" s="23"/>
      </tp>
      <tp>
        <v>61.384799957275391</v>
        <stp/>
        <stp>PFG.O</stp>
        <stp>TF.RT.PriceLast()</stp>
        <tr r="B29" s="23"/>
      </tp>
      <tp>
        <v>50.30999755859375</v>
        <stp/>
        <stp>VOYA.N</stp>
        <stp>TF.RT.PriceLast()</stp>
        <tr r="D23" s="23"/>
      </tp>
      <tp>
        <v>34.369998931884766</v>
        <stp/>
        <stp>BEN.N</stp>
        <stp>TF.RT.PriceLast()</stp>
        <tr r="B43" s="23"/>
      </tp>
      <tp>
        <v>71.69000244140625</v>
        <stp/>
        <stp>LNC.N</stp>
        <stp>TF.RT.PriceLast()</stp>
        <tr r="B38" s="23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externalLinks/externalLink3.xml" Type="http://schemas.openxmlformats.org/officeDocument/2006/relationships/externalLink"/>
<Relationship Id="rId13" Target="theme/theme1.xml" Type="http://schemas.openxmlformats.org/officeDocument/2006/relationships/theme"/>
<Relationship Id="rId14" Target="styles.xml" Type="http://schemas.openxmlformats.org/officeDocument/2006/relationships/styles"/>
<Relationship Id="rId15" Target="sharedStrings.xml" Type="http://schemas.openxmlformats.org/officeDocument/2006/relationships/sharedStrings"/>
<Relationship Id="rId16" Target="calcChain.xml" Type="http://schemas.openxmlformats.org/officeDocument/2006/relationships/calcChain"/>
<Relationship Id="rId17" Target="../customXml/item1.xml" Type="http://schemas.openxmlformats.org/officeDocument/2006/relationships/customXml"/>
<Relationship Id="rId18" Target="../customXml/item2.xml" Type="http://schemas.openxmlformats.org/officeDocument/2006/relationships/customXml"/>
<Relationship Id="rId19" Target="volatileDependencies.xml" Type="http://schemas.openxmlformats.org/officeDocument/2006/relationships/volatileDependencies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80897" name="Picture 1" descr="C:\Users\huangb\AppData\Local\Temp\MercuryPriceRatingHistoryChart\VOYA.N_2018_04_05_00_10_58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LIB/ER/INSURANC/life&amp;annuities/Misc%20Excel/VOYA%20Valuation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INSURANC/life&amp;annuities/Misc%20Excel/ValueMap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INSURANC/life&amp;annuities/Monthly/Older%20Files%20(pre-2004)/OLD%20mthly%20SEC%203%20files%20--%20KEEP,%20but%20we%20never%20use%20them%20anymore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 Convert"/>
      <sheetName val="weeklyversion"/>
      <sheetName val="Sheet1"/>
      <sheetName val="VALUATION SUMMARY"/>
      <sheetName val="Valuation table"/>
      <sheetName val="Summary"/>
      <sheetName val="PE Approach"/>
      <sheetName val="2013 value map"/>
      <sheetName val="LinkingMetadataV2"/>
      <sheetName val="2014 value map"/>
      <sheetName val="IPO Chartbook"/>
      <sheetName val="__FDSCACHE__"/>
      <sheetName val="Capital table"/>
      <sheetName val="Stress-case table"/>
      <sheetName val="PB charts"/>
      <sheetName val="PE charts"/>
      <sheetName val="FG Comps Table"/>
      <sheetName val="PE to Growth"/>
      <sheetName val="RGA July 2006"/>
      <sheetName val="Sun Life Version April 2006"/>
      <sheetName val="StanCorp Version April 2006"/>
      <sheetName val="Genworth Version April 2004"/>
    </sheetNames>
    <sheetDataSet>
      <sheetData sheetId="0"/>
      <sheetData sheetId="1">
        <row r="1">
          <cell r="A1" t="str">
            <v>Morgan Stanley Life Insurance Comp Sheet</v>
          </cell>
          <cell r="J1" t="e">
            <v>#REF!</v>
          </cell>
        </row>
        <row r="3">
          <cell r="F3" t="str">
            <v>Pot.</v>
          </cell>
          <cell r="R3" t="str">
            <v>12E/07</v>
          </cell>
        </row>
        <row r="4">
          <cell r="D4" t="str">
            <v>Price ($)</v>
          </cell>
          <cell r="E4" t="str">
            <v>12-Mo.</v>
          </cell>
          <cell r="F4" t="str">
            <v>Upside</v>
          </cell>
          <cell r="G4" t="str">
            <v>P/E Ratio</v>
          </cell>
          <cell r="J4" t="str">
            <v>BVPS ($)</v>
          </cell>
          <cell r="M4" t="str">
            <v>P/B Ratio</v>
          </cell>
          <cell r="P4" t="str">
            <v>ROE</v>
          </cell>
          <cell r="R4" t="str">
            <v>CAGR</v>
          </cell>
        </row>
        <row r="5">
          <cell r="A5" t="str">
            <v>Ticker</v>
          </cell>
          <cell r="B5" t="str">
            <v>Company</v>
          </cell>
          <cell r="C5" t="str">
            <v>Rating</v>
          </cell>
          <cell r="D5" t="e">
            <v>#REF!</v>
          </cell>
          <cell r="E5" t="str">
            <v>Tgt. ($)</v>
          </cell>
          <cell r="F5" t="str">
            <v>(%)</v>
          </cell>
          <cell r="G5" t="e">
            <v>#REF!</v>
          </cell>
          <cell r="H5" t="e">
            <v>#REF!</v>
          </cell>
          <cell r="J5" t="e">
            <v>#REF!</v>
          </cell>
          <cell r="K5" t="e">
            <v>#REF!</v>
          </cell>
          <cell r="M5" t="e">
            <v>#REF!</v>
          </cell>
          <cell r="N5" t="e">
            <v>#REF!</v>
          </cell>
          <cell r="P5" t="e">
            <v>#REF!</v>
          </cell>
          <cell r="Q5" t="e">
            <v>#REF!</v>
          </cell>
          <cell r="R5" t="str">
            <v>(%)</v>
          </cell>
        </row>
        <row r="6">
          <cell r="B6" t="str">
            <v>Life Insurers</v>
          </cell>
        </row>
        <row r="7">
          <cell r="A7" t="e">
            <v>#REF!</v>
          </cell>
          <cell r="B7" t="str">
            <v>Aflac</v>
          </cell>
          <cell r="C7" t="str">
            <v>E</v>
          </cell>
          <cell r="D7" t="e">
            <v>#REF!</v>
          </cell>
          <cell r="E7" t="e">
            <v>#REF!</v>
          </cell>
          <cell r="F7" t="str">
            <v>NM</v>
          </cell>
          <cell r="G7" t="e">
            <v>#REF!</v>
          </cell>
          <cell r="H7" t="e">
            <v>#REF!</v>
          </cell>
          <cell r="J7" t="e">
            <v>#REF!</v>
          </cell>
          <cell r="K7" t="e">
            <v>#REF!</v>
          </cell>
          <cell r="M7" t="e">
            <v>#REF!</v>
          </cell>
          <cell r="N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T7" t="str">
            <v>Equal-weight</v>
          </cell>
        </row>
        <row r="8">
          <cell r="A8" t="str">
            <v>AIG</v>
          </cell>
          <cell r="B8" t="str">
            <v>American Int'l Grp</v>
          </cell>
          <cell r="C8" t="e">
            <v>#N/A</v>
          </cell>
          <cell r="D8" t="e">
            <v>#REF!</v>
          </cell>
          <cell r="E8" t="e">
            <v>#REF!</v>
          </cell>
          <cell r="F8" t="str">
            <v>NM</v>
          </cell>
          <cell r="G8" t="e">
            <v>#REF!</v>
          </cell>
          <cell r="H8" t="str">
            <v>NA</v>
          </cell>
          <cell r="J8" t="e">
            <v>#REF!</v>
          </cell>
          <cell r="K8" t="e">
            <v>#REF!</v>
          </cell>
          <cell r="M8" t="e">
            <v>#REF!</v>
          </cell>
          <cell r="N8" t="str">
            <v>NA</v>
          </cell>
          <cell r="P8" t="e">
            <v>#REF!</v>
          </cell>
          <cell r="Q8" t="e">
            <v>#REF!</v>
          </cell>
          <cell r="R8" t="e">
            <v>#REF!</v>
          </cell>
          <cell r="T8" t="e">
            <v>#N/A</v>
          </cell>
        </row>
        <row r="9">
          <cell r="A9" t="e">
            <v>#REF!</v>
          </cell>
          <cell r="B9" t="str">
            <v>Ameriprise</v>
          </cell>
          <cell r="C9" t="e">
            <v>#N/A</v>
          </cell>
          <cell r="D9" t="e">
            <v>#REF!</v>
          </cell>
          <cell r="E9" t="e">
            <v>#REF!</v>
          </cell>
          <cell r="F9" t="str">
            <v>NM</v>
          </cell>
          <cell r="G9" t="e">
            <v>#REF!</v>
          </cell>
          <cell r="H9" t="e">
            <v>#REF!</v>
          </cell>
          <cell r="J9" t="e">
            <v>#REF!</v>
          </cell>
          <cell r="K9" t="e">
            <v>#REF!</v>
          </cell>
          <cell r="M9" t="e">
            <v>#REF!</v>
          </cell>
          <cell r="N9" t="e">
            <v>#REF!</v>
          </cell>
          <cell r="P9" t="e">
            <v>#REF!</v>
          </cell>
          <cell r="Q9" t="e">
            <v>#REF!</v>
          </cell>
          <cell r="R9" t="e">
            <v>#REF!</v>
          </cell>
          <cell r="T9" t="e">
            <v>#N/A</v>
          </cell>
        </row>
        <row r="10">
          <cell r="A10" t="e">
            <v>#REF!</v>
          </cell>
          <cell r="B10" t="e">
            <v>#REF!</v>
          </cell>
          <cell r="C10" t="e">
            <v>#REF!</v>
          </cell>
          <cell r="D10" t="e">
            <v>#REF!</v>
          </cell>
          <cell r="E10" t="e">
            <v>#REF!</v>
          </cell>
          <cell r="F10" t="str">
            <v>NM</v>
          </cell>
          <cell r="G10" t="e">
            <v>#REF!</v>
          </cell>
          <cell r="H10" t="e">
            <v>#REF!</v>
          </cell>
          <cell r="J10" t="e">
            <v>#REF!</v>
          </cell>
          <cell r="K10" t="e">
            <v>#REF!</v>
          </cell>
          <cell r="M10" t="e">
            <v>#REF!</v>
          </cell>
          <cell r="N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T10" t="e">
            <v>#REF!</v>
          </cell>
        </row>
        <row r="11">
          <cell r="A11" t="e">
            <v>#REF!</v>
          </cell>
          <cell r="B11" t="e">
            <v>#REF!</v>
          </cell>
          <cell r="C11" t="e">
            <v>#REF!</v>
          </cell>
          <cell r="D11" t="e">
            <v>#REF!</v>
          </cell>
          <cell r="E11" t="e">
            <v>#REF!</v>
          </cell>
          <cell r="F11" t="str">
            <v>NM</v>
          </cell>
          <cell r="G11" t="e">
            <v>#REF!</v>
          </cell>
          <cell r="H11" t="e">
            <v>#REF!</v>
          </cell>
          <cell r="J11" t="e">
            <v>#REF!</v>
          </cell>
          <cell r="K11" t="e">
            <v>#REF!</v>
          </cell>
          <cell r="M11" t="e">
            <v>#REF!</v>
          </cell>
          <cell r="N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T11" t="e">
            <v>#REF!</v>
          </cell>
        </row>
        <row r="12">
          <cell r="A12" t="e">
            <v>#REF!</v>
          </cell>
          <cell r="B12" t="e">
            <v>#REF!</v>
          </cell>
          <cell r="C12" t="e">
            <v>#REF!</v>
          </cell>
          <cell r="D12" t="e">
            <v>#REF!</v>
          </cell>
          <cell r="E12" t="e">
            <v>#REF!</v>
          </cell>
          <cell r="F12" t="str">
            <v>NM</v>
          </cell>
          <cell r="G12" t="e">
            <v>#REF!</v>
          </cell>
          <cell r="H12" t="e">
            <v>#REF!</v>
          </cell>
          <cell r="J12" t="e">
            <v>#REF!</v>
          </cell>
          <cell r="K12" t="e">
            <v>#REF!</v>
          </cell>
          <cell r="M12" t="e">
            <v>#REF!</v>
          </cell>
          <cell r="N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T12" t="e">
            <v>#REF!</v>
          </cell>
        </row>
        <row r="13">
          <cell r="A13" t="e">
            <v>#REF!</v>
          </cell>
          <cell r="B13" t="e">
            <v>#REF!</v>
          </cell>
          <cell r="C13" t="e">
            <v>#REF!</v>
          </cell>
          <cell r="D13" t="e">
            <v>#REF!</v>
          </cell>
          <cell r="E13" t="e">
            <v>#REF!</v>
          </cell>
          <cell r="F13" t="str">
            <v>NM</v>
          </cell>
          <cell r="G13" t="e">
            <v>#REF!</v>
          </cell>
          <cell r="H13" t="e">
            <v>#REF!</v>
          </cell>
          <cell r="J13" t="e">
            <v>#REF!</v>
          </cell>
          <cell r="K13" t="e">
            <v>#REF!</v>
          </cell>
          <cell r="M13" t="e">
            <v>#REF!</v>
          </cell>
          <cell r="N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T13" t="e">
            <v>#REF!</v>
          </cell>
        </row>
        <row r="14">
          <cell r="A14" t="e">
            <v>#REF!</v>
          </cell>
          <cell r="B14" t="e">
            <v>#REF!</v>
          </cell>
          <cell r="C14" t="e">
            <v>#REF!</v>
          </cell>
          <cell r="D14" t="e">
            <v>#REF!</v>
          </cell>
          <cell r="E14" t="e">
            <v>#REF!</v>
          </cell>
          <cell r="F14" t="str">
            <v>NM</v>
          </cell>
          <cell r="G14" t="e">
            <v>#REF!</v>
          </cell>
          <cell r="H14" t="e">
            <v>#REF!</v>
          </cell>
          <cell r="J14" t="e">
            <v>#REF!</v>
          </cell>
          <cell r="K14" t="e">
            <v>#REF!</v>
          </cell>
          <cell r="M14" t="e">
            <v>#REF!</v>
          </cell>
          <cell r="N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T14" t="e">
            <v>#REF!</v>
          </cell>
        </row>
        <row r="15">
          <cell r="A15" t="e">
            <v>#REF!</v>
          </cell>
          <cell r="B15" t="e">
            <v>#REF!</v>
          </cell>
          <cell r="C15" t="e">
            <v>#REF!</v>
          </cell>
          <cell r="D15" t="e">
            <v>#REF!</v>
          </cell>
          <cell r="E15" t="e">
            <v>#REF!</v>
          </cell>
          <cell r="F15" t="str">
            <v>NM</v>
          </cell>
          <cell r="G15" t="e">
            <v>#REF!</v>
          </cell>
          <cell r="H15" t="e">
            <v>#REF!</v>
          </cell>
          <cell r="J15" t="e">
            <v>#REF!</v>
          </cell>
          <cell r="K15" t="e">
            <v>#REF!</v>
          </cell>
          <cell r="M15" t="e">
            <v>#REF!</v>
          </cell>
          <cell r="N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T15" t="e">
            <v>#REF!</v>
          </cell>
        </row>
        <row r="16">
          <cell r="A16" t="e">
            <v>#REF!</v>
          </cell>
          <cell r="B16" t="e">
            <v>#REF!</v>
          </cell>
          <cell r="C16" t="str">
            <v>E</v>
          </cell>
          <cell r="D16" t="e">
            <v>#REF!</v>
          </cell>
          <cell r="E16" t="e">
            <v>#REF!</v>
          </cell>
          <cell r="F16" t="str">
            <v>NM</v>
          </cell>
          <cell r="G16" t="e">
            <v>#REF!</v>
          </cell>
          <cell r="H16" t="e">
            <v>#REF!</v>
          </cell>
          <cell r="J16" t="e">
            <v>#REF!</v>
          </cell>
          <cell r="K16" t="e">
            <v>#REF!</v>
          </cell>
          <cell r="M16" t="e">
            <v>#REF!</v>
          </cell>
          <cell r="N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T16" t="str">
            <v>Equal-weight</v>
          </cell>
        </row>
        <row r="17">
          <cell r="A17" t="e">
            <v>#REF!</v>
          </cell>
          <cell r="B17" t="str">
            <v>Principal</v>
          </cell>
          <cell r="C17" t="e">
            <v>#N/A</v>
          </cell>
          <cell r="D17" t="e">
            <v>#REF!</v>
          </cell>
          <cell r="E17" t="e">
            <v>#REF!</v>
          </cell>
          <cell r="F17" t="str">
            <v>NM</v>
          </cell>
          <cell r="G17" t="e">
            <v>#REF!</v>
          </cell>
          <cell r="H17" t="e">
            <v>#REF!</v>
          </cell>
          <cell r="J17" t="e">
            <v>#REF!</v>
          </cell>
          <cell r="K17" t="e">
            <v>#REF!</v>
          </cell>
          <cell r="M17" t="e">
            <v>#REF!</v>
          </cell>
          <cell r="N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T17" t="e">
            <v>#N/A</v>
          </cell>
        </row>
        <row r="18">
          <cell r="A18" t="e">
            <v>#REF!</v>
          </cell>
          <cell r="B18" t="e">
            <v>#REF!</v>
          </cell>
          <cell r="C18" t="e">
            <v>#REF!</v>
          </cell>
          <cell r="D18" t="e">
            <v>#REF!</v>
          </cell>
          <cell r="E18" t="e">
            <v>#REF!</v>
          </cell>
          <cell r="F18" t="str">
            <v>NM</v>
          </cell>
          <cell r="G18" t="e">
            <v>#REF!</v>
          </cell>
          <cell r="H18" t="e">
            <v>#REF!</v>
          </cell>
          <cell r="J18" t="e">
            <v>#REF!</v>
          </cell>
          <cell r="K18" t="e">
            <v>#REF!</v>
          </cell>
          <cell r="M18" t="e">
            <v>#REF!</v>
          </cell>
          <cell r="N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T18" t="e">
            <v>#REF!</v>
          </cell>
        </row>
        <row r="19">
          <cell r="A19" t="e">
            <v>#REF!</v>
          </cell>
          <cell r="B19" t="e">
            <v>#REF!</v>
          </cell>
          <cell r="C19" t="e">
            <v>#REF!</v>
          </cell>
          <cell r="D19" t="e">
            <v>#REF!</v>
          </cell>
          <cell r="E19" t="e">
            <v>#REF!</v>
          </cell>
          <cell r="F19" t="str">
            <v>NM</v>
          </cell>
          <cell r="G19" t="e">
            <v>#REF!</v>
          </cell>
          <cell r="H19" t="e">
            <v>#REF!</v>
          </cell>
          <cell r="J19" t="e">
            <v>#REF!</v>
          </cell>
          <cell r="K19" t="e">
            <v>#REF!</v>
          </cell>
          <cell r="M19" t="e">
            <v>#REF!</v>
          </cell>
          <cell r="N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T19" t="e">
            <v>#REF!</v>
          </cell>
        </row>
        <row r="20">
          <cell r="A20" t="e">
            <v>#REF!</v>
          </cell>
          <cell r="B20" t="e">
            <v>#REF!</v>
          </cell>
          <cell r="C20" t="e">
            <v>#REF!</v>
          </cell>
          <cell r="D20" t="e">
            <v>#REF!</v>
          </cell>
          <cell r="E20" t="e">
            <v>#REF!</v>
          </cell>
          <cell r="F20" t="str">
            <v>NM</v>
          </cell>
          <cell r="G20" t="e">
            <v>#REF!</v>
          </cell>
          <cell r="H20" t="e">
            <v>#REF!</v>
          </cell>
          <cell r="J20" t="e">
            <v>#REF!</v>
          </cell>
          <cell r="K20" t="e">
            <v>#REF!</v>
          </cell>
          <cell r="M20" t="e">
            <v>#REF!</v>
          </cell>
          <cell r="N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T20" t="e">
            <v>#REF!</v>
          </cell>
        </row>
        <row r="21">
          <cell r="A21" t="e">
            <v>#REF!</v>
          </cell>
          <cell r="B21" t="e">
            <v>#REF!</v>
          </cell>
          <cell r="C21" t="e">
            <v>#REF!</v>
          </cell>
          <cell r="D21" t="e">
            <v>#REF!</v>
          </cell>
          <cell r="E21" t="e">
            <v>#REF!</v>
          </cell>
          <cell r="F21" t="str">
            <v>NM</v>
          </cell>
          <cell r="G21" t="e">
            <v>#REF!</v>
          </cell>
          <cell r="H21" t="e">
            <v>#REF!</v>
          </cell>
          <cell r="J21" t="e">
            <v>#REF!</v>
          </cell>
          <cell r="K21" t="e">
            <v>#REF!</v>
          </cell>
          <cell r="M21" t="e">
            <v>#REF!</v>
          </cell>
          <cell r="N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T21" t="e">
            <v>#REF!</v>
          </cell>
        </row>
        <row r="22">
          <cell r="A22" t="e">
            <v>#REF!</v>
          </cell>
          <cell r="B22" t="e">
            <v>#REF!</v>
          </cell>
          <cell r="C22" t="e">
            <v>#REF!</v>
          </cell>
          <cell r="D22" t="e">
            <v>#REF!</v>
          </cell>
          <cell r="E22" t="e">
            <v>#REF!</v>
          </cell>
          <cell r="F22" t="str">
            <v>NM</v>
          </cell>
          <cell r="G22" t="e">
            <v>#REF!</v>
          </cell>
          <cell r="H22" t="e">
            <v>#REF!</v>
          </cell>
          <cell r="J22" t="e">
            <v>#REF!</v>
          </cell>
          <cell r="K22" t="e">
            <v>#REF!</v>
          </cell>
          <cell r="M22" t="e">
            <v>#REF!</v>
          </cell>
          <cell r="N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T22" t="e">
            <v>#REF!</v>
          </cell>
        </row>
        <row r="23">
          <cell r="A23" t="e">
            <v>#REF!</v>
          </cell>
          <cell r="B23" t="e">
            <v>#REF!</v>
          </cell>
          <cell r="C23" t="e">
            <v>#REF!</v>
          </cell>
          <cell r="D23" t="e">
            <v>#REF!</v>
          </cell>
          <cell r="E23" t="e">
            <v>#REF!</v>
          </cell>
          <cell r="F23" t="str">
            <v>NM</v>
          </cell>
          <cell r="G23" t="e">
            <v>#REF!</v>
          </cell>
          <cell r="H23" t="e">
            <v>#REF!</v>
          </cell>
          <cell r="J23" t="e">
            <v>#REF!</v>
          </cell>
          <cell r="K23" t="e">
            <v>#REF!</v>
          </cell>
          <cell r="M23" t="e">
            <v>#REF!</v>
          </cell>
          <cell r="N23" t="e">
            <v>#REF!</v>
          </cell>
          <cell r="P23" t="e">
            <v>#REF!</v>
          </cell>
          <cell r="Q23" t="e">
            <v>#REF!</v>
          </cell>
          <cell r="R23" t="e">
            <v>#REF!</v>
          </cell>
          <cell r="T23" t="e">
            <v>#REF!</v>
          </cell>
        </row>
        <row r="24">
          <cell r="B24" t="e">
            <v>#REF!</v>
          </cell>
          <cell r="G24" t="e">
            <v>#REF!</v>
          </cell>
          <cell r="H24" t="e">
            <v>#REF!</v>
          </cell>
          <cell r="M24" t="e">
            <v>#REF!</v>
          </cell>
          <cell r="N24" t="e">
            <v>#REF!</v>
          </cell>
          <cell r="P24" t="e">
            <v>#REF!</v>
          </cell>
          <cell r="Q24" t="e">
            <v>#REF!</v>
          </cell>
          <cell r="R24" t="e">
            <v>#REF!</v>
          </cell>
        </row>
        <row r="25">
          <cell r="B25" t="e">
            <v>#REF!</v>
          </cell>
          <cell r="G25" t="e">
            <v>#REF!</v>
          </cell>
          <cell r="H25" t="e">
            <v>#REF!</v>
          </cell>
          <cell r="M25" t="e">
            <v>#REF!</v>
          </cell>
          <cell r="N25" t="e">
            <v>#REF!</v>
          </cell>
          <cell r="P25" t="e">
            <v>#REF!</v>
          </cell>
          <cell r="Q25" t="e">
            <v>#REF!</v>
          </cell>
          <cell r="R25" t="e">
            <v>#REF!</v>
          </cell>
        </row>
        <row r="27">
          <cell r="B27" t="str">
            <v>Financial Guarantors</v>
          </cell>
        </row>
        <row r="28">
          <cell r="A28" t="e">
            <v>#REF!</v>
          </cell>
          <cell r="B28" t="e">
            <v>#REF!</v>
          </cell>
          <cell r="C28" t="e">
            <v>#REF!</v>
          </cell>
          <cell r="D28" t="e">
            <v>#REF!</v>
          </cell>
          <cell r="E28" t="e">
            <v>#REF!</v>
          </cell>
          <cell r="F28" t="str">
            <v>NM</v>
          </cell>
          <cell r="G28" t="e">
            <v>#REF!</v>
          </cell>
          <cell r="H28" t="e">
            <v>#REF!</v>
          </cell>
          <cell r="J28" t="e">
            <v>#REF!</v>
          </cell>
          <cell r="K28" t="e">
            <v>#REF!</v>
          </cell>
          <cell r="M28" t="e">
            <v>#REF!</v>
          </cell>
          <cell r="N28" t="e">
            <v>#REF!</v>
          </cell>
          <cell r="P28" t="e">
            <v>#REF!</v>
          </cell>
          <cell r="Q28" t="e">
            <v>#REF!</v>
          </cell>
          <cell r="R28" t="e">
            <v>#REF!</v>
          </cell>
          <cell r="T28" t="e">
            <v>#REF!</v>
          </cell>
        </row>
        <row r="29">
          <cell r="A29" t="e">
            <v>#REF!</v>
          </cell>
          <cell r="B29" t="e">
            <v>#REF!</v>
          </cell>
          <cell r="C29" t="e">
            <v>#REF!</v>
          </cell>
          <cell r="D29" t="e">
            <v>#REF!</v>
          </cell>
          <cell r="E29" t="e">
            <v>#REF!</v>
          </cell>
          <cell r="F29" t="str">
            <v>NM</v>
          </cell>
          <cell r="G29" t="e">
            <v>#REF!</v>
          </cell>
          <cell r="H29" t="e">
            <v>#REF!</v>
          </cell>
          <cell r="J29" t="e">
            <v>#REF!</v>
          </cell>
          <cell r="K29" t="e">
            <v>#REF!</v>
          </cell>
          <cell r="M29" t="e">
            <v>#REF!</v>
          </cell>
          <cell r="N29" t="e">
            <v>#REF!</v>
          </cell>
          <cell r="P29" t="e">
            <v>#REF!</v>
          </cell>
          <cell r="Q29" t="e">
            <v>#REF!</v>
          </cell>
          <cell r="R29" t="e">
            <v>#REF!</v>
          </cell>
          <cell r="T29" t="e">
            <v>#REF!</v>
          </cell>
        </row>
        <row r="30">
          <cell r="A30" t="e">
            <v>#REF!</v>
          </cell>
          <cell r="B30" t="e">
            <v>#REF!</v>
          </cell>
          <cell r="C30" t="e">
            <v>#REF!</v>
          </cell>
          <cell r="D30" t="e">
            <v>#REF!</v>
          </cell>
          <cell r="E30" t="e">
            <v>#REF!</v>
          </cell>
          <cell r="F30" t="str">
            <v>NM</v>
          </cell>
          <cell r="G30" t="e">
            <v>#REF!</v>
          </cell>
          <cell r="H30" t="e">
            <v>#REF!</v>
          </cell>
          <cell r="J30" t="e">
            <v>#REF!</v>
          </cell>
          <cell r="K30" t="e">
            <v>#REF!</v>
          </cell>
          <cell r="M30" t="e">
            <v>#REF!</v>
          </cell>
          <cell r="N30" t="e">
            <v>#REF!</v>
          </cell>
          <cell r="P30" t="e">
            <v>#REF!</v>
          </cell>
          <cell r="Q30" t="e">
            <v>#REF!</v>
          </cell>
          <cell r="R30" t="e">
            <v>#REF!</v>
          </cell>
          <cell r="T30" t="str">
            <v>Overweight-V</v>
          </cell>
        </row>
        <row r="31">
          <cell r="B31" t="str">
            <v>Average</v>
          </cell>
          <cell r="G31" t="e">
            <v>#REF!</v>
          </cell>
          <cell r="H31" t="e">
            <v>#REF!</v>
          </cell>
          <cell r="M31" t="e">
            <v>#REF!</v>
          </cell>
          <cell r="N31" t="e">
            <v>#REF!</v>
          </cell>
          <cell r="P31" t="e">
            <v>#REF!</v>
          </cell>
          <cell r="Q31" t="e">
            <v>#REF!</v>
          </cell>
          <cell r="R31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Morgan Stanley Life Insurance Comp Sheet</v>
          </cell>
        </row>
        <row r="3">
          <cell r="D3" t="str">
            <v>Price ($)</v>
          </cell>
          <cell r="E3" t="str">
            <v>RBC</v>
          </cell>
          <cell r="F3" t="str">
            <v>Excess Capital</v>
          </cell>
          <cell r="H3" t="str">
            <v>Repurchases ($B)</v>
          </cell>
          <cell r="K3" t="str">
            <v>Dividends Per Share</v>
          </cell>
          <cell r="N3" t="str">
            <v>Dividend Yield (%)</v>
          </cell>
          <cell r="Q3" t="str">
            <v>Total Payout Ratio (%)</v>
          </cell>
          <cell r="T3" t="str">
            <v>Total Payout Yield (%)</v>
          </cell>
        </row>
        <row r="4">
          <cell r="A4" t="str">
            <v>Ticker</v>
          </cell>
          <cell r="B4" t="str">
            <v>Company</v>
          </cell>
          <cell r="C4" t="str">
            <v>Rating</v>
          </cell>
          <cell r="D4" t="e">
            <v>#REF!</v>
          </cell>
          <cell r="E4" t="str">
            <v>(%)</v>
          </cell>
          <cell r="F4" t="str">
            <v>$B</v>
          </cell>
          <cell r="G4" t="str">
            <v>% Equity</v>
          </cell>
          <cell r="H4" t="e">
            <v>#REF!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U4" t="e">
            <v>#REF!</v>
          </cell>
          <cell r="V4" t="e">
            <v>#REF!</v>
          </cell>
        </row>
        <row r="5">
          <cell r="A5" t="e">
            <v>#REF!</v>
          </cell>
          <cell r="B5" t="e">
            <v>#REF!</v>
          </cell>
          <cell r="C5" t="str">
            <v>E</v>
          </cell>
          <cell r="D5" t="e">
            <v>#REF!</v>
          </cell>
          <cell r="E5">
            <v>587.5</v>
          </cell>
          <cell r="F5" t="e">
            <v>#REF!</v>
          </cell>
          <cell r="G5" t="e">
            <v>#REF!</v>
          </cell>
          <cell r="H5" t="e">
            <v>#REF!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e">
            <v>#REF!</v>
          </cell>
          <cell r="V5" t="e">
            <v>#REF!</v>
          </cell>
        </row>
        <row r="6">
          <cell r="A6" t="e">
            <v>#REF!</v>
          </cell>
          <cell r="B6" t="e">
            <v>#REF!</v>
          </cell>
          <cell r="C6" t="str">
            <v>E</v>
          </cell>
          <cell r="D6" t="e">
            <v>#REF!</v>
          </cell>
          <cell r="E6">
            <v>514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U6" t="e">
            <v>#REF!</v>
          </cell>
          <cell r="V6" t="e">
            <v>#REF!</v>
          </cell>
        </row>
        <row r="7">
          <cell r="A7" t="e">
            <v>#REF!</v>
          </cell>
          <cell r="B7" t="e">
            <v>#REF!</v>
          </cell>
          <cell r="C7" t="str">
            <v>E</v>
          </cell>
          <cell r="D7" t="e">
            <v>#REF!</v>
          </cell>
          <cell r="E7">
            <v>361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U7" t="e">
            <v>#REF!</v>
          </cell>
          <cell r="V7" t="e">
            <v>#REF!</v>
          </cell>
        </row>
        <row r="8">
          <cell r="A8" t="e">
            <v>#REF!</v>
          </cell>
          <cell r="B8" t="e">
            <v>#REF!</v>
          </cell>
          <cell r="C8" t="str">
            <v>E</v>
          </cell>
          <cell r="D8" t="e">
            <v>#REF!</v>
          </cell>
          <cell r="E8">
            <v>420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U8" t="e">
            <v>#REF!</v>
          </cell>
          <cell r="V8" t="e">
            <v>#REF!</v>
          </cell>
        </row>
        <row r="9">
          <cell r="A9" t="e">
            <v>#REF!</v>
          </cell>
          <cell r="B9" t="e">
            <v>#REF!</v>
          </cell>
          <cell r="C9" t="str">
            <v>E</v>
          </cell>
          <cell r="D9" t="e">
            <v>#REF!</v>
          </cell>
          <cell r="E9">
            <v>587.5</v>
          </cell>
          <cell r="F9" t="e">
            <v>#REF!</v>
          </cell>
          <cell r="G9" t="e">
            <v>#REF!</v>
          </cell>
          <cell r="H9" t="e">
            <v>#REF!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 t="e">
            <v>#REF!</v>
          </cell>
          <cell r="R9" t="e">
            <v>#REF!</v>
          </cell>
          <cell r="S9" t="e">
            <v>#REF!</v>
          </cell>
          <cell r="T9" t="e">
            <v>#REF!</v>
          </cell>
          <cell r="U9" t="e">
            <v>#REF!</v>
          </cell>
          <cell r="V9" t="e">
            <v>#REF!</v>
          </cell>
        </row>
        <row r="10">
          <cell r="A10" t="e">
            <v>#REF!</v>
          </cell>
          <cell r="B10" t="e">
            <v>#REF!</v>
          </cell>
          <cell r="C10" t="str">
            <v>E</v>
          </cell>
          <cell r="D10" t="e">
            <v>#REF!</v>
          </cell>
          <cell r="E10">
            <v>495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U10" t="e">
            <v>#REF!</v>
          </cell>
          <cell r="V10" t="e">
            <v>#REF!</v>
          </cell>
        </row>
        <row r="11">
          <cell r="A11" t="e">
            <v>#REF!</v>
          </cell>
          <cell r="B11" t="e">
            <v>#REF!</v>
          </cell>
          <cell r="C11" t="str">
            <v>O</v>
          </cell>
          <cell r="D11" t="e">
            <v>#REF!</v>
          </cell>
          <cell r="E11">
            <v>497.48387096774189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U11" t="e">
            <v>#REF!</v>
          </cell>
          <cell r="V11" t="e">
            <v>#REF!</v>
          </cell>
        </row>
        <row r="12">
          <cell r="A12" t="e">
            <v>#REF!</v>
          </cell>
          <cell r="B12" t="e">
            <v>#REF!</v>
          </cell>
          <cell r="C12" t="e">
            <v>#REF!</v>
          </cell>
          <cell r="D12" t="e">
            <v>#REF!</v>
          </cell>
          <cell r="E12">
            <v>587.5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U12" t="e">
            <v>#REF!</v>
          </cell>
          <cell r="V12" t="e">
            <v>#REF!</v>
          </cell>
        </row>
        <row r="13">
          <cell r="A13" t="e">
            <v>#REF!</v>
          </cell>
          <cell r="B13" t="e">
            <v>#REF!</v>
          </cell>
          <cell r="C13" t="str">
            <v>U</v>
          </cell>
          <cell r="D13" t="e">
            <v>#REF!</v>
          </cell>
          <cell r="E13">
            <v>440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U13" t="e">
            <v>#REF!</v>
          </cell>
          <cell r="V13" t="e">
            <v>#REF!</v>
          </cell>
        </row>
        <row r="14">
          <cell r="A14" t="e">
            <v>#REF!</v>
          </cell>
          <cell r="B14" t="e">
            <v>#REF!</v>
          </cell>
          <cell r="C14" t="str">
            <v>O</v>
          </cell>
          <cell r="D14" t="e">
            <v>#REF!</v>
          </cell>
          <cell r="E14">
            <v>476.00330612244892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U14" t="e">
            <v>#REF!</v>
          </cell>
          <cell r="V14" t="e">
            <v>#REF!</v>
          </cell>
        </row>
        <row r="15">
          <cell r="A15" t="e">
            <v>#REF!</v>
          </cell>
          <cell r="B15" t="e">
            <v>#REF!</v>
          </cell>
          <cell r="C15" t="str">
            <v>E</v>
          </cell>
          <cell r="D15" t="e">
            <v>#REF!</v>
          </cell>
          <cell r="E15">
            <v>358.54461111111112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U15" t="e">
            <v>#REF!</v>
          </cell>
          <cell r="V15" t="e">
            <v>#REF!</v>
          </cell>
        </row>
        <row r="16">
          <cell r="A16" t="e">
            <v>#REF!</v>
          </cell>
          <cell r="B16" t="e">
            <v>#REF!</v>
          </cell>
          <cell r="C16" t="str">
            <v>U</v>
          </cell>
          <cell r="D16" t="e">
            <v>#REF!</v>
          </cell>
          <cell r="E16">
            <v>364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U16" t="e">
            <v>#REF!</v>
          </cell>
          <cell r="V16" t="e">
            <v>#REF!</v>
          </cell>
        </row>
        <row r="17">
          <cell r="A17" t="e">
            <v>#REF!</v>
          </cell>
          <cell r="B17" t="e">
            <v>#REF!</v>
          </cell>
          <cell r="C17" t="e">
            <v>#REF!</v>
          </cell>
          <cell r="D17" t="e">
            <v>#REF!</v>
          </cell>
          <cell r="E17">
            <v>587.5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U17" t="e">
            <v>#REF!</v>
          </cell>
          <cell r="V17" t="e">
            <v>#REF!</v>
          </cell>
        </row>
        <row r="18">
          <cell r="A18" t="e">
            <v>#REF!</v>
          </cell>
          <cell r="B18" t="e">
            <v>#REF!</v>
          </cell>
          <cell r="C18" t="str">
            <v>E</v>
          </cell>
          <cell r="D18" t="e">
            <v>#REF!</v>
          </cell>
          <cell r="E18">
            <v>333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 t="e">
            <v>#REF!</v>
          </cell>
          <cell r="V18" t="e">
            <v>#REF!</v>
          </cell>
        </row>
        <row r="19">
          <cell r="A19" t="e">
            <v>#REF!</v>
          </cell>
          <cell r="B19" t="e">
            <v>#REF!</v>
          </cell>
          <cell r="C19" t="str">
            <v>E</v>
          </cell>
          <cell r="D19" t="e">
            <v>#REF!</v>
          </cell>
          <cell r="E19">
            <v>407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 t="e">
            <v>#REF!</v>
          </cell>
          <cell r="V19" t="e">
            <v>#REF!</v>
          </cell>
        </row>
      </sheetData>
      <sheetData sheetId="13">
        <row r="1">
          <cell r="A1" t="str">
            <v>Morgan Stanley Life Insurance Comp Sheet</v>
          </cell>
        </row>
        <row r="2">
          <cell r="S2" t="str">
            <v>3Q12</v>
          </cell>
        </row>
        <row r="3">
          <cell r="D3" t="str">
            <v>Price ($)</v>
          </cell>
          <cell r="F3" t="str">
            <v>%</v>
          </cell>
          <cell r="G3" t="str">
            <v xml:space="preserve">Stat </v>
          </cell>
          <cell r="H3" t="str">
            <v>Price/</v>
          </cell>
          <cell r="I3" t="str">
            <v>Tangible Book</v>
          </cell>
          <cell r="L3" t="str">
            <v>Price to Tangible Bk</v>
          </cell>
          <cell r="O3" t="str">
            <v>DAC/Share</v>
          </cell>
          <cell r="Q3" t="str">
            <v>Invt Leverage</v>
          </cell>
          <cell r="S3" t="str">
            <v>Debt/</v>
          </cell>
          <cell r="T3" t="str">
            <v>IFS Rating</v>
          </cell>
        </row>
        <row r="4">
          <cell r="A4" t="str">
            <v>Ticker</v>
          </cell>
          <cell r="B4" t="str">
            <v>Company</v>
          </cell>
          <cell r="C4" t="str">
            <v>Rating</v>
          </cell>
          <cell r="D4" t="e">
            <v>#REF!</v>
          </cell>
          <cell r="E4" t="str">
            <v>FV</v>
          </cell>
          <cell r="F4" t="str">
            <v>Upside</v>
          </cell>
          <cell r="G4" t="str">
            <v>BVPS</v>
          </cell>
          <cell r="H4" t="str">
            <v>Stat Bk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str">
            <v>Capital</v>
          </cell>
          <cell r="T4" t="str">
            <v>Moody's</v>
          </cell>
          <cell r="U4" t="str">
            <v>S&amp;P</v>
          </cell>
          <cell r="V4" t="str">
            <v>Fitch</v>
          </cell>
        </row>
        <row r="5">
          <cell r="A5" t="e">
            <v>#REF!</v>
          </cell>
          <cell r="B5" t="e">
            <v>#REF!</v>
          </cell>
          <cell r="C5" t="str">
            <v>E</v>
          </cell>
          <cell r="D5" t="e">
            <v>#REF!</v>
          </cell>
          <cell r="E5">
            <v>61</v>
          </cell>
          <cell r="F5" t="str">
            <v>NM</v>
          </cell>
          <cell r="G5" t="e">
            <v>#REF!</v>
          </cell>
          <cell r="H5" t="e">
            <v>#REF!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e">
            <v>#REF!</v>
          </cell>
          <cell r="V5" t="e">
            <v>#REF!</v>
          </cell>
        </row>
        <row r="6">
          <cell r="A6" t="e">
            <v>#REF!</v>
          </cell>
          <cell r="B6" t="e">
            <v>#REF!</v>
          </cell>
          <cell r="C6" t="str">
            <v>E</v>
          </cell>
          <cell r="D6" t="e">
            <v>#REF!</v>
          </cell>
          <cell r="E6">
            <v>66</v>
          </cell>
          <cell r="F6" t="str">
            <v>NM</v>
          </cell>
          <cell r="G6" t="e">
            <v>#REF!</v>
          </cell>
          <cell r="H6" t="e">
            <v>#REF!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U6" t="e">
            <v>#REF!</v>
          </cell>
          <cell r="V6" t="e">
            <v>#REF!</v>
          </cell>
        </row>
        <row r="7">
          <cell r="A7" t="e">
            <v>#REF!</v>
          </cell>
          <cell r="B7" t="e">
            <v>#REF!</v>
          </cell>
          <cell r="C7" t="str">
            <v>E</v>
          </cell>
          <cell r="D7" t="e">
            <v>#REF!</v>
          </cell>
          <cell r="E7">
            <v>10</v>
          </cell>
          <cell r="F7" t="str">
            <v>NM</v>
          </cell>
          <cell r="G7" t="e">
            <v>#REF!</v>
          </cell>
          <cell r="H7" t="e">
            <v>#REF!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U7" t="e">
            <v>#REF!</v>
          </cell>
          <cell r="V7" t="e">
            <v>#REF!</v>
          </cell>
        </row>
        <row r="8">
          <cell r="A8" t="e">
            <v>#REF!</v>
          </cell>
          <cell r="B8" t="e">
            <v>#REF!</v>
          </cell>
          <cell r="C8" t="str">
            <v>E</v>
          </cell>
          <cell r="D8" t="e">
            <v>#REF!</v>
          </cell>
          <cell r="E8">
            <v>7</v>
          </cell>
          <cell r="F8" t="str">
            <v>NM</v>
          </cell>
          <cell r="G8" t="e">
            <v>#REF!</v>
          </cell>
          <cell r="H8" t="e">
            <v>#REF!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U8" t="e">
            <v>#REF!</v>
          </cell>
          <cell r="V8" t="e">
            <v>#REF!</v>
          </cell>
        </row>
        <row r="9">
          <cell r="A9" t="e">
            <v>#REF!</v>
          </cell>
          <cell r="B9" t="e">
            <v>#REF!</v>
          </cell>
          <cell r="C9" t="str">
            <v>E</v>
          </cell>
          <cell r="D9" t="e">
            <v>#REF!</v>
          </cell>
          <cell r="E9">
            <v>22</v>
          </cell>
          <cell r="F9" t="str">
            <v>NM</v>
          </cell>
          <cell r="G9" t="e">
            <v>#REF!</v>
          </cell>
          <cell r="H9" t="e">
            <v>#REF!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 t="e">
            <v>#REF!</v>
          </cell>
          <cell r="R9" t="e">
            <v>#REF!</v>
          </cell>
          <cell r="S9" t="e">
            <v>#REF!</v>
          </cell>
          <cell r="T9" t="e">
            <v>#REF!</v>
          </cell>
          <cell r="U9" t="e">
            <v>#REF!</v>
          </cell>
          <cell r="V9" t="e">
            <v>#REF!</v>
          </cell>
        </row>
        <row r="10">
          <cell r="A10" t="e">
            <v>#REF!</v>
          </cell>
          <cell r="B10" t="e">
            <v>#REF!</v>
          </cell>
          <cell r="C10" t="str">
            <v>E</v>
          </cell>
          <cell r="D10" t="e">
            <v>#REF!</v>
          </cell>
          <cell r="E10">
            <v>33</v>
          </cell>
          <cell r="F10" t="str">
            <v>NM</v>
          </cell>
          <cell r="G10" t="e">
            <v>#REF!</v>
          </cell>
          <cell r="H10" t="e">
            <v>#REF!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U10" t="e">
            <v>#REF!</v>
          </cell>
          <cell r="V10" t="e">
            <v>#REF!</v>
          </cell>
        </row>
        <row r="11">
          <cell r="A11" t="e">
            <v>#REF!</v>
          </cell>
          <cell r="B11" t="e">
            <v>#REF!</v>
          </cell>
          <cell r="C11" t="str">
            <v>O</v>
          </cell>
          <cell r="D11" t="e">
            <v>#REF!</v>
          </cell>
          <cell r="E11">
            <v>44</v>
          </cell>
          <cell r="F11" t="str">
            <v>NM</v>
          </cell>
          <cell r="G11" t="e">
            <v>#REF!</v>
          </cell>
          <cell r="H11" t="e">
            <v>#REF!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U11" t="e">
            <v>#REF!</v>
          </cell>
          <cell r="V11" t="e">
            <v>#REF!</v>
          </cell>
        </row>
        <row r="12">
          <cell r="A12" t="e">
            <v>#REF!</v>
          </cell>
          <cell r="B12" t="e">
            <v>#REF!</v>
          </cell>
          <cell r="C12" t="e">
            <v>#REF!</v>
          </cell>
          <cell r="D12" t="e">
            <v>#REF!</v>
          </cell>
          <cell r="E12" t="str">
            <v>NA</v>
          </cell>
          <cell r="F12" t="str">
            <v>NM</v>
          </cell>
          <cell r="G12" t="e">
            <v>#REF!</v>
          </cell>
          <cell r="H12" t="e">
            <v>#REF!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U12" t="e">
            <v>#REF!</v>
          </cell>
          <cell r="V12" t="e">
            <v>#REF!</v>
          </cell>
        </row>
        <row r="13">
          <cell r="A13" t="e">
            <v>#REF!</v>
          </cell>
          <cell r="B13" t="e">
            <v>#REF!</v>
          </cell>
          <cell r="C13" t="str">
            <v>U</v>
          </cell>
          <cell r="D13" t="e">
            <v>#REF!</v>
          </cell>
          <cell r="E13">
            <v>30</v>
          </cell>
          <cell r="F13" t="str">
            <v>NM</v>
          </cell>
          <cell r="G13" t="e">
            <v>#REF!</v>
          </cell>
          <cell r="H13" t="e">
            <v>#REF!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U13" t="e">
            <v>#REF!</v>
          </cell>
          <cell r="V13" t="e">
            <v>#REF!</v>
          </cell>
        </row>
        <row r="14">
          <cell r="A14" t="e">
            <v>#REF!</v>
          </cell>
          <cell r="B14" t="e">
            <v>#REF!</v>
          </cell>
          <cell r="C14" t="str">
            <v>O</v>
          </cell>
          <cell r="D14" t="e">
            <v>#REF!</v>
          </cell>
          <cell r="E14">
            <v>71</v>
          </cell>
          <cell r="F14" t="str">
            <v>NM</v>
          </cell>
          <cell r="G14" t="e">
            <v>#REF!</v>
          </cell>
          <cell r="H14" t="e">
            <v>#REF!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U14" t="e">
            <v>#REF!</v>
          </cell>
          <cell r="V14" t="e">
            <v>#REF!</v>
          </cell>
        </row>
        <row r="15">
          <cell r="A15" t="e">
            <v>#REF!</v>
          </cell>
          <cell r="B15" t="e">
            <v>#REF!</v>
          </cell>
          <cell r="C15" t="str">
            <v>E</v>
          </cell>
          <cell r="D15" t="e">
            <v>#REF!</v>
          </cell>
          <cell r="E15">
            <v>62</v>
          </cell>
          <cell r="F15" t="str">
            <v>NM</v>
          </cell>
          <cell r="G15" t="e">
            <v>#REF!</v>
          </cell>
          <cell r="H15" t="e">
            <v>#REF!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U15" t="e">
            <v>#REF!</v>
          </cell>
          <cell r="V15" t="e">
            <v>#REF!</v>
          </cell>
        </row>
        <row r="16">
          <cell r="A16" t="e">
            <v>#REF!</v>
          </cell>
          <cell r="B16" t="e">
            <v>#REF!</v>
          </cell>
          <cell r="C16" t="str">
            <v>U</v>
          </cell>
          <cell r="D16" t="e">
            <v>#REF!</v>
          </cell>
          <cell r="E16">
            <v>33</v>
          </cell>
          <cell r="F16" t="str">
            <v>NM</v>
          </cell>
          <cell r="G16" t="e">
            <v>#REF!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U16" t="e">
            <v>#REF!</v>
          </cell>
          <cell r="V16" t="e">
            <v>#REF!</v>
          </cell>
        </row>
        <row r="17">
          <cell r="A17" t="e">
            <v>#REF!</v>
          </cell>
          <cell r="B17" t="e">
            <v>#REF!</v>
          </cell>
          <cell r="C17" t="e">
            <v>#REF!</v>
          </cell>
          <cell r="D17" t="e">
            <v>#REF!</v>
          </cell>
          <cell r="E17" t="str">
            <v>NA</v>
          </cell>
          <cell r="F17" t="str">
            <v>NM</v>
          </cell>
          <cell r="G17" t="e">
            <v>#REF!</v>
          </cell>
          <cell r="H17" t="e">
            <v>#REF!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U17" t="e">
            <v>#REF!</v>
          </cell>
          <cell r="V17" t="e">
            <v>#REF!</v>
          </cell>
        </row>
        <row r="18">
          <cell r="A18" t="e">
            <v>#REF!</v>
          </cell>
          <cell r="B18" t="e">
            <v>#REF!</v>
          </cell>
          <cell r="C18" t="str">
            <v>E</v>
          </cell>
          <cell r="D18" t="e">
            <v>#REF!</v>
          </cell>
          <cell r="E18">
            <v>55</v>
          </cell>
          <cell r="F18" t="str">
            <v>NM</v>
          </cell>
          <cell r="G18" t="e">
            <v>#REF!</v>
          </cell>
          <cell r="H18" t="e">
            <v>#REF!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 t="e">
            <v>#REF!</v>
          </cell>
          <cell r="V18" t="e">
            <v>#REF!</v>
          </cell>
        </row>
        <row r="19">
          <cell r="A19" t="e">
            <v>#REF!</v>
          </cell>
          <cell r="B19" t="e">
            <v>#REF!</v>
          </cell>
          <cell r="C19" t="str">
            <v>E</v>
          </cell>
          <cell r="D19" t="e">
            <v>#REF!</v>
          </cell>
          <cell r="E19">
            <v>26</v>
          </cell>
          <cell r="F19" t="str">
            <v>NM</v>
          </cell>
          <cell r="G19" t="e">
            <v>#REF!</v>
          </cell>
          <cell r="H19" t="e">
            <v>#REF!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 t="e">
            <v>#REF!</v>
          </cell>
          <cell r="V19" t="e">
            <v>#REF!</v>
          </cell>
        </row>
      </sheetData>
      <sheetData sheetId="14">
        <row r="1">
          <cell r="A1" t="str">
            <v>Morgan Stanley Life Insurance Comp Sheet</v>
          </cell>
        </row>
        <row r="4">
          <cell r="D4" t="str">
            <v>Price to Book ex-AOCI</v>
          </cell>
          <cell r="F4" t="str">
            <v>BVPS Ex-AOCI</v>
          </cell>
          <cell r="H4" t="str">
            <v>P/B Ex-AOCI</v>
          </cell>
          <cell r="K4" t="str">
            <v>BVPS Reported</v>
          </cell>
          <cell r="M4" t="str">
            <v>P/B Reported</v>
          </cell>
          <cell r="O4" t="str">
            <v>TgBVPS Ex AOCI</v>
          </cell>
          <cell r="Q4" t="str">
            <v>P/Tg BV Ex AOCI</v>
          </cell>
          <cell r="S4" t="str">
            <v>ROE (%)</v>
          </cell>
          <cell r="V4" t="str">
            <v>Mkt Cap</v>
          </cell>
        </row>
        <row r="5">
          <cell r="A5" t="str">
            <v>Ticker</v>
          </cell>
          <cell r="B5" t="str">
            <v>Company</v>
          </cell>
          <cell r="D5" t="str">
            <v>2013E</v>
          </cell>
          <cell r="E5" t="str">
            <v>2014E</v>
          </cell>
          <cell r="F5" t="e">
            <v>#REF!</v>
          </cell>
          <cell r="G5" t="e">
            <v>#REF!</v>
          </cell>
          <cell r="H5" t="e">
            <v>#REF!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str">
            <v>L/T</v>
          </cell>
          <cell r="V5" t="str">
            <v>($M)</v>
          </cell>
        </row>
        <row r="6">
          <cell r="A6" t="str">
            <v>AFL</v>
          </cell>
          <cell r="B6" t="str">
            <v>Aflac</v>
          </cell>
          <cell r="D6">
            <v>1.7639258630127663</v>
          </cell>
          <cell r="E6">
            <v>1.5712436508868108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V6" t="e">
            <v>#REF!</v>
          </cell>
        </row>
        <row r="7">
          <cell r="A7" t="str">
            <v>AMP</v>
          </cell>
          <cell r="B7" t="str">
            <v>Ameriprise</v>
          </cell>
          <cell r="D7">
            <v>2.1928289930440124</v>
          </cell>
          <cell r="E7">
            <v>2.0393038808391246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V7" t="e">
            <v>#REF!</v>
          </cell>
        </row>
        <row r="8">
          <cell r="A8" t="str">
            <v>CNO</v>
          </cell>
          <cell r="B8" t="str">
            <v>Conseco</v>
          </cell>
          <cell r="D8">
            <v>0.66104306771944155</v>
          </cell>
          <cell r="E8">
            <v>0.60994902661633155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V8" t="e">
            <v>#REF!</v>
          </cell>
        </row>
        <row r="9">
          <cell r="A9" t="str">
            <v>GNW</v>
          </cell>
          <cell r="B9" t="str">
            <v>Genworth</v>
          </cell>
          <cell r="D9">
            <v>0.46933961834042404</v>
          </cell>
          <cell r="E9">
            <v>0.44683520953678918</v>
          </cell>
          <cell r="F9" t="e">
            <v>#REF!</v>
          </cell>
          <cell r="G9" t="e">
            <v>#REF!</v>
          </cell>
          <cell r="H9" t="e">
            <v>#REF!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 t="e">
            <v>#REF!</v>
          </cell>
          <cell r="R9" t="e">
            <v>#REF!</v>
          </cell>
          <cell r="S9" t="e">
            <v>#REF!</v>
          </cell>
          <cell r="T9" t="e">
            <v>#REF!</v>
          </cell>
          <cell r="V9" t="e">
            <v>#REF!</v>
          </cell>
        </row>
        <row r="10">
          <cell r="A10" t="str">
            <v>HIG</v>
          </cell>
          <cell r="B10" t="str">
            <v>Hartford</v>
          </cell>
          <cell r="D10">
            <v>0.74401284202051987</v>
          </cell>
          <cell r="E10">
            <v>0.68596071628743083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V10" t="e">
            <v>#REF!</v>
          </cell>
        </row>
        <row r="11">
          <cell r="A11" t="str">
            <v>LNC</v>
          </cell>
          <cell r="B11" t="str">
            <v>Lincoln</v>
          </cell>
          <cell r="D11">
            <v>0.84177466978751847</v>
          </cell>
          <cell r="E11">
            <v>0.76521202649471776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V11" t="e">
            <v>#REF!</v>
          </cell>
        </row>
        <row r="12">
          <cell r="A12" t="str">
            <v>MET</v>
          </cell>
          <cell r="B12" t="str">
            <v>MetLife</v>
          </cell>
          <cell r="D12">
            <v>0.91370642004197822</v>
          </cell>
          <cell r="E12">
            <v>0.85601114989706739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V12" t="e">
            <v>#REF!</v>
          </cell>
        </row>
        <row r="13">
          <cell r="A13" t="e">
            <v>#REF!</v>
          </cell>
          <cell r="B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V13" t="e">
            <v>#REF!</v>
          </cell>
        </row>
        <row r="14">
          <cell r="A14" t="str">
            <v>PFG</v>
          </cell>
          <cell r="B14" t="str">
            <v>Principal</v>
          </cell>
          <cell r="D14">
            <v>1.2728313491868344</v>
          </cell>
          <cell r="E14">
            <v>1.1890545631004832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V14" t="e">
            <v>#REF!</v>
          </cell>
        </row>
        <row r="15">
          <cell r="A15" t="str">
            <v>PRU</v>
          </cell>
          <cell r="B15" t="str">
            <v>Prudential</v>
          </cell>
          <cell r="D15">
            <v>1.2210403588313599</v>
          </cell>
          <cell r="E15">
            <v>1.1054708406253584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V15" t="e">
            <v>#REF!</v>
          </cell>
        </row>
        <row r="16">
          <cell r="A16" t="str">
            <v>RGA</v>
          </cell>
          <cell r="B16" t="str">
            <v>RGA</v>
          </cell>
          <cell r="D16">
            <v>0.88775654883920108</v>
          </cell>
          <cell r="E16">
            <v>0.81017861754306408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V16" t="e">
            <v>#REF!</v>
          </cell>
        </row>
        <row r="17">
          <cell r="A17" t="str">
            <v>SFG</v>
          </cell>
          <cell r="B17" t="str">
            <v>StanCorp</v>
          </cell>
          <cell r="D17">
            <v>1.0456886357810533</v>
          </cell>
          <cell r="E17">
            <v>0.98474202159200852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V17" t="e">
            <v>#REF!</v>
          </cell>
        </row>
        <row r="18">
          <cell r="A18" t="e">
            <v>#REF!</v>
          </cell>
          <cell r="B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V18" t="e">
            <v>#REF!</v>
          </cell>
        </row>
        <row r="19">
          <cell r="A19" t="str">
            <v>TMK</v>
          </cell>
          <cell r="B19" t="str">
            <v>Torchmark</v>
          </cell>
          <cell r="D19">
            <v>1.6970767592107747</v>
          </cell>
          <cell r="E19">
            <v>1.5659564148663552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V19" t="e">
            <v>#REF!</v>
          </cell>
        </row>
        <row r="20">
          <cell r="A20" t="str">
            <v>UNM</v>
          </cell>
          <cell r="B20" t="str">
            <v>Unum Group</v>
          </cell>
          <cell r="D20">
            <v>0.89378700836702407</v>
          </cell>
          <cell r="E20">
            <v>0.83258024594742175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V20" t="e">
            <v>#REF!</v>
          </cell>
        </row>
        <row r="23">
          <cell r="F23">
            <v>0</v>
          </cell>
          <cell r="G23">
            <v>3</v>
          </cell>
          <cell r="H23">
            <v>4</v>
          </cell>
        </row>
        <row r="24">
          <cell r="G24" t="str">
            <v>2013E</v>
          </cell>
          <cell r="H24" t="str">
            <v>2014E</v>
          </cell>
          <cell r="I24" t="str">
            <v>2012E Avg</v>
          </cell>
        </row>
        <row r="25">
          <cell r="D25">
            <v>1</v>
          </cell>
          <cell r="E25" t="e">
            <v>#REF!</v>
          </cell>
          <cell r="F25" t="e">
            <v>#N/A</v>
          </cell>
          <cell r="G25" t="e">
            <v>#N/A</v>
          </cell>
          <cell r="H25" t="e">
            <v>#N/A</v>
          </cell>
          <cell r="I25" t="e">
            <v>#REF!</v>
          </cell>
        </row>
        <row r="26">
          <cell r="D26">
            <v>2</v>
          </cell>
          <cell r="E26" t="e">
            <v>#REF!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#REF!</v>
          </cell>
        </row>
        <row r="27">
          <cell r="D27">
            <v>3</v>
          </cell>
          <cell r="E27" t="e">
            <v>#REF!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#REF!</v>
          </cell>
        </row>
        <row r="28">
          <cell r="D28">
            <v>4</v>
          </cell>
          <cell r="E28" t="e">
            <v>#REF!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#REF!</v>
          </cell>
        </row>
        <row r="29">
          <cell r="D29">
            <v>5</v>
          </cell>
          <cell r="E29" t="e">
            <v>#REF!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#REF!</v>
          </cell>
        </row>
        <row r="30">
          <cell r="D30">
            <v>6</v>
          </cell>
          <cell r="E30" t="e">
            <v>#REF!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#REF!</v>
          </cell>
        </row>
        <row r="31">
          <cell r="D31">
            <v>7</v>
          </cell>
          <cell r="E31" t="e">
            <v>#REF!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#REF!</v>
          </cell>
        </row>
        <row r="32">
          <cell r="D32">
            <v>8</v>
          </cell>
          <cell r="E32" t="e">
            <v>#REF!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#REF!</v>
          </cell>
        </row>
        <row r="33">
          <cell r="D33">
            <v>9</v>
          </cell>
          <cell r="E33" t="e">
            <v>#REF!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#REF!</v>
          </cell>
        </row>
        <row r="34">
          <cell r="D34">
            <v>10</v>
          </cell>
          <cell r="E34" t="e">
            <v>#REF!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#REF!</v>
          </cell>
        </row>
        <row r="35">
          <cell r="D35">
            <v>11</v>
          </cell>
          <cell r="E35" t="e">
            <v>#REF!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#REF!</v>
          </cell>
        </row>
        <row r="36">
          <cell r="D36">
            <v>12</v>
          </cell>
          <cell r="E36" t="e">
            <v>#REF!</v>
          </cell>
          <cell r="F36" t="e">
            <v>#N/A</v>
          </cell>
          <cell r="G36" t="e">
            <v>#N/A</v>
          </cell>
          <cell r="H36" t="e">
            <v>#N/A</v>
          </cell>
          <cell r="I36" t="e">
            <v>#REF!</v>
          </cell>
        </row>
        <row r="37">
          <cell r="D37">
            <v>13</v>
          </cell>
          <cell r="E37" t="e">
            <v>#REF!</v>
          </cell>
          <cell r="F37" t="e">
            <v>#N/A</v>
          </cell>
          <cell r="G37" t="e">
            <v>#N/A</v>
          </cell>
          <cell r="H37" t="e">
            <v>#N/A</v>
          </cell>
          <cell r="I37" t="e">
            <v>#REF!</v>
          </cell>
        </row>
        <row r="38">
          <cell r="D38">
            <v>14</v>
          </cell>
          <cell r="E38" t="e">
            <v>#REF!</v>
          </cell>
          <cell r="F38" t="e">
            <v>#N/A</v>
          </cell>
          <cell r="G38" t="e">
            <v>#N/A</v>
          </cell>
          <cell r="H38" t="e">
            <v>#N/A</v>
          </cell>
          <cell r="I38" t="e">
            <v>#REF!</v>
          </cell>
        </row>
        <row r="39">
          <cell r="D39">
            <v>15</v>
          </cell>
          <cell r="E39" t="e">
            <v>#REF!</v>
          </cell>
          <cell r="F39" t="e">
            <v>#N/A</v>
          </cell>
          <cell r="G39" t="e">
            <v>#N/A</v>
          </cell>
          <cell r="H39" t="e">
            <v>#N/A</v>
          </cell>
          <cell r="I39" t="e">
            <v>#REF!</v>
          </cell>
        </row>
      </sheetData>
      <sheetData sheetId="15">
        <row r="1">
          <cell r="A1" t="str">
            <v>Morgan Stanley Life Insurance Comp Sheet</v>
          </cell>
        </row>
        <row r="4">
          <cell r="D4" t="str">
            <v>Price ($)</v>
          </cell>
          <cell r="E4" t="str">
            <v>EPS</v>
          </cell>
          <cell r="G4" t="str">
            <v>P/E Ratio</v>
          </cell>
        </row>
        <row r="5">
          <cell r="A5" t="str">
            <v>Ticker</v>
          </cell>
          <cell r="B5" t="str">
            <v>Company</v>
          </cell>
          <cell r="C5" t="str">
            <v>Rating</v>
          </cell>
          <cell r="D5" t="e">
            <v>#REF!</v>
          </cell>
          <cell r="E5" t="e">
            <v>#REF!</v>
          </cell>
          <cell r="F5" t="e">
            <v>#REF!</v>
          </cell>
          <cell r="G5">
            <v>2012</v>
          </cell>
          <cell r="H5" t="str">
            <v>2013E</v>
          </cell>
          <cell r="I5" t="str">
            <v>2014E</v>
          </cell>
        </row>
        <row r="6">
          <cell r="A6" t="str">
            <v>AFL</v>
          </cell>
          <cell r="B6" t="str">
            <v>Aflac</v>
          </cell>
          <cell r="C6" t="str">
            <v>E</v>
          </cell>
          <cell r="D6">
            <v>56.78</v>
          </cell>
          <cell r="E6">
            <v>6.6</v>
          </cell>
          <cell r="F6">
            <v>6.05</v>
          </cell>
          <cell r="G6">
            <v>8.6030303030303035</v>
          </cell>
          <cell r="H6">
            <v>9.3851239669421496</v>
          </cell>
          <cell r="I6">
            <v>8.8718749999999993</v>
          </cell>
        </row>
        <row r="7">
          <cell r="A7" t="str">
            <v>AMP</v>
          </cell>
          <cell r="B7" t="str">
            <v>Ameriprise</v>
          </cell>
          <cell r="C7" t="str">
            <v>E</v>
          </cell>
          <cell r="D7">
            <v>83.11</v>
          </cell>
          <cell r="E7">
            <v>5.59</v>
          </cell>
          <cell r="F7">
            <v>6.6</v>
          </cell>
          <cell r="G7">
            <v>14.867620751341683</v>
          </cell>
          <cell r="H7">
            <v>12.592424242424244</v>
          </cell>
          <cell r="I7">
            <v>10.935526315789474</v>
          </cell>
        </row>
        <row r="8">
          <cell r="A8" t="str">
            <v>CNO</v>
          </cell>
          <cell r="B8" t="str">
            <v>Conseco</v>
          </cell>
          <cell r="C8" t="str">
            <v>E</v>
          </cell>
          <cell r="D8">
            <v>12.81</v>
          </cell>
          <cell r="E8">
            <v>0.69</v>
          </cell>
          <cell r="F8">
            <v>1.05</v>
          </cell>
          <cell r="G8" t="str">
            <v>NM</v>
          </cell>
          <cell r="H8">
            <v>12.2</v>
          </cell>
          <cell r="I8">
            <v>10.248000000000001</v>
          </cell>
        </row>
        <row r="9">
          <cell r="A9" t="str">
            <v>GNW</v>
          </cell>
          <cell r="B9" t="str">
            <v>Genworth</v>
          </cell>
          <cell r="C9" t="str">
            <v>E</v>
          </cell>
          <cell r="D9">
            <v>11.14</v>
          </cell>
          <cell r="E9">
            <v>0.8</v>
          </cell>
          <cell r="F9">
            <v>1.1000000000000001</v>
          </cell>
          <cell r="G9">
            <v>13.925000000000001</v>
          </cell>
          <cell r="H9">
            <v>10.127272727272727</v>
          </cell>
          <cell r="I9">
            <v>8.9120000000000008</v>
          </cell>
        </row>
        <row r="10">
          <cell r="A10" t="str">
            <v>HIG</v>
          </cell>
          <cell r="B10" t="str">
            <v>Hartford</v>
          </cell>
          <cell r="C10" t="str">
            <v>E</v>
          </cell>
          <cell r="D10">
            <v>30.73</v>
          </cell>
          <cell r="E10">
            <v>2.88</v>
          </cell>
          <cell r="F10">
            <v>3.2</v>
          </cell>
          <cell r="G10">
            <v>10.670138888888889</v>
          </cell>
          <cell r="H10">
            <v>9.6031250000000004</v>
          </cell>
          <cell r="I10">
            <v>8.9072463768115941</v>
          </cell>
        </row>
        <row r="11">
          <cell r="A11" t="str">
            <v>LNC</v>
          </cell>
          <cell r="B11" t="str">
            <v>Lincoln</v>
          </cell>
          <cell r="C11" t="str">
            <v>E</v>
          </cell>
          <cell r="D11">
            <v>36.229999999999997</v>
          </cell>
          <cell r="E11">
            <v>4.46</v>
          </cell>
          <cell r="F11">
            <v>4.5</v>
          </cell>
          <cell r="G11">
            <v>8.123318385650224</v>
          </cell>
          <cell r="H11">
            <v>8.0511111111111102</v>
          </cell>
          <cell r="I11">
            <v>7.2459999999999996</v>
          </cell>
        </row>
        <row r="12">
          <cell r="A12" t="str">
            <v>MET</v>
          </cell>
          <cell r="B12" t="str">
            <v>MetLife</v>
          </cell>
          <cell r="C12" t="str">
            <v>O</v>
          </cell>
          <cell r="D12">
            <v>45.61</v>
          </cell>
          <cell r="E12">
            <v>5.28</v>
          </cell>
          <cell r="F12">
            <v>5.55</v>
          </cell>
          <cell r="G12">
            <v>8.6382575757575744</v>
          </cell>
          <cell r="H12">
            <v>8.218018018018018</v>
          </cell>
          <cell r="I12">
            <v>8.1446428571428573</v>
          </cell>
        </row>
        <row r="13">
          <cell r="A13" t="str">
            <v>PFG</v>
          </cell>
          <cell r="B13" t="str">
            <v>Principal</v>
          </cell>
          <cell r="C13" t="str">
            <v>U</v>
          </cell>
          <cell r="D13">
            <v>38.71</v>
          </cell>
          <cell r="E13">
            <v>2.69</v>
          </cell>
          <cell r="F13">
            <v>3.4</v>
          </cell>
          <cell r="G13">
            <v>14.390334572490707</v>
          </cell>
          <cell r="H13">
            <v>11.38529411764706</v>
          </cell>
          <cell r="I13">
            <v>10.605479452054794</v>
          </cell>
        </row>
        <row r="14">
          <cell r="A14" t="str">
            <v>PRU</v>
          </cell>
          <cell r="B14" t="str">
            <v>Prudential</v>
          </cell>
          <cell r="C14" t="str">
            <v>O</v>
          </cell>
          <cell r="D14">
            <v>72.37</v>
          </cell>
          <cell r="E14">
            <v>6.47</v>
          </cell>
          <cell r="F14">
            <v>8.4</v>
          </cell>
          <cell r="G14">
            <v>11.1854714064915</v>
          </cell>
          <cell r="H14">
            <v>8.6154761904761905</v>
          </cell>
          <cell r="I14">
            <v>8.0411111111111122</v>
          </cell>
        </row>
        <row r="15">
          <cell r="A15" t="str">
            <v>RGA</v>
          </cell>
          <cell r="B15" t="str">
            <v>RGA</v>
          </cell>
          <cell r="C15" t="str">
            <v>E</v>
          </cell>
          <cell r="D15">
            <v>66.760000000000005</v>
          </cell>
          <cell r="E15">
            <v>6.96</v>
          </cell>
          <cell r="F15">
            <v>7.35</v>
          </cell>
          <cell r="G15">
            <v>9.5919540229885065</v>
          </cell>
          <cell r="H15">
            <v>9.0829931972789133</v>
          </cell>
          <cell r="I15">
            <v>8.4506329113924057</v>
          </cell>
        </row>
        <row r="16">
          <cell r="A16" t="str">
            <v>SFG</v>
          </cell>
          <cell r="B16" t="str">
            <v>StanCorp</v>
          </cell>
          <cell r="C16" t="str">
            <v>U</v>
          </cell>
          <cell r="D16">
            <v>46.59</v>
          </cell>
          <cell r="E16">
            <v>3.24</v>
          </cell>
          <cell r="F16">
            <v>4.05</v>
          </cell>
          <cell r="G16">
            <v>14.37962962962963</v>
          </cell>
          <cell r="H16">
            <v>11.503703703703705</v>
          </cell>
          <cell r="I16">
            <v>10.710344827586209</v>
          </cell>
        </row>
        <row r="17">
          <cell r="A17" t="str">
            <v>TMK</v>
          </cell>
          <cell r="B17" t="str">
            <v>Torchmark</v>
          </cell>
          <cell r="C17" t="str">
            <v>E</v>
          </cell>
          <cell r="D17">
            <v>65.11</v>
          </cell>
          <cell r="E17">
            <v>5.18</v>
          </cell>
          <cell r="F17">
            <v>5.7</v>
          </cell>
          <cell r="G17">
            <v>12.569498069498071</v>
          </cell>
          <cell r="H17">
            <v>11.422807017543859</v>
          </cell>
          <cell r="I17">
            <v>10.67377049180328</v>
          </cell>
        </row>
        <row r="18">
          <cell r="A18" t="str">
            <v>UNM</v>
          </cell>
          <cell r="B18" t="str">
            <v>Unum Group</v>
          </cell>
          <cell r="C18" t="str">
            <v>E</v>
          </cell>
          <cell r="D18">
            <v>28.61</v>
          </cell>
          <cell r="E18">
            <v>3.13</v>
          </cell>
          <cell r="F18">
            <v>3.25</v>
          </cell>
          <cell r="G18">
            <v>9.140575079872205</v>
          </cell>
          <cell r="H18">
            <v>8.8030769230769224</v>
          </cell>
          <cell r="I18">
            <v>8.1742857142857144</v>
          </cell>
        </row>
        <row r="21">
          <cell r="G21">
            <v>0</v>
          </cell>
          <cell r="H21">
            <v>7</v>
          </cell>
          <cell r="I21">
            <v>8</v>
          </cell>
          <cell r="J21">
            <v>7</v>
          </cell>
        </row>
        <row r="22">
          <cell r="H22" t="str">
            <v>2013E</v>
          </cell>
          <cell r="I22" t="str">
            <v>2014E</v>
          </cell>
          <cell r="J22" t="str">
            <v>2012E Avg</v>
          </cell>
        </row>
        <row r="23">
          <cell r="E23">
            <v>1</v>
          </cell>
          <cell r="F23">
            <v>8</v>
          </cell>
          <cell r="G23" t="str">
            <v>AMP</v>
          </cell>
          <cell r="H23">
            <v>12.592424242424244</v>
          </cell>
          <cell r="I23">
            <v>10.935526315789474</v>
          </cell>
          <cell r="J23">
            <v>10.076186631961143</v>
          </cell>
        </row>
        <row r="24">
          <cell r="E24">
            <v>2</v>
          </cell>
          <cell r="F24">
            <v>1</v>
          </cell>
          <cell r="G24" t="str">
            <v>CNO</v>
          </cell>
          <cell r="H24">
            <v>12.2</v>
          </cell>
          <cell r="I24">
            <v>10.248000000000001</v>
          </cell>
          <cell r="J24">
            <v>10.076186631961143</v>
          </cell>
        </row>
        <row r="25">
          <cell r="E25">
            <v>3</v>
          </cell>
          <cell r="F25">
            <v>2</v>
          </cell>
          <cell r="G25" t="str">
            <v>SFG</v>
          </cell>
          <cell r="H25">
            <v>11.503703703703705</v>
          </cell>
          <cell r="I25">
            <v>10.710344827586209</v>
          </cell>
          <cell r="J25">
            <v>10.076186631961143</v>
          </cell>
        </row>
        <row r="26">
          <cell r="E26">
            <v>4</v>
          </cell>
          <cell r="F26">
            <v>6</v>
          </cell>
          <cell r="G26" t="str">
            <v>TMK</v>
          </cell>
          <cell r="H26">
            <v>11.422807017543859</v>
          </cell>
          <cell r="I26">
            <v>10.67377049180328</v>
          </cell>
          <cell r="J26">
            <v>10.076186631961143</v>
          </cell>
        </row>
        <row r="27">
          <cell r="E27">
            <v>5</v>
          </cell>
          <cell r="F27">
            <v>7</v>
          </cell>
          <cell r="G27" t="str">
            <v>PFG</v>
          </cell>
          <cell r="H27">
            <v>11.38529411764706</v>
          </cell>
          <cell r="I27">
            <v>10.605479452054794</v>
          </cell>
          <cell r="J27">
            <v>10.076186631961143</v>
          </cell>
        </row>
        <row r="28">
          <cell r="E28">
            <v>6</v>
          </cell>
          <cell r="F28">
            <v>13</v>
          </cell>
          <cell r="G28" t="str">
            <v>GNW</v>
          </cell>
          <cell r="H28">
            <v>10.127272727272727</v>
          </cell>
          <cell r="I28">
            <v>8.9120000000000008</v>
          </cell>
          <cell r="J28">
            <v>10.076186631961143</v>
          </cell>
        </row>
        <row r="29">
          <cell r="E29">
            <v>7</v>
          </cell>
          <cell r="F29">
            <v>12</v>
          </cell>
          <cell r="G29" t="str">
            <v>HIG</v>
          </cell>
          <cell r="H29">
            <v>9.6031250000000004</v>
          </cell>
          <cell r="I29">
            <v>8.9072463768115941</v>
          </cell>
          <cell r="J29">
            <v>10.076186631961143</v>
          </cell>
        </row>
        <row r="30">
          <cell r="E30">
            <v>8</v>
          </cell>
          <cell r="F30">
            <v>5</v>
          </cell>
          <cell r="G30" t="str">
            <v>AFL</v>
          </cell>
          <cell r="H30">
            <v>9.3851239669421496</v>
          </cell>
          <cell r="I30">
            <v>8.8718749999999993</v>
          </cell>
          <cell r="J30">
            <v>10.076186631961143</v>
          </cell>
        </row>
        <row r="31">
          <cell r="E31">
            <v>9</v>
          </cell>
          <cell r="F31">
            <v>11</v>
          </cell>
          <cell r="G31" t="str">
            <v>RGA</v>
          </cell>
          <cell r="H31">
            <v>9.0829931972789133</v>
          </cell>
          <cell r="I31">
            <v>8.4506329113924057</v>
          </cell>
          <cell r="J31">
            <v>10.076186631961143</v>
          </cell>
        </row>
        <row r="32">
          <cell r="E32">
            <v>10</v>
          </cell>
          <cell r="F32">
            <v>9</v>
          </cell>
          <cell r="G32" t="str">
            <v>UNM</v>
          </cell>
          <cell r="H32">
            <v>8.8030769230769224</v>
          </cell>
          <cell r="I32">
            <v>8.1742857142857144</v>
          </cell>
          <cell r="J32">
            <v>10.076186631961143</v>
          </cell>
        </row>
        <row r="33">
          <cell r="E33">
            <v>11</v>
          </cell>
          <cell r="F33">
            <v>3</v>
          </cell>
          <cell r="G33" t="str">
            <v>PRU</v>
          </cell>
          <cell r="H33">
            <v>8.6154761904761905</v>
          </cell>
          <cell r="I33">
            <v>8.0411111111111122</v>
          </cell>
          <cell r="J33">
            <v>10.076186631961143</v>
          </cell>
        </row>
        <row r="34">
          <cell r="E34">
            <v>12</v>
          </cell>
          <cell r="F34">
            <v>4</v>
          </cell>
          <cell r="G34" t="str">
            <v>MET</v>
          </cell>
          <cell r="H34">
            <v>8.218018018018018</v>
          </cell>
          <cell r="I34">
            <v>8.1446428571428573</v>
          </cell>
          <cell r="J34">
            <v>10.076186631961143</v>
          </cell>
        </row>
        <row r="35">
          <cell r="E35">
            <v>13</v>
          </cell>
          <cell r="F35">
            <v>10</v>
          </cell>
          <cell r="G35" t="str">
            <v>LNC</v>
          </cell>
          <cell r="H35">
            <v>8.0511111111111102</v>
          </cell>
          <cell r="I35">
            <v>7.2459999999999996</v>
          </cell>
          <cell r="J35">
            <v>10.076186631961143</v>
          </cell>
        </row>
      </sheetData>
      <sheetData sheetId="16">
        <row r="1">
          <cell r="A1" t="str">
            <v>Morgan Stanley Financial Guarantor Comp Sheet</v>
          </cell>
          <cell r="E1" t="str">
            <v>USD</v>
          </cell>
          <cell r="J1" t="str">
            <v>Manual Calculation</v>
          </cell>
        </row>
        <row r="4">
          <cell r="D4" t="str">
            <v>Price ($)</v>
          </cell>
          <cell r="E4" t="str">
            <v>52 Wk</v>
          </cell>
          <cell r="F4" t="str">
            <v>12-Mo.</v>
          </cell>
          <cell r="G4" t="str">
            <v>Upside</v>
          </cell>
          <cell r="H4" t="str">
            <v xml:space="preserve">      MS MW EPS</v>
          </cell>
          <cell r="J4" t="str">
            <v xml:space="preserve">     P/E Ratio</v>
          </cell>
        </row>
        <row r="5">
          <cell r="A5" t="str">
            <v>Ticker</v>
          </cell>
          <cell r="B5" t="str">
            <v>Company</v>
          </cell>
          <cell r="C5" t="str">
            <v>Rating</v>
          </cell>
          <cell r="D5" t="str">
            <v>Manual Calculation</v>
          </cell>
          <cell r="E5" t="str">
            <v>High-Low</v>
          </cell>
          <cell r="F5" t="str">
            <v>Tgt. ($)</v>
          </cell>
          <cell r="G5" t="str">
            <v>to Tgt (%)</v>
          </cell>
          <cell r="H5" t="str">
            <v>2007E</v>
          </cell>
          <cell r="I5" t="str">
            <v>2008E</v>
          </cell>
          <cell r="J5" t="str">
            <v>2007E</v>
          </cell>
          <cell r="K5" t="str">
            <v>2008E</v>
          </cell>
        </row>
        <row r="6">
          <cell r="A6" t="str">
            <v>ABKFQ-5</v>
          </cell>
          <cell r="B6" t="str">
            <v>Ambac Financial Group</v>
          </cell>
          <cell r="C6" t="str">
            <v>O</v>
          </cell>
          <cell r="D6" t="str">
            <v>NA</v>
          </cell>
          <cell r="E6" t="e">
            <v>#VALUE!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J6" t="e">
            <v>#VALUE!</v>
          </cell>
          <cell r="K6" t="e">
            <v>#VALUE!</v>
          </cell>
          <cell r="M6" t="str">
            <v>Error initializing RDC. Contact Customer Support.</v>
          </cell>
          <cell r="N6" t="str">
            <v>Manual Calculation</v>
          </cell>
          <cell r="O6" t="e">
            <v>#VALUE!</v>
          </cell>
        </row>
        <row r="7">
          <cell r="A7" t="str">
            <v>AGO-N</v>
          </cell>
          <cell r="B7" t="str">
            <v>Assured Guaranty</v>
          </cell>
          <cell r="C7" t="str">
            <v>NR</v>
          </cell>
          <cell r="D7" t="str">
            <v>NA</v>
          </cell>
          <cell r="E7" t="e">
            <v>#VALUE!</v>
          </cell>
          <cell r="F7" t="str">
            <v>NA</v>
          </cell>
          <cell r="G7" t="str">
            <v>NA</v>
          </cell>
          <cell r="H7" t="str">
            <v>N/A</v>
          </cell>
          <cell r="I7" t="str">
            <v>N/A</v>
          </cell>
          <cell r="J7" t="e">
            <v>#VALUE!</v>
          </cell>
          <cell r="K7" t="e">
            <v>#VALUE!</v>
          </cell>
          <cell r="M7" t="str">
            <v>Error initializing RDC. Contact Customer Support.</v>
          </cell>
          <cell r="N7" t="str">
            <v>Manual Calculation</v>
          </cell>
          <cell r="O7" t="e">
            <v>#VALUE!</v>
          </cell>
        </row>
        <row r="8">
          <cell r="A8" t="str">
            <v>MBI-N</v>
          </cell>
          <cell r="B8" t="str">
            <v>MBIA, Inc.</v>
          </cell>
          <cell r="C8" t="str">
            <v>E</v>
          </cell>
          <cell r="D8" t="str">
            <v>NA</v>
          </cell>
          <cell r="E8" t="e">
            <v>#VALUE!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J8" t="e">
            <v>#VALUE!</v>
          </cell>
          <cell r="K8" t="e">
            <v>#VALUE!</v>
          </cell>
          <cell r="M8" t="str">
            <v>Error initializing RDC. Contact Customer Support.</v>
          </cell>
          <cell r="N8" t="str">
            <v>Manual Calculation</v>
          </cell>
          <cell r="O8" t="e">
            <v>#VALUE!</v>
          </cell>
        </row>
        <row r="9">
          <cell r="A9" t="str">
            <v>PRS-N</v>
          </cell>
          <cell r="B9" t="str">
            <v>Primus Guaranty</v>
          </cell>
          <cell r="C9" t="str">
            <v>O-V</v>
          </cell>
          <cell r="D9" t="str">
            <v>NA</v>
          </cell>
          <cell r="E9" t="e">
            <v>#VALUE!</v>
          </cell>
          <cell r="F9" t="e">
            <v>#REF!</v>
          </cell>
          <cell r="G9" t="e">
            <v>#REF!</v>
          </cell>
          <cell r="H9" t="e">
            <v>#REF!</v>
          </cell>
          <cell r="I9" t="e">
            <v>#REF!</v>
          </cell>
          <cell r="J9" t="e">
            <v>#VALUE!</v>
          </cell>
          <cell r="K9" t="e">
            <v>#VALUE!</v>
          </cell>
          <cell r="M9" t="str">
            <v>Error initializing RDC. Contact Customer Support.</v>
          </cell>
          <cell r="N9" t="str">
            <v>Manual Calculation</v>
          </cell>
          <cell r="O9" t="e">
            <v>#VALUE!</v>
          </cell>
        </row>
        <row r="10">
          <cell r="A10" t="str">
            <v>SCA</v>
          </cell>
          <cell r="B10" t="str">
            <v>Security Capital Assurance</v>
          </cell>
          <cell r="C10" t="str">
            <v>NR</v>
          </cell>
          <cell r="D10" t="str">
            <v>NA</v>
          </cell>
          <cell r="E10" t="e">
            <v>#VALUE!</v>
          </cell>
          <cell r="F10" t="str">
            <v>NA</v>
          </cell>
          <cell r="G10" t="str">
            <v>NA</v>
          </cell>
          <cell r="H10" t="str">
            <v>N/A</v>
          </cell>
          <cell r="I10" t="str">
            <v>N/A</v>
          </cell>
          <cell r="J10" t="e">
            <v>#VALUE!</v>
          </cell>
          <cell r="K10" t="e">
            <v>#VALUE!</v>
          </cell>
          <cell r="M10" t="str">
            <v>Error initializing RDC. Contact Customer Support.</v>
          </cell>
          <cell r="N10" t="str">
            <v>Manual Calculation</v>
          </cell>
          <cell r="O10" t="e">
            <v>#VALUE!</v>
          </cell>
        </row>
        <row r="11">
          <cell r="A11" t="str">
            <v>Average of Financial Guarantors</v>
          </cell>
          <cell r="J11" t="e">
            <v>#VALUE!</v>
          </cell>
          <cell r="K11" t="e">
            <v>#VALUE!</v>
          </cell>
        </row>
        <row r="13">
          <cell r="C13" t="str">
            <v xml:space="preserve">     Operating ROE</v>
          </cell>
          <cell r="E13" t="str">
            <v xml:space="preserve">        Adjusted BVPS</v>
          </cell>
          <cell r="G13" t="str">
            <v xml:space="preserve">          P/AdjBk Ratio</v>
          </cell>
          <cell r="I13" t="str">
            <v xml:space="preserve">     Dividend</v>
          </cell>
          <cell r="K13" t="str">
            <v>Mkt Cap</v>
          </cell>
        </row>
        <row r="14">
          <cell r="A14" t="str">
            <v>Ticker</v>
          </cell>
          <cell r="B14" t="str">
            <v>Company</v>
          </cell>
          <cell r="C14" t="str">
            <v>2Q07</v>
          </cell>
          <cell r="D14" t="str">
            <v>2007E</v>
          </cell>
          <cell r="E14" t="str">
            <v>2Q07</v>
          </cell>
          <cell r="F14" t="str">
            <v>2007E</v>
          </cell>
          <cell r="G14" t="str">
            <v>2Q07</v>
          </cell>
          <cell r="H14" t="str">
            <v>2007E</v>
          </cell>
          <cell r="I14" t="str">
            <v>$ Div</v>
          </cell>
          <cell r="J14" t="str">
            <v>Yield (%)</v>
          </cell>
          <cell r="K14" t="str">
            <v>($ mil)</v>
          </cell>
        </row>
        <row r="15">
          <cell r="A15" t="str">
            <v>ABKFQ-5</v>
          </cell>
          <cell r="B15" t="str">
            <v>Ambac Financial Group</v>
          </cell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#VALUE!</v>
          </cell>
          <cell r="H15" t="e">
            <v>#VALUE!</v>
          </cell>
          <cell r="I15" t="str">
            <v>N/A</v>
          </cell>
          <cell r="J15" t="e">
            <v>#VALUE!</v>
          </cell>
          <cell r="K15" t="str">
            <v>N/A</v>
          </cell>
        </row>
        <row r="16">
          <cell r="A16" t="str">
            <v>AGO-N</v>
          </cell>
          <cell r="B16" t="str">
            <v>Assured Guaranty</v>
          </cell>
          <cell r="C16">
            <v>11.3</v>
          </cell>
          <cell r="D16" t="str">
            <v>NA</v>
          </cell>
          <cell r="E16">
            <v>37.340000000000003</v>
          </cell>
          <cell r="F16" t="str">
            <v>NA</v>
          </cell>
          <cell r="G16" t="e">
            <v>#VALUE!</v>
          </cell>
          <cell r="H16" t="str">
            <v>NA</v>
          </cell>
          <cell r="I16" t="str">
            <v>N/A</v>
          </cell>
          <cell r="J16" t="e">
            <v>#VALUE!</v>
          </cell>
          <cell r="K16" t="str">
            <v>N/A</v>
          </cell>
        </row>
        <row r="17">
          <cell r="A17" t="str">
            <v>MBI-N</v>
          </cell>
          <cell r="B17" t="str">
            <v>MBIA, Inc.</v>
          </cell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#VALUE!</v>
          </cell>
          <cell r="H17" t="e">
            <v>#VALUE!</v>
          </cell>
          <cell r="I17" t="str">
            <v>N/A</v>
          </cell>
          <cell r="J17" t="e">
            <v>#VALUE!</v>
          </cell>
          <cell r="K17" t="str">
            <v>N/A</v>
          </cell>
        </row>
        <row r="18">
          <cell r="A18" t="str">
            <v>PRS-N</v>
          </cell>
          <cell r="B18" t="str">
            <v>Primus Guaranty</v>
          </cell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#VALUE!</v>
          </cell>
          <cell r="H18" t="e">
            <v>#VALUE!</v>
          </cell>
          <cell r="I18">
            <v>0</v>
          </cell>
          <cell r="J18" t="e">
            <v>#VALUE!</v>
          </cell>
          <cell r="K18" t="str">
            <v>N/A</v>
          </cell>
        </row>
        <row r="19">
          <cell r="A19" t="str">
            <v>SCA</v>
          </cell>
          <cell r="B19" t="str">
            <v>Security Capital Assurance</v>
          </cell>
          <cell r="C19">
            <v>12.396694214876034</v>
          </cell>
          <cell r="D19" t="str">
            <v>NA</v>
          </cell>
          <cell r="E19">
            <v>38.25</v>
          </cell>
          <cell r="F19" t="str">
            <v>NA</v>
          </cell>
          <cell r="G19" t="e">
            <v>#VALUE!</v>
          </cell>
          <cell r="H19" t="str">
            <v>NA</v>
          </cell>
          <cell r="I19" t="str">
            <v>N/A</v>
          </cell>
          <cell r="J19" t="e">
            <v>#VALUE!</v>
          </cell>
          <cell r="K19" t="str">
            <v>N/A</v>
          </cell>
        </row>
        <row r="20">
          <cell r="A20" t="str">
            <v>Average of Financial Guarantors</v>
          </cell>
          <cell r="C20" t="e">
            <v>#REF!</v>
          </cell>
          <cell r="D20" t="e">
            <v>#REF!</v>
          </cell>
          <cell r="G20" t="e">
            <v>#VALUE!</v>
          </cell>
          <cell r="H20" t="e">
            <v>#VALUE!</v>
          </cell>
          <cell r="J20" t="e">
            <v>#VALUE!</v>
          </cell>
        </row>
        <row r="29">
          <cell r="C29" t="str">
            <v>52 Week</v>
          </cell>
        </row>
        <row r="30">
          <cell r="C30" t="str">
            <v>High</v>
          </cell>
          <cell r="D30" t="str">
            <v>Low</v>
          </cell>
        </row>
        <row r="31">
          <cell r="A31" t="str">
            <v>ABKFQ-5</v>
          </cell>
          <cell r="C31" t="e">
            <v>#VALUE!</v>
          </cell>
          <cell r="D31" t="e">
            <v>#VALUE!</v>
          </cell>
        </row>
        <row r="32">
          <cell r="A32" t="str">
            <v>AGO-N</v>
          </cell>
          <cell r="C32" t="e">
            <v>#VALUE!</v>
          </cell>
          <cell r="D32" t="e">
            <v>#VALUE!</v>
          </cell>
        </row>
        <row r="33">
          <cell r="A33" t="str">
            <v>MBI-N</v>
          </cell>
          <cell r="C33" t="e">
            <v>#VALUE!</v>
          </cell>
          <cell r="D33" t="e">
            <v>#VALUE!</v>
          </cell>
        </row>
        <row r="34">
          <cell r="A34" t="str">
            <v>PRS-N</v>
          </cell>
          <cell r="C34" t="e">
            <v>#VALUE!</v>
          </cell>
          <cell r="D34" t="e">
            <v>#VALUE!</v>
          </cell>
        </row>
        <row r="35">
          <cell r="A35" t="str">
            <v>SCA</v>
          </cell>
          <cell r="C35" t="e">
            <v>#VALUE!</v>
          </cell>
          <cell r="D35" t="e">
            <v>#VALUE!</v>
          </cell>
        </row>
      </sheetData>
      <sheetData sheetId="17">
        <row r="1">
          <cell r="B1" t="str">
            <v>08 PE</v>
          </cell>
          <cell r="C1" t="str">
            <v>09 PE</v>
          </cell>
          <cell r="D1" t="str">
            <v>4yr Growth</v>
          </cell>
          <cell r="O1" t="str">
            <v>2007 EPS</v>
          </cell>
          <cell r="P1" t="str">
            <v>2011 EPS</v>
          </cell>
          <cell r="Q1" t="str">
            <v>CAGR</v>
          </cell>
          <cell r="R1" t="str">
            <v>PEG Ratio</v>
          </cell>
        </row>
        <row r="2">
          <cell r="A2" t="e">
            <v>#REF!</v>
          </cell>
          <cell r="B2" t="e">
            <v>#REF!</v>
          </cell>
          <cell r="C2" t="e">
            <v>#REF!</v>
          </cell>
          <cell r="D2">
            <v>17.673845747448812</v>
          </cell>
          <cell r="O2">
            <v>3.27</v>
          </cell>
          <cell r="P2">
            <v>6.27</v>
          </cell>
          <cell r="Q2">
            <v>0.17673845747448813</v>
          </cell>
          <cell r="R2" t="e">
            <v>#REF!</v>
          </cell>
        </row>
        <row r="3">
          <cell r="A3" t="e">
            <v>#REF!</v>
          </cell>
          <cell r="B3" t="e">
            <v>#REF!</v>
          </cell>
          <cell r="C3" t="e">
            <v>#REF!</v>
          </cell>
          <cell r="D3">
            <v>4.8363020716331917</v>
          </cell>
          <cell r="O3">
            <v>4.28</v>
          </cell>
          <cell r="P3">
            <v>5.17</v>
          </cell>
          <cell r="Q3">
            <v>4.8363020716331917E-2</v>
          </cell>
          <cell r="R3" t="e">
            <v>#REF!</v>
          </cell>
        </row>
        <row r="4">
          <cell r="A4" t="e">
            <v>#REF!</v>
          </cell>
          <cell r="B4" t="e">
            <v>#REF!</v>
          </cell>
          <cell r="C4" t="e">
            <v>#REF!</v>
          </cell>
          <cell r="D4">
            <v>-0.80327789648581005</v>
          </cell>
          <cell r="O4">
            <v>0.63</v>
          </cell>
          <cell r="P4">
            <v>0.61</v>
          </cell>
          <cell r="Q4">
            <v>-8.0327789648581005E-3</v>
          </cell>
          <cell r="R4" t="e">
            <v>#REF!</v>
          </cell>
        </row>
        <row r="5">
          <cell r="A5" t="e">
            <v>#REF!</v>
          </cell>
          <cell r="B5" t="e">
            <v>#REF!</v>
          </cell>
          <cell r="C5" t="e">
            <v>#REF!</v>
          </cell>
          <cell r="D5">
            <v>-43.238240010644382</v>
          </cell>
          <cell r="O5">
            <v>2.89</v>
          </cell>
          <cell r="P5">
            <v>0.3</v>
          </cell>
          <cell r="Q5">
            <v>-0.4323824001064438</v>
          </cell>
          <cell r="R5" t="e">
            <v>#REF!</v>
          </cell>
        </row>
        <row r="6">
          <cell r="A6" t="e">
            <v>#REF!</v>
          </cell>
          <cell r="B6" t="e">
            <v>#REF!</v>
          </cell>
          <cell r="C6" t="e">
            <v>#REF!</v>
          </cell>
          <cell r="D6" t="e">
            <v>#REF!</v>
          </cell>
          <cell r="O6" t="e">
            <v>#REF!</v>
          </cell>
          <cell r="P6">
            <v>2.25</v>
          </cell>
          <cell r="Q6" t="e">
            <v>#REF!</v>
          </cell>
          <cell r="R6" t="e">
            <v>#REF!</v>
          </cell>
        </row>
        <row r="7">
          <cell r="A7" t="e">
            <v>#REF!</v>
          </cell>
          <cell r="B7" t="e">
            <v>#REF!</v>
          </cell>
          <cell r="C7" t="e">
            <v>#REF!</v>
          </cell>
          <cell r="D7">
            <v>-4.8438167954488742</v>
          </cell>
          <cell r="O7">
            <v>4.83</v>
          </cell>
          <cell r="P7">
            <v>3.96</v>
          </cell>
          <cell r="Q7">
            <v>-4.8438167954488742E-2</v>
          </cell>
          <cell r="R7" t="e">
            <v>#REF!</v>
          </cell>
        </row>
        <row r="8">
          <cell r="A8" t="e">
            <v>#REF!</v>
          </cell>
          <cell r="B8" t="e">
            <v>#REF!</v>
          </cell>
          <cell r="C8" t="e">
            <v>#REF!</v>
          </cell>
          <cell r="D8">
            <v>-8.0226967365880206</v>
          </cell>
          <cell r="O8">
            <v>6.12</v>
          </cell>
          <cell r="P8">
            <v>4.38</v>
          </cell>
          <cell r="Q8">
            <v>-8.0226967365880197E-2</v>
          </cell>
          <cell r="R8" t="e">
            <v>#REF!</v>
          </cell>
        </row>
        <row r="9">
          <cell r="A9" t="e">
            <v>#REF!</v>
          </cell>
          <cell r="B9" t="e">
            <v>#REF!</v>
          </cell>
          <cell r="C9" t="e">
            <v>#REF!</v>
          </cell>
          <cell r="D9">
            <v>7.7369043660215464</v>
          </cell>
          <cell r="O9">
            <v>4.78</v>
          </cell>
          <cell r="P9">
            <v>6.44</v>
          </cell>
          <cell r="Q9">
            <v>7.7369043660215464E-2</v>
          </cell>
          <cell r="R9" t="e">
            <v>#REF!</v>
          </cell>
        </row>
        <row r="10">
          <cell r="A10" t="e">
            <v>#REF!</v>
          </cell>
          <cell r="B10" t="e">
            <v>#REF!</v>
          </cell>
          <cell r="C10" t="e">
            <v>#REF!</v>
          </cell>
          <cell r="D10">
            <v>-8.7105237008033178</v>
          </cell>
          <cell r="O10">
            <v>3.8300000000000005</v>
          </cell>
          <cell r="P10">
            <v>2.66</v>
          </cell>
          <cell r="Q10">
            <v>-8.7105237008033187E-2</v>
          </cell>
          <cell r="R10" t="e">
            <v>#REF!</v>
          </cell>
        </row>
        <row r="11">
          <cell r="A11" t="e">
            <v>#REF!</v>
          </cell>
          <cell r="B11" t="e">
            <v>#REF!</v>
          </cell>
          <cell r="C11" t="e">
            <v>#REF!</v>
          </cell>
          <cell r="D11">
            <v>-3.729602645461727</v>
          </cell>
          <cell r="O11">
            <v>7.09</v>
          </cell>
          <cell r="P11">
            <v>6.09</v>
          </cell>
          <cell r="Q11">
            <v>-3.729602645461727E-2</v>
          </cell>
          <cell r="R11" t="e">
            <v>#REF!</v>
          </cell>
        </row>
        <row r="12">
          <cell r="A12" t="e">
            <v>#REF!</v>
          </cell>
          <cell r="B12" t="e">
            <v>#REF!</v>
          </cell>
          <cell r="C12" t="e">
            <v>#REF!</v>
          </cell>
          <cell r="D12">
            <v>4.4647219423341156</v>
          </cell>
          <cell r="O12">
            <v>5.5</v>
          </cell>
          <cell r="P12">
            <v>6.55</v>
          </cell>
          <cell r="Q12">
            <v>4.4647219423341156E-2</v>
          </cell>
          <cell r="R12" t="e">
            <v>#REF!</v>
          </cell>
        </row>
        <row r="13">
          <cell r="A13" t="e">
            <v>#REF!</v>
          </cell>
          <cell r="B13" t="e">
            <v>#REF!</v>
          </cell>
          <cell r="C13" t="e">
            <v>#REF!</v>
          </cell>
          <cell r="D13">
            <v>-7.5050357280554314</v>
          </cell>
          <cell r="O13">
            <v>4.29</v>
          </cell>
          <cell r="P13">
            <v>3.14</v>
          </cell>
          <cell r="Q13">
            <v>-7.5050357280554314E-2</v>
          </cell>
          <cell r="R13" t="e">
            <v>#REF!</v>
          </cell>
        </row>
        <row r="14">
          <cell r="A14" t="e">
            <v>#REF!</v>
          </cell>
          <cell r="B14" t="e">
            <v>#REF!</v>
          </cell>
          <cell r="C14" t="e">
            <v>#REF!</v>
          </cell>
          <cell r="D14">
            <v>5.5179808628751381</v>
          </cell>
          <cell r="O14">
            <v>3.63</v>
          </cell>
          <cell r="P14">
            <v>4.5</v>
          </cell>
          <cell r="Q14">
            <v>5.5179808628751381E-2</v>
          </cell>
          <cell r="R14" t="e">
            <v>#REF!</v>
          </cell>
        </row>
        <row r="15">
          <cell r="A15" t="e">
            <v>#REF!</v>
          </cell>
          <cell r="B15" t="e">
            <v>#REF!</v>
          </cell>
          <cell r="C15" t="e">
            <v>#REF!</v>
          </cell>
          <cell r="D15">
            <v>-17.779090777498606</v>
          </cell>
          <cell r="O15">
            <v>2.21</v>
          </cell>
          <cell r="P15">
            <v>1.01</v>
          </cell>
          <cell r="Q15">
            <v>-0.17779090777498607</v>
          </cell>
          <cell r="R15" t="e">
            <v>#REF!</v>
          </cell>
        </row>
        <row r="16">
          <cell r="A16" t="e">
            <v>#REF!</v>
          </cell>
          <cell r="B16" t="e">
            <v>#REF!</v>
          </cell>
          <cell r="C16" t="e">
            <v>#REF!</v>
          </cell>
          <cell r="D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</row>
        <row r="17">
          <cell r="A17" t="e">
            <v>#REF!</v>
          </cell>
          <cell r="B17" t="e">
            <v>#REF!</v>
          </cell>
          <cell r="C17" t="e">
            <v>#REF!</v>
          </cell>
          <cell r="D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</row>
        <row r="18">
          <cell r="A18" t="e">
            <v>#REF!</v>
          </cell>
          <cell r="B18" t="e">
            <v>#REF!</v>
          </cell>
          <cell r="C18" t="e">
            <v>#REF!</v>
          </cell>
          <cell r="D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</row>
      </sheetData>
      <sheetData sheetId="18"/>
      <sheetData sheetId="19">
        <row r="1">
          <cell r="A1" t="str">
            <v>Sun Life Comp Sheet</v>
          </cell>
          <cell r="E1" t="e">
            <v>#REF!</v>
          </cell>
        </row>
        <row r="3">
          <cell r="G3" t="str">
            <v>10E/05</v>
          </cell>
        </row>
        <row r="4">
          <cell r="C4" t="str">
            <v>2006E</v>
          </cell>
          <cell r="D4" t="str">
            <v>2007E</v>
          </cell>
          <cell r="E4" t="str">
            <v>2006E</v>
          </cell>
          <cell r="F4" t="str">
            <v>2007E</v>
          </cell>
          <cell r="G4" t="str">
            <v>CAGR</v>
          </cell>
        </row>
        <row r="5">
          <cell r="A5" t="str">
            <v>Ticker</v>
          </cell>
          <cell r="B5" t="str">
            <v>Company</v>
          </cell>
          <cell r="C5" t="str">
            <v>EPS</v>
          </cell>
          <cell r="D5" t="str">
            <v>EPS</v>
          </cell>
          <cell r="E5" t="str">
            <v>P/E</v>
          </cell>
          <cell r="F5" t="str">
            <v>P/E</v>
          </cell>
          <cell r="G5" t="str">
            <v>(%)</v>
          </cell>
          <cell r="J5" t="str">
            <v>2010 EPS</v>
          </cell>
          <cell r="K5" t="str">
            <v>Stock price</v>
          </cell>
        </row>
        <row r="7">
          <cell r="A7" t="e">
            <v>#REF!</v>
          </cell>
          <cell r="B7" t="e">
            <v>#REF!</v>
          </cell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J7">
            <v>5.5</v>
          </cell>
        </row>
        <row r="8">
          <cell r="A8" t="e">
            <v>#REF!</v>
          </cell>
          <cell r="B8" t="e">
            <v>#REF!</v>
          </cell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J8">
            <v>0.25568000000000002</v>
          </cell>
        </row>
        <row r="9">
          <cell r="A9" t="e">
            <v>#REF!</v>
          </cell>
          <cell r="B9" t="e">
            <v>#REF!</v>
          </cell>
          <cell r="C9" t="e">
            <v>#REF!</v>
          </cell>
          <cell r="D9" t="e">
            <v>#REF!</v>
          </cell>
          <cell r="E9" t="e">
            <v>#REF!</v>
          </cell>
          <cell r="F9" t="e">
            <v>#REF!</v>
          </cell>
          <cell r="G9" t="e">
            <v>#REF!</v>
          </cell>
          <cell r="J9">
            <v>3.14</v>
          </cell>
        </row>
        <row r="10">
          <cell r="A10" t="e">
            <v>#REF!</v>
          </cell>
          <cell r="B10" t="e">
            <v>#REF!</v>
          </cell>
          <cell r="C10" t="e">
            <v>#REF!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J10" t="e">
            <v>#REF!</v>
          </cell>
        </row>
        <row r="11">
          <cell r="A11" t="e">
            <v>#REF!</v>
          </cell>
          <cell r="B11" t="e">
            <v>#REF!</v>
          </cell>
          <cell r="C11" t="e">
            <v>#REF!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J11">
            <v>4.42</v>
          </cell>
        </row>
        <row r="12">
          <cell r="A12" t="e">
            <v>#REF!</v>
          </cell>
          <cell r="B12" t="e">
            <v>#REF!</v>
          </cell>
          <cell r="C12" t="e">
            <v>#REF!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J12" t="e">
            <v>#REF!</v>
          </cell>
        </row>
        <row r="13">
          <cell r="A13" t="e">
            <v>#REF!</v>
          </cell>
          <cell r="B13" t="e">
            <v>#REF!</v>
          </cell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J13">
            <v>5.72</v>
          </cell>
        </row>
        <row r="14">
          <cell r="B14" t="str">
            <v>Average of Narrow Peer Group</v>
          </cell>
          <cell r="E14" t="e">
            <v>#REF!</v>
          </cell>
          <cell r="F14" t="e">
            <v>#REF!</v>
          </cell>
          <cell r="G14" t="e">
            <v>#REF!</v>
          </cell>
        </row>
        <row r="15">
          <cell r="A15" t="e">
            <v>#REF!</v>
          </cell>
          <cell r="B15" t="e">
            <v>#REF!</v>
          </cell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J15">
            <v>4.0999999999999996</v>
          </cell>
        </row>
        <row r="16">
          <cell r="A16" t="e">
            <v>#REF!</v>
          </cell>
          <cell r="B16" t="e">
            <v>#REF!</v>
          </cell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J16">
            <v>0.5</v>
          </cell>
        </row>
        <row r="17">
          <cell r="A17" t="e">
            <v>#REF!</v>
          </cell>
          <cell r="B17" t="e">
            <v>#REF!</v>
          </cell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J17">
            <v>3.06</v>
          </cell>
        </row>
        <row r="18">
          <cell r="A18" t="e">
            <v>#REF!</v>
          </cell>
          <cell r="B18" t="e">
            <v>#REF!</v>
          </cell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J18">
            <v>5.78</v>
          </cell>
        </row>
        <row r="19">
          <cell r="A19" t="e">
            <v>#REF!</v>
          </cell>
          <cell r="B19" t="e">
            <v>#REF!</v>
          </cell>
          <cell r="C19" t="e">
            <v>#REF!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J19" t="e">
            <v>#REF!</v>
          </cell>
        </row>
        <row r="20">
          <cell r="A20" t="e">
            <v>#REF!</v>
          </cell>
          <cell r="B20" t="e">
            <v>#REF!</v>
          </cell>
          <cell r="C20" t="e">
            <v>#REF!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J20">
            <v>6.75</v>
          </cell>
        </row>
        <row r="21">
          <cell r="A21" t="e">
            <v>#REF!</v>
          </cell>
          <cell r="B21" t="e">
            <v>#REF!</v>
          </cell>
          <cell r="C21" t="e">
            <v>#REF!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J21">
            <v>4.63</v>
          </cell>
        </row>
        <row r="22">
          <cell r="A22" t="e">
            <v>#REF!</v>
          </cell>
          <cell r="B22" t="e">
            <v>#REF!</v>
          </cell>
          <cell r="C22" t="e">
            <v>#REF!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J22">
            <v>4.33</v>
          </cell>
        </row>
        <row r="23">
          <cell r="A23" t="e">
            <v>#REF!</v>
          </cell>
          <cell r="B23" t="e">
            <v>#REF!</v>
          </cell>
          <cell r="C23" t="e">
            <v>#REF!</v>
          </cell>
          <cell r="D23" t="e">
            <v>#REF!</v>
          </cell>
          <cell r="E23" t="e">
            <v>#REF!</v>
          </cell>
          <cell r="F23" t="e">
            <v>#REF!</v>
          </cell>
          <cell r="G23" t="e">
            <v>#REF!</v>
          </cell>
          <cell r="J23">
            <v>2.73</v>
          </cell>
        </row>
        <row r="25">
          <cell r="B25" t="str">
            <v>Average of Expanded Peer Group</v>
          </cell>
          <cell r="E25" t="e">
            <v>#REF!</v>
          </cell>
          <cell r="F25" t="e">
            <v>#REF!</v>
          </cell>
          <cell r="G25" t="e">
            <v>#REF!</v>
          </cell>
        </row>
        <row r="27">
          <cell r="A27" t="str">
            <v>SLF</v>
          </cell>
          <cell r="B27" t="str">
            <v>Sun Life (C$)</v>
          </cell>
          <cell r="C27" t="e">
            <v>#REF!</v>
          </cell>
          <cell r="D27" t="e">
            <v>#REF!</v>
          </cell>
          <cell r="E27" t="e">
            <v>#VALUE!</v>
          </cell>
          <cell r="F27" t="e">
            <v>#VALUE!</v>
          </cell>
          <cell r="G27" t="e">
            <v>#REF!</v>
          </cell>
          <cell r="J27" t="e">
            <v>#REF!</v>
          </cell>
        </row>
        <row r="29">
          <cell r="D29" t="str">
            <v>Fair Value Today:</v>
          </cell>
          <cell r="E29" t="e">
            <v>#REF!</v>
          </cell>
          <cell r="F29" t="e">
            <v>#REF!</v>
          </cell>
          <cell r="G29" t="str">
            <v>-- using Narrow Peer</v>
          </cell>
        </row>
        <row r="31">
          <cell r="D31" t="str">
            <v>Price Target:</v>
          </cell>
          <cell r="E31" t="e">
            <v>#REF!</v>
          </cell>
          <cell r="F31" t="e">
            <v>#REF!</v>
          </cell>
          <cell r="G31" t="str">
            <v>-- using Narrow Peer</v>
          </cell>
        </row>
        <row r="32">
          <cell r="E32" t="e">
            <v>#REF!</v>
          </cell>
          <cell r="F32" t="e">
            <v>#REF!</v>
          </cell>
          <cell r="G32" t="str">
            <v>-- links to the SLF report</v>
          </cell>
        </row>
        <row r="33">
          <cell r="B33" t="str">
            <v>Sun Life price</v>
          </cell>
          <cell r="C33" t="str">
            <v>Manual Calculation</v>
          </cell>
          <cell r="F33" t="str">
            <v>Fair Value</v>
          </cell>
          <cell r="I33" t="str">
            <v>Price Target</v>
          </cell>
        </row>
        <row r="34">
          <cell r="B34" t="str">
            <v>Sun Life BV 4Q05</v>
          </cell>
          <cell r="C34" t="e">
            <v>#REF!</v>
          </cell>
          <cell r="F34" t="str">
            <v>2006 P/B</v>
          </cell>
          <cell r="G34" t="e">
            <v>#REF!</v>
          </cell>
          <cell r="I34" t="str">
            <v>2006 P/B</v>
          </cell>
          <cell r="J34" t="e">
            <v>#REF!</v>
          </cell>
        </row>
        <row r="35">
          <cell r="F35" t="str">
            <v>2007 P/B</v>
          </cell>
          <cell r="G35" t="e">
            <v>#REF!</v>
          </cell>
          <cell r="I35" t="str">
            <v>2007 P/B</v>
          </cell>
          <cell r="J35" t="e">
            <v>#REF!</v>
          </cell>
        </row>
        <row r="37">
          <cell r="A37" t="e">
            <v>#REF!</v>
          </cell>
          <cell r="B37" t="e">
            <v>#REF!</v>
          </cell>
          <cell r="C37" t="e">
            <v>#REF!</v>
          </cell>
          <cell r="D37" t="e">
            <v>#REF!</v>
          </cell>
          <cell r="E37" t="e">
            <v>#REF!</v>
          </cell>
          <cell r="F37" t="e">
            <v>#REF!</v>
          </cell>
          <cell r="G37" t="e">
            <v>#REF!</v>
          </cell>
          <cell r="J37" t="e">
            <v>#REF!</v>
          </cell>
        </row>
        <row r="38">
          <cell r="A38" t="str">
            <v>SLF</v>
          </cell>
        </row>
        <row r="40">
          <cell r="I40" t="str">
            <v>Including FAS 115</v>
          </cell>
        </row>
        <row r="41">
          <cell r="C41" t="str">
            <v>2006E</v>
          </cell>
          <cell r="D41" t="str">
            <v>2007E</v>
          </cell>
          <cell r="H41" t="str">
            <v>Today's</v>
          </cell>
          <cell r="I41" t="str">
            <v>2006E</v>
          </cell>
          <cell r="J41" t="str">
            <v>2007E</v>
          </cell>
        </row>
        <row r="42">
          <cell r="A42" t="str">
            <v>Ticker</v>
          </cell>
          <cell r="B42" t="str">
            <v>Company</v>
          </cell>
          <cell r="C42" t="str">
            <v>P/B</v>
          </cell>
          <cell r="D42" t="str">
            <v>P/B</v>
          </cell>
          <cell r="H42" t="str">
            <v>Price</v>
          </cell>
          <cell r="I42" t="str">
            <v>BVPS</v>
          </cell>
          <cell r="J42" t="str">
            <v>BVPS</v>
          </cell>
        </row>
        <row r="44">
          <cell r="A44" t="e">
            <v>#REF!</v>
          </cell>
          <cell r="B44" t="e">
            <v>#REF!</v>
          </cell>
          <cell r="C44" t="e">
            <v>#REF!</v>
          </cell>
          <cell r="D44" t="e">
            <v>#REF!</v>
          </cell>
          <cell r="H44" t="e">
            <v>#REF!</v>
          </cell>
          <cell r="I44">
            <v>16.934321388691504</v>
          </cell>
          <cell r="J44">
            <v>17.99186632626342</v>
          </cell>
        </row>
        <row r="45">
          <cell r="A45" t="e">
            <v>#REF!</v>
          </cell>
          <cell r="B45" t="e">
            <v>#REF!</v>
          </cell>
          <cell r="C45" t="e">
            <v>#REF!</v>
          </cell>
          <cell r="D45" t="e">
            <v>#REF!</v>
          </cell>
          <cell r="H45" t="e">
            <v>#REF!</v>
          </cell>
          <cell r="I45">
            <v>30.090293453724605</v>
          </cell>
          <cell r="J45">
            <v>30.919935765083736</v>
          </cell>
        </row>
        <row r="46">
          <cell r="A46" t="e">
            <v>#REF!</v>
          </cell>
          <cell r="B46" t="e">
            <v>#REF!</v>
          </cell>
          <cell r="C46" t="e">
            <v>#REF!</v>
          </cell>
          <cell r="D46" t="e">
            <v>#REF!</v>
          </cell>
          <cell r="H46" t="e">
            <v>#REF!</v>
          </cell>
          <cell r="I46">
            <v>44.206521739130437</v>
          </cell>
          <cell r="J46">
            <v>44.32072617246596</v>
          </cell>
        </row>
        <row r="47">
          <cell r="A47" t="e">
            <v>#REF!</v>
          </cell>
          <cell r="B47" t="str">
            <v>Manulife</v>
          </cell>
          <cell r="C47" t="e">
            <v>#REF!</v>
          </cell>
          <cell r="D47" t="e">
            <v>#REF!</v>
          </cell>
          <cell r="H47" t="e">
            <v>#REF!</v>
          </cell>
          <cell r="I47" t="e">
            <v>#REF!</v>
          </cell>
          <cell r="J47" t="e">
            <v>#REF!</v>
          </cell>
        </row>
        <row r="48">
          <cell r="A48" t="e">
            <v>#REF!</v>
          </cell>
          <cell r="B48" t="e">
            <v>#REF!</v>
          </cell>
          <cell r="C48" t="e">
            <v>#REF!</v>
          </cell>
          <cell r="D48" t="e">
            <v>#REF!</v>
          </cell>
          <cell r="H48" t="e">
            <v>#REF!</v>
          </cell>
          <cell r="I48">
            <v>41.076186780494112</v>
          </cell>
          <cell r="J48">
            <v>43.942447951200101</v>
          </cell>
        </row>
        <row r="49">
          <cell r="A49" t="e">
            <v>#REF!</v>
          </cell>
          <cell r="B49" t="e">
            <v>#REF!</v>
          </cell>
          <cell r="C49" t="e">
            <v>#REF!</v>
          </cell>
          <cell r="D49" t="e">
            <v>#REF!</v>
          </cell>
          <cell r="H49" t="e">
            <v>#REF!</v>
          </cell>
          <cell r="I49" t="e">
            <v>#REF!</v>
          </cell>
          <cell r="J49" t="e">
            <v>#REF!</v>
          </cell>
        </row>
        <row r="50">
          <cell r="A50" t="e">
            <v>#REF!</v>
          </cell>
          <cell r="B50" t="e">
            <v>#REF!</v>
          </cell>
          <cell r="C50" t="e">
            <v>#REF!</v>
          </cell>
          <cell r="D50" t="e">
            <v>#REF!</v>
          </cell>
          <cell r="H50" t="e">
            <v>#REF!</v>
          </cell>
          <cell r="I50">
            <v>45.178087898354505</v>
          </cell>
          <cell r="J50">
            <v>47.716483516483514</v>
          </cell>
        </row>
        <row r="51">
          <cell r="B51" t="str">
            <v>Average of Narrow Peer Group</v>
          </cell>
          <cell r="C51" t="e">
            <v>#REF!</v>
          </cell>
          <cell r="D51" t="e">
            <v>#REF!</v>
          </cell>
        </row>
        <row r="52">
          <cell r="A52" t="e">
            <v>#REF!</v>
          </cell>
          <cell r="B52" t="e">
            <v>#REF!</v>
          </cell>
          <cell r="C52" t="e">
            <v>#REF!</v>
          </cell>
          <cell r="D52" t="e">
            <v>#REF!</v>
          </cell>
          <cell r="H52" t="e">
            <v>#REF!</v>
          </cell>
          <cell r="I52">
            <v>32.829328914664458</v>
          </cell>
          <cell r="J52">
            <v>34.089917066783066</v>
          </cell>
        </row>
        <row r="53">
          <cell r="A53" t="e">
            <v>#REF!</v>
          </cell>
          <cell r="B53" t="e">
            <v>#REF!</v>
          </cell>
          <cell r="C53" t="e">
            <v>#REF!</v>
          </cell>
          <cell r="D53" t="e">
            <v>#REF!</v>
          </cell>
          <cell r="H53" t="e">
            <v>#REF!</v>
          </cell>
          <cell r="I53">
            <v>26.499504735343134</v>
          </cell>
          <cell r="J53">
            <v>22.939908584797347</v>
          </cell>
        </row>
        <row r="54">
          <cell r="A54" t="e">
            <v>#REF!</v>
          </cell>
          <cell r="B54" t="e">
            <v>#REF!</v>
          </cell>
          <cell r="C54" t="e">
            <v>#REF!</v>
          </cell>
          <cell r="D54" t="e">
            <v>#REF!</v>
          </cell>
          <cell r="H54" t="e">
            <v>#REF!</v>
          </cell>
          <cell r="I54" t="e">
            <v>#NAME?</v>
          </cell>
          <cell r="J54" t="e">
            <v>#REF!</v>
          </cell>
        </row>
        <row r="55">
          <cell r="A55" t="e">
            <v>#REF!</v>
          </cell>
          <cell r="B55" t="e">
            <v>#REF!</v>
          </cell>
          <cell r="C55" t="e">
            <v>#REF!</v>
          </cell>
          <cell r="D55" t="e">
            <v>#REF!</v>
          </cell>
          <cell r="H55" t="e">
            <v>#REF!</v>
          </cell>
          <cell r="I55">
            <v>37.933561643835617</v>
          </cell>
          <cell r="J55">
            <v>38.30647482014389</v>
          </cell>
        </row>
        <row r="56">
          <cell r="A56" t="e">
            <v>#REF!</v>
          </cell>
          <cell r="B56" t="e">
            <v>#REF!</v>
          </cell>
          <cell r="C56" t="e">
            <v>#REF!</v>
          </cell>
          <cell r="D56" t="e">
            <v>#REF!</v>
          </cell>
          <cell r="H56" t="e">
            <v>#REF!</v>
          </cell>
          <cell r="I56" t="e">
            <v>#REF!</v>
          </cell>
          <cell r="J56" t="e">
            <v>#REF!</v>
          </cell>
        </row>
        <row r="57">
          <cell r="A57" t="e">
            <v>#REF!</v>
          </cell>
          <cell r="B57" t="e">
            <v>#REF!</v>
          </cell>
          <cell r="C57" t="e">
            <v>#REF!</v>
          </cell>
          <cell r="D57" t="e">
            <v>#REF!</v>
          </cell>
          <cell r="H57" t="e">
            <v>#REF!</v>
          </cell>
          <cell r="I57">
            <v>45.845281538021048</v>
          </cell>
          <cell r="J57">
            <v>51.422778795379081</v>
          </cell>
        </row>
        <row r="58">
          <cell r="A58" t="e">
            <v>#REF!</v>
          </cell>
          <cell r="B58" t="e">
            <v>#REF!</v>
          </cell>
          <cell r="C58" t="e">
            <v>#REF!</v>
          </cell>
          <cell r="D58" t="e">
            <v>#REF!</v>
          </cell>
          <cell r="H58" t="e">
            <v>#REF!</v>
          </cell>
          <cell r="I58">
            <v>27.326749064014528</v>
          </cell>
          <cell r="J58">
            <v>28.892202525103638</v>
          </cell>
        </row>
        <row r="59">
          <cell r="A59" t="e">
            <v>#REF!</v>
          </cell>
          <cell r="B59" t="e">
            <v>#REF!</v>
          </cell>
          <cell r="C59" t="e">
            <v>#REF!</v>
          </cell>
          <cell r="D59" t="e">
            <v>#REF!</v>
          </cell>
          <cell r="H59" t="e">
            <v>#REF!</v>
          </cell>
          <cell r="I59">
            <v>23.119081480627539</v>
          </cell>
          <cell r="J59">
            <v>23.735892195581638</v>
          </cell>
        </row>
        <row r="60">
          <cell r="A60" t="e">
            <v>#REF!</v>
          </cell>
          <cell r="B60" t="e">
            <v>#REF!</v>
          </cell>
          <cell r="C60" t="e">
            <v>#REF!</v>
          </cell>
          <cell r="D60" t="e">
            <v>#REF!</v>
          </cell>
          <cell r="H60" t="e">
            <v>#REF!</v>
          </cell>
          <cell r="I60">
            <v>22.52825452395577</v>
          </cell>
          <cell r="J60">
            <v>22.277764927725553</v>
          </cell>
        </row>
        <row r="62">
          <cell r="B62" t="str">
            <v>Average of Expanded Peer Group</v>
          </cell>
          <cell r="C62" t="e">
            <v>#REF!</v>
          </cell>
          <cell r="D62" t="e">
            <v>#REF!</v>
          </cell>
        </row>
        <row r="64">
          <cell r="A64" t="str">
            <v>SLF</v>
          </cell>
          <cell r="B64" t="str">
            <v>Sun Life</v>
          </cell>
          <cell r="C64" t="e">
            <v>#REF!</v>
          </cell>
          <cell r="D64" t="e">
            <v>#REF!</v>
          </cell>
          <cell r="H64" t="e">
            <v>#REF!</v>
          </cell>
          <cell r="I64" t="e">
            <v>#REF!</v>
          </cell>
          <cell r="J64" t="e">
            <v>#REF!</v>
          </cell>
        </row>
        <row r="66">
          <cell r="D66" t="str">
            <v>Fair Value Today:</v>
          </cell>
          <cell r="E66" t="e">
            <v>#REF!</v>
          </cell>
          <cell r="F66" t="e">
            <v>#REF!</v>
          </cell>
          <cell r="G66" t="str">
            <v>-- using Narrow Peer</v>
          </cell>
        </row>
        <row r="67">
          <cell r="D67" t="str">
            <v>Fair Value Today:</v>
          </cell>
          <cell r="E67" t="e">
            <v>#REF!</v>
          </cell>
          <cell r="F67" t="e">
            <v>#REF!</v>
          </cell>
          <cell r="G67" t="str">
            <v>-- using Expanded Peer Group</v>
          </cell>
        </row>
        <row r="68">
          <cell r="D68" t="str">
            <v>Price Target:</v>
          </cell>
          <cell r="E68" t="e">
            <v>#DIV/0!</v>
          </cell>
          <cell r="F68" t="e">
            <v>#DIV/0!</v>
          </cell>
          <cell r="G68" t="str">
            <v>-- using Narrow Peer</v>
          </cell>
        </row>
        <row r="69">
          <cell r="E69" t="e">
            <v>#DIV/0!</v>
          </cell>
          <cell r="F69" t="e">
            <v>#DIV/0!</v>
          </cell>
          <cell r="G69" t="str">
            <v>-- links to the SLF report</v>
          </cell>
        </row>
        <row r="70">
          <cell r="E70" t="e">
            <v>#REF!</v>
          </cell>
          <cell r="F70" t="str">
            <v>-- links to the SLF report</v>
          </cell>
        </row>
        <row r="71">
          <cell r="B71" t="str">
            <v>Sun Life BV 2006</v>
          </cell>
          <cell r="C71" t="e">
            <v>#REF!</v>
          </cell>
        </row>
        <row r="72">
          <cell r="B72" t="str">
            <v>Sun Life BV 2007</v>
          </cell>
          <cell r="C72" t="e">
            <v>#REF!</v>
          </cell>
        </row>
      </sheetData>
      <sheetData sheetId="20">
        <row r="1">
          <cell r="A1" t="str">
            <v>StanCorp Comp Sheet</v>
          </cell>
          <cell r="E1" t="e">
            <v>#REF!</v>
          </cell>
        </row>
        <row r="3">
          <cell r="G3" t="str">
            <v>10E/05</v>
          </cell>
        </row>
        <row r="4">
          <cell r="C4" t="str">
            <v>2006E</v>
          </cell>
          <cell r="D4" t="str">
            <v>2007E</v>
          </cell>
          <cell r="E4" t="str">
            <v>2006E</v>
          </cell>
          <cell r="F4" t="str">
            <v>2007E</v>
          </cell>
          <cell r="G4" t="str">
            <v>CAGR</v>
          </cell>
        </row>
        <row r="5">
          <cell r="A5" t="str">
            <v>Ticker</v>
          </cell>
          <cell r="B5" t="str">
            <v>Company</v>
          </cell>
          <cell r="C5" t="str">
            <v>EPS</v>
          </cell>
          <cell r="D5" t="str">
            <v>EPS</v>
          </cell>
          <cell r="E5" t="str">
            <v>P/E</v>
          </cell>
          <cell r="F5" t="str">
            <v>P/E</v>
          </cell>
          <cell r="G5" t="str">
            <v>(%)</v>
          </cell>
          <cell r="J5" t="str">
            <v>2010 EPS</v>
          </cell>
          <cell r="K5" t="str">
            <v>Stock price</v>
          </cell>
        </row>
        <row r="7">
          <cell r="A7" t="e">
            <v>#REF!</v>
          </cell>
          <cell r="B7" t="e">
            <v>#REF!</v>
          </cell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J7">
            <v>5.5</v>
          </cell>
        </row>
        <row r="8">
          <cell r="A8" t="e">
            <v>#REF!</v>
          </cell>
          <cell r="B8" t="e">
            <v>#REF!</v>
          </cell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J8">
            <v>4.0999999999999996</v>
          </cell>
        </row>
        <row r="9">
          <cell r="A9" t="e">
            <v>#REF!</v>
          </cell>
          <cell r="B9" t="e">
            <v>#REF!</v>
          </cell>
          <cell r="C9" t="e">
            <v>#REF!</v>
          </cell>
          <cell r="D9" t="e">
            <v>#REF!</v>
          </cell>
          <cell r="E9" t="e">
            <v>#REF!</v>
          </cell>
          <cell r="F9" t="e">
            <v>#REF!</v>
          </cell>
          <cell r="G9" t="e">
            <v>#REF!</v>
          </cell>
          <cell r="J9">
            <v>0.5</v>
          </cell>
        </row>
        <row r="10">
          <cell r="A10" t="e">
            <v>#REF!</v>
          </cell>
          <cell r="B10" t="e">
            <v>#REF!</v>
          </cell>
          <cell r="C10" t="e">
            <v>#REF!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J10">
            <v>0.25568000000000002</v>
          </cell>
        </row>
        <row r="11">
          <cell r="A11" t="e">
            <v>#REF!</v>
          </cell>
          <cell r="B11" t="e">
            <v>#REF!</v>
          </cell>
          <cell r="C11" t="e">
            <v>#REF!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J11">
            <v>3.06</v>
          </cell>
        </row>
        <row r="12">
          <cell r="A12" t="e">
            <v>#REF!</v>
          </cell>
          <cell r="B12" t="e">
            <v>#REF!</v>
          </cell>
          <cell r="C12" t="e">
            <v>#REF!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J12">
            <v>3.14</v>
          </cell>
        </row>
        <row r="13">
          <cell r="A13" t="e">
            <v>#REF!</v>
          </cell>
          <cell r="B13" t="e">
            <v>#REF!</v>
          </cell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J13" t="e">
            <v>#REF!</v>
          </cell>
        </row>
        <row r="14">
          <cell r="A14" t="e">
            <v>#REF!</v>
          </cell>
          <cell r="B14" t="e">
            <v>#REF!</v>
          </cell>
          <cell r="C14" t="e">
            <v>#REF!</v>
          </cell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J14">
            <v>4.42</v>
          </cell>
        </row>
        <row r="15">
          <cell r="A15" t="e">
            <v>#REF!</v>
          </cell>
          <cell r="B15" t="e">
            <v>#REF!</v>
          </cell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J15">
            <v>5.78</v>
          </cell>
        </row>
        <row r="16">
          <cell r="A16" t="e">
            <v>#REF!</v>
          </cell>
          <cell r="B16" t="e">
            <v>#REF!</v>
          </cell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J16" t="e">
            <v>#REF!</v>
          </cell>
        </row>
        <row r="17">
          <cell r="A17" t="e">
            <v>#REF!</v>
          </cell>
          <cell r="B17" t="e">
            <v>#REF!</v>
          </cell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J17" t="e">
            <v>#REF!</v>
          </cell>
        </row>
        <row r="18">
          <cell r="A18" t="e">
            <v>#REF!</v>
          </cell>
          <cell r="B18" t="e">
            <v>#REF!</v>
          </cell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J18">
            <v>5.72</v>
          </cell>
        </row>
        <row r="19">
          <cell r="A19" t="e">
            <v>#REF!</v>
          </cell>
          <cell r="B19" t="e">
            <v>#REF!</v>
          </cell>
          <cell r="C19" t="e">
            <v>#REF!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J19">
            <v>6.75</v>
          </cell>
        </row>
        <row r="20">
          <cell r="A20" t="e">
            <v>#REF!</v>
          </cell>
          <cell r="B20" t="e">
            <v>#REF!</v>
          </cell>
          <cell r="C20" t="e">
            <v>#REF!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J20" t="e">
            <v>#REF!</v>
          </cell>
        </row>
        <row r="21">
          <cell r="A21" t="e">
            <v>#REF!</v>
          </cell>
          <cell r="B21" t="e">
            <v>#REF!</v>
          </cell>
          <cell r="C21" t="e">
            <v>#REF!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J21">
            <v>4.33</v>
          </cell>
        </row>
        <row r="22">
          <cell r="A22" t="e">
            <v>#REF!</v>
          </cell>
          <cell r="B22" t="e">
            <v>#REF!</v>
          </cell>
          <cell r="C22" t="e">
            <v>#REF!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J22">
            <v>2.73</v>
          </cell>
        </row>
        <row r="24">
          <cell r="B24" t="str">
            <v>Peer Group Average</v>
          </cell>
          <cell r="E24" t="e">
            <v>#REF!</v>
          </cell>
          <cell r="F24" t="e">
            <v>#REF!</v>
          </cell>
          <cell r="G24" t="e">
            <v>#REF!</v>
          </cell>
        </row>
        <row r="26">
          <cell r="A26" t="str">
            <v>SFG</v>
          </cell>
          <cell r="B26" t="str">
            <v>StanCorp</v>
          </cell>
          <cell r="C26">
            <v>3.71</v>
          </cell>
          <cell r="D26">
            <v>4.29</v>
          </cell>
          <cell r="E26" t="e">
            <v>#VALUE!</v>
          </cell>
          <cell r="F26" t="e">
            <v>#VALUE!</v>
          </cell>
          <cell r="G26">
            <v>12.156530687204992</v>
          </cell>
          <cell r="J26">
            <v>4.63</v>
          </cell>
        </row>
        <row r="28">
          <cell r="D28" t="str">
            <v>Fair Value Today:</v>
          </cell>
          <cell r="E28" t="e">
            <v>#REF!</v>
          </cell>
          <cell r="F28" t="e">
            <v>#REF!</v>
          </cell>
          <cell r="G28" t="str">
            <v>-- using Peer Group</v>
          </cell>
        </row>
        <row r="29">
          <cell r="D29" t="str">
            <v>Fair Value Today:</v>
          </cell>
          <cell r="E29" t="e">
            <v>#REF!</v>
          </cell>
          <cell r="F29" t="e">
            <v>#REF!</v>
          </cell>
          <cell r="G29" t="str">
            <v>-- using Expanded Peer Group</v>
          </cell>
        </row>
        <row r="30">
          <cell r="D30" t="str">
            <v>Price Target:</v>
          </cell>
          <cell r="G30" t="str">
            <v>-- using Peer Group</v>
          </cell>
        </row>
        <row r="31">
          <cell r="E31">
            <v>0</v>
          </cell>
          <cell r="F31">
            <v>0</v>
          </cell>
          <cell r="G31" t="str">
            <v>-- links to the SLF report</v>
          </cell>
        </row>
        <row r="32">
          <cell r="B32" t="str">
            <v>StanCorp price</v>
          </cell>
          <cell r="C32" t="str">
            <v>Manual Calculation</v>
          </cell>
          <cell r="F32" t="str">
            <v>Fair Value</v>
          </cell>
          <cell r="I32" t="str">
            <v>Price Target</v>
          </cell>
        </row>
        <row r="33">
          <cell r="B33" t="str">
            <v>StanCorp BV 4Q05</v>
          </cell>
          <cell r="C33">
            <v>25.840324123713632</v>
          </cell>
          <cell r="F33" t="str">
            <v>2006 P/B</v>
          </cell>
          <cell r="G33" t="e">
            <v>#REF!</v>
          </cell>
          <cell r="I33" t="str">
            <v>2006 P/B</v>
          </cell>
          <cell r="J33">
            <v>0</v>
          </cell>
        </row>
        <row r="34">
          <cell r="F34" t="str">
            <v>2007 P/B</v>
          </cell>
          <cell r="G34" t="e">
            <v>#REF!</v>
          </cell>
          <cell r="I34" t="str">
            <v>2007 P/B</v>
          </cell>
          <cell r="J34">
            <v>0</v>
          </cell>
        </row>
        <row r="36">
          <cell r="A36" t="str">
            <v>SFG</v>
          </cell>
        </row>
        <row r="38">
          <cell r="I38" t="str">
            <v>Including FAS 115</v>
          </cell>
        </row>
        <row r="39">
          <cell r="C39" t="str">
            <v>2006E</v>
          </cell>
          <cell r="D39" t="str">
            <v>2007E</v>
          </cell>
          <cell r="H39" t="str">
            <v>Today's</v>
          </cell>
          <cell r="I39" t="str">
            <v>2006E</v>
          </cell>
          <cell r="J39" t="str">
            <v>2007E</v>
          </cell>
        </row>
        <row r="40">
          <cell r="A40" t="str">
            <v>Ticker</v>
          </cell>
          <cell r="B40" t="str">
            <v>Company</v>
          </cell>
          <cell r="C40" t="str">
            <v>P/B</v>
          </cell>
          <cell r="D40" t="str">
            <v>P/B</v>
          </cell>
          <cell r="H40" t="str">
            <v>Price</v>
          </cell>
          <cell r="I40" t="str">
            <v>BVPS</v>
          </cell>
          <cell r="J40" t="str">
            <v>BVPS</v>
          </cell>
        </row>
        <row r="42">
          <cell r="A42" t="e">
            <v>#REF!</v>
          </cell>
          <cell r="B42" t="e">
            <v>#REF!</v>
          </cell>
          <cell r="C42" t="e">
            <v>#REF!</v>
          </cell>
          <cell r="D42" t="e">
            <v>#REF!</v>
          </cell>
          <cell r="H42" t="e">
            <v>#REF!</v>
          </cell>
          <cell r="I42">
            <v>16.934321388691504</v>
          </cell>
          <cell r="J42">
            <v>17.99186632626342</v>
          </cell>
        </row>
        <row r="43">
          <cell r="A43" t="e">
            <v>#REF!</v>
          </cell>
          <cell r="B43" t="e">
            <v>#REF!</v>
          </cell>
          <cell r="C43" t="e">
            <v>#REF!</v>
          </cell>
          <cell r="D43" t="e">
            <v>#REF!</v>
          </cell>
          <cell r="H43" t="e">
            <v>#REF!</v>
          </cell>
          <cell r="I43">
            <v>32.829328914664458</v>
          </cell>
          <cell r="J43">
            <v>34.089917066783066</v>
          </cell>
        </row>
        <row r="44">
          <cell r="A44" t="e">
            <v>#REF!</v>
          </cell>
          <cell r="B44" t="e">
            <v>#REF!</v>
          </cell>
          <cell r="C44" t="e">
            <v>#REF!</v>
          </cell>
          <cell r="D44" t="e">
            <v>#REF!</v>
          </cell>
          <cell r="H44" t="e">
            <v>#REF!</v>
          </cell>
          <cell r="I44">
            <v>26.499504735343134</v>
          </cell>
          <cell r="J44">
            <v>22.939908584797347</v>
          </cell>
        </row>
        <row r="45">
          <cell r="A45" t="e">
            <v>#REF!</v>
          </cell>
          <cell r="B45" t="e">
            <v>#REF!</v>
          </cell>
          <cell r="C45" t="e">
            <v>#REF!</v>
          </cell>
          <cell r="D45" t="e">
            <v>#REF!</v>
          </cell>
          <cell r="H45" t="e">
            <v>#REF!</v>
          </cell>
          <cell r="I45">
            <v>30.090293453724605</v>
          </cell>
          <cell r="J45">
            <v>30.919935765083736</v>
          </cell>
        </row>
        <row r="46">
          <cell r="A46" t="e">
            <v>#REF!</v>
          </cell>
          <cell r="B46" t="e">
            <v>#REF!</v>
          </cell>
          <cell r="C46" t="e">
            <v>#REF!</v>
          </cell>
          <cell r="D46" t="e">
            <v>#REF!</v>
          </cell>
          <cell r="H46" t="e">
            <v>#REF!</v>
          </cell>
          <cell r="I46" t="e">
            <v>#NAME?</v>
          </cell>
          <cell r="J46" t="e">
            <v>#REF!</v>
          </cell>
        </row>
        <row r="47">
          <cell r="A47" t="e">
            <v>#REF!</v>
          </cell>
          <cell r="B47" t="e">
            <v>#REF!</v>
          </cell>
          <cell r="C47" t="e">
            <v>#REF!</v>
          </cell>
          <cell r="D47" t="e">
            <v>#REF!</v>
          </cell>
          <cell r="H47" t="e">
            <v>#REF!</v>
          </cell>
          <cell r="I47">
            <v>44.206521739130437</v>
          </cell>
          <cell r="J47">
            <v>44.32072617246596</v>
          </cell>
        </row>
        <row r="48">
          <cell r="A48" t="e">
            <v>#REF!</v>
          </cell>
          <cell r="B48" t="str">
            <v>Manulife</v>
          </cell>
          <cell r="C48" t="e">
            <v>#REF!</v>
          </cell>
          <cell r="D48" t="e">
            <v>#REF!</v>
          </cell>
          <cell r="H48" t="e">
            <v>#REF!</v>
          </cell>
          <cell r="I48" t="e">
            <v>#REF!</v>
          </cell>
          <cell r="J48" t="e">
            <v>#REF!</v>
          </cell>
        </row>
        <row r="49">
          <cell r="A49" t="e">
            <v>#REF!</v>
          </cell>
          <cell r="B49" t="e">
            <v>#REF!</v>
          </cell>
          <cell r="C49" t="e">
            <v>#REF!</v>
          </cell>
          <cell r="D49" t="e">
            <v>#REF!</v>
          </cell>
          <cell r="H49" t="e">
            <v>#REF!</v>
          </cell>
          <cell r="I49">
            <v>41.076186780494112</v>
          </cell>
          <cell r="J49">
            <v>43.942447951200101</v>
          </cell>
        </row>
        <row r="50">
          <cell r="A50" t="e">
            <v>#REF!</v>
          </cell>
          <cell r="B50" t="e">
            <v>#REF!</v>
          </cell>
          <cell r="C50" t="e">
            <v>#REF!</v>
          </cell>
          <cell r="D50" t="e">
            <v>#REF!</v>
          </cell>
          <cell r="H50" t="e">
            <v>#REF!</v>
          </cell>
          <cell r="I50">
            <v>37.933561643835617</v>
          </cell>
          <cell r="J50">
            <v>38.30647482014389</v>
          </cell>
        </row>
        <row r="51">
          <cell r="A51" t="e">
            <v>#REF!</v>
          </cell>
          <cell r="B51" t="e">
            <v>#REF!</v>
          </cell>
          <cell r="C51" t="e">
            <v>#REF!</v>
          </cell>
          <cell r="D51" t="e">
            <v>#REF!</v>
          </cell>
          <cell r="H51" t="e">
            <v>#REF!</v>
          </cell>
          <cell r="I51" t="e">
            <v>#REF!</v>
          </cell>
          <cell r="J51" t="e">
            <v>#REF!</v>
          </cell>
        </row>
        <row r="52">
          <cell r="A52" t="e">
            <v>#REF!</v>
          </cell>
          <cell r="B52" t="e">
            <v>#REF!</v>
          </cell>
          <cell r="C52" t="e">
            <v>#REF!</v>
          </cell>
          <cell r="D52" t="e">
            <v>#REF!</v>
          </cell>
          <cell r="H52" t="e">
            <v>#REF!</v>
          </cell>
          <cell r="I52" t="e">
            <v>#REF!</v>
          </cell>
          <cell r="J52" t="e">
            <v>#REF!</v>
          </cell>
        </row>
        <row r="53">
          <cell r="A53" t="e">
            <v>#REF!</v>
          </cell>
          <cell r="B53" t="e">
            <v>#REF!</v>
          </cell>
          <cell r="C53" t="e">
            <v>#REF!</v>
          </cell>
          <cell r="D53" t="e">
            <v>#REF!</v>
          </cell>
          <cell r="H53" t="e">
            <v>#REF!</v>
          </cell>
          <cell r="I53">
            <v>45.178087898354505</v>
          </cell>
          <cell r="J53">
            <v>47.716483516483514</v>
          </cell>
        </row>
        <row r="54">
          <cell r="A54" t="e">
            <v>#REF!</v>
          </cell>
          <cell r="B54" t="e">
            <v>#REF!</v>
          </cell>
          <cell r="C54" t="e">
            <v>#REF!</v>
          </cell>
          <cell r="D54" t="e">
            <v>#REF!</v>
          </cell>
          <cell r="H54" t="e">
            <v>#REF!</v>
          </cell>
          <cell r="I54">
            <v>45.845281538021048</v>
          </cell>
          <cell r="J54">
            <v>51.422778795379081</v>
          </cell>
        </row>
        <row r="55">
          <cell r="A55" t="e">
            <v>#REF!</v>
          </cell>
          <cell r="B55" t="e">
            <v>#REF!</v>
          </cell>
          <cell r="C55" t="e">
            <v>#REF!</v>
          </cell>
          <cell r="D55" t="e">
            <v>#REF!</v>
          </cell>
          <cell r="H55" t="e">
            <v>#REF!</v>
          </cell>
          <cell r="I55" t="e">
            <v>#REF!</v>
          </cell>
          <cell r="J55" t="e">
            <v>#REF!</v>
          </cell>
        </row>
        <row r="56">
          <cell r="A56" t="e">
            <v>#REF!</v>
          </cell>
          <cell r="B56" t="e">
            <v>#REF!</v>
          </cell>
          <cell r="C56" t="e">
            <v>#REF!</v>
          </cell>
          <cell r="D56" t="e">
            <v>#REF!</v>
          </cell>
          <cell r="H56" t="e">
            <v>#REF!</v>
          </cell>
          <cell r="I56">
            <v>23.119081480627539</v>
          </cell>
          <cell r="J56">
            <v>23.735892195581638</v>
          </cell>
        </row>
        <row r="57">
          <cell r="A57" t="e">
            <v>#REF!</v>
          </cell>
          <cell r="B57" t="e">
            <v>#REF!</v>
          </cell>
          <cell r="C57" t="e">
            <v>#REF!</v>
          </cell>
          <cell r="D57" t="e">
            <v>#REF!</v>
          </cell>
          <cell r="H57" t="e">
            <v>#REF!</v>
          </cell>
          <cell r="I57">
            <v>22.52825452395577</v>
          </cell>
          <cell r="J57">
            <v>22.277764927725553</v>
          </cell>
        </row>
        <row r="59">
          <cell r="B59" t="str">
            <v>Peer Group Average</v>
          </cell>
          <cell r="C59" t="e">
            <v>#REF!</v>
          </cell>
          <cell r="D59" t="e">
            <v>#REF!</v>
          </cell>
        </row>
        <row r="61">
          <cell r="A61" t="str">
            <v>SFG</v>
          </cell>
          <cell r="B61" t="str">
            <v>StanCorp</v>
          </cell>
          <cell r="C61" t="e">
            <v>#REF!</v>
          </cell>
          <cell r="D61" t="e">
            <v>#REF!</v>
          </cell>
          <cell r="H61" t="e">
            <v>#REF!</v>
          </cell>
          <cell r="I61">
            <v>27.326749064014528</v>
          </cell>
          <cell r="J61">
            <v>28.892202525103638</v>
          </cell>
        </row>
        <row r="63">
          <cell r="D63" t="str">
            <v>Fair Value Today:</v>
          </cell>
          <cell r="E63" t="e">
            <v>#REF!</v>
          </cell>
          <cell r="F63" t="e">
            <v>#REF!</v>
          </cell>
          <cell r="G63" t="str">
            <v>-- using Peer Group</v>
          </cell>
        </row>
        <row r="65">
          <cell r="D65" t="str">
            <v>Price Target:</v>
          </cell>
          <cell r="G65" t="str">
            <v>-- using Peer Group</v>
          </cell>
        </row>
        <row r="66">
          <cell r="E66">
            <v>0</v>
          </cell>
          <cell r="F66">
            <v>0</v>
          </cell>
          <cell r="G66" t="str">
            <v>-- links to the SLF report</v>
          </cell>
        </row>
        <row r="67">
          <cell r="E67" t="e">
            <v>#REF!</v>
          </cell>
          <cell r="F67" t="str">
            <v>-- links to the SLF report</v>
          </cell>
        </row>
        <row r="68">
          <cell r="B68" t="str">
            <v>StanCorp BV 2006</v>
          </cell>
          <cell r="C68">
            <v>27.326749064014528</v>
          </cell>
        </row>
        <row r="69">
          <cell r="B69" t="str">
            <v>StanCorp BV 2007</v>
          </cell>
          <cell r="C69">
            <v>28.892202525103638</v>
          </cell>
        </row>
      </sheetData>
      <sheetData sheetId="21">
        <row r="1">
          <cell r="A1" t="str">
            <v>Genworth Comp Sheet</v>
          </cell>
          <cell r="J1" t="e">
            <v>#REF!</v>
          </cell>
        </row>
        <row r="3">
          <cell r="F3" t="str">
            <v>Pot.</v>
          </cell>
          <cell r="L3" t="str">
            <v>09E/05E</v>
          </cell>
        </row>
        <row r="4">
          <cell r="D4" t="str">
            <v>Price ($)</v>
          </cell>
          <cell r="E4" t="str">
            <v>12-Mo.</v>
          </cell>
          <cell r="F4" t="str">
            <v>Upside</v>
          </cell>
          <cell r="G4" t="str">
            <v>2005E</v>
          </cell>
          <cell r="H4" t="str">
            <v>2006E</v>
          </cell>
          <cell r="J4" t="str">
            <v>2005E</v>
          </cell>
          <cell r="K4" t="str">
            <v>2006E</v>
          </cell>
          <cell r="L4" t="str">
            <v>CAGR</v>
          </cell>
          <cell r="M4" t="str">
            <v>Mkt. Cap.</v>
          </cell>
        </row>
        <row r="5">
          <cell r="A5" t="str">
            <v>Ticker</v>
          </cell>
          <cell r="B5" t="str">
            <v>Company</v>
          </cell>
          <cell r="C5" t="str">
            <v>Rating</v>
          </cell>
          <cell r="D5" t="e">
            <v>#REF!</v>
          </cell>
          <cell r="E5" t="str">
            <v>Tgt. ($)</v>
          </cell>
          <cell r="F5" t="str">
            <v>(%)</v>
          </cell>
          <cell r="G5" t="str">
            <v>EPS</v>
          </cell>
          <cell r="H5" t="str">
            <v>EPS</v>
          </cell>
          <cell r="I5" t="str">
            <v>2005E</v>
          </cell>
          <cell r="J5" t="str">
            <v>P/E</v>
          </cell>
          <cell r="K5" t="str">
            <v>P/E</v>
          </cell>
          <cell r="L5" t="str">
            <v>(%)</v>
          </cell>
          <cell r="M5" t="str">
            <v>($ m)</v>
          </cell>
          <cell r="P5" t="str">
            <v>2009 EPS</v>
          </cell>
          <cell r="Q5" t="str">
            <v>Stock price</v>
          </cell>
        </row>
        <row r="7">
          <cell r="A7" t="e">
            <v>#REF!</v>
          </cell>
          <cell r="B7" t="e">
            <v>#REF!</v>
          </cell>
          <cell r="C7" t="str">
            <v>O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P7" t="e">
            <v>#REF!</v>
          </cell>
        </row>
        <row r="8">
          <cell r="A8" t="e">
            <v>#REF!</v>
          </cell>
          <cell r="B8" t="e">
            <v>#REF!</v>
          </cell>
          <cell r="C8" t="str">
            <v>U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P8">
            <v>5.61</v>
          </cell>
        </row>
        <row r="9">
          <cell r="A9" t="e">
            <v>#REF!</v>
          </cell>
          <cell r="B9" t="e">
            <v>#REF!</v>
          </cell>
          <cell r="C9" t="str">
            <v>E</v>
          </cell>
          <cell r="D9" t="e">
            <v>#REF!</v>
          </cell>
          <cell r="E9" t="e">
            <v>#REF!</v>
          </cell>
          <cell r="F9" t="e">
            <v>#REF!</v>
          </cell>
          <cell r="G9" t="e">
            <v>#REF!</v>
          </cell>
          <cell r="H9" t="e">
            <v>#REF!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P9">
            <v>3.18</v>
          </cell>
        </row>
        <row r="10">
          <cell r="A10" t="e">
            <v>#REF!</v>
          </cell>
          <cell r="B10" t="e">
            <v>#REF!</v>
          </cell>
          <cell r="C10" t="str">
            <v>O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P10">
            <v>2.87</v>
          </cell>
        </row>
        <row r="11">
          <cell r="A11" t="e">
            <v>#REF!</v>
          </cell>
          <cell r="B11" t="e">
            <v>#REF!</v>
          </cell>
          <cell r="C11" t="str">
            <v>††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P11" t="e">
            <v>#REF!</v>
          </cell>
        </row>
        <row r="12">
          <cell r="A12" t="e">
            <v>#REF!</v>
          </cell>
          <cell r="B12" t="e">
            <v>#REF!</v>
          </cell>
          <cell r="C12" t="str">
            <v>O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P12">
            <v>5.15</v>
          </cell>
        </row>
        <row r="13">
          <cell r="A13" t="e">
            <v>#REF!</v>
          </cell>
          <cell r="B13" t="e">
            <v>#REF!</v>
          </cell>
          <cell r="C13" t="str">
            <v>E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P13" t="e">
            <v>#REF!</v>
          </cell>
        </row>
        <row r="14">
          <cell r="A14" t="e">
            <v>#REF!</v>
          </cell>
          <cell r="B14" t="e">
            <v>#REF!</v>
          </cell>
          <cell r="C14" t="str">
            <v>E</v>
          </cell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P14">
            <v>5.03</v>
          </cell>
        </row>
        <row r="15">
          <cell r="A15" t="e">
            <v>#REF!</v>
          </cell>
          <cell r="B15" t="e">
            <v>#REF!</v>
          </cell>
          <cell r="C15" t="str">
            <v>E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P15" t="e">
            <v>#REF!</v>
          </cell>
        </row>
        <row r="16">
          <cell r="A16" t="e">
            <v>#REF!</v>
          </cell>
          <cell r="B16" t="e">
            <v>#REF!</v>
          </cell>
          <cell r="C16" t="str">
            <v>E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P16">
            <v>3.98</v>
          </cell>
        </row>
        <row r="17">
          <cell r="B17" t="str">
            <v>Average of Narrow Peer Group</v>
          </cell>
          <cell r="J17" t="e">
            <v>#REF!</v>
          </cell>
          <cell r="K17" t="e">
            <v>#REF!</v>
          </cell>
          <cell r="L17" t="e">
            <v>#REF!</v>
          </cell>
        </row>
        <row r="18">
          <cell r="A18" t="e">
            <v>#REF!</v>
          </cell>
          <cell r="B18" t="e">
            <v>#REF!</v>
          </cell>
          <cell r="C18" t="str">
            <v>O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P18">
            <v>4.8499999999999996</v>
          </cell>
        </row>
        <row r="19">
          <cell r="A19" t="e">
            <v>#REF!</v>
          </cell>
          <cell r="B19" t="e">
            <v>#REF!</v>
          </cell>
          <cell r="C19" t="str">
            <v>U - V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P19" t="e">
            <v>#REF!</v>
          </cell>
        </row>
        <row r="20">
          <cell r="A20" t="e">
            <v>#REF!</v>
          </cell>
          <cell r="B20" t="e">
            <v>#REF!</v>
          </cell>
          <cell r="C20" t="str">
            <v>U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P20">
            <v>4.54</v>
          </cell>
        </row>
        <row r="21">
          <cell r="A21" t="e">
            <v>#REF!</v>
          </cell>
          <cell r="B21" t="e">
            <v>#REF!</v>
          </cell>
          <cell r="C21" t="str">
            <v>O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P21">
            <v>5.98</v>
          </cell>
        </row>
        <row r="22">
          <cell r="A22" t="e">
            <v>#REF!</v>
          </cell>
          <cell r="B22" t="e">
            <v>#REF!</v>
          </cell>
          <cell r="C22" t="str">
            <v>U - V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P22">
            <v>2.59</v>
          </cell>
        </row>
        <row r="24">
          <cell r="B24" t="str">
            <v>Average of Expanded Peer Group</v>
          </cell>
          <cell r="J24" t="e">
            <v>#REF!</v>
          </cell>
          <cell r="K24" t="e">
            <v>#REF!</v>
          </cell>
          <cell r="L24" t="e">
            <v>#REF!</v>
          </cell>
        </row>
        <row r="26">
          <cell r="A26" t="str">
            <v>GNW</v>
          </cell>
          <cell r="B26" t="str">
            <v>Genworth</v>
          </cell>
          <cell r="G26">
            <v>2.2200000000000002</v>
          </cell>
          <cell r="H26">
            <v>2.71</v>
          </cell>
          <cell r="J26" t="e">
            <v>#VALUE!</v>
          </cell>
          <cell r="K26" t="e">
            <v>#VALUE!</v>
          </cell>
          <cell r="L26">
            <v>13.396657763302722</v>
          </cell>
          <cell r="P26">
            <v>0.44</v>
          </cell>
        </row>
        <row r="28">
          <cell r="H28" t="str">
            <v>Fair Value Today:</v>
          </cell>
          <cell r="J28" t="e">
            <v>#REF!</v>
          </cell>
          <cell r="K28" t="e">
            <v>#REF!</v>
          </cell>
          <cell r="L28" t="str">
            <v>-- using Narrow Peer</v>
          </cell>
        </row>
        <row r="29">
          <cell r="H29" t="str">
            <v>Fair Value Today:</v>
          </cell>
          <cell r="J29" t="e">
            <v>#REF!</v>
          </cell>
          <cell r="K29" t="e">
            <v>#REF!</v>
          </cell>
          <cell r="L29" t="str">
            <v>-- using Expanded Peer Group</v>
          </cell>
        </row>
        <row r="30">
          <cell r="H30" t="str">
            <v>Price Target:</v>
          </cell>
          <cell r="J30" t="e">
            <v>#REF!</v>
          </cell>
          <cell r="K30" t="e">
            <v>#REF!</v>
          </cell>
          <cell r="L30" t="str">
            <v>-- using Narrow Peer</v>
          </cell>
        </row>
        <row r="32">
          <cell r="B32" t="str">
            <v>Genworth price</v>
          </cell>
          <cell r="G32" t="str">
            <v>Manual Calculation</v>
          </cell>
          <cell r="K32" t="str">
            <v>Fair Value</v>
          </cell>
          <cell r="O32" t="str">
            <v>Price Target</v>
          </cell>
        </row>
        <row r="33">
          <cell r="B33" t="str">
            <v>Genworth BV 2Q05</v>
          </cell>
          <cell r="G33">
            <v>24.096027193541534</v>
          </cell>
          <cell r="K33" t="str">
            <v>2005 P/B</v>
          </cell>
          <cell r="L33" t="e">
            <v>#REF!</v>
          </cell>
          <cell r="O33" t="str">
            <v>2005 P/B</v>
          </cell>
          <cell r="P33" t="e">
            <v>#REF!</v>
          </cell>
        </row>
        <row r="34">
          <cell r="K34" t="str">
            <v>2006 P/B</v>
          </cell>
          <cell r="L34" t="e">
            <v>#REF!</v>
          </cell>
          <cell r="O34" t="str">
            <v>2006 P/B</v>
          </cell>
          <cell r="P34" t="e">
            <v>#REF!</v>
          </cell>
        </row>
        <row r="35">
          <cell r="G35">
            <v>13.492063492063492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 Convert"/>
      <sheetName val="lt value map"/>
      <sheetName val="CNO 2011"/>
      <sheetName val="CNO 2012"/>
      <sheetName val="CoC"/>
      <sheetName val="2012 value map"/>
      <sheetName val="2013 value map"/>
      <sheetName val="2010 value map"/>
      <sheetName val="2011 value map"/>
      <sheetName val="2012 GAAP PF"/>
      <sheetName val="2011 GAAP PF"/>
      <sheetName val="2012 STAT PF"/>
      <sheetName val="2012e roe vs pb"/>
      <sheetName val="__FDSCACHE__"/>
      <sheetName val="2011 roe vs pb"/>
      <sheetName val="2014 value map"/>
    </sheetNames>
    <sheetDataSet>
      <sheetData sheetId="0"/>
      <sheetData sheetId="1">
        <row r="1">
          <cell r="A1" t="str">
            <v>s</v>
          </cell>
        </row>
        <row r="2">
          <cell r="F2" t="str">
            <v>Life</v>
          </cell>
        </row>
        <row r="3">
          <cell r="B3" t="str">
            <v>ROE</v>
          </cell>
          <cell r="C3" t="str">
            <v>Current Price/Book</v>
          </cell>
          <cell r="F3" t="str">
            <v>ROE</v>
          </cell>
          <cell r="G3" t="str">
            <v>Current Price/Book</v>
          </cell>
          <cell r="H3">
            <v>2012</v>
          </cell>
          <cell r="I3">
            <v>40889</v>
          </cell>
        </row>
        <row r="4">
          <cell r="B4" t="str">
            <v>LT</v>
          </cell>
          <cell r="F4" t="str">
            <v>LT</v>
          </cell>
          <cell r="H4" t="str">
            <v>EPS</v>
          </cell>
          <cell r="I4" t="str">
            <v>Price</v>
          </cell>
          <cell r="J4" t="str">
            <v>Book Ex-AOCI</v>
          </cell>
          <cell r="K4" t="str">
            <v>Rep Book</v>
          </cell>
        </row>
        <row r="5">
          <cell r="A5" t="str">
            <v>AFL</v>
          </cell>
          <cell r="E5" t="str">
            <v>AFL</v>
          </cell>
          <cell r="F5">
            <v>24</v>
          </cell>
          <cell r="G5">
            <v>2.1443808829122593</v>
          </cell>
          <cell r="H5">
            <v>6.62</v>
          </cell>
          <cell r="I5">
            <v>42.89</v>
          </cell>
          <cell r="J5">
            <v>20.001110969498843</v>
          </cell>
          <cell r="K5">
            <v>20.29</v>
          </cell>
          <cell r="M5">
            <v>20.3383301141819</v>
          </cell>
          <cell r="O5" t="str">
            <v>AFL-N</v>
          </cell>
        </row>
        <row r="6">
          <cell r="A6" t="str">
            <v>AMP</v>
          </cell>
          <cell r="B6">
            <v>14.5</v>
          </cell>
          <cell r="C6">
            <v>1.2660111900550099</v>
          </cell>
          <cell r="E6" t="str">
            <v>AMP</v>
          </cell>
          <cell r="F6">
            <v>14.5</v>
          </cell>
          <cell r="G6">
            <v>1.2660111900550099</v>
          </cell>
          <cell r="H6">
            <v>5.45</v>
          </cell>
          <cell r="I6">
            <v>45.669998999999997</v>
          </cell>
          <cell r="J6">
            <v>36.073929961089497</v>
          </cell>
          <cell r="K6">
            <v>38.435797665369648</v>
          </cell>
          <cell r="M6">
            <v>18.331738351049793</v>
          </cell>
          <cell r="O6" t="str">
            <v>AMP-N</v>
          </cell>
        </row>
        <row r="7">
          <cell r="A7" t="str">
            <v>GNW</v>
          </cell>
          <cell r="B7">
            <v>9</v>
          </cell>
          <cell r="C7">
            <v>0.24964727829206348</v>
          </cell>
          <cell r="E7" t="str">
            <v>GNW</v>
          </cell>
          <cell r="F7">
            <v>9</v>
          </cell>
          <cell r="G7">
            <v>0.24964727829206348</v>
          </cell>
          <cell r="H7">
            <v>0.67</v>
          </cell>
          <cell r="I7">
            <v>6.4299993999999998</v>
          </cell>
          <cell r="J7">
            <v>25.756336876533116</v>
          </cell>
          <cell r="K7">
            <v>28.477105478331971</v>
          </cell>
          <cell r="M7">
            <v>5.0748018934668551</v>
          </cell>
          <cell r="O7" t="str">
            <v>GNW-N</v>
          </cell>
        </row>
        <row r="8">
          <cell r="A8" t="str">
            <v>HIG</v>
          </cell>
          <cell r="B8">
            <v>10</v>
          </cell>
          <cell r="C8" t="e">
            <v>#VALUE!</v>
          </cell>
          <cell r="E8" t="str">
            <v>HIG</v>
          </cell>
          <cell r="F8">
            <v>10</v>
          </cell>
          <cell r="G8" t="e">
            <v>#VALUE!</v>
          </cell>
          <cell r="H8">
            <v>2.65</v>
          </cell>
          <cell r="I8" t="str">
            <v>Manual Calculation</v>
          </cell>
          <cell r="J8">
            <v>40.949494949494948</v>
          </cell>
          <cell r="K8">
            <v>42.537716730466109</v>
          </cell>
          <cell r="M8">
            <v>7.2797251767215911</v>
          </cell>
          <cell r="O8" t="str">
            <v>HIG-N</v>
          </cell>
        </row>
        <row r="9">
          <cell r="A9" t="str">
            <v>LNC</v>
          </cell>
          <cell r="B9">
            <v>11</v>
          </cell>
          <cell r="C9">
            <v>0.51883789342678865</v>
          </cell>
          <cell r="E9" t="str">
            <v>LNC</v>
          </cell>
          <cell r="F9">
            <v>11</v>
          </cell>
          <cell r="G9">
            <v>0.51883789342678865</v>
          </cell>
          <cell r="H9">
            <v>4.3499999999999996</v>
          </cell>
          <cell r="I9">
            <v>19.159988999999999</v>
          </cell>
          <cell r="J9">
            <v>36.928661616161612</v>
          </cell>
          <cell r="K9">
            <v>39.88920454545454</v>
          </cell>
          <cell r="M9">
            <v>10.595291879824988</v>
          </cell>
          <cell r="O9" t="str">
            <v>LNC-N</v>
          </cell>
        </row>
        <row r="10">
          <cell r="A10" t="str">
            <v>MET</v>
          </cell>
          <cell r="B10">
            <v>14</v>
          </cell>
          <cell r="C10">
            <v>0.6981408960915888</v>
          </cell>
          <cell r="E10" t="str">
            <v>MET</v>
          </cell>
          <cell r="F10">
            <v>14</v>
          </cell>
          <cell r="G10">
            <v>0.6981408960915888</v>
          </cell>
          <cell r="H10">
            <v>5.22</v>
          </cell>
          <cell r="I10">
            <v>31.069993</v>
          </cell>
          <cell r="J10">
            <v>44.503900536323748</v>
          </cell>
          <cell r="K10">
            <v>45.505850804485618</v>
          </cell>
          <cell r="M10">
            <v>10.669410957452332</v>
          </cell>
          <cell r="O10" t="str">
            <v>MET-N</v>
          </cell>
        </row>
        <row r="11">
          <cell r="A11" t="str">
            <v>PFG</v>
          </cell>
          <cell r="B11">
            <v>12</v>
          </cell>
          <cell r="C11">
            <v>0.93132686719066138</v>
          </cell>
          <cell r="E11" t="str">
            <v>PFG</v>
          </cell>
          <cell r="F11">
            <v>12</v>
          </cell>
          <cell r="G11">
            <v>0.93132686719066138</v>
          </cell>
          <cell r="H11">
            <v>2.65</v>
          </cell>
          <cell r="I11">
            <v>23.75</v>
          </cell>
          <cell r="J11">
            <v>25.501250781738584</v>
          </cell>
          <cell r="K11">
            <v>24.471544715447152</v>
          </cell>
          <cell r="M11">
            <v>11.144306048150524</v>
          </cell>
          <cell r="O11" t="str">
            <v>PFG-N</v>
          </cell>
        </row>
        <row r="12">
          <cell r="A12" t="str">
            <v>PRU</v>
          </cell>
          <cell r="B12">
            <v>14.5</v>
          </cell>
          <cell r="C12">
            <v>0.95992698340040239</v>
          </cell>
          <cell r="E12" t="str">
            <v>PRU</v>
          </cell>
          <cell r="F12">
            <v>14.5</v>
          </cell>
          <cell r="G12">
            <v>0.95992698340040239</v>
          </cell>
          <cell r="H12">
            <v>6.38</v>
          </cell>
          <cell r="I12">
            <v>48.619996</v>
          </cell>
          <cell r="J12">
            <v>50.64968152866242</v>
          </cell>
          <cell r="K12">
            <v>54.908704883227173</v>
          </cell>
          <cell r="M12">
            <v>13.32124045624273</v>
          </cell>
          <cell r="O12" t="str">
            <v>PRU-N</v>
          </cell>
        </row>
        <row r="13">
          <cell r="A13" t="str">
            <v>RGA</v>
          </cell>
          <cell r="B13">
            <v>12</v>
          </cell>
          <cell r="C13">
            <v>0.9562463780435404</v>
          </cell>
          <cell r="E13" t="str">
            <v>RGA</v>
          </cell>
          <cell r="F13">
            <v>12</v>
          </cell>
          <cell r="G13">
            <v>0.9562463780435404</v>
          </cell>
          <cell r="H13">
            <v>6.25</v>
          </cell>
          <cell r="I13">
            <v>49.859985999999999</v>
          </cell>
          <cell r="J13">
            <v>52.141359324165457</v>
          </cell>
          <cell r="K13">
            <v>60.73066407851929</v>
          </cell>
          <cell r="M13">
            <v>10.512515837552762</v>
          </cell>
          <cell r="O13" t="str">
            <v>RGA-N</v>
          </cell>
        </row>
        <row r="14">
          <cell r="A14" t="str">
            <v>SFG</v>
          </cell>
          <cell r="B14">
            <v>14</v>
          </cell>
          <cell r="C14">
            <v>0.95185871143902878</v>
          </cell>
          <cell r="E14" t="str">
            <v>SFG</v>
          </cell>
          <cell r="F14">
            <v>14</v>
          </cell>
          <cell r="G14">
            <v>0.95185871143902878</v>
          </cell>
          <cell r="H14">
            <v>3.3</v>
          </cell>
          <cell r="I14">
            <v>34.89</v>
          </cell>
          <cell r="J14">
            <v>36.654599659284493</v>
          </cell>
          <cell r="K14">
            <v>40.72189097103918</v>
          </cell>
          <cell r="M14">
            <v>8.4275003074916359</v>
          </cell>
          <cell r="O14" t="str">
            <v>SFG-N</v>
          </cell>
        </row>
        <row r="15">
          <cell r="A15" t="str">
            <v>TMK</v>
          </cell>
          <cell r="B15">
            <v>12.5</v>
          </cell>
          <cell r="C15">
            <v>1.377963578473409</v>
          </cell>
          <cell r="E15" t="str">
            <v>TMK</v>
          </cell>
          <cell r="F15">
            <v>12.5</v>
          </cell>
          <cell r="G15">
            <v>1.377963578473409</v>
          </cell>
          <cell r="H15">
            <v>5.17</v>
          </cell>
          <cell r="I15">
            <v>43</v>
          </cell>
          <cell r="J15">
            <v>31.205469195084234</v>
          </cell>
          <cell r="K15">
            <v>32.1088630259624</v>
          </cell>
          <cell r="M15">
            <v>15.125992819459801</v>
          </cell>
          <cell r="O15" t="str">
            <v>TMK-N</v>
          </cell>
        </row>
        <row r="16">
          <cell r="A16" t="str">
            <v>UNM</v>
          </cell>
          <cell r="B16">
            <v>11</v>
          </cell>
          <cell r="C16">
            <v>1.3417541820196806</v>
          </cell>
          <cell r="E16" t="str">
            <v>UNM</v>
          </cell>
          <cell r="F16">
            <v>11</v>
          </cell>
          <cell r="G16">
            <v>1.3417541820196806</v>
          </cell>
          <cell r="H16">
            <v>3.0999546155747137</v>
          </cell>
          <cell r="I16">
            <v>20.959992</v>
          </cell>
          <cell r="J16">
            <v>15.621335324217059</v>
          </cell>
          <cell r="K16">
            <v>27.118805258363761</v>
          </cell>
          <cell r="M16">
            <v>19.650371200811691</v>
          </cell>
          <cell r="O16" t="str">
            <v>UNM-N</v>
          </cell>
        </row>
        <row r="50">
          <cell r="A50" t="str">
            <v>2012E ROE vs. P/B</v>
          </cell>
        </row>
      </sheetData>
      <sheetData sheetId="2"/>
      <sheetData sheetId="3">
        <row r="3">
          <cell r="B3" t="str">
            <v>ROE</v>
          </cell>
          <cell r="C3" t="str">
            <v>2012e Price/</v>
          </cell>
          <cell r="D3" t="str">
            <v>Implied</v>
          </cell>
          <cell r="F3" t="str">
            <v>ROE</v>
          </cell>
          <cell r="G3" t="str">
            <v>Price/</v>
          </cell>
          <cell r="H3">
            <v>2011</v>
          </cell>
          <cell r="I3">
            <v>40897</v>
          </cell>
          <cell r="J3" t="str">
            <v>Book</v>
          </cell>
          <cell r="P3">
            <v>1</v>
          </cell>
        </row>
        <row r="4">
          <cell r="B4" t="str">
            <v>2012e</v>
          </cell>
          <cell r="C4" t="str">
            <v>Book ex-AOCI</v>
          </cell>
          <cell r="D4" t="str">
            <v>CoC</v>
          </cell>
          <cell r="F4">
            <v>2012</v>
          </cell>
          <cell r="G4" t="str">
            <v>Bk-exAOCI</v>
          </cell>
          <cell r="H4" t="str">
            <v>EPS</v>
          </cell>
          <cell r="I4" t="str">
            <v>Price</v>
          </cell>
          <cell r="J4" t="str">
            <v>Ex-AOCI</v>
          </cell>
        </row>
        <row r="5">
          <cell r="A5" t="str">
            <v>AFL-N</v>
          </cell>
          <cell r="B5">
            <v>24.037609100633226</v>
          </cell>
          <cell r="C5">
            <v>1.333280368169375</v>
          </cell>
          <cell r="E5" t="str">
            <v>AFL-N</v>
          </cell>
          <cell r="F5">
            <v>24.037609100633226</v>
          </cell>
          <cell r="G5">
            <v>1.333280368169375</v>
          </cell>
          <cell r="H5">
            <v>6.28</v>
          </cell>
          <cell r="I5">
            <v>40.849991000000003</v>
          </cell>
          <cell r="J5">
            <v>30.638710338237402</v>
          </cell>
          <cell r="M5">
            <v>1</v>
          </cell>
          <cell r="N5">
            <v>1</v>
          </cell>
          <cell r="O5" t="str">
            <v>AFL-N</v>
          </cell>
          <cell r="P5">
            <v>24.037609100633226</v>
          </cell>
        </row>
        <row r="6">
          <cell r="A6" t="str">
            <v>AMP-N</v>
          </cell>
          <cell r="B6">
            <v>15.843533982650374</v>
          </cell>
          <cell r="C6">
            <v>1.3572659648749605</v>
          </cell>
          <cell r="E6" t="str">
            <v>AMP-N</v>
          </cell>
          <cell r="F6">
            <v>15.843533982650374</v>
          </cell>
          <cell r="G6">
            <v>1.3572659648749605</v>
          </cell>
          <cell r="H6">
            <v>5.17</v>
          </cell>
          <cell r="I6">
            <v>49</v>
          </cell>
          <cell r="J6">
            <v>36.10198831185911</v>
          </cell>
          <cell r="M6">
            <v>2</v>
          </cell>
          <cell r="N6">
            <v>3</v>
          </cell>
          <cell r="O6" t="str">
            <v>UNM-N</v>
          </cell>
          <cell r="P6">
            <v>20.408074450890759</v>
          </cell>
        </row>
        <row r="7">
          <cell r="A7" t="str">
            <v>GNW-N</v>
          </cell>
          <cell r="B7">
            <v>2.9493283452577419</v>
          </cell>
          <cell r="C7">
            <v>0.26102755062206973</v>
          </cell>
          <cell r="E7" t="str">
            <v>GNW-N</v>
          </cell>
          <cell r="F7">
            <v>2.9493283452577419</v>
          </cell>
          <cell r="G7">
            <v>0.26102755062206973</v>
          </cell>
          <cell r="H7">
            <v>0.26</v>
          </cell>
          <cell r="I7">
            <v>6</v>
          </cell>
          <cell r="J7">
            <v>22.986079383961791</v>
          </cell>
          <cell r="M7">
            <v>3</v>
          </cell>
          <cell r="N7">
            <v>13</v>
          </cell>
          <cell r="O7" t="str">
            <v>AMP-N</v>
          </cell>
          <cell r="P7">
            <v>15.843533982650374</v>
          </cell>
        </row>
        <row r="8">
          <cell r="A8" t="str">
            <v>HIG-N</v>
          </cell>
          <cell r="B8">
            <v>5.8101125820022341</v>
          </cell>
          <cell r="C8" t="e">
            <v>#VALUE!</v>
          </cell>
          <cell r="E8" t="str">
            <v>HIG-N</v>
          </cell>
          <cell r="F8">
            <v>5.8101125820022341</v>
          </cell>
          <cell r="G8" t="e">
            <v>#VALUE!</v>
          </cell>
          <cell r="H8">
            <v>1.96</v>
          </cell>
          <cell r="I8" t="str">
            <v>Manual Calculation</v>
          </cell>
          <cell r="J8">
            <v>41.476242206494057</v>
          </cell>
          <cell r="M8">
            <v>4</v>
          </cell>
          <cell r="N8">
            <v>12</v>
          </cell>
          <cell r="O8" t="str">
            <v>TMK-N</v>
          </cell>
          <cell r="P8">
            <v>15.349089020811752</v>
          </cell>
        </row>
        <row r="9">
          <cell r="A9" t="str">
            <v>LNC-N</v>
          </cell>
          <cell r="B9">
            <v>11.037376962033163</v>
          </cell>
          <cell r="C9">
            <v>0.46033910573160358</v>
          </cell>
          <cell r="E9" t="str">
            <v>LNC-N</v>
          </cell>
          <cell r="F9">
            <v>11.037376962033163</v>
          </cell>
          <cell r="G9">
            <v>0.46033910573160358</v>
          </cell>
          <cell r="H9">
            <v>3.97</v>
          </cell>
          <cell r="I9">
            <v>18.599990999999999</v>
          </cell>
          <cell r="J9">
            <v>40.404977044997239</v>
          </cell>
          <cell r="M9">
            <v>5</v>
          </cell>
          <cell r="N9">
            <v>6</v>
          </cell>
          <cell r="O9" t="str">
            <v>MET-N</v>
          </cell>
          <cell r="P9">
            <v>11.100819090618289</v>
          </cell>
        </row>
        <row r="10">
          <cell r="A10" t="str">
            <v>MET-N</v>
          </cell>
          <cell r="B10">
            <v>11.100819090618289</v>
          </cell>
          <cell r="C10">
            <v>0.6382707219258601</v>
          </cell>
          <cell r="E10" t="str">
            <v>MET-N</v>
          </cell>
          <cell r="F10">
            <v>11.100819090618289</v>
          </cell>
          <cell r="G10">
            <v>0.6382707219258601</v>
          </cell>
          <cell r="H10">
            <v>4.38</v>
          </cell>
          <cell r="I10">
            <v>30.169999000000001</v>
          </cell>
          <cell r="J10">
            <v>47.268342356308914</v>
          </cell>
          <cell r="M10">
            <v>6</v>
          </cell>
          <cell r="N10">
            <v>5</v>
          </cell>
          <cell r="O10" t="str">
            <v>LNC-N</v>
          </cell>
          <cell r="P10">
            <v>11.037376962033163</v>
          </cell>
        </row>
        <row r="11">
          <cell r="A11" t="str">
            <v>PFG-N</v>
          </cell>
          <cell r="B11">
            <v>9.5258847714070427</v>
          </cell>
          <cell r="C11">
            <v>0.8315364002783413</v>
          </cell>
          <cell r="E11" t="str">
            <v>PFG-N</v>
          </cell>
          <cell r="F11">
            <v>9.5258847714070427</v>
          </cell>
          <cell r="G11">
            <v>0.8315364002783413</v>
          </cell>
          <cell r="H11">
            <v>2.66</v>
          </cell>
          <cell r="I11">
            <v>24.229996</v>
          </cell>
          <cell r="J11">
            <v>29.138827827488324</v>
          </cell>
          <cell r="M11">
            <v>7</v>
          </cell>
          <cell r="N11">
            <v>9</v>
          </cell>
          <cell r="O11" t="str">
            <v>PRU-N</v>
          </cell>
          <cell r="P11">
            <v>10.93626547868455</v>
          </cell>
        </row>
        <row r="12">
          <cell r="A12" t="str">
            <v>PRU-N</v>
          </cell>
          <cell r="B12">
            <v>10.93626547868455</v>
          </cell>
          <cell r="C12">
            <v>0.82941590989754232</v>
          </cell>
          <cell r="E12" t="str">
            <v>PRU-N</v>
          </cell>
          <cell r="F12">
            <v>10.93626547868455</v>
          </cell>
          <cell r="G12">
            <v>0.82941590989754232</v>
          </cell>
          <cell r="H12">
            <v>6.07</v>
          </cell>
          <cell r="I12">
            <v>49.159989000000003</v>
          </cell>
          <cell r="J12">
            <v>59.270612503771154</v>
          </cell>
          <cell r="M12">
            <v>8</v>
          </cell>
          <cell r="N12">
            <v>7</v>
          </cell>
          <cell r="O12" t="str">
            <v>RGA-N</v>
          </cell>
          <cell r="P12">
            <v>10.404090915544288</v>
          </cell>
        </row>
        <row r="13">
          <cell r="A13" t="str">
            <v>RGA-N</v>
          </cell>
          <cell r="B13">
            <v>10.404090915544288</v>
          </cell>
          <cell r="C13">
            <v>0.7885691684659798</v>
          </cell>
          <cell r="E13" t="str">
            <v>RGA-N</v>
          </cell>
          <cell r="F13">
            <v>10.404090915544288</v>
          </cell>
          <cell r="G13">
            <v>0.7885691684659798</v>
          </cell>
          <cell r="H13">
            <v>6.55</v>
          </cell>
          <cell r="I13">
            <v>50.599991000000003</v>
          </cell>
          <cell r="J13">
            <v>64.166839160644884</v>
          </cell>
          <cell r="M13">
            <v>9</v>
          </cell>
          <cell r="N13">
            <v>8</v>
          </cell>
          <cell r="O13" t="str">
            <v>PFG-N</v>
          </cell>
          <cell r="P13">
            <v>9.5258847714070427</v>
          </cell>
        </row>
        <row r="14">
          <cell r="A14" t="str">
            <v>SFG-N</v>
          </cell>
          <cell r="B14">
            <v>8.0587964703995922</v>
          </cell>
          <cell r="C14">
            <v>0.84542373107820878</v>
          </cell>
          <cell r="E14" t="str">
            <v>SFG-N</v>
          </cell>
          <cell r="F14">
            <v>8.0587964703995922</v>
          </cell>
          <cell r="G14">
            <v>0.84542373107820878</v>
          </cell>
          <cell r="H14">
            <v>3.13</v>
          </cell>
          <cell r="I14">
            <v>35.339996999999997</v>
          </cell>
          <cell r="J14">
            <v>41.80151999628545</v>
          </cell>
          <cell r="M14">
            <v>10</v>
          </cell>
          <cell r="N14">
            <v>10</v>
          </cell>
          <cell r="O14" t="str">
            <v>SFG-N</v>
          </cell>
          <cell r="P14">
            <v>8.0587964703995922</v>
          </cell>
        </row>
        <row r="15">
          <cell r="A15" t="str">
            <v>TMK-N</v>
          </cell>
          <cell r="B15">
            <v>15.349089020811752</v>
          </cell>
          <cell r="C15">
            <v>1.1956845199056072</v>
          </cell>
          <cell r="E15" t="str">
            <v>TMK-N</v>
          </cell>
          <cell r="F15">
            <v>15.349089020811752</v>
          </cell>
          <cell r="G15">
            <v>1.1956845199056072</v>
          </cell>
          <cell r="H15">
            <v>4.5</v>
          </cell>
          <cell r="I15">
            <v>42.459992</v>
          </cell>
          <cell r="J15">
            <v>35.511032628700406</v>
          </cell>
          <cell r="M15">
            <v>11</v>
          </cell>
          <cell r="N15">
            <v>4</v>
          </cell>
          <cell r="O15" t="str">
            <v>CNO-N</v>
          </cell>
          <cell r="P15">
            <v>7.0553044264986315</v>
          </cell>
        </row>
        <row r="16">
          <cell r="A16" t="str">
            <v>UNM-N</v>
          </cell>
          <cell r="B16">
            <v>20.408074450890759</v>
          </cell>
          <cell r="C16">
            <v>1.4651804281649559</v>
          </cell>
          <cell r="E16" t="str">
            <v>UNM-N</v>
          </cell>
          <cell r="F16">
            <v>20.408074450890759</v>
          </cell>
          <cell r="G16">
            <v>1.4651804281649559</v>
          </cell>
          <cell r="H16">
            <v>2.9910911043862445</v>
          </cell>
          <cell r="I16">
            <v>20.409988999999999</v>
          </cell>
          <cell r="J16">
            <v>13.93001749659064</v>
          </cell>
          <cell r="M16">
            <v>12</v>
          </cell>
          <cell r="N16">
            <v>2</v>
          </cell>
          <cell r="O16" t="str">
            <v>HIG-N</v>
          </cell>
          <cell r="P16">
            <v>5.8101125820022341</v>
          </cell>
        </row>
        <row r="17">
          <cell r="A17" t="str">
            <v>CNO-N</v>
          </cell>
          <cell r="B17">
            <v>7.0553044264986315</v>
          </cell>
          <cell r="C17">
            <v>0.44868007291905454</v>
          </cell>
          <cell r="E17" t="str">
            <v>CNO-N</v>
          </cell>
          <cell r="F17">
            <v>7.0553044264986315</v>
          </cell>
          <cell r="G17">
            <v>0.44868007291905454</v>
          </cell>
          <cell r="I17">
            <v>6.0899992000000003</v>
          </cell>
          <cell r="J17">
            <v>13.573143911605552</v>
          </cell>
          <cell r="M17">
            <v>13</v>
          </cell>
          <cell r="N17">
            <v>11</v>
          </cell>
          <cell r="O17" t="str">
            <v>GNW-N</v>
          </cell>
          <cell r="P17">
            <v>2.9493283452577419</v>
          </cell>
        </row>
        <row r="21">
          <cell r="M21">
            <v>1.0481</v>
          </cell>
          <cell r="N21">
            <v>1.6576</v>
          </cell>
          <cell r="O21">
            <v>7.0553044264986315</v>
          </cell>
        </row>
        <row r="22">
          <cell r="M22">
            <v>2.047756540079825</v>
          </cell>
          <cell r="N22">
            <v>0.39015654007982503</v>
          </cell>
          <cell r="O22">
            <v>5.2956508665575646</v>
          </cell>
          <cell r="P22">
            <v>18.08326582211113</v>
          </cell>
        </row>
        <row r="50">
          <cell r="A50" t="str">
            <v>2012E ROE vs. P/B</v>
          </cell>
        </row>
      </sheetData>
      <sheetData sheetId="4"/>
      <sheetData sheetId="5">
        <row r="1">
          <cell r="F1" t="str">
            <v xml:space="preserve">x </v>
          </cell>
        </row>
        <row r="3">
          <cell r="B3" t="str">
            <v>ROE</v>
          </cell>
          <cell r="C3" t="str">
            <v>Price/</v>
          </cell>
          <cell r="F3" t="str">
            <v>ROE</v>
          </cell>
          <cell r="G3" t="str">
            <v>Price/</v>
          </cell>
          <cell r="H3">
            <v>2012</v>
          </cell>
          <cell r="I3">
            <v>41569</v>
          </cell>
          <cell r="J3" t="str">
            <v>Book</v>
          </cell>
        </row>
        <row r="4">
          <cell r="B4">
            <v>2012</v>
          </cell>
          <cell r="C4" t="str">
            <v>Book ex-AOCI</v>
          </cell>
          <cell r="F4">
            <v>2012</v>
          </cell>
          <cell r="G4" t="str">
            <v>Bk-exAOCI</v>
          </cell>
          <cell r="H4" t="str">
            <v>EPS</v>
          </cell>
          <cell r="I4" t="str">
            <v>Price</v>
          </cell>
          <cell r="J4" t="str">
            <v>Ex-AOCI</v>
          </cell>
        </row>
        <row r="5">
          <cell r="A5" t="str">
            <v>AFL</v>
          </cell>
          <cell r="B5">
            <v>24.037609100633226</v>
          </cell>
          <cell r="C5">
            <v>2.137818441994126</v>
          </cell>
          <cell r="E5" t="str">
            <v>AFL</v>
          </cell>
          <cell r="F5">
            <v>24.037609100633226</v>
          </cell>
          <cell r="G5">
            <v>2.137818441994126</v>
          </cell>
          <cell r="H5">
            <v>6.62</v>
          </cell>
          <cell r="I5">
            <v>65.5</v>
          </cell>
          <cell r="J5">
            <v>30.638710338237402</v>
          </cell>
        </row>
        <row r="6">
          <cell r="A6" t="str">
            <v>AMP</v>
          </cell>
          <cell r="B6">
            <v>15.843533982650374</v>
          </cell>
          <cell r="C6">
            <v>2.7444468194970111</v>
          </cell>
          <cell r="E6" t="str">
            <v>AMP</v>
          </cell>
          <cell r="F6">
            <v>15.843533982650374</v>
          </cell>
          <cell r="G6">
            <v>2.7444468194970111</v>
          </cell>
          <cell r="H6">
            <v>5.45</v>
          </cell>
          <cell r="I6">
            <v>99.079987000000003</v>
          </cell>
          <cell r="J6">
            <v>36.10198831185911</v>
          </cell>
        </row>
        <row r="7">
          <cell r="A7" t="str">
            <v>CNO</v>
          </cell>
          <cell r="B7">
            <v>7.0553044264986315</v>
          </cell>
          <cell r="C7">
            <v>1.1124909673350569</v>
          </cell>
          <cell r="E7" t="str">
            <v>CNO</v>
          </cell>
          <cell r="F7">
            <v>7.0553044264986315</v>
          </cell>
          <cell r="G7">
            <v>1.1124909673350569</v>
          </cell>
          <cell r="H7">
            <v>0.7</v>
          </cell>
          <cell r="I7">
            <v>15.1</v>
          </cell>
          <cell r="J7">
            <v>13.573143911605552</v>
          </cell>
        </row>
        <row r="8">
          <cell r="A8" t="str">
            <v>HIG</v>
          </cell>
          <cell r="B8">
            <v>5.8101125820022341</v>
          </cell>
          <cell r="C8">
            <v>0.8178834249520911</v>
          </cell>
          <cell r="E8" t="str">
            <v>HIG</v>
          </cell>
          <cell r="F8">
            <v>5.8101125820022341</v>
          </cell>
          <cell r="G8">
            <v>0.8178834249520911</v>
          </cell>
          <cell r="H8">
            <v>2.65</v>
          </cell>
          <cell r="I8">
            <v>33.89</v>
          </cell>
          <cell r="J8">
            <v>41.436223019173134</v>
          </cell>
        </row>
        <row r="9">
          <cell r="A9" t="str">
            <v>LNC</v>
          </cell>
          <cell r="B9">
            <v>11.037376962033163</v>
          </cell>
          <cell r="C9">
            <v>1.1166940139515944</v>
          </cell>
          <cell r="E9" t="str">
            <v>LNC</v>
          </cell>
          <cell r="F9">
            <v>11.037376962033163</v>
          </cell>
          <cell r="G9">
            <v>1.1166940139515944</v>
          </cell>
          <cell r="H9">
            <v>4.3499999999999996</v>
          </cell>
          <cell r="I9">
            <v>45.119996</v>
          </cell>
          <cell r="J9">
            <v>40.404977044997239</v>
          </cell>
        </row>
        <row r="10">
          <cell r="A10" t="str">
            <v>MET</v>
          </cell>
          <cell r="B10">
            <v>11.100819090618289</v>
          </cell>
          <cell r="C10">
            <v>1.0489047114507615</v>
          </cell>
          <cell r="E10" t="str">
            <v>MET</v>
          </cell>
          <cell r="F10">
            <v>11.100819090618289</v>
          </cell>
          <cell r="G10">
            <v>1.0489047114507615</v>
          </cell>
          <cell r="H10">
            <v>5.22</v>
          </cell>
          <cell r="I10">
            <v>49.579987000000003</v>
          </cell>
          <cell r="J10">
            <v>47.268342356308914</v>
          </cell>
        </row>
        <row r="11">
          <cell r="A11" t="str">
            <v>PFG</v>
          </cell>
          <cell r="B11">
            <v>9.5258847714070427</v>
          </cell>
          <cell r="C11">
            <v>1.5892882951287812</v>
          </cell>
          <cell r="E11" t="str">
            <v>PFG</v>
          </cell>
          <cell r="F11">
            <v>9.5258847714070427</v>
          </cell>
          <cell r="G11">
            <v>1.5892882951287812</v>
          </cell>
          <cell r="H11">
            <v>2.65</v>
          </cell>
          <cell r="I11">
            <v>46.309998</v>
          </cell>
          <cell r="J11">
            <v>29.138827827488321</v>
          </cell>
        </row>
        <row r="12">
          <cell r="A12" t="str">
            <v>PRU</v>
          </cell>
          <cell r="B12">
            <v>10.93626547868455</v>
          </cell>
          <cell r="C12">
            <v>1.373699301569046</v>
          </cell>
          <cell r="E12" t="str">
            <v>PRU</v>
          </cell>
          <cell r="F12">
            <v>10.93626547868455</v>
          </cell>
          <cell r="G12">
            <v>1.373699301569046</v>
          </cell>
          <cell r="H12">
            <v>6.38</v>
          </cell>
          <cell r="I12">
            <v>81.419999000000004</v>
          </cell>
          <cell r="J12">
            <v>59.270612503771162</v>
          </cell>
        </row>
        <row r="13">
          <cell r="A13" t="str">
            <v>RGA</v>
          </cell>
          <cell r="B13">
            <v>10.404090915544288</v>
          </cell>
          <cell r="C13">
            <v>1.1195813591525832</v>
          </cell>
          <cell r="E13" t="str">
            <v>RGA</v>
          </cell>
          <cell r="F13">
            <v>10.404090915544288</v>
          </cell>
          <cell r="G13">
            <v>1.1195813591525832</v>
          </cell>
          <cell r="H13">
            <v>6.25</v>
          </cell>
          <cell r="I13">
            <v>71.839996999999997</v>
          </cell>
          <cell r="J13">
            <v>64.166839160644884</v>
          </cell>
        </row>
        <row r="14">
          <cell r="A14" t="str">
            <v>SFG</v>
          </cell>
          <cell r="B14">
            <v>8.0587964703995922</v>
          </cell>
          <cell r="C14">
            <v>1.4284167658330589</v>
          </cell>
          <cell r="E14" t="str">
            <v>SFG</v>
          </cell>
          <cell r="F14">
            <v>8.0587964703995922</v>
          </cell>
          <cell r="G14">
            <v>1.4284167658330589</v>
          </cell>
          <cell r="H14">
            <v>3.3</v>
          </cell>
          <cell r="I14">
            <v>59.709992</v>
          </cell>
          <cell r="J14">
            <v>41.80151999628545</v>
          </cell>
        </row>
        <row r="15">
          <cell r="A15" t="str">
            <v>TMK</v>
          </cell>
          <cell r="B15">
            <v>15.349089020811752</v>
          </cell>
          <cell r="C15">
            <v>2.1159621232549299</v>
          </cell>
          <cell r="E15" t="str">
            <v>TMK</v>
          </cell>
          <cell r="F15">
            <v>15.349089020811752</v>
          </cell>
          <cell r="G15">
            <v>2.1159621232549299</v>
          </cell>
          <cell r="H15">
            <v>5.17</v>
          </cell>
          <cell r="I15">
            <v>75.14</v>
          </cell>
          <cell r="J15">
            <v>35.511032628700406</v>
          </cell>
        </row>
        <row r="16">
          <cell r="A16" t="str">
            <v>UNM</v>
          </cell>
          <cell r="B16">
            <v>20.408074450890759</v>
          </cell>
          <cell r="C16">
            <v>1.07782890945111</v>
          </cell>
          <cell r="E16" t="str">
            <v>UNM</v>
          </cell>
          <cell r="F16">
            <v>20.408074450890759</v>
          </cell>
          <cell r="G16">
            <v>1.07782890945111</v>
          </cell>
          <cell r="H16">
            <v>3.0999546155747137</v>
          </cell>
          <cell r="I16">
            <v>31.849990999999999</v>
          </cell>
          <cell r="J16">
            <v>29.550136130807413</v>
          </cell>
        </row>
        <row r="50">
          <cell r="A50" t="str">
            <v>2012E ROE vs. P/B</v>
          </cell>
        </row>
      </sheetData>
      <sheetData sheetId="6"/>
      <sheetData sheetId="7"/>
      <sheetData sheetId="8">
        <row r="3">
          <cell r="B3" t="str">
            <v>ROE</v>
          </cell>
          <cell r="C3" t="str">
            <v>2011e Price/</v>
          </cell>
          <cell r="D3" t="str">
            <v>Implied</v>
          </cell>
          <cell r="G3" t="str">
            <v>ROE</v>
          </cell>
          <cell r="H3" t="str">
            <v>Price/</v>
          </cell>
          <cell r="I3">
            <v>2011</v>
          </cell>
          <cell r="J3">
            <v>40897</v>
          </cell>
          <cell r="K3" t="str">
            <v>Book</v>
          </cell>
        </row>
        <row r="4">
          <cell r="B4">
            <v>2011</v>
          </cell>
          <cell r="C4" t="str">
            <v>Book ex-AOCI</v>
          </cell>
          <cell r="D4" t="str">
            <v>CoC</v>
          </cell>
          <cell r="G4">
            <v>2011</v>
          </cell>
          <cell r="H4" t="str">
            <v>Bk-exAOCI</v>
          </cell>
          <cell r="I4" t="str">
            <v>EPS</v>
          </cell>
          <cell r="J4" t="str">
            <v>Price</v>
          </cell>
          <cell r="K4" t="str">
            <v>Ex-AOCI</v>
          </cell>
        </row>
        <row r="5">
          <cell r="A5" t="str">
            <v>AFL-N</v>
          </cell>
          <cell r="B5">
            <v>26.453384941100346</v>
          </cell>
          <cell r="C5">
            <v>1.6151228847897237</v>
          </cell>
          <cell r="D5">
            <v>16.378558678242225</v>
          </cell>
          <cell r="F5" t="str">
            <v>AFL-N</v>
          </cell>
          <cell r="G5">
            <v>26.453384941100346</v>
          </cell>
          <cell r="H5">
            <v>1.6151228847897237</v>
          </cell>
          <cell r="I5">
            <v>6.28</v>
          </cell>
          <cell r="J5">
            <v>40.849991000000003</v>
          </cell>
          <cell r="K5">
            <v>25.292187600523256</v>
          </cell>
        </row>
        <row r="6">
          <cell r="A6" t="str">
            <v>AMP-N</v>
          </cell>
          <cell r="B6">
            <v>15.99698620245813</v>
          </cell>
          <cell r="C6">
            <v>1.4281470098604174</v>
          </cell>
          <cell r="D6">
            <v>11.201218146317881</v>
          </cell>
          <cell r="F6" t="str">
            <v>AMP-N</v>
          </cell>
          <cell r="G6">
            <v>15.99698620245813</v>
          </cell>
          <cell r="H6">
            <v>1.4281470098604174</v>
          </cell>
          <cell r="I6">
            <v>5.17</v>
          </cell>
          <cell r="J6">
            <v>49</v>
          </cell>
          <cell r="K6">
            <v>34.310193321616872</v>
          </cell>
        </row>
        <row r="7">
          <cell r="A7" t="str">
            <v>GNW-N</v>
          </cell>
          <cell r="B7">
            <v>1.1606982184631995</v>
          </cell>
          <cell r="C7">
            <v>0.2672534252790128</v>
          </cell>
          <cell r="D7">
            <v>4.3430620851778778</v>
          </cell>
          <cell r="F7" t="str">
            <v>GNW-N</v>
          </cell>
          <cell r="G7">
            <v>1.1606982184631995</v>
          </cell>
          <cell r="H7">
            <v>0.2672534252790128</v>
          </cell>
          <cell r="I7">
            <v>0.26</v>
          </cell>
          <cell r="J7">
            <v>6</v>
          </cell>
          <cell r="K7">
            <v>22.450600937054389</v>
          </cell>
          <cell r="L7">
            <v>23.076923076923077</v>
          </cell>
        </row>
        <row r="8">
          <cell r="A8" t="str">
            <v>HIG-N</v>
          </cell>
          <cell r="B8">
            <v>4.6422431716202546</v>
          </cell>
          <cell r="C8" t="e">
            <v>#VALUE!</v>
          </cell>
          <cell r="D8" t="e">
            <v>#VALUE!</v>
          </cell>
          <cell r="F8" t="str">
            <v>HIG-N</v>
          </cell>
          <cell r="G8">
            <v>4.6422431716202546</v>
          </cell>
          <cell r="H8" t="e">
            <v>#VALUE!</v>
          </cell>
          <cell r="I8">
            <v>1.96</v>
          </cell>
          <cell r="J8" t="str">
            <v>Manual Calculation</v>
          </cell>
          <cell r="K8">
            <v>41.73025366054857</v>
          </cell>
        </row>
        <row r="9">
          <cell r="A9" t="str">
            <v>LNC-N</v>
          </cell>
          <cell r="B9">
            <v>10.303992132463453</v>
          </cell>
          <cell r="C9">
            <v>0.52523838221590902</v>
          </cell>
          <cell r="D9">
            <v>19.617744021280998</v>
          </cell>
          <cell r="F9" t="str">
            <v>LNC-N</v>
          </cell>
          <cell r="G9">
            <v>10.303992132463453</v>
          </cell>
          <cell r="H9">
            <v>0.52523838221590902</v>
          </cell>
          <cell r="I9">
            <v>3.97</v>
          </cell>
          <cell r="J9">
            <v>18.599990999999999</v>
          </cell>
          <cell r="K9">
            <v>35.412474849094572</v>
          </cell>
        </row>
        <row r="10">
          <cell r="A10" t="str">
            <v>MET-N</v>
          </cell>
          <cell r="B10">
            <v>10.003555893023766</v>
          </cell>
          <cell r="C10">
            <v>0.64624169619751382</v>
          </cell>
          <cell r="D10">
            <v>15.47958906378943</v>
          </cell>
          <cell r="F10" t="str">
            <v>MET-N</v>
          </cell>
          <cell r="G10">
            <v>10.003555893023766</v>
          </cell>
          <cell r="H10">
            <v>0.64624169619751382</v>
          </cell>
          <cell r="I10">
            <v>4.38</v>
          </cell>
          <cell r="J10">
            <v>30.169999000000001</v>
          </cell>
          <cell r="K10">
            <v>46.685317857885487</v>
          </cell>
        </row>
        <row r="11">
          <cell r="A11" t="str">
            <v>PFG-N</v>
          </cell>
          <cell r="B11">
            <v>10.040845225451964</v>
          </cell>
          <cell r="C11">
            <v>0.8877864873323762</v>
          </cell>
          <cell r="D11">
            <v>11.309977532573997</v>
          </cell>
          <cell r="F11" t="str">
            <v>PFG-N</v>
          </cell>
          <cell r="G11">
            <v>10.040845225451964</v>
          </cell>
          <cell r="H11">
            <v>0.8877864873323762</v>
          </cell>
          <cell r="I11">
            <v>2.66</v>
          </cell>
          <cell r="J11">
            <v>24.229996</v>
          </cell>
          <cell r="K11">
            <v>27.292593822650279</v>
          </cell>
        </row>
        <row r="12">
          <cell r="A12" t="str">
            <v>PRU-N</v>
          </cell>
          <cell r="B12">
            <v>11.014517880511958</v>
          </cell>
          <cell r="C12">
            <v>0.84724165755794978</v>
          </cell>
          <cell r="D12">
            <v>13.000444185263147</v>
          </cell>
          <cell r="F12" t="str">
            <v>PRU-N</v>
          </cell>
          <cell r="G12">
            <v>11.014517880511958</v>
          </cell>
          <cell r="H12">
            <v>0.84724165755794978</v>
          </cell>
          <cell r="I12">
            <v>6.07</v>
          </cell>
          <cell r="J12">
            <v>49.159989000000003</v>
          </cell>
          <cell r="K12">
            <v>58.023573984424331</v>
          </cell>
        </row>
        <row r="13">
          <cell r="A13" t="str">
            <v>RGA-N</v>
          </cell>
          <cell r="B13">
            <v>12.092884000713108</v>
          </cell>
          <cell r="C13">
            <v>0.8837948741622812</v>
          </cell>
          <cell r="D13">
            <v>13.682908052816597</v>
          </cell>
          <cell r="F13" t="str">
            <v>RGA-N</v>
          </cell>
          <cell r="G13">
            <v>12.092884000713108</v>
          </cell>
          <cell r="H13">
            <v>0.8837948741622812</v>
          </cell>
          <cell r="I13">
            <v>6.55</v>
          </cell>
          <cell r="J13">
            <v>50.599991000000003</v>
          </cell>
          <cell r="K13">
            <v>57.253093991931095</v>
          </cell>
        </row>
        <row r="14">
          <cell r="A14" t="str">
            <v>SFG-N</v>
          </cell>
          <cell r="B14">
            <v>8.1306715063521029</v>
          </cell>
          <cell r="C14">
            <v>0.8912786100686052</v>
          </cell>
          <cell r="D14">
            <v>9.1224802373819482</v>
          </cell>
          <cell r="F14" t="str">
            <v>SFG-N</v>
          </cell>
          <cell r="G14">
            <v>8.1306715063521029</v>
          </cell>
          <cell r="H14">
            <v>0.8912786100686052</v>
          </cell>
          <cell r="I14">
            <v>3.13</v>
          </cell>
          <cell r="J14">
            <v>35.339996999999997</v>
          </cell>
          <cell r="K14">
            <v>39.650897711187909</v>
          </cell>
        </row>
        <row r="15">
          <cell r="A15" t="str">
            <v>TMK-N</v>
          </cell>
          <cell r="B15">
            <v>14.502794064108619</v>
          </cell>
          <cell r="C15">
            <v>1.2907989307368253</v>
          </cell>
          <cell r="D15">
            <v>11.235517568820734</v>
          </cell>
          <cell r="F15" t="str">
            <v>TMK-N</v>
          </cell>
          <cell r="G15">
            <v>14.502794064108619</v>
          </cell>
          <cell r="H15">
            <v>1.2907989307368253</v>
          </cell>
          <cell r="I15">
            <v>4.5</v>
          </cell>
          <cell r="J15">
            <v>42.459992</v>
          </cell>
          <cell r="K15">
            <v>32.894350149300642</v>
          </cell>
        </row>
        <row r="16">
          <cell r="A16" t="str">
            <v>UNM-N</v>
          </cell>
          <cell r="B16">
            <v>19.290530350940351</v>
          </cell>
          <cell r="C16">
            <v>1.4878404064932613</v>
          </cell>
          <cell r="D16">
            <v>12.965456689274101</v>
          </cell>
          <cell r="F16" t="str">
            <v>UNM-N</v>
          </cell>
          <cell r="G16">
            <v>19.290530350940351</v>
          </cell>
          <cell r="H16">
            <v>1.4878404064932613</v>
          </cell>
          <cell r="I16">
            <v>2.9910911043862445</v>
          </cell>
          <cell r="J16">
            <v>20.409988999999999</v>
          </cell>
          <cell r="K16">
            <v>13.717861748428351</v>
          </cell>
        </row>
        <row r="17">
          <cell r="A17" t="str">
            <v>CNO-N</v>
          </cell>
          <cell r="B17">
            <v>7.4362517271699637</v>
          </cell>
          <cell r="C17">
            <v>0.60880696465255513</v>
          </cell>
          <cell r="D17">
            <v>12.214465600625671</v>
          </cell>
          <cell r="F17" t="str">
            <v>CNO-N</v>
          </cell>
          <cell r="G17">
            <v>7.4362517271699637</v>
          </cell>
          <cell r="H17">
            <v>0.60880696465255513</v>
          </cell>
          <cell r="I17">
            <v>0.61</v>
          </cell>
          <cell r="J17">
            <v>6.0899992000000003</v>
          </cell>
          <cell r="K17">
            <v>10.003169401118054</v>
          </cell>
        </row>
        <row r="35">
          <cell r="N35">
            <v>0.65</v>
          </cell>
        </row>
        <row r="36">
          <cell r="N36">
            <v>0.57750000000000001</v>
          </cell>
        </row>
        <row r="37">
          <cell r="M37" t="str">
            <v>ROE</v>
          </cell>
          <cell r="N37">
            <v>7.4362517271699637</v>
          </cell>
        </row>
        <row r="38">
          <cell r="M38" t="str">
            <v>Tgt PB</v>
          </cell>
          <cell r="N38">
            <v>0.72663849915928813</v>
          </cell>
        </row>
        <row r="39">
          <cell r="M39" t="str">
            <v>Implied CoC</v>
          </cell>
          <cell r="N39">
            <v>10.233770624283762</v>
          </cell>
        </row>
        <row r="50">
          <cell r="A50" t="str">
            <v>2012E ROE vs. P/B</v>
          </cell>
        </row>
      </sheetData>
      <sheetData sheetId="9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  <cell r="R1">
            <v>18</v>
          </cell>
          <cell r="S1">
            <v>19</v>
          </cell>
          <cell r="T1">
            <v>20</v>
          </cell>
          <cell r="U1">
            <v>21</v>
          </cell>
          <cell r="V1">
            <v>22</v>
          </cell>
          <cell r="W1">
            <v>23</v>
          </cell>
          <cell r="X1">
            <v>24</v>
          </cell>
          <cell r="Y1">
            <v>25</v>
          </cell>
          <cell r="Z1">
            <v>26</v>
          </cell>
          <cell r="AA1">
            <v>27</v>
          </cell>
          <cell r="AB1">
            <v>28</v>
          </cell>
          <cell r="AC1">
            <v>29</v>
          </cell>
          <cell r="AD1">
            <v>30</v>
          </cell>
          <cell r="AE1">
            <v>31</v>
          </cell>
          <cell r="AF1">
            <v>32</v>
          </cell>
          <cell r="AG1">
            <v>33</v>
          </cell>
          <cell r="AH1">
            <v>34</v>
          </cell>
          <cell r="AI1">
            <v>35</v>
          </cell>
          <cell r="AJ1">
            <v>36</v>
          </cell>
        </row>
        <row r="3">
          <cell r="B3" t="str">
            <v xml:space="preserve">2012e </v>
          </cell>
          <cell r="C3" t="str">
            <v>Price/</v>
          </cell>
          <cell r="D3" t="str">
            <v>Log</v>
          </cell>
          <cell r="E3" t="str">
            <v>Log</v>
          </cell>
          <cell r="F3" t="str">
            <v>Log</v>
          </cell>
          <cell r="H3" t="str">
            <v>Linear</v>
          </cell>
          <cell r="I3" t="str">
            <v>Linear</v>
          </cell>
          <cell r="J3" t="str">
            <v>Linear</v>
          </cell>
          <cell r="L3" t="str">
            <v>Blended</v>
          </cell>
          <cell r="M3" t="str">
            <v>Blended</v>
          </cell>
          <cell r="N3" t="str">
            <v>Blended</v>
          </cell>
          <cell r="R3" t="str">
            <v>ROE</v>
          </cell>
          <cell r="S3" t="str">
            <v>Price/</v>
          </cell>
          <cell r="T3">
            <v>2012</v>
          </cell>
          <cell r="U3">
            <v>40897</v>
          </cell>
          <cell r="V3" t="str">
            <v>2011e</v>
          </cell>
          <cell r="X3" t="str">
            <v>2Q10</v>
          </cell>
          <cell r="Z3" t="str">
            <v>Pro Forma</v>
          </cell>
          <cell r="AB3" t="str">
            <v>2Q10</v>
          </cell>
          <cell r="AD3" t="str">
            <v>Pro Forma</v>
          </cell>
          <cell r="AG3">
            <v>2010</v>
          </cell>
          <cell r="AH3" t="str">
            <v>2012e</v>
          </cell>
        </row>
        <row r="4">
          <cell r="B4" t="str">
            <v>MtM ROE</v>
          </cell>
          <cell r="C4" t="str">
            <v>BV ex-AOCI</v>
          </cell>
          <cell r="D4" t="str">
            <v>Impld P/Bk</v>
          </cell>
          <cell r="E4" t="str">
            <v>FV</v>
          </cell>
          <cell r="F4" t="str">
            <v>Rel Val</v>
          </cell>
          <cell r="H4" t="str">
            <v>Impld P/Bk</v>
          </cell>
          <cell r="I4" t="str">
            <v>FV</v>
          </cell>
          <cell r="J4" t="str">
            <v>Rel Val</v>
          </cell>
          <cell r="L4" t="str">
            <v>Impled P/bk</v>
          </cell>
          <cell r="M4" t="str">
            <v>FV</v>
          </cell>
          <cell r="N4" t="str">
            <v>Rel Val</v>
          </cell>
          <cell r="R4" t="str">
            <v>2012e</v>
          </cell>
          <cell r="S4" t="str">
            <v>BV ex-AOCI</v>
          </cell>
          <cell r="T4" t="str">
            <v>EPS</v>
          </cell>
          <cell r="U4" t="str">
            <v>Price</v>
          </cell>
          <cell r="V4" t="str">
            <v>MtM BV</v>
          </cell>
          <cell r="X4" t="str">
            <v>BV ($M)</v>
          </cell>
          <cell r="Y4" t="str">
            <v>Adj</v>
          </cell>
          <cell r="Z4" t="str">
            <v>BV ($M)</v>
          </cell>
          <cell r="AB4" t="str">
            <v>EOP Shrs</v>
          </cell>
          <cell r="AC4" t="str">
            <v>Adj</v>
          </cell>
          <cell r="AD4" t="str">
            <v>EOP Shrs</v>
          </cell>
          <cell r="AG4" t="str">
            <v>Core EPS</v>
          </cell>
          <cell r="AH4" t="str">
            <v>MtM EPS</v>
          </cell>
          <cell r="AI4" t="str">
            <v>CAGR</v>
          </cell>
          <cell r="AJ4" t="str">
            <v>PEG</v>
          </cell>
        </row>
        <row r="5">
          <cell r="A5" t="str">
            <v>AFL-N</v>
          </cell>
          <cell r="B5">
            <v>24.191410207104795</v>
          </cell>
          <cell r="C5">
            <v>1.6151228847897237</v>
          </cell>
          <cell r="D5" t="str">
            <v>NM</v>
          </cell>
          <cell r="E5" t="str">
            <v>NM</v>
          </cell>
          <cell r="F5" t="str">
            <v>NM</v>
          </cell>
          <cell r="H5" t="str">
            <v>NM</v>
          </cell>
          <cell r="I5" t="str">
            <v>NM</v>
          </cell>
          <cell r="J5" t="str">
            <v>NM</v>
          </cell>
          <cell r="L5" t="str">
            <v>NM</v>
          </cell>
          <cell r="M5" t="str">
            <v>NM</v>
          </cell>
          <cell r="N5" t="str">
            <v>NM</v>
          </cell>
          <cell r="Q5" t="str">
            <v>AFL-N</v>
          </cell>
          <cell r="R5">
            <v>24.191410207104795</v>
          </cell>
          <cell r="S5">
            <v>1.6151228847897237</v>
          </cell>
          <cell r="T5">
            <v>6.62</v>
          </cell>
          <cell r="U5">
            <v>40.849991000000003</v>
          </cell>
          <cell r="V5">
            <v>25.292187600523256</v>
          </cell>
          <cell r="X5">
            <v>10695.8343</v>
          </cell>
          <cell r="Z5">
            <v>10695.8343</v>
          </cell>
          <cell r="AB5">
            <v>470.76900000000001</v>
          </cell>
          <cell r="AD5">
            <v>470.76900000000001</v>
          </cell>
          <cell r="AG5">
            <v>5.6267025584350749</v>
          </cell>
          <cell r="AH5">
            <v>6.62</v>
          </cell>
          <cell r="AI5">
            <v>8.4680957430321548</v>
          </cell>
          <cell r="AJ5">
            <v>0.72869907140683721</v>
          </cell>
          <cell r="AL5" t="str">
            <v>AFL-N</v>
          </cell>
        </row>
        <row r="6">
          <cell r="A6" t="str">
            <v>AMP-N</v>
          </cell>
          <cell r="B6">
            <v>13.736048159713802</v>
          </cell>
          <cell r="C6">
            <v>1.4281470098604174</v>
          </cell>
          <cell r="D6">
            <v>0.96818078796135887</v>
          </cell>
          <cell r="E6">
            <v>33.218470005229577</v>
          </cell>
          <cell r="F6">
            <v>47.508298823774666</v>
          </cell>
          <cell r="H6">
            <v>1.0199499151103568</v>
          </cell>
          <cell r="I6">
            <v>34.994678765803059</v>
          </cell>
          <cell r="J6">
            <v>40.021288173340793</v>
          </cell>
          <cell r="L6">
            <v>0.99406535153585784</v>
          </cell>
          <cell r="M6">
            <v>34.106574385516318</v>
          </cell>
          <cell r="N6">
            <v>43.667316002302236</v>
          </cell>
          <cell r="Q6" t="str">
            <v>AMP-N</v>
          </cell>
          <cell r="R6">
            <v>13.736048159713802</v>
          </cell>
          <cell r="S6">
            <v>1.4281470098604174</v>
          </cell>
          <cell r="T6">
            <v>5.45</v>
          </cell>
          <cell r="U6">
            <v>49</v>
          </cell>
          <cell r="V6">
            <v>34.310193321616872</v>
          </cell>
          <cell r="X6">
            <v>8035</v>
          </cell>
          <cell r="Z6">
            <v>8035</v>
          </cell>
          <cell r="AB6">
            <v>257</v>
          </cell>
          <cell r="AD6">
            <v>257</v>
          </cell>
          <cell r="AG6">
            <v>5.1855460820138042</v>
          </cell>
          <cell r="AH6">
            <v>5.45</v>
          </cell>
          <cell r="AI6">
            <v>2.5182070406028823</v>
          </cell>
          <cell r="AJ6">
            <v>3.5703282308038133</v>
          </cell>
          <cell r="AL6" t="str">
            <v>AMP-N</v>
          </cell>
        </row>
        <row r="7">
          <cell r="A7" t="str">
            <v>GNW-N</v>
          </cell>
          <cell r="B7">
            <v>4.0683981555025639</v>
          </cell>
          <cell r="C7">
            <v>0.2672534252790128</v>
          </cell>
          <cell r="D7">
            <v>7.2355691085101981E-4</v>
          </cell>
          <cell r="E7">
            <v>1.6244287460764086E-2</v>
          </cell>
          <cell r="F7">
            <v>36836.061458480108</v>
          </cell>
          <cell r="H7">
            <v>0.15372847473302975</v>
          </cell>
          <cell r="I7">
            <v>3.4512966388932997</v>
          </cell>
          <cell r="J7">
            <v>73.847705015700214</v>
          </cell>
          <cell r="L7">
            <v>7.7226015821940386E-2</v>
          </cell>
          <cell r="M7">
            <v>1.7337704631770319</v>
          </cell>
          <cell r="N7">
            <v>246.06657152327736</v>
          </cell>
          <cell r="Q7" t="str">
            <v>GNW-N</v>
          </cell>
          <cell r="R7">
            <v>4.0683981555025639</v>
          </cell>
          <cell r="S7">
            <v>0.2672534252790128</v>
          </cell>
          <cell r="T7">
            <v>0.67</v>
          </cell>
          <cell r="U7">
            <v>6</v>
          </cell>
          <cell r="V7">
            <v>22.450600937054389</v>
          </cell>
          <cell r="X7">
            <v>10881</v>
          </cell>
          <cell r="Z7">
            <v>10881</v>
          </cell>
          <cell r="AB7">
            <v>489.2</v>
          </cell>
          <cell r="AD7">
            <v>489.2</v>
          </cell>
          <cell r="AG7">
            <v>0.88656655844155863</v>
          </cell>
          <cell r="AH7">
            <v>0.67</v>
          </cell>
          <cell r="AI7">
            <v>-13.067588204137259</v>
          </cell>
          <cell r="AJ7">
            <v>-0.685300434992415</v>
          </cell>
          <cell r="AL7" t="str">
            <v>GNW-N</v>
          </cell>
        </row>
        <row r="8">
          <cell r="A8" t="str">
            <v>HIG-N</v>
          </cell>
          <cell r="B8">
            <v>8.4355152619855609</v>
          </cell>
          <cell r="C8" t="e">
            <v>#VALUE!</v>
          </cell>
          <cell r="D8">
            <v>0.5805116313336649</v>
          </cell>
          <cell r="E8">
            <v>24.224897628452691</v>
          </cell>
          <cell r="F8" t="e">
            <v>#VALUE!</v>
          </cell>
          <cell r="H8">
            <v>0.5450221674739063</v>
          </cell>
          <cell r="I8">
            <v>22.743913299308094</v>
          </cell>
          <cell r="J8" t="e">
            <v>#VALUE!</v>
          </cell>
          <cell r="L8">
            <v>0.56276689940378555</v>
          </cell>
          <cell r="M8">
            <v>23.484405463880389</v>
          </cell>
          <cell r="N8" t="e">
            <v>#VALUE!</v>
          </cell>
          <cell r="Q8" t="str">
            <v>HIG-N</v>
          </cell>
          <cell r="R8">
            <v>8.4355152619855609</v>
          </cell>
          <cell r="S8" t="e">
            <v>#VALUE!</v>
          </cell>
          <cell r="T8">
            <v>2.65</v>
          </cell>
          <cell r="U8" t="str">
            <v>Manual Calculation</v>
          </cell>
          <cell r="V8">
            <v>41.73025366054857</v>
          </cell>
          <cell r="X8">
            <v>20183</v>
          </cell>
          <cell r="Z8">
            <v>20183</v>
          </cell>
          <cell r="AB8">
            <v>444.1</v>
          </cell>
          <cell r="AC8">
            <v>50</v>
          </cell>
          <cell r="AD8">
            <v>494.1</v>
          </cell>
          <cell r="AG8">
            <v>2.9255555555555555</v>
          </cell>
          <cell r="AH8">
            <v>2.65</v>
          </cell>
          <cell r="AI8">
            <v>-4.825903622127969</v>
          </cell>
          <cell r="AJ8" t="str">
            <v>NM</v>
          </cell>
          <cell r="AL8" t="str">
            <v>HIG-N</v>
          </cell>
        </row>
        <row r="9">
          <cell r="A9" t="str">
            <v>LNC-N</v>
          </cell>
          <cell r="B9">
            <v>8.8697254585995466</v>
          </cell>
          <cell r="C9">
            <v>0.51343725156249997</v>
          </cell>
          <cell r="D9">
            <v>0.62042012049368678</v>
          </cell>
          <cell r="E9">
            <v>22.475596817884501</v>
          </cell>
          <cell r="F9">
            <v>-17.243616929453758</v>
          </cell>
          <cell r="H9">
            <v>0.58392740109051944</v>
          </cell>
          <cell r="I9">
            <v>21.153596416864101</v>
          </cell>
          <cell r="J9">
            <v>-12.071731759183571</v>
          </cell>
          <cell r="L9">
            <v>0.60217376079210316</v>
          </cell>
          <cell r="M9">
            <v>21.814596617374303</v>
          </cell>
          <cell r="N9">
            <v>-14.736030529274242</v>
          </cell>
          <cell r="Q9" t="str">
            <v>LNC-N</v>
          </cell>
          <cell r="R9">
            <v>8.8697254585995466</v>
          </cell>
          <cell r="S9">
            <v>0.51343725156249997</v>
          </cell>
          <cell r="T9">
            <v>4.3499999999999996</v>
          </cell>
          <cell r="U9">
            <v>18.599990999999999</v>
          </cell>
          <cell r="V9">
            <v>36.226415094339622</v>
          </cell>
          <cell r="X9">
            <v>11331</v>
          </cell>
          <cell r="Y9">
            <v>-47.85</v>
          </cell>
          <cell r="Z9">
            <v>11283.15</v>
          </cell>
          <cell r="AB9">
            <v>325.89999999999998</v>
          </cell>
          <cell r="AC9">
            <v>-2.9</v>
          </cell>
          <cell r="AD9">
            <v>323</v>
          </cell>
          <cell r="AG9">
            <v>3.4971546818416943</v>
          </cell>
          <cell r="AH9">
            <v>4.3499999999999996</v>
          </cell>
          <cell r="AI9">
            <v>11.528845739354221</v>
          </cell>
          <cell r="AJ9">
            <v>0.37088361633673039</v>
          </cell>
          <cell r="AL9" t="str">
            <v>LNC-N</v>
          </cell>
        </row>
        <row r="10">
          <cell r="A10" t="str">
            <v>MET-N</v>
          </cell>
          <cell r="B10">
            <v>10.977123312614941</v>
          </cell>
          <cell r="C10">
            <v>0.64624169619751382</v>
          </cell>
          <cell r="D10">
            <v>0.78991124099379784</v>
          </cell>
          <cell r="E10">
            <v>36.877257365312239</v>
          </cell>
          <cell r="F10">
            <v>-18.188061815088425</v>
          </cell>
          <cell r="H10">
            <v>0.77275024881029875</v>
          </cell>
          <cell r="I10">
            <v>36.076090990468892</v>
          </cell>
          <cell r="J10">
            <v>-16.371208266519918</v>
          </cell>
          <cell r="L10">
            <v>0.78133074490204835</v>
          </cell>
          <cell r="M10">
            <v>36.476674177890565</v>
          </cell>
          <cell r="N10">
            <v>-17.289611292778442</v>
          </cell>
          <cell r="Q10" t="str">
            <v>MET-N</v>
          </cell>
          <cell r="R10">
            <v>10.977123312614941</v>
          </cell>
          <cell r="S10">
            <v>0.64624169619751382</v>
          </cell>
          <cell r="T10">
            <v>5.22</v>
          </cell>
          <cell r="U10">
            <v>30.169999000000001</v>
          </cell>
          <cell r="V10">
            <v>46.685317857885487</v>
          </cell>
          <cell r="X10">
            <v>45728</v>
          </cell>
          <cell r="Y10">
            <v>2357</v>
          </cell>
          <cell r="Z10">
            <v>48085</v>
          </cell>
          <cell r="AB10">
            <v>820.4</v>
          </cell>
          <cell r="AC10">
            <v>309.05</v>
          </cell>
          <cell r="AD10">
            <v>1129.45</v>
          </cell>
          <cell r="AG10">
            <v>4.2108408535042594</v>
          </cell>
          <cell r="AH10">
            <v>5.22</v>
          </cell>
          <cell r="AI10">
            <v>11.339902740956864</v>
          </cell>
          <cell r="AJ10">
            <v>0.50967750139023371</v>
          </cell>
          <cell r="AL10" t="str">
            <v>MET-N</v>
          </cell>
        </row>
        <row r="11">
          <cell r="A11" t="str">
            <v>PFG-N</v>
          </cell>
          <cell r="B11">
            <v>10.181399011791079</v>
          </cell>
          <cell r="C11">
            <v>0.8877864873323762</v>
          </cell>
          <cell r="D11">
            <v>0.73007918742867339</v>
          </cell>
          <cell r="E11">
            <v>19.925754720861345</v>
          </cell>
          <cell r="F11">
            <v>21.601396481270104</v>
          </cell>
          <cell r="H11">
            <v>0.70145335145648069</v>
          </cell>
          <cell r="I11">
            <v>19.14448140683848</v>
          </cell>
          <cell r="J11">
            <v>26.563867075265641</v>
          </cell>
          <cell r="L11">
            <v>0.71576626944257704</v>
          </cell>
          <cell r="M11">
            <v>19.535118063849914</v>
          </cell>
          <cell r="N11">
            <v>24.033015417695587</v>
          </cell>
          <cell r="Q11" t="str">
            <v>PFG-N</v>
          </cell>
          <cell r="R11">
            <v>10.181399011791079</v>
          </cell>
          <cell r="S11">
            <v>0.8877864873323762</v>
          </cell>
          <cell r="T11">
            <v>2.65</v>
          </cell>
          <cell r="U11">
            <v>24.229996</v>
          </cell>
          <cell r="V11">
            <v>27.292593822650279</v>
          </cell>
          <cell r="X11">
            <v>9035.4</v>
          </cell>
          <cell r="Z11">
            <v>9035.4</v>
          </cell>
          <cell r="AB11">
            <v>319.8</v>
          </cell>
          <cell r="AD11">
            <v>319.8</v>
          </cell>
          <cell r="AG11">
            <v>2.6886523929471036</v>
          </cell>
          <cell r="AH11">
            <v>2.65</v>
          </cell>
          <cell r="AI11">
            <v>-0.72140821429182989</v>
          </cell>
          <cell r="AJ11">
            <v>-12.674370121993611</v>
          </cell>
          <cell r="AL11" t="str">
            <v>PFG-N</v>
          </cell>
        </row>
        <row r="12">
          <cell r="A12" t="str">
            <v>PRU-N</v>
          </cell>
          <cell r="B12">
            <v>11.018573996122285</v>
          </cell>
          <cell r="C12">
            <v>0.84724165755794978</v>
          </cell>
          <cell r="D12">
            <v>0.79290796139853326</v>
          </cell>
          <cell r="E12">
            <v>46.007353761046865</v>
          </cell>
          <cell r="F12">
            <v>6.8524594031799886</v>
          </cell>
          <cell r="H12">
            <v>0.77646423005255671</v>
          </cell>
          <cell r="I12">
            <v>45.053229698713601</v>
          </cell>
          <cell r="J12">
            <v>9.1153493961469803</v>
          </cell>
          <cell r="L12">
            <v>0.78468609572554504</v>
          </cell>
          <cell r="M12">
            <v>45.530291729880233</v>
          </cell>
          <cell r="N12">
            <v>7.9720492274766244</v>
          </cell>
          <cell r="Q12" t="str">
            <v>PRU-N</v>
          </cell>
          <cell r="R12">
            <v>11.018573996122285</v>
          </cell>
          <cell r="S12">
            <v>0.84724165755794978</v>
          </cell>
          <cell r="T12">
            <v>6.38</v>
          </cell>
          <cell r="U12">
            <v>49.159989000000003</v>
          </cell>
          <cell r="V12">
            <v>58.023573984424331</v>
          </cell>
          <cell r="X12">
            <v>27052</v>
          </cell>
          <cell r="Z12">
            <v>27052</v>
          </cell>
          <cell r="AB12">
            <v>471</v>
          </cell>
          <cell r="AD12">
            <v>471</v>
          </cell>
          <cell r="AG12">
            <v>4.995419259249898</v>
          </cell>
          <cell r="AH12">
            <v>6.38</v>
          </cell>
          <cell r="AI12">
            <v>13.011949678045465</v>
          </cell>
          <cell r="AJ12">
            <v>0.59217316544560361</v>
          </cell>
          <cell r="AL12" t="str">
            <v>PRU-N</v>
          </cell>
        </row>
        <row r="13">
          <cell r="A13" t="str">
            <v>RGA-N</v>
          </cell>
          <cell r="B13">
            <v>12.52064746170039</v>
          </cell>
          <cell r="C13">
            <v>0.8837948741622812</v>
          </cell>
          <cell r="D13">
            <v>0.89451910533772527</v>
          </cell>
          <cell r="E13">
            <v>51.2139864154789</v>
          </cell>
          <cell r="F13">
            <v>-1.1988822945704591</v>
          </cell>
          <cell r="H13">
            <v>0.91105001256835505</v>
          </cell>
          <cell r="I13">
            <v>52.160432000926036</v>
          </cell>
          <cell r="J13">
            <v>-2.9916182459883194</v>
          </cell>
          <cell r="L13">
            <v>0.90278455895304011</v>
          </cell>
          <cell r="M13">
            <v>51.687209208202461</v>
          </cell>
          <cell r="N13">
            <v>-2.1034569767986673</v>
          </cell>
          <cell r="Q13" t="str">
            <v>RGA-N</v>
          </cell>
          <cell r="R13">
            <v>12.52064746170039</v>
          </cell>
          <cell r="S13">
            <v>0.8837948741622812</v>
          </cell>
          <cell r="T13">
            <v>6.25</v>
          </cell>
          <cell r="U13">
            <v>50.599991000000003</v>
          </cell>
          <cell r="V13">
            <v>57.253093991931095</v>
          </cell>
          <cell r="X13">
            <v>3979.0680000000002</v>
          </cell>
          <cell r="Z13">
            <v>3979.0680000000002</v>
          </cell>
          <cell r="AB13">
            <v>73.153999999999996</v>
          </cell>
          <cell r="AD13">
            <v>73.153999999999996</v>
          </cell>
          <cell r="AG13">
            <v>6.7631597444196458</v>
          </cell>
          <cell r="AH13">
            <v>6.25</v>
          </cell>
          <cell r="AI13">
            <v>-3.8686179816248778</v>
          </cell>
          <cell r="AJ13">
            <v>-2.0927366306144188</v>
          </cell>
          <cell r="AL13" t="str">
            <v>RGA-N</v>
          </cell>
        </row>
        <row r="14">
          <cell r="A14" t="str">
            <v>SFG-N</v>
          </cell>
          <cell r="B14">
            <v>8.5407537286880864</v>
          </cell>
          <cell r="C14">
            <v>0.8912786100686052</v>
          </cell>
          <cell r="D14">
            <v>0.59036964864117825</v>
          </cell>
          <cell r="E14">
            <v>23.408686550061304</v>
          </cell>
          <cell r="F14">
            <v>50.969585262388186</v>
          </cell>
          <cell r="H14">
            <v>0.55445153409045256</v>
          </cell>
          <cell r="I14">
            <v>21.98450106403175</v>
          </cell>
          <cell r="J14">
            <v>60.749597623658666</v>
          </cell>
          <cell r="L14">
            <v>0.5724105913658154</v>
          </cell>
          <cell r="M14">
            <v>22.696593807046529</v>
          </cell>
          <cell r="N14">
            <v>55.706170275771136</v>
          </cell>
          <cell r="Q14" t="str">
            <v>SFG-N</v>
          </cell>
          <cell r="R14">
            <v>8.5407537286880864</v>
          </cell>
          <cell r="S14">
            <v>0.8912786100686052</v>
          </cell>
          <cell r="T14">
            <v>3.3</v>
          </cell>
          <cell r="U14">
            <v>35.339996999999997</v>
          </cell>
          <cell r="V14">
            <v>39.650897711187909</v>
          </cell>
          <cell r="X14">
            <v>1713.4</v>
          </cell>
          <cell r="Z14">
            <v>1713.4</v>
          </cell>
          <cell r="AB14">
            <v>46.96</v>
          </cell>
          <cell r="AD14">
            <v>46.96</v>
          </cell>
          <cell r="AG14">
            <v>4.6348747215155219</v>
          </cell>
          <cell r="AH14">
            <v>3.3</v>
          </cell>
          <cell r="AI14">
            <v>-15.620301354069909</v>
          </cell>
          <cell r="AJ14" t="str">
            <v>NM</v>
          </cell>
          <cell r="AL14" t="str">
            <v>SFG-N</v>
          </cell>
        </row>
        <row r="15">
          <cell r="A15" t="str">
            <v>TMK-N</v>
          </cell>
          <cell r="B15">
            <v>14.354621126068329</v>
          </cell>
          <cell r="C15">
            <v>1.2907989307368253</v>
          </cell>
          <cell r="D15">
            <v>1.0032035836368205</v>
          </cell>
          <cell r="E15">
            <v>32.999729951182786</v>
          </cell>
          <cell r="F15">
            <v>28.667695350271</v>
          </cell>
          <cell r="H15">
            <v>1.0753740528957221</v>
          </cell>
          <cell r="I15">
            <v>35.37373063742443</v>
          </cell>
          <cell r="J15">
            <v>20.032553069419546</v>
          </cell>
          <cell r="L15">
            <v>1.0392888182662712</v>
          </cell>
          <cell r="M15">
            <v>34.186730294303608</v>
          </cell>
          <cell r="N15">
            <v>24.200213458480206</v>
          </cell>
          <cell r="Q15" t="str">
            <v>TMK-N</v>
          </cell>
          <cell r="R15">
            <v>14.354621126068329</v>
          </cell>
          <cell r="S15">
            <v>1.2907989307368253</v>
          </cell>
          <cell r="T15">
            <v>5.17</v>
          </cell>
          <cell r="U15">
            <v>42.459992</v>
          </cell>
          <cell r="V15">
            <v>32.894350149300642</v>
          </cell>
          <cell r="X15">
            <v>3227.4348</v>
          </cell>
          <cell r="Z15">
            <v>3227.4348</v>
          </cell>
          <cell r="AB15">
            <v>122.87</v>
          </cell>
          <cell r="AD15">
            <v>122.87</v>
          </cell>
          <cell r="AG15">
            <v>4.33</v>
          </cell>
          <cell r="AH15">
            <v>5.17</v>
          </cell>
          <cell r="AI15">
            <v>9.2700956832360237</v>
          </cell>
          <cell r="AJ15">
            <v>0.88594170876897549</v>
          </cell>
          <cell r="AL15" t="str">
            <v>TMK-N</v>
          </cell>
        </row>
        <row r="16">
          <cell r="A16" t="str">
            <v>UNM-N</v>
          </cell>
          <cell r="B16">
            <v>10.46460451516314</v>
          </cell>
          <cell r="C16">
            <v>1.4878404064932613</v>
          </cell>
          <cell r="D16">
            <v>0.75189365822897059</v>
          </cell>
          <cell r="E16">
            <v>10.314373253105055</v>
          </cell>
          <cell r="F16">
            <v>97.879100350142409</v>
          </cell>
          <cell r="H16">
            <v>0.72682856455861733</v>
          </cell>
          <cell r="I16">
            <v>9.9705337634237434</v>
          </cell>
          <cell r="J16">
            <v>104.7030729174472</v>
          </cell>
          <cell r="L16">
            <v>0.7393611113937939</v>
          </cell>
          <cell r="M16">
            <v>10.142453508264399</v>
          </cell>
          <cell r="N16">
            <v>101.23325173114455</v>
          </cell>
          <cell r="Q16" t="str">
            <v>UNM-N</v>
          </cell>
          <cell r="R16">
            <v>10.46460451516314</v>
          </cell>
          <cell r="S16">
            <v>1.4878404064932613</v>
          </cell>
          <cell r="T16">
            <v>3.0999546155747137</v>
          </cell>
          <cell r="U16">
            <v>20.409988999999999</v>
          </cell>
          <cell r="V16">
            <v>13.717861748428351</v>
          </cell>
          <cell r="X16">
            <v>8173.7999999999993</v>
          </cell>
          <cell r="Z16">
            <v>8173.7999999999993</v>
          </cell>
          <cell r="AB16">
            <v>327.14199300000001</v>
          </cell>
          <cell r="AD16">
            <v>327.14199300000001</v>
          </cell>
          <cell r="AG16">
            <v>2.732884478973884</v>
          </cell>
          <cell r="AH16">
            <v>3.0999546155747137</v>
          </cell>
          <cell r="AI16">
            <v>6.504272642915998</v>
          </cell>
          <cell r="AJ16">
            <v>1.0122521257867401</v>
          </cell>
          <cell r="AL16" t="str">
            <v>UNM-N</v>
          </cell>
        </row>
        <row r="18">
          <cell r="A18" t="str">
            <v>Log</v>
          </cell>
        </row>
        <row r="19">
          <cell r="A19" t="str">
            <v>Coefficient</v>
          </cell>
          <cell r="B19">
            <v>0.79510000000000003</v>
          </cell>
        </row>
        <row r="20">
          <cell r="A20" t="str">
            <v>Y</v>
          </cell>
          <cell r="B20">
            <v>1.115</v>
          </cell>
        </row>
        <row r="22">
          <cell r="A22" t="str">
            <v>Linear</v>
          </cell>
        </row>
        <row r="23">
          <cell r="A23" t="str">
            <v>Coefficient</v>
          </cell>
          <cell r="B23">
            <v>8.9599999999999999E-2</v>
          </cell>
        </row>
        <row r="24">
          <cell r="A24" t="str">
            <v>Y</v>
          </cell>
          <cell r="B24">
            <v>0.21079999999999999</v>
          </cell>
        </row>
        <row r="33">
          <cell r="Q33" t="str">
            <v>*MET 2Q10 Book value is on a pro forma basis to adjust for ALICO transaction</v>
          </cell>
        </row>
        <row r="34">
          <cell r="Q34" t="str">
            <v>*LNC 2Q10 Book Value is on a pro forma basis to adjust for warrant acqusition</v>
          </cell>
        </row>
        <row r="35">
          <cell r="Q35" t="str">
            <v>*HIG &amp; LNC BV include dilution from warrants</v>
          </cell>
        </row>
        <row r="50">
          <cell r="A50" t="str">
            <v>2012E ROE vs. P/B</v>
          </cell>
        </row>
      </sheetData>
      <sheetData sheetId="10"/>
      <sheetData sheetId="11"/>
      <sheetData sheetId="12">
        <row r="1">
          <cell r="A1" t="str">
            <v>s</v>
          </cell>
        </row>
        <row r="2">
          <cell r="F2" t="str">
            <v>Life</v>
          </cell>
        </row>
        <row r="3">
          <cell r="B3" t="str">
            <v>ROE</v>
          </cell>
          <cell r="C3" t="str">
            <v>Current Price/Book</v>
          </cell>
          <cell r="F3" t="str">
            <v>ROE</v>
          </cell>
          <cell r="G3" t="str">
            <v>Current Price/Book</v>
          </cell>
          <cell r="H3">
            <v>2012</v>
          </cell>
          <cell r="I3">
            <v>40889</v>
          </cell>
        </row>
        <row r="4">
          <cell r="B4">
            <v>2012</v>
          </cell>
          <cell r="F4">
            <v>2012</v>
          </cell>
          <cell r="H4" t="str">
            <v>EPS</v>
          </cell>
          <cell r="I4" t="str">
            <v>Price</v>
          </cell>
          <cell r="J4" t="str">
            <v>Book Ex-AOCI</v>
          </cell>
          <cell r="K4" t="str">
            <v>Rep Book</v>
          </cell>
        </row>
        <row r="5">
          <cell r="A5" t="str">
            <v>AFL</v>
          </cell>
          <cell r="E5" t="str">
            <v>AFL</v>
          </cell>
          <cell r="F5">
            <v>24.037609100633226</v>
          </cell>
          <cell r="G5">
            <v>2.2189335894887932</v>
          </cell>
          <cell r="H5">
            <v>6.62</v>
          </cell>
          <cell r="I5">
            <v>42.89</v>
          </cell>
          <cell r="J5">
            <v>19.329104847108638</v>
          </cell>
          <cell r="K5">
            <v>17.963241194447765</v>
          </cell>
        </row>
        <row r="6">
          <cell r="A6" t="str">
            <v>AMP</v>
          </cell>
          <cell r="B6">
            <v>15.843533982650374</v>
          </cell>
          <cell r="C6">
            <v>1.3131899979009327</v>
          </cell>
          <cell r="E6" t="str">
            <v>AMP</v>
          </cell>
          <cell r="F6">
            <v>15.843533982650374</v>
          </cell>
          <cell r="G6">
            <v>1.3131899979009327</v>
          </cell>
          <cell r="H6">
            <v>5.45</v>
          </cell>
          <cell r="I6">
            <v>45.669998999999997</v>
          </cell>
          <cell r="J6">
            <v>34.777906527616842</v>
          </cell>
          <cell r="K6">
            <v>35.801467748165315</v>
          </cell>
        </row>
        <row r="7">
          <cell r="A7" t="str">
            <v>GNW</v>
          </cell>
          <cell r="B7">
            <v>2.9493283452577419</v>
          </cell>
          <cell r="C7">
            <v>0.25254804717363344</v>
          </cell>
          <cell r="E7" t="str">
            <v>GNW</v>
          </cell>
          <cell r="F7">
            <v>2.9493283452577419</v>
          </cell>
          <cell r="G7">
            <v>0.25254804717363344</v>
          </cell>
          <cell r="H7">
            <v>0.67</v>
          </cell>
          <cell r="I7">
            <v>6.4299993999999998</v>
          </cell>
          <cell r="J7">
            <v>25.460499386000816</v>
          </cell>
          <cell r="K7">
            <v>25.124846500204665</v>
          </cell>
        </row>
        <row r="8">
          <cell r="A8" t="str">
            <v>HIG</v>
          </cell>
          <cell r="B8">
            <v>5.8101125820022341</v>
          </cell>
          <cell r="C8" t="e">
            <v>#VALUE!</v>
          </cell>
          <cell r="E8" t="str">
            <v>HIG</v>
          </cell>
          <cell r="F8">
            <v>5.8101125820022341</v>
          </cell>
          <cell r="G8" t="e">
            <v>#VALUE!</v>
          </cell>
          <cell r="H8">
            <v>2.65</v>
          </cell>
          <cell r="I8" t="str">
            <v>Manual Calculation</v>
          </cell>
          <cell r="J8">
            <v>0</v>
          </cell>
          <cell r="K8">
            <v>38.92</v>
          </cell>
        </row>
        <row r="9">
          <cell r="A9" t="str">
            <v>LNC</v>
          </cell>
          <cell r="B9">
            <v>11.037376962033163</v>
          </cell>
          <cell r="C9">
            <v>0.52618975893635567</v>
          </cell>
          <cell r="E9" t="str">
            <v>LNC</v>
          </cell>
          <cell r="F9">
            <v>11.037376962033163</v>
          </cell>
          <cell r="G9">
            <v>0.52618975893635567</v>
          </cell>
          <cell r="H9">
            <v>4.3499999999999996</v>
          </cell>
          <cell r="I9">
            <v>19.159988999999999</v>
          </cell>
          <cell r="J9">
            <v>36.412698412698411</v>
          </cell>
          <cell r="K9">
            <v>35.548280423280424</v>
          </cell>
        </row>
        <row r="10">
          <cell r="A10" t="str">
            <v>MET</v>
          </cell>
          <cell r="B10">
            <v>11.100819090618289</v>
          </cell>
          <cell r="C10">
            <v>0.74523567590590845</v>
          </cell>
          <cell r="E10" t="str">
            <v>MET</v>
          </cell>
          <cell r="F10">
            <v>11.100819090618289</v>
          </cell>
          <cell r="G10">
            <v>0.74523567590590845</v>
          </cell>
          <cell r="H10">
            <v>5.22</v>
          </cell>
          <cell r="I10">
            <v>31.069993</v>
          </cell>
          <cell r="J10">
            <v>41.691499755740111</v>
          </cell>
          <cell r="K10">
            <v>37.956765999022963</v>
          </cell>
        </row>
        <row r="11">
          <cell r="A11" t="str">
            <v>PFG</v>
          </cell>
          <cell r="B11">
            <v>9.5258847714070427</v>
          </cell>
          <cell r="C11">
            <v>0.96921413859714201</v>
          </cell>
          <cell r="E11" t="str">
            <v>PFG</v>
          </cell>
          <cell r="F11">
            <v>9.5258847714070427</v>
          </cell>
          <cell r="G11">
            <v>0.96921413859714201</v>
          </cell>
          <cell r="H11">
            <v>2.65</v>
          </cell>
          <cell r="I11">
            <v>23.75</v>
          </cell>
          <cell r="J11">
            <v>24.504388714733544</v>
          </cell>
          <cell r="K11">
            <v>21.175862068965518</v>
          </cell>
        </row>
        <row r="12">
          <cell r="A12" t="str">
            <v>PRU</v>
          </cell>
          <cell r="B12">
            <v>10.93626547868455</v>
          </cell>
          <cell r="C12">
            <v>0.92175081384665158</v>
          </cell>
          <cell r="E12" t="str">
            <v>PRU</v>
          </cell>
          <cell r="F12">
            <v>10.93626547868455</v>
          </cell>
          <cell r="G12">
            <v>0.92175081384665158</v>
          </cell>
          <cell r="H12">
            <v>6.38</v>
          </cell>
          <cell r="I12">
            <v>48.619996</v>
          </cell>
          <cell r="J12">
            <v>52.74744027303754</v>
          </cell>
          <cell r="K12">
            <v>51.523037542662117</v>
          </cell>
        </row>
        <row r="13">
          <cell r="A13" t="str">
            <v>RGA</v>
          </cell>
          <cell r="B13">
            <v>10.404090915544288</v>
          </cell>
          <cell r="C13">
            <v>1.0197724723948485</v>
          </cell>
          <cell r="E13" t="str">
            <v>RGA</v>
          </cell>
          <cell r="F13">
            <v>10.404090915544288</v>
          </cell>
          <cell r="G13">
            <v>1.0197724723948485</v>
          </cell>
          <cell r="H13">
            <v>6.25</v>
          </cell>
          <cell r="I13">
            <v>49.859985999999999</v>
          </cell>
          <cell r="J13">
            <v>48.893245650089064</v>
          </cell>
          <cell r="K13">
            <v>52.99256062474312</v>
          </cell>
        </row>
        <row r="14">
          <cell r="A14" t="str">
            <v>SFG</v>
          </cell>
          <cell r="B14">
            <v>8.0587964703995922</v>
          </cell>
          <cell r="C14">
            <v>1.0098244679679924</v>
          </cell>
          <cell r="E14" t="str">
            <v>SFG</v>
          </cell>
          <cell r="F14">
            <v>8.0587964703995922</v>
          </cell>
          <cell r="G14">
            <v>1.0098244679679924</v>
          </cell>
          <cell r="H14">
            <v>3.3</v>
          </cell>
          <cell r="I14">
            <v>34.89</v>
          </cell>
          <cell r="J14">
            <v>34.550559138467897</v>
          </cell>
          <cell r="K14">
            <v>36.046018596813326</v>
          </cell>
        </row>
        <row r="15">
          <cell r="A15" t="str">
            <v>TMK</v>
          </cell>
          <cell r="B15">
            <v>15.349089020811752</v>
          </cell>
          <cell r="C15">
            <v>1.4581213970837572</v>
          </cell>
          <cell r="E15" t="str">
            <v>TMK</v>
          </cell>
          <cell r="F15">
            <v>15.349089020811752</v>
          </cell>
          <cell r="G15">
            <v>1.4581213970837572</v>
          </cell>
          <cell r="H15">
            <v>5.17</v>
          </cell>
          <cell r="I15">
            <v>43</v>
          </cell>
          <cell r="J15">
            <v>29.49</v>
          </cell>
          <cell r="K15">
            <v>27.26</v>
          </cell>
        </row>
        <row r="16">
          <cell r="A16" t="str">
            <v>UNM</v>
          </cell>
          <cell r="B16">
            <v>20.408074450890759</v>
          </cell>
          <cell r="C16">
            <v>1.3433224128939658</v>
          </cell>
          <cell r="E16" t="str">
            <v>UNM</v>
          </cell>
          <cell r="F16">
            <v>20.408074450890759</v>
          </cell>
          <cell r="G16">
            <v>1.3433224128939658</v>
          </cell>
          <cell r="H16">
            <v>3.0999546155747137</v>
          </cell>
          <cell r="I16">
            <v>20.959992</v>
          </cell>
          <cell r="J16">
            <v>15.603098555353636</v>
          </cell>
          <cell r="K16">
            <v>25.617429522691992</v>
          </cell>
        </row>
        <row r="50">
          <cell r="A50" t="str">
            <v>2012E ROE vs. P/B</v>
          </cell>
        </row>
      </sheetData>
      <sheetData sheetId="13"/>
      <sheetData sheetId="14">
        <row r="1">
          <cell r="A1" t="str">
            <v>s</v>
          </cell>
        </row>
        <row r="2">
          <cell r="F2" t="str">
            <v>Life</v>
          </cell>
        </row>
        <row r="3">
          <cell r="B3" t="str">
            <v>ROE</v>
          </cell>
          <cell r="C3" t="str">
            <v>Current Price/Book</v>
          </cell>
          <cell r="F3" t="str">
            <v>ROE</v>
          </cell>
          <cell r="G3" t="str">
            <v>Current Price/Book</v>
          </cell>
          <cell r="H3">
            <v>2011</v>
          </cell>
        </row>
        <row r="4">
          <cell r="B4">
            <v>2011</v>
          </cell>
          <cell r="F4">
            <v>2011</v>
          </cell>
          <cell r="H4" t="str">
            <v>EPS</v>
          </cell>
          <cell r="I4" t="str">
            <v>Price</v>
          </cell>
          <cell r="J4" t="str">
            <v>Book Ex-AOCI</v>
          </cell>
          <cell r="K4" t="str">
            <v>Rep Book</v>
          </cell>
        </row>
        <row r="5">
          <cell r="A5" t="str">
            <v>AFL</v>
          </cell>
          <cell r="E5" t="str">
            <v>AFL</v>
          </cell>
          <cell r="F5">
            <v>26.453384941100346</v>
          </cell>
          <cell r="G5">
            <v>2.6623064237606271</v>
          </cell>
          <cell r="H5">
            <v>6.28</v>
          </cell>
          <cell r="I5">
            <v>51.46</v>
          </cell>
          <cell r="J5">
            <v>19.329104847108638</v>
          </cell>
          <cell r="K5">
            <v>17.963241194447765</v>
          </cell>
        </row>
        <row r="6">
          <cell r="A6" t="str">
            <v>AMP</v>
          </cell>
          <cell r="B6">
            <v>15.99698620245813</v>
          </cell>
          <cell r="C6">
            <v>1.3525828520657484</v>
          </cell>
          <cell r="E6" t="str">
            <v>AMP</v>
          </cell>
          <cell r="F6">
            <v>15.99698620245813</v>
          </cell>
          <cell r="G6">
            <v>1.3525828520657484</v>
          </cell>
          <cell r="H6">
            <v>5.17</v>
          </cell>
          <cell r="I6">
            <v>47.04</v>
          </cell>
          <cell r="J6">
            <v>34.777906527616842</v>
          </cell>
          <cell r="K6">
            <v>35.801467748165315</v>
          </cell>
        </row>
        <row r="7">
          <cell r="A7" t="str">
            <v>GNW</v>
          </cell>
          <cell r="B7">
            <v>1.1606982184631995</v>
          </cell>
          <cell r="C7">
            <v>0.66180948553054675</v>
          </cell>
          <cell r="E7" t="str">
            <v>GNW</v>
          </cell>
          <cell r="F7">
            <v>1.1606982184631995</v>
          </cell>
          <cell r="G7">
            <v>0.66180948553054675</v>
          </cell>
          <cell r="H7">
            <v>0.26</v>
          </cell>
          <cell r="I7">
            <v>16.850000000000001</v>
          </cell>
          <cell r="J7">
            <v>25.460499386000816</v>
          </cell>
          <cell r="K7">
            <v>25.124846500204665</v>
          </cell>
        </row>
        <row r="8">
          <cell r="A8" t="str">
            <v>HIG</v>
          </cell>
          <cell r="B8">
            <v>4.6422431716202546</v>
          </cell>
          <cell r="C8" t="e">
            <v>#DIV/0!</v>
          </cell>
          <cell r="E8" t="str">
            <v>HIG</v>
          </cell>
          <cell r="F8">
            <v>4.6422431716202546</v>
          </cell>
          <cell r="G8" t="e">
            <v>#DIV/0!</v>
          </cell>
          <cell r="H8">
            <v>1.96</v>
          </cell>
          <cell r="I8">
            <v>28.8</v>
          </cell>
          <cell r="J8">
            <v>0</v>
          </cell>
          <cell r="K8">
            <v>38.92</v>
          </cell>
        </row>
        <row r="9">
          <cell r="A9" t="str">
            <v>LNC</v>
          </cell>
          <cell r="B9">
            <v>10.303992132463453</v>
          </cell>
          <cell r="C9">
            <v>0.85121403661726247</v>
          </cell>
          <cell r="E9" t="str">
            <v>LNC</v>
          </cell>
          <cell r="F9">
            <v>10.303992132463453</v>
          </cell>
          <cell r="G9">
            <v>0.85121403661726247</v>
          </cell>
          <cell r="H9">
            <v>3.97</v>
          </cell>
          <cell r="I9">
            <v>30.995000000000001</v>
          </cell>
          <cell r="J9">
            <v>36.412698412698411</v>
          </cell>
          <cell r="K9">
            <v>35.548280423280424</v>
          </cell>
        </row>
        <row r="10">
          <cell r="A10" t="str">
            <v>MET</v>
          </cell>
          <cell r="B10">
            <v>10.003555893023766</v>
          </cell>
          <cell r="C10">
            <v>1.122530978117585</v>
          </cell>
          <cell r="E10" t="str">
            <v>MET</v>
          </cell>
          <cell r="F10">
            <v>10.003555893023766</v>
          </cell>
          <cell r="G10">
            <v>1.122530978117585</v>
          </cell>
          <cell r="H10">
            <v>4.38</v>
          </cell>
          <cell r="I10">
            <v>46.8</v>
          </cell>
          <cell r="J10">
            <v>41.691499755740111</v>
          </cell>
          <cell r="K10">
            <v>37.956765999022963</v>
          </cell>
        </row>
        <row r="11">
          <cell r="A11" t="str">
            <v>PFG</v>
          </cell>
          <cell r="B11">
            <v>10.040845225451964</v>
          </cell>
          <cell r="C11">
            <v>1.2120277859509523</v>
          </cell>
          <cell r="E11" t="str">
            <v>PFG</v>
          </cell>
          <cell r="F11">
            <v>10.040845225451964</v>
          </cell>
          <cell r="G11">
            <v>1.2120277859509523</v>
          </cell>
          <cell r="H11">
            <v>2.66</v>
          </cell>
          <cell r="I11">
            <v>29.7</v>
          </cell>
          <cell r="J11">
            <v>24.504388714733544</v>
          </cell>
          <cell r="K11">
            <v>21.175862068965518</v>
          </cell>
        </row>
        <row r="12">
          <cell r="A12" t="str">
            <v>PRU</v>
          </cell>
          <cell r="B12">
            <v>11.014517880511958</v>
          </cell>
          <cell r="C12">
            <v>1.2197748301520546</v>
          </cell>
          <cell r="E12" t="str">
            <v>PRU</v>
          </cell>
          <cell r="F12">
            <v>11.014517880511958</v>
          </cell>
          <cell r="G12">
            <v>1.2197748301520546</v>
          </cell>
          <cell r="H12">
            <v>6.07</v>
          </cell>
          <cell r="I12">
            <v>64.34</v>
          </cell>
          <cell r="J12">
            <v>52.74744027303754</v>
          </cell>
          <cell r="K12">
            <v>51.523037542662117</v>
          </cell>
        </row>
        <row r="13">
          <cell r="A13" t="str">
            <v>RGA</v>
          </cell>
          <cell r="B13">
            <v>12.092884000713108</v>
          </cell>
          <cell r="C13">
            <v>1.0643392417108888</v>
          </cell>
          <cell r="E13" t="str">
            <v>RGA</v>
          </cell>
          <cell r="F13">
            <v>12.092884000713108</v>
          </cell>
          <cell r="G13">
            <v>1.0643392417108888</v>
          </cell>
          <cell r="H13">
            <v>6.55</v>
          </cell>
          <cell r="I13">
            <v>52.039000000000001</v>
          </cell>
          <cell r="J13">
            <v>48.893245650089064</v>
          </cell>
          <cell r="K13">
            <v>52.99256062474312</v>
          </cell>
        </row>
        <row r="14">
          <cell r="A14" t="str">
            <v>SFG</v>
          </cell>
          <cell r="B14">
            <v>8.1306715063521029</v>
          </cell>
          <cell r="C14">
            <v>1.3250147361299711</v>
          </cell>
          <cell r="E14" t="str">
            <v>SFG</v>
          </cell>
          <cell r="F14">
            <v>8.1306715063521029</v>
          </cell>
          <cell r="G14">
            <v>1.3250147361299711</v>
          </cell>
          <cell r="H14">
            <v>3.13</v>
          </cell>
          <cell r="I14">
            <v>45.78</v>
          </cell>
          <cell r="J14">
            <v>34.550559138467897</v>
          </cell>
          <cell r="K14">
            <v>36.046018596813326</v>
          </cell>
        </row>
        <row r="15">
          <cell r="A15" t="str">
            <v>TMK</v>
          </cell>
          <cell r="B15">
            <v>14.502794064108619</v>
          </cell>
          <cell r="C15">
            <v>1.8321464903357072</v>
          </cell>
          <cell r="E15" t="str">
            <v>TMK</v>
          </cell>
          <cell r="F15">
            <v>14.502794064108619</v>
          </cell>
          <cell r="G15">
            <v>1.8321464903357072</v>
          </cell>
          <cell r="H15">
            <v>4.5</v>
          </cell>
          <cell r="I15">
            <v>54.03</v>
          </cell>
          <cell r="J15">
            <v>29.49</v>
          </cell>
          <cell r="K15">
            <v>27.26</v>
          </cell>
        </row>
        <row r="16">
          <cell r="A16" t="str">
            <v>UNM</v>
          </cell>
          <cell r="B16">
            <v>19.290530350940351</v>
          </cell>
          <cell r="C16">
            <v>1.5785326172633263</v>
          </cell>
          <cell r="E16" t="str">
            <v>UNM</v>
          </cell>
          <cell r="F16">
            <v>19.290530350940351</v>
          </cell>
          <cell r="G16">
            <v>1.5785326172633263</v>
          </cell>
          <cell r="H16">
            <v>2.9910911043862445</v>
          </cell>
          <cell r="I16">
            <v>24.63</v>
          </cell>
          <cell r="J16">
            <v>15.603098555353636</v>
          </cell>
          <cell r="K16">
            <v>25.617429522691992</v>
          </cell>
        </row>
        <row r="50">
          <cell r="A50" t="str">
            <v>2012E ROE vs. P/B</v>
          </cell>
        </row>
      </sheetData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 ABSOLUTE"/>
      <sheetName val="PE RELATIVE"/>
      <sheetName val="PB &amp; INT SENSITIVITY"/>
      <sheetName val="PB_DATA"/>
      <sheetName val="historical VALUATION SUMMARY"/>
    </sheetNames>
    <sheetDataSet>
      <sheetData sheetId="0">
        <row r="2">
          <cell r="B2" t="str">
            <v>PRICE EARNINGS ABSOLUTE</v>
          </cell>
        </row>
        <row r="25">
          <cell r="B25" t="str">
            <v>Absolute PE Level</v>
          </cell>
        </row>
        <row r="54">
          <cell r="Q54" t="str">
            <v>MUST open &amp; link with .../working files/mthly s3/valuation charts.xls</v>
          </cell>
        </row>
        <row r="56">
          <cell r="O56" t="str">
            <v>Color screen version</v>
          </cell>
        </row>
      </sheetData>
      <sheetData sheetId="1">
        <row r="2">
          <cell r="B2" t="str">
            <v>PRICE EARNINGS RELATIVE</v>
          </cell>
        </row>
        <row r="26">
          <cell r="B26" t="str">
            <v>PE Relative to S&amp;P500</v>
          </cell>
        </row>
        <row r="57">
          <cell r="O57" t="str">
            <v>Color version of above</v>
          </cell>
        </row>
      </sheetData>
      <sheetData sheetId="2">
        <row r="1">
          <cell r="B1" t="str">
            <v>PRICE TO BOOK</v>
          </cell>
        </row>
        <row r="23">
          <cell r="C23" t="str">
            <v>MSLII VS 10 YR TREASURY</v>
          </cell>
        </row>
        <row r="53">
          <cell r="Q53" t="str">
            <v>Make sure chart axes are on the same scale after you have updated</v>
          </cell>
        </row>
      </sheetData>
      <sheetData sheetId="3"/>
      <sheetData sheetId="4">
        <row r="1">
          <cell r="A1" t="str">
            <v>Exhibit xx</v>
          </cell>
        </row>
        <row r="2">
          <cell r="A2" t="str">
            <v>Life Insurance Stocks Valuation Summary (a)</v>
          </cell>
        </row>
        <row r="4">
          <cell r="F4" t="str">
            <v>Oper'g</v>
          </cell>
          <cell r="N4" t="str">
            <v>P/E Rel</v>
          </cell>
          <cell r="R4" t="str">
            <v>P/E Rel</v>
          </cell>
        </row>
        <row r="5">
          <cell r="C5" t="str">
            <v>Rep'd</v>
          </cell>
          <cell r="D5" t="str">
            <v>Op'g</v>
          </cell>
          <cell r="F5" t="str">
            <v>Payout</v>
          </cell>
          <cell r="K5" t="str">
            <v>P/E Range</v>
          </cell>
          <cell r="N5" t="str">
            <v xml:space="preserve"> to S&amp;P500</v>
          </cell>
          <cell r="P5" t="str">
            <v>Mean</v>
          </cell>
          <cell r="R5" t="str">
            <v>to MSLII</v>
          </cell>
          <cell r="T5" t="str">
            <v>Mean</v>
          </cell>
          <cell r="U5" t="str">
            <v>Ending</v>
          </cell>
          <cell r="Y5" t="str">
            <v>Yield Range</v>
          </cell>
        </row>
        <row r="6">
          <cell r="A6" t="str">
            <v>Year</v>
          </cell>
          <cell r="B6" t="str">
            <v>ROAE</v>
          </cell>
          <cell r="C6" t="str">
            <v>EPS</v>
          </cell>
          <cell r="D6" t="str">
            <v>EPS</v>
          </cell>
          <cell r="E6" t="str">
            <v>Div'd</v>
          </cell>
          <cell r="F6" t="str">
            <v>Ratio</v>
          </cell>
          <cell r="H6" t="str">
            <v>Price Range</v>
          </cell>
          <cell r="K6" t="str">
            <v>(Op. EPS)</v>
          </cell>
          <cell r="N6" t="str">
            <v>High - Low</v>
          </cell>
          <cell r="P6" t="str">
            <v>Rel P/E</v>
          </cell>
          <cell r="R6" t="str">
            <v>High - Low</v>
          </cell>
          <cell r="T6" t="str">
            <v>Rel P/E</v>
          </cell>
          <cell r="U6" t="str">
            <v>BV</v>
          </cell>
          <cell r="X6" t="str">
            <v>P/BV Range</v>
          </cell>
          <cell r="Y6" t="str">
            <v>High-Low</v>
          </cell>
        </row>
        <row r="8">
          <cell r="A8" t="str">
            <v>AFLAC</v>
          </cell>
        </row>
        <row r="9">
          <cell r="A9">
            <v>2000</v>
          </cell>
          <cell r="B9">
            <v>0.216</v>
          </cell>
          <cell r="C9">
            <v>2.52</v>
          </cell>
          <cell r="D9">
            <v>2.41</v>
          </cell>
          <cell r="E9">
            <v>0.33</v>
          </cell>
          <cell r="F9">
            <v>0.13692946058091285</v>
          </cell>
          <cell r="G9">
            <v>37.46875</v>
          </cell>
          <cell r="H9" t="str">
            <v>-</v>
          </cell>
          <cell r="I9">
            <v>16.78125</v>
          </cell>
          <cell r="J9">
            <v>15.547199170124481</v>
          </cell>
          <cell r="K9" t="str">
            <v>-</v>
          </cell>
          <cell r="L9">
            <v>6.9631742738589208</v>
          </cell>
          <cell r="M9">
            <v>0.55207167182772954</v>
          </cell>
          <cell r="N9" t="str">
            <v>-</v>
          </cell>
          <cell r="O9">
            <v>0.30621820249533077</v>
          </cell>
          <cell r="P9">
            <v>0.42914493716153013</v>
          </cell>
          <cell r="Q9">
            <v>1.0754334748118448</v>
          </cell>
          <cell r="R9" t="str">
            <v>-</v>
          </cell>
          <cell r="S9">
            <v>0.85819895950611003</v>
          </cell>
          <cell r="T9">
            <v>0.96681621715897736</v>
          </cell>
          <cell r="U9">
            <v>12.17</v>
          </cell>
          <cell r="V9">
            <v>3.0787797863599016</v>
          </cell>
          <cell r="W9" t="str">
            <v>-</v>
          </cell>
          <cell r="X9">
            <v>1.3789030402629416</v>
          </cell>
          <cell r="Y9">
            <v>1.9664804469273742E-2</v>
          </cell>
          <cell r="Z9" t="str">
            <v>-</v>
          </cell>
          <cell r="AA9">
            <v>8.8073394495412852E-3</v>
          </cell>
        </row>
        <row r="10">
          <cell r="A10">
            <v>1999</v>
          </cell>
          <cell r="B10">
            <v>0.217</v>
          </cell>
          <cell r="C10">
            <v>2.0699999999999998</v>
          </cell>
          <cell r="D10">
            <v>2</v>
          </cell>
          <cell r="E10">
            <v>0.28999999999999998</v>
          </cell>
          <cell r="F10">
            <v>0.14499999999999999</v>
          </cell>
          <cell r="G10">
            <v>56.75</v>
          </cell>
          <cell r="H10" t="str">
            <v>-</v>
          </cell>
          <cell r="I10">
            <v>39</v>
          </cell>
          <cell r="J10">
            <v>28.375</v>
          </cell>
          <cell r="K10" t="str">
            <v>-</v>
          </cell>
          <cell r="L10">
            <v>19.5</v>
          </cell>
          <cell r="M10">
            <v>0.89836606409481845</v>
          </cell>
          <cell r="N10" t="str">
            <v>-</v>
          </cell>
          <cell r="O10">
            <v>0.75446717435667709</v>
          </cell>
          <cell r="P10">
            <v>0.82641661922574783</v>
          </cell>
          <cell r="Q10">
            <v>1.8967245989304811</v>
          </cell>
          <cell r="R10" t="str">
            <v>-</v>
          </cell>
          <cell r="S10">
            <v>1.5957446808510638</v>
          </cell>
          <cell r="T10">
            <v>1.7462346398907724</v>
          </cell>
          <cell r="U10">
            <v>10.69</v>
          </cell>
          <cell r="V10">
            <v>5.3086997193638918</v>
          </cell>
          <cell r="W10" t="str">
            <v>-</v>
          </cell>
          <cell r="X10">
            <v>3.6482694106641724</v>
          </cell>
          <cell r="Y10">
            <v>7.4358974358974357E-3</v>
          </cell>
          <cell r="Z10" t="str">
            <v>-</v>
          </cell>
          <cell r="AA10">
            <v>5.1101321585903083E-3</v>
          </cell>
        </row>
        <row r="11">
          <cell r="A11">
            <v>1998</v>
          </cell>
          <cell r="B11">
            <v>0.21199999999999999</v>
          </cell>
          <cell r="C11">
            <v>1.76</v>
          </cell>
          <cell r="D11">
            <v>1.56</v>
          </cell>
          <cell r="E11">
            <v>0.253</v>
          </cell>
          <cell r="F11">
            <v>0.16217948717948719</v>
          </cell>
          <cell r="G11">
            <v>45.3125</v>
          </cell>
          <cell r="H11" t="str">
            <v>-</v>
          </cell>
          <cell r="I11">
            <v>22.6875</v>
          </cell>
          <cell r="J11">
            <v>29.046474358974358</v>
          </cell>
          <cell r="K11" t="str">
            <v>-</v>
          </cell>
          <cell r="L11">
            <v>14.54326923076923</v>
          </cell>
          <cell r="M11">
            <v>0.938638849944606</v>
          </cell>
          <cell r="N11" t="str">
            <v>-</v>
          </cell>
          <cell r="O11">
            <v>0.64094707793767303</v>
          </cell>
          <cell r="P11">
            <v>0.78979296394113951</v>
          </cell>
          <cell r="Q11">
            <v>1.7076116613153647</v>
          </cell>
          <cell r="R11" t="str">
            <v>-</v>
          </cell>
          <cell r="S11">
            <v>1.0163011342256625</v>
          </cell>
          <cell r="T11">
            <v>1.3619563977705136</v>
          </cell>
          <cell r="U11">
            <v>9.17</v>
          </cell>
          <cell r="V11">
            <v>4.9413849509269356</v>
          </cell>
          <cell r="W11" t="str">
            <v>-</v>
          </cell>
          <cell r="X11">
            <v>2.4741003271537623</v>
          </cell>
          <cell r="Y11">
            <v>1.1151515151515152E-2</v>
          </cell>
          <cell r="Z11" t="str">
            <v>-</v>
          </cell>
          <cell r="AA11">
            <v>5.5834482758620688E-3</v>
          </cell>
        </row>
        <row r="12">
          <cell r="A12">
            <v>1997</v>
          </cell>
          <cell r="B12">
            <v>0.29299999999999998</v>
          </cell>
          <cell r="C12">
            <v>2.08</v>
          </cell>
          <cell r="D12">
            <v>1.33</v>
          </cell>
          <cell r="E12">
            <v>0.2225</v>
          </cell>
          <cell r="F12">
            <v>0.16729323308270677</v>
          </cell>
          <cell r="G12">
            <v>28.9375</v>
          </cell>
          <cell r="H12" t="str">
            <v>-</v>
          </cell>
          <cell r="I12">
            <v>18.75</v>
          </cell>
          <cell r="J12">
            <v>21.757518796992478</v>
          </cell>
          <cell r="K12" t="str">
            <v>-</v>
          </cell>
          <cell r="L12">
            <v>14.097744360902254</v>
          </cell>
          <cell r="M12">
            <v>0.9894278670756016</v>
          </cell>
          <cell r="N12" t="str">
            <v>-</v>
          </cell>
          <cell r="O12">
            <v>0.86648705352810418</v>
          </cell>
          <cell r="P12">
            <v>0.92795746030185289</v>
          </cell>
          <cell r="Q12">
            <v>1.4009992786215377</v>
          </cell>
          <cell r="R12" t="str">
            <v>-</v>
          </cell>
          <cell r="S12">
            <v>1.2388176064061733</v>
          </cell>
          <cell r="T12">
            <v>1.3199084425138556</v>
          </cell>
          <cell r="U12">
            <v>8.3000000000000007</v>
          </cell>
          <cell r="V12">
            <v>3.4864457831325297</v>
          </cell>
          <cell r="W12" t="str">
            <v>-</v>
          </cell>
          <cell r="X12">
            <v>2.2590361445783129</v>
          </cell>
          <cell r="Y12">
            <v>1.1866666666666666E-2</v>
          </cell>
          <cell r="Z12" t="str">
            <v>-</v>
          </cell>
          <cell r="AA12">
            <v>7.6889848812095032E-3</v>
          </cell>
        </row>
        <row r="13">
          <cell r="A13">
            <v>1996</v>
          </cell>
          <cell r="B13">
            <v>0.224</v>
          </cell>
          <cell r="C13">
            <v>1.365</v>
          </cell>
          <cell r="D13">
            <v>1.2</v>
          </cell>
          <cell r="E13">
            <v>0.19500000000000001</v>
          </cell>
          <cell r="F13">
            <v>0.16250000000000001</v>
          </cell>
          <cell r="G13">
            <v>21.625</v>
          </cell>
          <cell r="H13" t="str">
            <v>-</v>
          </cell>
          <cell r="I13">
            <v>10.664999999999999</v>
          </cell>
          <cell r="J13">
            <v>18.020833333333336</v>
          </cell>
          <cell r="K13" t="str">
            <v>-</v>
          </cell>
          <cell r="L13">
            <v>8.8874999999999993</v>
          </cell>
          <cell r="M13">
            <v>0.97620982304080905</v>
          </cell>
          <cell r="N13" t="str">
            <v>-</v>
          </cell>
          <cell r="O13">
            <v>0.60873287671232879</v>
          </cell>
          <cell r="P13">
            <v>0.79247134987656898</v>
          </cell>
          <cell r="Q13">
            <v>1.493026788180061</v>
          </cell>
          <cell r="R13" t="str">
            <v>-</v>
          </cell>
          <cell r="S13">
            <v>0.89682139253279503</v>
          </cell>
          <cell r="T13">
            <v>1.194924090356428</v>
          </cell>
          <cell r="U13">
            <v>6.875</v>
          </cell>
          <cell r="V13">
            <v>3.1454545454545455</v>
          </cell>
          <cell r="W13" t="str">
            <v>-</v>
          </cell>
          <cell r="X13">
            <v>1.5512727272727271</v>
          </cell>
          <cell r="Y13">
            <v>1.8284106891701832E-2</v>
          </cell>
          <cell r="Z13" t="str">
            <v>-</v>
          </cell>
          <cell r="AA13">
            <v>9.0173410404624284E-3</v>
          </cell>
        </row>
        <row r="14">
          <cell r="A14">
            <v>1995</v>
          </cell>
          <cell r="B14">
            <v>0.217</v>
          </cell>
          <cell r="C14">
            <v>1.1666666666666667</v>
          </cell>
          <cell r="D14">
            <v>1.1666666666666667</v>
          </cell>
          <cell r="E14">
            <v>0.17</v>
          </cell>
          <cell r="F14">
            <v>0.14571428571428571</v>
          </cell>
          <cell r="G14">
            <v>14.833333333333334</v>
          </cell>
          <cell r="H14" t="str">
            <v>-</v>
          </cell>
          <cell r="I14">
            <v>10.708333333333334</v>
          </cell>
          <cell r="J14">
            <v>12.714285714285714</v>
          </cell>
          <cell r="K14" t="str">
            <v>-</v>
          </cell>
          <cell r="L14">
            <v>9.1785714285714288</v>
          </cell>
          <cell r="M14">
            <v>0.77478889179071986</v>
          </cell>
          <cell r="N14" t="str">
            <v>-</v>
          </cell>
          <cell r="O14">
            <v>0.75730787364450736</v>
          </cell>
          <cell r="P14">
            <v>0.76604838271761366</v>
          </cell>
          <cell r="Q14">
            <v>1.1772486772486772</v>
          </cell>
          <cell r="R14" t="str">
            <v>-</v>
          </cell>
          <cell r="S14">
            <v>1.0836566031371226</v>
          </cell>
          <cell r="T14">
            <v>1.1304526401929</v>
          </cell>
          <cell r="U14">
            <v>5.91</v>
          </cell>
          <cell r="V14">
            <v>2.5098702763677383</v>
          </cell>
          <cell r="W14" t="str">
            <v>-</v>
          </cell>
          <cell r="X14">
            <v>1.8119007332205301</v>
          </cell>
          <cell r="Y14">
            <v>1.5875486381322957E-2</v>
          </cell>
          <cell r="Z14" t="str">
            <v>-</v>
          </cell>
          <cell r="AA14">
            <v>1.1460674157303371E-2</v>
          </cell>
        </row>
        <row r="15">
          <cell r="A15">
            <v>1994</v>
          </cell>
          <cell r="B15">
            <v>0.20200000000000001</v>
          </cell>
          <cell r="C15">
            <v>0.94666666666666666</v>
          </cell>
          <cell r="D15">
            <v>0.94666666666666666</v>
          </cell>
          <cell r="E15">
            <v>0.14833333333333334</v>
          </cell>
          <cell r="F15">
            <v>0.15669014084507044</v>
          </cell>
          <cell r="G15">
            <v>12.041666666666666</v>
          </cell>
          <cell r="H15" t="str">
            <v>-</v>
          </cell>
          <cell r="I15">
            <v>8.4166666666666661</v>
          </cell>
          <cell r="J15">
            <v>12.72007042253521</v>
          </cell>
          <cell r="K15" t="str">
            <v>-</v>
          </cell>
          <cell r="L15">
            <v>8.8908450704225341</v>
          </cell>
          <cell r="M15">
            <v>0.84071846811204287</v>
          </cell>
          <cell r="N15" t="str">
            <v>-</v>
          </cell>
          <cell r="O15">
            <v>0.6466069142125479</v>
          </cell>
          <cell r="P15">
            <v>0.74366269116229544</v>
          </cell>
          <cell r="Q15">
            <v>1.1921340602188575</v>
          </cell>
          <cell r="R15" t="str">
            <v>-</v>
          </cell>
          <cell r="S15">
            <v>1.063498214165375</v>
          </cell>
          <cell r="T15">
            <v>1.1278161371921163</v>
          </cell>
          <cell r="U15">
            <v>5.1366666666666667</v>
          </cell>
          <cell r="V15">
            <v>2.3442569759896168</v>
          </cell>
          <cell r="W15" t="str">
            <v>-</v>
          </cell>
          <cell r="X15">
            <v>1.6385463984425697</v>
          </cell>
          <cell r="Y15">
            <v>1.7623762376237626E-2</v>
          </cell>
          <cell r="Z15" t="str">
            <v>-</v>
          </cell>
          <cell r="AA15">
            <v>1.2318339100346022E-2</v>
          </cell>
        </row>
        <row r="16">
          <cell r="A16">
            <v>1993</v>
          </cell>
          <cell r="B16">
            <v>0.20100000000000001</v>
          </cell>
          <cell r="C16">
            <v>0.81</v>
          </cell>
          <cell r="D16">
            <v>0.76666666666666661</v>
          </cell>
          <cell r="E16">
            <v>0.12933333333333333</v>
          </cell>
          <cell r="F16">
            <v>0.16869565217391305</v>
          </cell>
          <cell r="G16">
            <v>11.333333333333334</v>
          </cell>
          <cell r="H16" t="str">
            <v>-</v>
          </cell>
          <cell r="I16">
            <v>8.25</v>
          </cell>
          <cell r="J16">
            <v>14.782608695652176</v>
          </cell>
          <cell r="K16" t="str">
            <v>-</v>
          </cell>
          <cell r="L16">
            <v>10.760869565217392</v>
          </cell>
          <cell r="M16">
            <v>0.84423807513718874</v>
          </cell>
          <cell r="N16" t="str">
            <v>-</v>
          </cell>
          <cell r="O16">
            <v>0.67423994769532536</v>
          </cell>
          <cell r="P16">
            <v>0.75923901141625705</v>
          </cell>
          <cell r="Q16">
            <v>1.1969723640204191</v>
          </cell>
          <cell r="R16" t="str">
            <v>-</v>
          </cell>
          <cell r="S16">
            <v>1.0199876365134968</v>
          </cell>
          <cell r="T16">
            <v>1.1084800002669579</v>
          </cell>
          <cell r="U16">
            <v>4.4000000000000004</v>
          </cell>
          <cell r="V16">
            <v>2.5757575757575757</v>
          </cell>
          <cell r="W16" t="str">
            <v>-</v>
          </cell>
          <cell r="X16">
            <v>1.8749999999999998</v>
          </cell>
          <cell r="Y16">
            <v>1.5676767676767678E-2</v>
          </cell>
          <cell r="Z16" t="str">
            <v>-</v>
          </cell>
          <cell r="AA16">
            <v>1.1411764705882352E-2</v>
          </cell>
        </row>
        <row r="17">
          <cell r="A17">
            <v>1992</v>
          </cell>
          <cell r="B17">
            <v>0.183</v>
          </cell>
          <cell r="C17">
            <v>0.59666666666666668</v>
          </cell>
          <cell r="D17">
            <v>0.59666666666666668</v>
          </cell>
          <cell r="E17">
            <v>0.11466666666666665</v>
          </cell>
          <cell r="F17">
            <v>0.19217877094972063</v>
          </cell>
          <cell r="G17">
            <v>9.3000000000000007</v>
          </cell>
          <cell r="H17" t="str">
            <v>-</v>
          </cell>
          <cell r="I17">
            <v>6.4</v>
          </cell>
          <cell r="J17">
            <v>15.586592178770951</v>
          </cell>
          <cell r="K17" t="str">
            <v>-</v>
          </cell>
          <cell r="L17">
            <v>10.726256983240225</v>
          </cell>
          <cell r="M17">
            <v>0.8229457327756573</v>
          </cell>
          <cell r="N17" t="str">
            <v>-</v>
          </cell>
          <cell r="O17">
            <v>0.63356509056351007</v>
          </cell>
          <cell r="P17">
            <v>0.72825541166958363</v>
          </cell>
          <cell r="Q17">
            <v>1.4105513283955611</v>
          </cell>
          <cell r="R17" t="str">
            <v>-</v>
          </cell>
          <cell r="S17">
            <v>1.1957923058238822</v>
          </cell>
          <cell r="T17">
            <v>1.3031718171097215</v>
          </cell>
          <cell r="U17">
            <v>3.5</v>
          </cell>
          <cell r="V17">
            <v>2.6571428571428575</v>
          </cell>
          <cell r="W17" t="str">
            <v>-</v>
          </cell>
          <cell r="X17">
            <v>1.8285714285714287</v>
          </cell>
          <cell r="Y17">
            <v>1.7916666666666664E-2</v>
          </cell>
          <cell r="Z17" t="str">
            <v>-</v>
          </cell>
          <cell r="AA17">
            <v>1.2329749103942651E-2</v>
          </cell>
        </row>
        <row r="18">
          <cell r="A18">
            <v>1991</v>
          </cell>
          <cell r="B18">
            <v>0.17299999999999999</v>
          </cell>
          <cell r="C18">
            <v>0.48666666666666664</v>
          </cell>
          <cell r="D18">
            <v>0.48666666666666664</v>
          </cell>
          <cell r="E18">
            <v>9.8666666666666666E-2</v>
          </cell>
          <cell r="F18">
            <v>0.20273972602739726</v>
          </cell>
          <cell r="G18">
            <v>8.3000000000000007</v>
          </cell>
          <cell r="H18" t="str">
            <v>-</v>
          </cell>
          <cell r="I18">
            <v>4.7666666666666666</v>
          </cell>
          <cell r="J18">
            <v>17.054794520547947</v>
          </cell>
          <cell r="K18" t="str">
            <v>-</v>
          </cell>
          <cell r="L18">
            <v>9.794520547945206</v>
          </cell>
          <cell r="M18">
            <v>0.86704598477620465</v>
          </cell>
          <cell r="N18" t="str">
            <v>-</v>
          </cell>
          <cell r="O18">
            <v>0.66674748454358113</v>
          </cell>
          <cell r="P18">
            <v>0.76689673465989294</v>
          </cell>
          <cell r="Q18">
            <v>1.7296951846397512</v>
          </cell>
          <cell r="R18" t="str">
            <v>-</v>
          </cell>
          <cell r="S18">
            <v>1.3679497971990511</v>
          </cell>
          <cell r="T18">
            <v>1.5488224909194011</v>
          </cell>
          <cell r="U18">
            <v>3.0133333333333332</v>
          </cell>
          <cell r="V18">
            <v>2.7544247787610625</v>
          </cell>
          <cell r="W18" t="str">
            <v>-</v>
          </cell>
          <cell r="X18">
            <v>1.581858407079646</v>
          </cell>
          <cell r="Y18">
            <v>2.0699300699300701E-2</v>
          </cell>
          <cell r="Z18" t="str">
            <v>-</v>
          </cell>
          <cell r="AA18">
            <v>1.1887550200803211E-2</v>
          </cell>
        </row>
        <row r="19">
          <cell r="A19">
            <v>1990</v>
          </cell>
          <cell r="B19">
            <v>0.157</v>
          </cell>
          <cell r="C19">
            <v>0.3833333333333333</v>
          </cell>
          <cell r="D19">
            <v>0.3833333333333333</v>
          </cell>
          <cell r="E19">
            <v>8.8000000000000009E-2</v>
          </cell>
          <cell r="F19">
            <v>0.22956521739130439</v>
          </cell>
          <cell r="G19">
            <v>5.1333333333333337</v>
          </cell>
          <cell r="H19" t="str">
            <v>-</v>
          </cell>
          <cell r="I19">
            <v>3.2333333333333329</v>
          </cell>
          <cell r="J19">
            <v>13.39130434782609</v>
          </cell>
          <cell r="K19" t="str">
            <v>-</v>
          </cell>
          <cell r="L19">
            <v>8.4347826086956523</v>
          </cell>
          <cell r="M19">
            <v>0.84328113021574869</v>
          </cell>
          <cell r="N19" t="str">
            <v>-</v>
          </cell>
          <cell r="O19">
            <v>0.66363356480689628</v>
          </cell>
          <cell r="P19">
            <v>0.75345734751132243</v>
          </cell>
          <cell r="Q19">
            <v>1.4170692431562</v>
          </cell>
          <cell r="R19" t="str">
            <v>-</v>
          </cell>
          <cell r="S19">
            <v>1.4320513766885659</v>
          </cell>
          <cell r="T19">
            <v>1.4245603099223829</v>
          </cell>
          <cell r="U19">
            <v>2.59</v>
          </cell>
          <cell r="V19">
            <v>1.9819819819819822</v>
          </cell>
          <cell r="W19" t="str">
            <v>-</v>
          </cell>
          <cell r="X19">
            <v>1.2483912483912483</v>
          </cell>
          <cell r="Y19">
            <v>2.7216494845360831E-2</v>
          </cell>
          <cell r="Z19" t="str">
            <v>-</v>
          </cell>
          <cell r="AA19">
            <v>1.7142857142857144E-2</v>
          </cell>
        </row>
        <row r="20">
          <cell r="A20">
            <v>1989</v>
          </cell>
          <cell r="B20">
            <v>0.121</v>
          </cell>
          <cell r="C20">
            <v>0.26666666666666666</v>
          </cell>
          <cell r="D20">
            <v>0.32666666666666666</v>
          </cell>
          <cell r="E20">
            <v>7.7333333333333337E-2</v>
          </cell>
          <cell r="F20">
            <v>0.23673469387755103</v>
          </cell>
          <cell r="G20">
            <v>6</v>
          </cell>
          <cell r="H20" t="str">
            <v>-</v>
          </cell>
          <cell r="I20">
            <v>3.5666666666666664</v>
          </cell>
          <cell r="J20">
            <v>18.367346938775512</v>
          </cell>
          <cell r="K20" t="str">
            <v>-</v>
          </cell>
          <cell r="L20">
            <v>10.918367346938775</v>
          </cell>
          <cell r="M20">
            <v>1.2503299481807701</v>
          </cell>
          <cell r="N20" t="str">
            <v>-</v>
          </cell>
          <cell r="O20">
            <v>0.97138499527925037</v>
          </cell>
          <cell r="P20">
            <v>1.1108574717300104</v>
          </cell>
          <cell r="Q20">
            <v>1.8167504390480231</v>
          </cell>
          <cell r="R20" t="str">
            <v>-</v>
          </cell>
          <cell r="S20">
            <v>1.4272375616913431</v>
          </cell>
          <cell r="T20">
            <v>1.6219940003696831</v>
          </cell>
          <cell r="U20">
            <v>2.3033333333333332</v>
          </cell>
          <cell r="V20">
            <v>2.6049204052098411</v>
          </cell>
          <cell r="W20" t="str">
            <v>-</v>
          </cell>
          <cell r="X20">
            <v>1.5484804630969609</v>
          </cell>
          <cell r="Y20">
            <v>2.1682242990654209E-2</v>
          </cell>
          <cell r="Z20" t="str">
            <v>-</v>
          </cell>
          <cell r="AA20">
            <v>1.2888888888888889E-2</v>
          </cell>
        </row>
        <row r="21">
          <cell r="A21">
            <v>1988</v>
          </cell>
          <cell r="B21">
            <v>0.184</v>
          </cell>
          <cell r="C21">
            <v>0.36</v>
          </cell>
          <cell r="D21">
            <v>0.36</v>
          </cell>
          <cell r="E21">
            <v>6.6666666666666666E-2</v>
          </cell>
          <cell r="F21">
            <v>0.1851851851851852</v>
          </cell>
          <cell r="G21">
            <v>4.5333333333333332</v>
          </cell>
          <cell r="H21" t="str">
            <v>-</v>
          </cell>
          <cell r="I21">
            <v>3.0666666666666664</v>
          </cell>
          <cell r="J21">
            <v>12.592592592592593</v>
          </cell>
          <cell r="K21" t="str">
            <v>-</v>
          </cell>
          <cell r="L21">
            <v>8.518518518518519</v>
          </cell>
          <cell r="M21">
            <v>1.122334455667789</v>
          </cell>
          <cell r="N21" t="str">
            <v>-</v>
          </cell>
          <cell r="O21">
            <v>0.88734567901234573</v>
          </cell>
          <cell r="P21">
            <v>1.0048400673400675</v>
          </cell>
          <cell r="Q21">
            <v>1.5044913491747425</v>
          </cell>
          <cell r="R21" t="str">
            <v>-</v>
          </cell>
          <cell r="S21">
            <v>1.2134641764271394</v>
          </cell>
          <cell r="T21">
            <v>1.358977762800941</v>
          </cell>
          <cell r="U21">
            <v>2.1133333333333333</v>
          </cell>
          <cell r="V21">
            <v>2.1451104100946372</v>
          </cell>
          <cell r="W21" t="str">
            <v>-</v>
          </cell>
          <cell r="X21">
            <v>1.4511041009463721</v>
          </cell>
          <cell r="Y21">
            <v>2.1739130434782612E-2</v>
          </cell>
          <cell r="Z21" t="str">
            <v>-</v>
          </cell>
          <cell r="AA21">
            <v>1.4705882352941176E-2</v>
          </cell>
        </row>
        <row r="22">
          <cell r="A22">
            <v>1987</v>
          </cell>
          <cell r="B22">
            <v>0.20699999999999999</v>
          </cell>
          <cell r="C22">
            <v>0.33666666666666667</v>
          </cell>
          <cell r="D22">
            <v>0.3066666666666667</v>
          </cell>
          <cell r="E22">
            <v>0.06</v>
          </cell>
          <cell r="F22">
            <v>0.19565217391304346</v>
          </cell>
          <cell r="G22">
            <v>4.9333333333333336</v>
          </cell>
          <cell r="H22" t="str">
            <v>-</v>
          </cell>
          <cell r="I22">
            <v>2.6333333333333333</v>
          </cell>
          <cell r="J22">
            <v>16.086956521739129</v>
          </cell>
          <cell r="K22" t="str">
            <v>-</v>
          </cell>
          <cell r="L22">
            <v>8.586956521739129</v>
          </cell>
          <cell r="M22">
            <v>0.9513280024683104</v>
          </cell>
          <cell r="N22" t="str">
            <v>-</v>
          </cell>
          <cell r="O22">
            <v>0.76328502415458921</v>
          </cell>
          <cell r="P22">
            <v>0.8573065133114498</v>
          </cell>
          <cell r="Q22">
            <v>1.5975130607486721</v>
          </cell>
          <cell r="R22" t="str">
            <v>-</v>
          </cell>
          <cell r="S22">
            <v>1.1992956035948503</v>
          </cell>
          <cell r="T22">
            <v>1.3984043321717612</v>
          </cell>
          <cell r="U22">
            <v>1.8</v>
          </cell>
          <cell r="V22">
            <v>2.7407407407407409</v>
          </cell>
          <cell r="W22" t="str">
            <v>-</v>
          </cell>
          <cell r="X22">
            <v>1.462962962962963</v>
          </cell>
          <cell r="Y22">
            <v>2.2784810126582278E-2</v>
          </cell>
          <cell r="Z22" t="str">
            <v>-</v>
          </cell>
          <cell r="AA22">
            <v>1.2162162162162161E-2</v>
          </cell>
        </row>
        <row r="23">
          <cell r="A23">
            <v>1986</v>
          </cell>
          <cell r="B23">
            <v>0.25800000000000001</v>
          </cell>
          <cell r="C23">
            <v>0.33666666666666667</v>
          </cell>
          <cell r="D23">
            <v>0.26</v>
          </cell>
          <cell r="E23">
            <v>5.4666666666666669E-2</v>
          </cell>
          <cell r="F23">
            <v>0.21025641025641026</v>
          </cell>
          <cell r="G23">
            <v>4.9833333333333334</v>
          </cell>
          <cell r="H23" t="str">
            <v>-</v>
          </cell>
          <cell r="I23">
            <v>2.7633333333333332</v>
          </cell>
          <cell r="J23">
            <v>19.166666666666668</v>
          </cell>
          <cell r="K23" t="str">
            <v>-</v>
          </cell>
          <cell r="L23">
            <v>10.628205128205128</v>
          </cell>
          <cell r="M23">
            <v>1.1941848390446521</v>
          </cell>
          <cell r="N23" t="str">
            <v>-</v>
          </cell>
          <cell r="O23">
            <v>0.82709767534670253</v>
          </cell>
          <cell r="P23">
            <v>1.0106412571956773</v>
          </cell>
          <cell r="Q23">
            <v>1.8717447916666667</v>
          </cell>
          <cell r="R23" t="str">
            <v>-</v>
          </cell>
          <cell r="S23">
            <v>1.1258691873098652</v>
          </cell>
          <cell r="T23">
            <v>1.4988069894882661</v>
          </cell>
          <cell r="U23">
            <v>1.4733333333333334</v>
          </cell>
          <cell r="V23">
            <v>3.3823529411764706</v>
          </cell>
          <cell r="W23" t="str">
            <v>-</v>
          </cell>
          <cell r="X23">
            <v>1.8755656108597283</v>
          </cell>
          <cell r="Y23">
            <v>1.9782870928829917E-2</v>
          </cell>
          <cell r="Z23" t="str">
            <v>-</v>
          </cell>
          <cell r="AA23">
            <v>1.0969899665551839E-2</v>
          </cell>
        </row>
        <row r="24">
          <cell r="A24">
            <v>1985</v>
          </cell>
          <cell r="B24">
            <v>0.17699999999999999</v>
          </cell>
          <cell r="C24">
            <v>0.18</v>
          </cell>
          <cell r="D24">
            <v>0.18</v>
          </cell>
          <cell r="E24">
            <v>4.6666666666666669E-2</v>
          </cell>
          <cell r="F24">
            <v>0.2592592592592593</v>
          </cell>
          <cell r="G24">
            <v>3.1133333333333333</v>
          </cell>
          <cell r="H24" t="str">
            <v>-</v>
          </cell>
          <cell r="I24">
            <v>1.5266666666666666</v>
          </cell>
          <cell r="J24">
            <v>17.296296296296298</v>
          </cell>
          <cell r="K24" t="str">
            <v>-</v>
          </cell>
          <cell r="L24">
            <v>8.481481481481481</v>
          </cell>
          <cell r="M24">
            <v>1.3576370719227864</v>
          </cell>
          <cell r="N24" t="str">
            <v>-</v>
          </cell>
          <cell r="O24">
            <v>0.86193917494730499</v>
          </cell>
          <cell r="P24">
            <v>1.1097881234350457</v>
          </cell>
          <cell r="Q24" t="str">
            <v xml:space="preserve">        </v>
          </cell>
          <cell r="R24" t="str">
            <v>-</v>
          </cell>
          <cell r="S24" t="str">
            <v xml:space="preserve">        </v>
          </cell>
          <cell r="T24" t="str">
            <v xml:space="preserve">        </v>
          </cell>
          <cell r="U24">
            <v>1.1333333333333333</v>
          </cell>
          <cell r="V24">
            <v>2.7470588235294118</v>
          </cell>
          <cell r="W24" t="str">
            <v>-</v>
          </cell>
          <cell r="X24">
            <v>1.3470588235294119</v>
          </cell>
          <cell r="Y24">
            <v>3.0567685589519653E-2</v>
          </cell>
          <cell r="Z24" t="str">
            <v>-</v>
          </cell>
          <cell r="AA24">
            <v>1.4989293361884369E-2</v>
          </cell>
        </row>
        <row r="25">
          <cell r="A25">
            <v>1984</v>
          </cell>
          <cell r="B25">
            <v>0.17299999999999999</v>
          </cell>
          <cell r="C25">
            <v>0.14666666666666667</v>
          </cell>
          <cell r="D25">
            <v>0.14333333333333334</v>
          </cell>
          <cell r="E25">
            <v>3.7999999999999999E-2</v>
          </cell>
          <cell r="F25">
            <v>0.26511627906976742</v>
          </cell>
          <cell r="G25">
            <v>1.6666666666666667</v>
          </cell>
          <cell r="H25" t="str">
            <v>-</v>
          </cell>
          <cell r="I25">
            <v>0.91666666666666663</v>
          </cell>
          <cell r="J25">
            <v>11.627906976744185</v>
          </cell>
          <cell r="K25" t="str">
            <v>-</v>
          </cell>
          <cell r="L25">
            <v>6.3953488372093021</v>
          </cell>
          <cell r="M25">
            <v>1.1627906976744184</v>
          </cell>
          <cell r="N25" t="str">
            <v>-</v>
          </cell>
          <cell r="O25">
            <v>0.73764115769426786</v>
          </cell>
          <cell r="P25">
            <v>0.95021592768434315</v>
          </cell>
          <cell r="Q25" t="e">
            <v>#VALUE!</v>
          </cell>
          <cell r="R25" t="str">
            <v>-</v>
          </cell>
          <cell r="S25">
            <v>0.10959814621503382</v>
          </cell>
          <cell r="T25" t="e">
            <v>#VALUE!</v>
          </cell>
          <cell r="U25">
            <v>0.92</v>
          </cell>
          <cell r="V25">
            <v>1.8115942028985508</v>
          </cell>
          <cell r="W25" t="str">
            <v>-</v>
          </cell>
          <cell r="X25">
            <v>0.99637681159420277</v>
          </cell>
          <cell r="Y25">
            <v>4.1454545454545452E-2</v>
          </cell>
          <cell r="Z25" t="str">
            <v>-</v>
          </cell>
          <cell r="AA25">
            <v>2.2799999999999997E-2</v>
          </cell>
        </row>
        <row r="26">
          <cell r="B26">
            <v>0.14299999999999999</v>
          </cell>
          <cell r="C26">
            <v>0.21333333333333335</v>
          </cell>
          <cell r="D26">
            <v>0.20666666666666667</v>
          </cell>
          <cell r="E26">
            <v>6.4000000000000001E-2</v>
          </cell>
          <cell r="F26">
            <v>0.30967741935483872</v>
          </cell>
          <cell r="G26">
            <v>2.44</v>
          </cell>
          <cell r="H26" t="str">
            <v>-</v>
          </cell>
          <cell r="I26">
            <v>1.5133333333333334</v>
          </cell>
          <cell r="J26">
            <v>11.806451612903226</v>
          </cell>
          <cell r="K26" t="str">
            <v>-</v>
          </cell>
          <cell r="L26">
            <v>7.3225806451612909</v>
          </cell>
          <cell r="M26">
            <v>0.97573980271927485</v>
          </cell>
          <cell r="N26" t="str">
            <v>-</v>
          </cell>
          <cell r="O26">
            <v>0.75568427710642838</v>
          </cell>
          <cell r="P26">
            <v>0.86571203991285162</v>
          </cell>
          <cell r="Q26" t="e">
            <v>#VALUE!</v>
          </cell>
          <cell r="R26" t="str">
            <v>-</v>
          </cell>
          <cell r="S26">
            <v>8.9340767792863943E-2</v>
          </cell>
          <cell r="T26" t="e">
            <v>#VALUE!</v>
          </cell>
          <cell r="U26">
            <v>1.5733333333333333</v>
          </cell>
          <cell r="V26">
            <v>1.5508474576271187</v>
          </cell>
          <cell r="W26" t="str">
            <v>-</v>
          </cell>
          <cell r="X26">
            <v>0.96186440677966112</v>
          </cell>
          <cell r="Y26">
            <v>4.2290748898678412E-2</v>
          </cell>
          <cell r="Z26" t="str">
            <v>-</v>
          </cell>
          <cell r="AA26">
            <v>2.6229508196721311E-2</v>
          </cell>
        </row>
        <row r="27">
          <cell r="B27">
            <v>0.121</v>
          </cell>
          <cell r="C27">
            <v>0.16</v>
          </cell>
          <cell r="D27">
            <v>0.14666666666666667</v>
          </cell>
          <cell r="E27">
            <v>6.0666666666666667E-2</v>
          </cell>
          <cell r="F27">
            <v>0.41363636363636364</v>
          </cell>
          <cell r="G27">
            <v>1.6533333333333333</v>
          </cell>
          <cell r="H27" t="str">
            <v>-</v>
          </cell>
          <cell r="I27">
            <v>0.73333333333333339</v>
          </cell>
          <cell r="J27">
            <v>11.272727272727273</v>
          </cell>
          <cell r="K27" t="str">
            <v>-</v>
          </cell>
          <cell r="L27">
            <v>5</v>
          </cell>
          <cell r="M27">
            <v>0.98796908612859535</v>
          </cell>
          <cell r="N27" t="str">
            <v>-</v>
          </cell>
          <cell r="O27">
            <v>0.61199510403916768</v>
          </cell>
          <cell r="P27">
            <v>0.79998209508388152</v>
          </cell>
          <cell r="Q27" t="e">
            <v>#VALUE!</v>
          </cell>
          <cell r="R27" t="str">
            <v>-</v>
          </cell>
          <cell r="S27">
            <v>9.7917025102066277E-2</v>
          </cell>
          <cell r="T27" t="e">
            <v>#VALUE!</v>
          </cell>
          <cell r="U27">
            <v>1.3733333333333333</v>
          </cell>
          <cell r="V27">
            <v>1.2038834951456312</v>
          </cell>
          <cell r="W27" t="str">
            <v>-</v>
          </cell>
          <cell r="X27">
            <v>0.53398058252427194</v>
          </cell>
          <cell r="Y27">
            <v>8.2727272727272719E-2</v>
          </cell>
          <cell r="Z27" t="str">
            <v>-</v>
          </cell>
          <cell r="AA27">
            <v>3.6693548387096778E-2</v>
          </cell>
        </row>
        <row r="29">
          <cell r="A29" t="str">
            <v>Average</v>
          </cell>
          <cell r="J29">
            <v>17.65665878469456</v>
          </cell>
          <cell r="K29" t="str">
            <v>-</v>
          </cell>
          <cell r="L29">
            <v>10.556941441656615</v>
          </cell>
          <cell r="M29">
            <v>0.95147167975471458</v>
          </cell>
          <cell r="N29" t="str">
            <v>-</v>
          </cell>
          <cell r="O29">
            <v>0.72062536307729208</v>
          </cell>
          <cell r="P29">
            <v>0.8360485214160035</v>
          </cell>
          <cell r="Q29">
            <v>1.4991977533451242</v>
          </cell>
          <cell r="R29" t="str">
            <v>-</v>
          </cell>
          <cell r="S29">
            <v>1.1823124157381666</v>
          </cell>
          <cell r="T29">
            <v>1.3407550845416452</v>
          </cell>
          <cell r="V29">
            <v>3.0252739094993584</v>
          </cell>
          <cell r="W29" t="str">
            <v>-</v>
          </cell>
          <cell r="X29">
            <v>1.8113138641895481</v>
          </cell>
          <cell r="Y29">
            <v>1.8748013083192499E-2</v>
          </cell>
          <cell r="Z29" t="str">
            <v>-</v>
          </cell>
          <cell r="AA29">
            <v>1.1154644165514297E-2</v>
          </cell>
        </row>
        <row r="31">
          <cell r="A31" t="str">
            <v>1-Yr. Growth</v>
          </cell>
          <cell r="C31">
            <v>0.21739130434782616</v>
          </cell>
          <cell r="D31">
            <v>0.20500000000000007</v>
          </cell>
          <cell r="E31">
            <v>0.13793103448275867</v>
          </cell>
          <cell r="U31">
            <v>0.13844714686623028</v>
          </cell>
        </row>
        <row r="32">
          <cell r="A32" t="str">
            <v>3-Yr. Growth</v>
          </cell>
          <cell r="C32">
            <v>6.6053667550018957E-2</v>
          </cell>
          <cell r="D32">
            <v>0.2191443599963887</v>
          </cell>
          <cell r="E32">
            <v>0.14041076492696747</v>
          </cell>
          <cell r="U32">
            <v>0.13606756799495612</v>
          </cell>
        </row>
        <row r="33">
          <cell r="A33" t="str">
            <v>5-Yr. Growth</v>
          </cell>
          <cell r="C33">
            <v>0.16651613497612305</v>
          </cell>
          <cell r="D33">
            <v>0.15614964612244986</v>
          </cell>
          <cell r="E33">
            <v>0.14186037876324487</v>
          </cell>
          <cell r="U33">
            <v>0.15542196523079022</v>
          </cell>
        </row>
        <row r="34">
          <cell r="A34" t="str">
            <v>10-Yr. Growth</v>
          </cell>
          <cell r="C34">
            <v>0.20720880813771769</v>
          </cell>
          <cell r="D34">
            <v>0.20183278129894133</v>
          </cell>
          <cell r="E34">
            <v>0.14130869721941397</v>
          </cell>
          <cell r="U34">
            <v>0.16734460741518742</v>
          </cell>
        </row>
        <row r="36">
          <cell r="A36" t="str">
            <v>Allmerica Financial ('95 data are pro forma for the company's demutualization)</v>
          </cell>
        </row>
        <row r="37">
          <cell r="A37">
            <v>2000</v>
          </cell>
          <cell r="B37">
            <v>0.126</v>
          </cell>
          <cell r="C37">
            <v>4.13</v>
          </cell>
          <cell r="D37">
            <v>5.55</v>
          </cell>
          <cell r="E37">
            <v>0.25</v>
          </cell>
          <cell r="F37">
            <v>4.504504504504505E-2</v>
          </cell>
          <cell r="G37">
            <v>74.25</v>
          </cell>
          <cell r="H37" t="str">
            <v>-</v>
          </cell>
          <cell r="I37">
            <v>35.0625</v>
          </cell>
          <cell r="J37">
            <v>13.378378378378379</v>
          </cell>
          <cell r="K37" t="str">
            <v>-</v>
          </cell>
          <cell r="L37">
            <v>6.3175675675675675</v>
          </cell>
          <cell r="M37">
            <v>0.47505815271781621</v>
          </cell>
          <cell r="N37" t="str">
            <v>-</v>
          </cell>
          <cell r="O37">
            <v>0.27782647806849009</v>
          </cell>
          <cell r="P37">
            <v>0.37644231539315315</v>
          </cell>
          <cell r="Q37">
            <v>0.92541143838012063</v>
          </cell>
          <cell r="R37" t="str">
            <v>-</v>
          </cell>
          <cell r="S37">
            <v>0.77862907057349362</v>
          </cell>
          <cell r="T37">
            <v>0.85202025447680718</v>
          </cell>
          <cell r="U37">
            <v>46.54</v>
          </cell>
          <cell r="V37">
            <v>1.5954018048990117</v>
          </cell>
          <cell r="W37" t="str">
            <v>-</v>
          </cell>
          <cell r="X37">
            <v>0.75338418564675547</v>
          </cell>
          <cell r="Y37">
            <v>7.1301247771836003E-3</v>
          </cell>
          <cell r="Z37" t="str">
            <v>-</v>
          </cell>
          <cell r="AA37">
            <v>3.3670033670033669E-3</v>
          </cell>
        </row>
        <row r="38">
          <cell r="A38">
            <v>1999</v>
          </cell>
          <cell r="B38">
            <v>0.126</v>
          </cell>
          <cell r="C38">
            <v>5.33</v>
          </cell>
          <cell r="D38">
            <v>5.0599999999999996</v>
          </cell>
          <cell r="E38">
            <v>0.25</v>
          </cell>
          <cell r="F38">
            <v>4.9407114624505935E-2</v>
          </cell>
          <cell r="G38">
            <v>64.8125</v>
          </cell>
          <cell r="H38" t="str">
            <v>-</v>
          </cell>
          <cell r="I38">
            <v>46.0625</v>
          </cell>
          <cell r="J38">
            <v>12.808794466403164</v>
          </cell>
          <cell r="K38" t="str">
            <v>-</v>
          </cell>
          <cell r="L38">
            <v>9.1032608695652186</v>
          </cell>
          <cell r="M38">
            <v>0.40553255579143971</v>
          </cell>
          <cell r="N38" t="str">
            <v>-</v>
          </cell>
          <cell r="O38">
            <v>0.35221084644577322</v>
          </cell>
          <cell r="P38">
            <v>0.37887170111860646</v>
          </cell>
          <cell r="Q38">
            <v>0.85620283866331304</v>
          </cell>
          <cell r="R38" t="str">
            <v>-</v>
          </cell>
          <cell r="S38">
            <v>0.74494769800042704</v>
          </cell>
          <cell r="T38">
            <v>0.80057526833187009</v>
          </cell>
          <cell r="U38">
            <v>42.71</v>
          </cell>
          <cell r="V38">
            <v>1.5175017560290329</v>
          </cell>
          <cell r="W38" t="str">
            <v>-</v>
          </cell>
          <cell r="X38">
            <v>1.0784944977756965</v>
          </cell>
          <cell r="Y38">
            <v>5.4274084124830389E-3</v>
          </cell>
          <cell r="Z38" t="str">
            <v>-</v>
          </cell>
          <cell r="AA38">
            <v>3.8572806171648989E-3</v>
          </cell>
        </row>
        <row r="39">
          <cell r="A39">
            <v>1998</v>
          </cell>
          <cell r="B39">
            <v>0.10532587949250855</v>
          </cell>
          <cell r="C39">
            <v>3.33</v>
          </cell>
          <cell r="D39">
            <v>3.6</v>
          </cell>
          <cell r="E39">
            <v>0.2</v>
          </cell>
          <cell r="F39">
            <v>5.5555555555555559E-2</v>
          </cell>
          <cell r="G39">
            <v>75.25</v>
          </cell>
          <cell r="H39" t="str">
            <v>-</v>
          </cell>
          <cell r="I39">
            <v>38.375</v>
          </cell>
          <cell r="J39">
            <v>20.902777777777779</v>
          </cell>
          <cell r="K39" t="str">
            <v>-</v>
          </cell>
          <cell r="L39">
            <v>10.659722222222221</v>
          </cell>
          <cell r="M39">
            <v>0.6754747254865735</v>
          </cell>
          <cell r="N39" t="str">
            <v>-</v>
          </cell>
          <cell r="O39">
            <v>0.46979243123034947</v>
          </cell>
          <cell r="P39">
            <v>0.57263357835846151</v>
          </cell>
          <cell r="Q39">
            <v>1.2288523090992227</v>
          </cell>
          <cell r="R39" t="str">
            <v>-</v>
          </cell>
          <cell r="S39">
            <v>0.74491420141315312</v>
          </cell>
          <cell r="T39">
            <v>0.98688325525618792</v>
          </cell>
          <cell r="U39">
            <v>38.869999999999997</v>
          </cell>
          <cell r="V39">
            <v>1.9359403138667355</v>
          </cell>
          <cell r="W39" t="str">
            <v>-</v>
          </cell>
          <cell r="X39">
            <v>0.98726524311808594</v>
          </cell>
          <cell r="Y39">
            <v>5.2117263843648211E-3</v>
          </cell>
          <cell r="Z39" t="str">
            <v>-</v>
          </cell>
          <cell r="AA39">
            <v>2.6578073089700998E-3</v>
          </cell>
        </row>
        <row r="40">
          <cell r="A40">
            <v>1997</v>
          </cell>
          <cell r="B40">
            <v>8.8151272528007765E-2</v>
          </cell>
          <cell r="C40">
            <v>3.82</v>
          </cell>
          <cell r="D40">
            <v>3.3</v>
          </cell>
          <cell r="E40">
            <v>0.2</v>
          </cell>
          <cell r="F40">
            <v>6.0606060606060615E-2</v>
          </cell>
          <cell r="G40">
            <v>51</v>
          </cell>
          <cell r="H40" t="str">
            <v>-</v>
          </cell>
          <cell r="I40">
            <v>32.625</v>
          </cell>
          <cell r="J40">
            <v>15.454545454545455</v>
          </cell>
          <cell r="K40" t="str">
            <v>-</v>
          </cell>
          <cell r="L40">
            <v>9.8863636363636367</v>
          </cell>
          <cell r="M40">
            <v>0.70279879283972058</v>
          </cell>
          <cell r="N40" t="str">
            <v>-</v>
          </cell>
          <cell r="O40">
            <v>0.60764373917416326</v>
          </cell>
          <cell r="P40">
            <v>0.65522126600694186</v>
          </cell>
          <cell r="Q40">
            <v>0.99514136861207059</v>
          </cell>
          <cell r="R40" t="str">
            <v>-</v>
          </cell>
          <cell r="S40">
            <v>0.86874900143792932</v>
          </cell>
          <cell r="T40">
            <v>0.93194518502500001</v>
          </cell>
          <cell r="U40">
            <v>36.08</v>
          </cell>
          <cell r="V40">
            <v>1.4135254988913526</v>
          </cell>
          <cell r="W40" t="str">
            <v>-</v>
          </cell>
          <cell r="X40">
            <v>0.90424057649667411</v>
          </cell>
          <cell r="Y40">
            <v>6.1302681992337167E-3</v>
          </cell>
          <cell r="Z40" t="str">
            <v>-</v>
          </cell>
          <cell r="AA40">
            <v>3.9215686274509803E-3</v>
          </cell>
        </row>
        <row r="41">
          <cell r="A41">
            <v>1996</v>
          </cell>
          <cell r="B41">
            <v>8.3586626139817627E-2</v>
          </cell>
          <cell r="C41">
            <v>3.63</v>
          </cell>
          <cell r="D41">
            <v>2.75</v>
          </cell>
          <cell r="E41">
            <v>0.2</v>
          </cell>
          <cell r="F41">
            <v>7.2727272727272738E-2</v>
          </cell>
          <cell r="G41">
            <v>34.375</v>
          </cell>
          <cell r="H41" t="str">
            <v>-</v>
          </cell>
          <cell r="I41">
            <v>24.75</v>
          </cell>
          <cell r="J41">
            <v>12.5</v>
          </cell>
          <cell r="K41" t="str">
            <v>-</v>
          </cell>
          <cell r="L41">
            <v>9</v>
          </cell>
          <cell r="M41">
            <v>0.67713976164680389</v>
          </cell>
          <cell r="N41" t="str">
            <v>-</v>
          </cell>
          <cell r="O41">
            <v>0.61643835616438358</v>
          </cell>
          <cell r="P41">
            <v>0.64678905890559379</v>
          </cell>
          <cell r="Q41">
            <v>1.0356255178127589</v>
          </cell>
          <cell r="R41" t="str">
            <v>-</v>
          </cell>
          <cell r="S41">
            <v>0.90817356205852673</v>
          </cell>
          <cell r="T41">
            <v>0.97189953993564282</v>
          </cell>
          <cell r="U41">
            <v>34.4</v>
          </cell>
          <cell r="V41">
            <v>0.99927325581395354</v>
          </cell>
          <cell r="W41" t="str">
            <v>-</v>
          </cell>
          <cell r="X41">
            <v>0.71947674418604657</v>
          </cell>
          <cell r="Y41">
            <v>8.0808080808080808E-3</v>
          </cell>
          <cell r="Z41" t="str">
            <v>-</v>
          </cell>
          <cell r="AA41">
            <v>5.8181818181818187E-3</v>
          </cell>
        </row>
        <row r="42">
          <cell r="A42">
            <v>1995</v>
          </cell>
          <cell r="B42">
            <v>9.0999999999999998E-2</v>
          </cell>
          <cell r="C42">
            <v>2.61</v>
          </cell>
          <cell r="D42">
            <v>2.3199999999999998</v>
          </cell>
          <cell r="E42">
            <v>0.05</v>
          </cell>
          <cell r="F42">
            <v>2.1551724137931036E-2</v>
          </cell>
          <cell r="G42">
            <v>28.625</v>
          </cell>
          <cell r="H42" t="str">
            <v>-</v>
          </cell>
          <cell r="I42">
            <v>23.375</v>
          </cell>
          <cell r="J42">
            <v>12.338362068965518</v>
          </cell>
          <cell r="K42" t="str">
            <v>-</v>
          </cell>
          <cell r="L42">
            <v>10.07543103448276</v>
          </cell>
          <cell r="M42">
            <v>0.82857163112522692</v>
          </cell>
          <cell r="N42" t="str">
            <v>-</v>
          </cell>
          <cell r="O42">
            <v>0.74914159495844068</v>
          </cell>
          <cell r="P42">
            <v>0.78885661304183374</v>
          </cell>
          <cell r="Q42">
            <v>1.142440932311622</v>
          </cell>
          <cell r="R42" t="str">
            <v>-</v>
          </cell>
          <cell r="S42">
            <v>1.1895432154052845</v>
          </cell>
          <cell r="T42">
            <v>1.1659920738584533</v>
          </cell>
          <cell r="U42">
            <v>31.4</v>
          </cell>
          <cell r="V42">
            <v>0.9116242038216561</v>
          </cell>
          <cell r="W42" t="str">
            <v>-</v>
          </cell>
          <cell r="X42">
            <v>0.74442675159235672</v>
          </cell>
          <cell r="Y42">
            <v>2.1390374331550803E-3</v>
          </cell>
          <cell r="Z42" t="str">
            <v>-</v>
          </cell>
          <cell r="AA42">
            <v>1.7467248908296944E-3</v>
          </cell>
        </row>
        <row r="44">
          <cell r="A44" t="str">
            <v>Average</v>
          </cell>
          <cell r="J44">
            <v>14.563809691011718</v>
          </cell>
          <cell r="K44" t="str">
            <v>-</v>
          </cell>
          <cell r="L44">
            <v>9.173724221700235</v>
          </cell>
          <cell r="M44">
            <v>0.6274292699345968</v>
          </cell>
          <cell r="N44" t="str">
            <v>-</v>
          </cell>
          <cell r="O44">
            <v>0.51217557434026662</v>
          </cell>
          <cell r="P44">
            <v>0.56980242213743171</v>
          </cell>
          <cell r="Q44">
            <v>1.0306124008131847</v>
          </cell>
          <cell r="R44" t="str">
            <v>-</v>
          </cell>
          <cell r="S44">
            <v>0.87249279148146897</v>
          </cell>
          <cell r="T44">
            <v>0.9515525961473269</v>
          </cell>
          <cell r="V44">
            <v>1.3955444722202905</v>
          </cell>
          <cell r="W44" t="str">
            <v>-</v>
          </cell>
          <cell r="X44">
            <v>0.86454799980260255</v>
          </cell>
          <cell r="Y44">
            <v>5.6865622145380558E-3</v>
          </cell>
          <cell r="Z44" t="str">
            <v>-</v>
          </cell>
          <cell r="AA44">
            <v>3.5614277716001425E-3</v>
          </cell>
        </row>
        <row r="46">
          <cell r="A46" t="str">
            <v>1-Yr. Growth</v>
          </cell>
          <cell r="C46">
            <v>-0.22514071294559101</v>
          </cell>
          <cell r="D46">
            <v>9.6837944664031728E-2</v>
          </cell>
          <cell r="E46">
            <v>0</v>
          </cell>
          <cell r="U46">
            <v>8.9674549285881477E-2</v>
          </cell>
        </row>
        <row r="47">
          <cell r="A47" t="str">
            <v>3-Yr. Growth</v>
          </cell>
          <cell r="C47">
            <v>2.6350180230943598E-2</v>
          </cell>
          <cell r="D47">
            <v>0.18921309033394551</v>
          </cell>
          <cell r="E47">
            <v>7.7217345015941907E-2</v>
          </cell>
          <cell r="U47">
            <v>8.8562284881973152E-2</v>
          </cell>
        </row>
        <row r="48">
          <cell r="A48" t="str">
            <v>5-Yr. Growth</v>
          </cell>
          <cell r="C48">
            <v>9.612960813046012E-2</v>
          </cell>
          <cell r="D48">
            <v>0.19058662568298446</v>
          </cell>
          <cell r="E48">
            <v>0.37972966146121467</v>
          </cell>
          <cell r="U48">
            <v>8.1880632303135803E-2</v>
          </cell>
        </row>
        <row r="50">
          <cell r="A50" t="str">
            <v>American General</v>
          </cell>
        </row>
        <row r="51">
          <cell r="A51">
            <v>2000</v>
          </cell>
          <cell r="B51">
            <v>0.16500000000000001</v>
          </cell>
          <cell r="C51">
            <v>3.97</v>
          </cell>
          <cell r="D51">
            <v>5.17</v>
          </cell>
          <cell r="E51">
            <v>1.76</v>
          </cell>
          <cell r="F51">
            <v>0.34042553191489361</v>
          </cell>
          <cell r="G51">
            <v>41.71875</v>
          </cell>
          <cell r="H51" t="str">
            <v>-</v>
          </cell>
          <cell r="I51">
            <v>22.8125</v>
          </cell>
          <cell r="J51">
            <v>8.0693907156673124</v>
          </cell>
          <cell r="K51" t="str">
            <v>-</v>
          </cell>
          <cell r="L51">
            <v>4.4124758220502898</v>
          </cell>
          <cell r="M51">
            <v>0.28653920068060357</v>
          </cell>
          <cell r="N51" t="str">
            <v>-</v>
          </cell>
          <cell r="O51">
            <v>0.19404661748233629</v>
          </cell>
          <cell r="P51">
            <v>0.24029290908146994</v>
          </cell>
          <cell r="Q51">
            <v>0.55817725122093842</v>
          </cell>
          <cell r="R51" t="str">
            <v>-</v>
          </cell>
          <cell r="S51">
            <v>0.54382986988358539</v>
          </cell>
          <cell r="T51">
            <v>0.55100356055226185</v>
          </cell>
          <cell r="U51">
            <v>32.14</v>
          </cell>
          <cell r="V51">
            <v>1.2980320472930926</v>
          </cell>
          <cell r="W51" t="str">
            <v>-</v>
          </cell>
          <cell r="X51">
            <v>0.70978531425015556</v>
          </cell>
          <cell r="Y51">
            <v>7.7150684931506855E-2</v>
          </cell>
          <cell r="Z51" t="str">
            <v>-</v>
          </cell>
          <cell r="AA51">
            <v>4.2187265917602995E-2</v>
          </cell>
        </row>
        <row r="52">
          <cell r="A52">
            <v>1999</v>
          </cell>
          <cell r="B52">
            <v>0.151</v>
          </cell>
          <cell r="C52">
            <v>4.41</v>
          </cell>
          <cell r="D52">
            <v>4.5999999999999996</v>
          </cell>
          <cell r="E52">
            <v>1.6</v>
          </cell>
          <cell r="F52">
            <v>0.34782608695652178</v>
          </cell>
          <cell r="G52">
            <v>41.09375</v>
          </cell>
          <cell r="H52" t="str">
            <v>-</v>
          </cell>
          <cell r="I52">
            <v>30.9375</v>
          </cell>
          <cell r="J52">
            <v>8.9334239130434785</v>
          </cell>
          <cell r="K52" t="str">
            <v>-</v>
          </cell>
          <cell r="L52">
            <v>6.7255434782608701</v>
          </cell>
          <cell r="M52">
            <v>0.28283647152956481</v>
          </cell>
          <cell r="N52" t="str">
            <v>-</v>
          </cell>
          <cell r="O52">
            <v>0.26021547610545931</v>
          </cell>
          <cell r="P52">
            <v>0.27152597381751209</v>
          </cell>
          <cell r="Q52">
            <v>0.59715400488258541</v>
          </cell>
          <cell r="R52" t="str">
            <v>-</v>
          </cell>
          <cell r="S52">
            <v>0.55037180673165875</v>
          </cell>
          <cell r="T52">
            <v>0.57376290580712208</v>
          </cell>
          <cell r="U52">
            <v>30.86</v>
          </cell>
          <cell r="V52">
            <v>1.3316186001296177</v>
          </cell>
          <cell r="W52" t="str">
            <v>-</v>
          </cell>
          <cell r="X52">
            <v>1.0025113415424498</v>
          </cell>
          <cell r="Y52">
            <v>5.1717171717171717E-2</v>
          </cell>
          <cell r="Z52" t="str">
            <v>-</v>
          </cell>
          <cell r="AA52">
            <v>3.8935361216730038E-2</v>
          </cell>
        </row>
        <row r="53">
          <cell r="A53">
            <v>1998</v>
          </cell>
          <cell r="B53">
            <v>0.11103825136612022</v>
          </cell>
          <cell r="C53">
            <v>2.9598470363288718</v>
          </cell>
          <cell r="D53">
            <v>3.89</v>
          </cell>
          <cell r="E53">
            <v>1.5</v>
          </cell>
          <cell r="F53">
            <v>0.38560411311053983</v>
          </cell>
          <cell r="G53">
            <v>79</v>
          </cell>
          <cell r="H53" t="str">
            <v>-</v>
          </cell>
          <cell r="I53">
            <v>52.311999999999998</v>
          </cell>
          <cell r="J53">
            <v>20.308483290488432</v>
          </cell>
          <cell r="K53" t="str">
            <v>-</v>
          </cell>
          <cell r="L53">
            <v>13.447814910025706</v>
          </cell>
          <cell r="M53">
            <v>0.65627005757460222</v>
          </cell>
          <cell r="N53" t="str">
            <v>-</v>
          </cell>
          <cell r="O53">
            <v>0.59266850764143819</v>
          </cell>
          <cell r="P53">
            <v>0.62446928260802026</v>
          </cell>
          <cell r="Q53">
            <v>1.1939143615807426</v>
          </cell>
          <cell r="R53" t="str">
            <v>-</v>
          </cell>
          <cell r="S53">
            <v>0.9397494696034735</v>
          </cell>
          <cell r="T53">
            <v>1.066831915592108</v>
          </cell>
          <cell r="U53">
            <v>28.71</v>
          </cell>
          <cell r="V53">
            <v>2.7516544757924066</v>
          </cell>
          <cell r="W53" t="str">
            <v>-</v>
          </cell>
          <cell r="X53">
            <v>1.8220828979449668</v>
          </cell>
          <cell r="Y53">
            <v>2.86741091910078E-2</v>
          </cell>
          <cell r="Z53" t="str">
            <v>-</v>
          </cell>
          <cell r="AA53">
            <v>1.8987341772151899E-2</v>
          </cell>
        </row>
        <row r="54">
          <cell r="A54">
            <v>1997</v>
          </cell>
          <cell r="B54">
            <v>9.4E-2</v>
          </cell>
          <cell r="C54">
            <v>2.19</v>
          </cell>
          <cell r="D54">
            <v>3.49</v>
          </cell>
          <cell r="E54">
            <v>1.4</v>
          </cell>
          <cell r="F54">
            <v>0.40114613180515757</v>
          </cell>
          <cell r="G54">
            <v>56.0625</v>
          </cell>
          <cell r="H54" t="str">
            <v>-</v>
          </cell>
          <cell r="I54">
            <v>36.5</v>
          </cell>
          <cell r="J54">
            <v>16.063753581661889</v>
          </cell>
          <cell r="K54" t="str">
            <v>-</v>
          </cell>
          <cell r="L54">
            <v>10.458452722063036</v>
          </cell>
          <cell r="M54">
            <v>0.73050266401372854</v>
          </cell>
          <cell r="N54" t="str">
            <v>-</v>
          </cell>
          <cell r="O54">
            <v>0.64280594481026654</v>
          </cell>
          <cell r="P54">
            <v>0.68665430441199748</v>
          </cell>
          <cell r="Q54">
            <v>1.0343691939254276</v>
          </cell>
          <cell r="R54" t="str">
            <v>-</v>
          </cell>
          <cell r="S54">
            <v>0.9190204500934126</v>
          </cell>
          <cell r="T54">
            <v>0.97669482200942004</v>
          </cell>
          <cell r="U54">
            <v>26.3</v>
          </cell>
          <cell r="V54">
            <v>2.1316539923954374</v>
          </cell>
          <cell r="W54" t="str">
            <v>-</v>
          </cell>
          <cell r="X54">
            <v>1.3878326996197718</v>
          </cell>
          <cell r="Y54">
            <v>3.8356164383561639E-2</v>
          </cell>
          <cell r="Z54" t="str">
            <v>-</v>
          </cell>
          <cell r="AA54">
            <v>2.4972129319955405E-2</v>
          </cell>
        </row>
        <row r="55">
          <cell r="A55">
            <v>1996</v>
          </cell>
          <cell r="B55">
            <v>0.11733768219345633</v>
          </cell>
          <cell r="C55">
            <v>2.75</v>
          </cell>
          <cell r="D55">
            <v>3.07</v>
          </cell>
          <cell r="E55">
            <v>1.3</v>
          </cell>
          <cell r="F55">
            <v>0.42345276872964172</v>
          </cell>
          <cell r="G55">
            <v>41.5</v>
          </cell>
          <cell r="H55" t="str">
            <v>-</v>
          </cell>
          <cell r="I55">
            <v>33.125</v>
          </cell>
          <cell r="J55">
            <v>13.517915309446256</v>
          </cell>
          <cell r="K55" t="str">
            <v>-</v>
          </cell>
          <cell r="L55">
            <v>10.789902280130294</v>
          </cell>
          <cell r="M55">
            <v>0.73228143604800944</v>
          </cell>
          <cell r="N55" t="str">
            <v>-</v>
          </cell>
          <cell r="O55">
            <v>0.73903440274865029</v>
          </cell>
          <cell r="P55">
            <v>0.73565791939832992</v>
          </cell>
          <cell r="Q55">
            <v>1.119959843367544</v>
          </cell>
          <cell r="R55" t="str">
            <v>-</v>
          </cell>
          <cell r="S55">
            <v>1.0887893320010387</v>
          </cell>
          <cell r="T55">
            <v>1.1043745876842914</v>
          </cell>
          <cell r="U55">
            <v>24.78</v>
          </cell>
          <cell r="V55">
            <v>1.6747376916868442</v>
          </cell>
          <cell r="W55" t="str">
            <v>-</v>
          </cell>
          <cell r="X55">
            <v>1.3367635189669087</v>
          </cell>
          <cell r="Y55">
            <v>3.9245283018867927E-2</v>
          </cell>
          <cell r="Z55" t="str">
            <v>-</v>
          </cell>
          <cell r="AA55">
            <v>3.1325301204819279E-2</v>
          </cell>
        </row>
        <row r="56">
          <cell r="A56">
            <v>1995</v>
          </cell>
          <cell r="B56">
            <v>0.11926906663748769</v>
          </cell>
          <cell r="C56">
            <v>2.64</v>
          </cell>
          <cell r="D56">
            <v>2.57</v>
          </cell>
          <cell r="E56">
            <v>1.24</v>
          </cell>
          <cell r="F56">
            <v>0.48249027237354086</v>
          </cell>
          <cell r="G56">
            <v>38.375</v>
          </cell>
          <cell r="H56" t="str">
            <v>-</v>
          </cell>
          <cell r="I56">
            <v>28.375</v>
          </cell>
          <cell r="J56">
            <v>14.931906614785992</v>
          </cell>
          <cell r="K56" t="str">
            <v>-</v>
          </cell>
          <cell r="L56">
            <v>11.040856031128405</v>
          </cell>
          <cell r="M56">
            <v>0.90992727695222375</v>
          </cell>
          <cell r="N56" t="str">
            <v>-</v>
          </cell>
          <cell r="O56">
            <v>0.91096171873996745</v>
          </cell>
          <cell r="P56">
            <v>0.9104444978460956</v>
          </cell>
          <cell r="Q56">
            <v>1.3825839458135176</v>
          </cell>
          <cell r="R56" t="str">
            <v>-</v>
          </cell>
          <cell r="S56">
            <v>1.3035249151273205</v>
          </cell>
          <cell r="T56">
            <v>1.3430544304704191</v>
          </cell>
          <cell r="U56">
            <v>23.24</v>
          </cell>
          <cell r="V56">
            <v>1.6512478485370052</v>
          </cell>
          <cell r="W56" t="str">
            <v>-</v>
          </cell>
          <cell r="X56">
            <v>1.2209552495697076</v>
          </cell>
          <cell r="Y56">
            <v>4.3700440528634359E-2</v>
          </cell>
          <cell r="Z56" t="str">
            <v>-</v>
          </cell>
          <cell r="AA56">
            <v>3.2312703583061889E-2</v>
          </cell>
        </row>
        <row r="57">
          <cell r="A57">
            <v>1994</v>
          </cell>
          <cell r="B57">
            <v>0.11569688768606225</v>
          </cell>
          <cell r="C57">
            <v>2.4500000000000002</v>
          </cell>
          <cell r="D57">
            <v>3</v>
          </cell>
          <cell r="E57">
            <v>1.1599999999999999</v>
          </cell>
          <cell r="F57">
            <v>0.38666666666666666</v>
          </cell>
          <cell r="G57">
            <v>30.5</v>
          </cell>
          <cell r="H57" t="str">
            <v>-</v>
          </cell>
          <cell r="I57">
            <v>24.875</v>
          </cell>
          <cell r="J57">
            <v>10.166666666666666</v>
          </cell>
          <cell r="K57" t="str">
            <v>-</v>
          </cell>
          <cell r="L57">
            <v>8.2916666666666661</v>
          </cell>
          <cell r="M57">
            <v>0.67195417492839826</v>
          </cell>
          <cell r="N57" t="str">
            <v>-</v>
          </cell>
          <cell r="O57">
            <v>0.60303030303030303</v>
          </cell>
          <cell r="P57">
            <v>0.6374922389793507</v>
          </cell>
          <cell r="Q57">
            <v>0.95282724148703524</v>
          </cell>
          <cell r="R57" t="str">
            <v>-</v>
          </cell>
          <cell r="S57">
            <v>0.9918261562998405</v>
          </cell>
          <cell r="T57">
            <v>0.97232669889343781</v>
          </cell>
          <cell r="U57">
            <v>21.7</v>
          </cell>
          <cell r="V57">
            <v>1.4055299539170507</v>
          </cell>
          <cell r="W57" t="str">
            <v>-</v>
          </cell>
          <cell r="X57">
            <v>1.1463133640552996</v>
          </cell>
          <cell r="Y57">
            <v>4.6633165829145728E-2</v>
          </cell>
          <cell r="Z57" t="str">
            <v>-</v>
          </cell>
          <cell r="AA57">
            <v>3.8032786885245896E-2</v>
          </cell>
        </row>
        <row r="58">
          <cell r="A58">
            <v>1993</v>
          </cell>
          <cell r="B58">
            <v>4.3999999999999997E-2</v>
          </cell>
          <cell r="C58">
            <v>0.94</v>
          </cell>
          <cell r="D58">
            <v>2.63</v>
          </cell>
          <cell r="E58">
            <v>1.1000000000000001</v>
          </cell>
          <cell r="F58">
            <v>0.41825095057034228</v>
          </cell>
          <cell r="G58">
            <v>36.5</v>
          </cell>
          <cell r="H58" t="str">
            <v>-</v>
          </cell>
          <cell r="I58">
            <v>26.25</v>
          </cell>
          <cell r="J58">
            <v>13.878326996197719</v>
          </cell>
          <cell r="K58" t="str">
            <v>-</v>
          </cell>
          <cell r="L58">
            <v>9.9809885931558942</v>
          </cell>
          <cell r="M58">
            <v>0.79259434587080058</v>
          </cell>
          <cell r="N58" t="str">
            <v>-</v>
          </cell>
          <cell r="O58">
            <v>0.62537522513508104</v>
          </cell>
          <cell r="P58">
            <v>0.70898478550294075</v>
          </cell>
          <cell r="Q58">
            <v>1.1237511737811918</v>
          </cell>
          <cell r="R58" t="str">
            <v>-</v>
          </cell>
          <cell r="S58">
            <v>0.9460652694934496</v>
          </cell>
          <cell r="T58">
            <v>1.0349082216373207</v>
          </cell>
          <cell r="U58">
            <v>20.82</v>
          </cell>
          <cell r="V58">
            <v>1.7531219980787704</v>
          </cell>
          <cell r="W58" t="str">
            <v>-</v>
          </cell>
          <cell r="X58">
            <v>1.260806916426513</v>
          </cell>
          <cell r="Y58">
            <v>4.190476190476191E-2</v>
          </cell>
          <cell r="Z58" t="str">
            <v>-</v>
          </cell>
          <cell r="AA58">
            <v>3.0136986301369864E-2</v>
          </cell>
        </row>
        <row r="59">
          <cell r="A59">
            <v>1992</v>
          </cell>
          <cell r="B59">
            <v>0.11910564561207379</v>
          </cell>
          <cell r="C59">
            <v>2.4449999999999998</v>
          </cell>
          <cell r="D59">
            <v>2.41</v>
          </cell>
          <cell r="E59">
            <v>1.04</v>
          </cell>
          <cell r="F59">
            <v>0.43153526970954353</v>
          </cell>
          <cell r="G59">
            <v>28.75</v>
          </cell>
          <cell r="H59" t="str">
            <v>-</v>
          </cell>
          <cell r="I59">
            <v>20.25</v>
          </cell>
          <cell r="J59">
            <v>11.929460580912862</v>
          </cell>
          <cell r="K59" t="str">
            <v>-</v>
          </cell>
          <cell r="L59">
            <v>8.4024896265560169</v>
          </cell>
          <cell r="M59">
            <v>0.62985536330057346</v>
          </cell>
          <cell r="N59" t="str">
            <v>-</v>
          </cell>
          <cell r="O59">
            <v>0.49630771568552967</v>
          </cell>
          <cell r="P59">
            <v>0.56308153949305151</v>
          </cell>
          <cell r="Q59">
            <v>1.0795891928427928</v>
          </cell>
          <cell r="R59" t="str">
            <v>-</v>
          </cell>
          <cell r="S59">
            <v>0.93673239983902079</v>
          </cell>
          <cell r="T59">
            <v>1.0081607963409067</v>
          </cell>
          <cell r="U59">
            <v>21.33</v>
          </cell>
          <cell r="V59">
            <v>1.3478668541959682</v>
          </cell>
          <cell r="W59" t="str">
            <v>-</v>
          </cell>
          <cell r="X59">
            <v>0.949367088607595</v>
          </cell>
          <cell r="Y59">
            <v>5.1358024691358029E-2</v>
          </cell>
          <cell r="Z59" t="str">
            <v>-</v>
          </cell>
          <cell r="AA59">
            <v>3.6173913043478265E-2</v>
          </cell>
        </row>
        <row r="60">
          <cell r="A60" t="str">
            <v>1991</v>
          </cell>
          <cell r="B60">
            <v>0.11342860517302468</v>
          </cell>
          <cell r="C60">
            <v>2.125</v>
          </cell>
          <cell r="D60">
            <v>2.125</v>
          </cell>
          <cell r="E60">
            <v>1</v>
          </cell>
          <cell r="F60">
            <v>0.47058823529411764</v>
          </cell>
          <cell r="G60">
            <v>22.5</v>
          </cell>
          <cell r="H60" t="str">
            <v>-</v>
          </cell>
          <cell r="I60">
            <v>14</v>
          </cell>
          <cell r="J60">
            <v>10.588235294117647</v>
          </cell>
          <cell r="K60" t="str">
            <v>-</v>
          </cell>
          <cell r="L60">
            <v>6.5882352941176467</v>
          </cell>
          <cell r="M60">
            <v>0.53829360925865</v>
          </cell>
          <cell r="N60" t="str">
            <v>-</v>
          </cell>
          <cell r="O60">
            <v>0.44848436311216111</v>
          </cell>
          <cell r="P60">
            <v>0.49338898618540555</v>
          </cell>
          <cell r="Q60">
            <v>1.0738575349003698</v>
          </cell>
          <cell r="R60" t="str">
            <v>-</v>
          </cell>
          <cell r="S60">
            <v>0.92014459415050931</v>
          </cell>
          <cell r="T60">
            <v>0.99700106452543957</v>
          </cell>
          <cell r="U60">
            <v>19.864999999999998</v>
          </cell>
          <cell r="V60">
            <v>1.1326453561540399</v>
          </cell>
          <cell r="W60" t="str">
            <v>-</v>
          </cell>
          <cell r="X60">
            <v>0.70475711049584699</v>
          </cell>
          <cell r="Y60">
            <v>7.1428571428571425E-2</v>
          </cell>
          <cell r="Z60" t="str">
            <v>-</v>
          </cell>
          <cell r="AA60">
            <v>4.4444444444444446E-2</v>
          </cell>
        </row>
        <row r="61">
          <cell r="A61" t="str">
            <v>1990(b)</v>
          </cell>
          <cell r="B61">
            <v>0.13660670879922218</v>
          </cell>
          <cell r="C61">
            <v>2.3450000000000002</v>
          </cell>
          <cell r="D61">
            <v>1.86</v>
          </cell>
          <cell r="E61">
            <v>0.79</v>
          </cell>
          <cell r="F61">
            <v>0.42473118279569894</v>
          </cell>
          <cell r="G61">
            <v>25.3125</v>
          </cell>
          <cell r="H61" t="str">
            <v>-</v>
          </cell>
          <cell r="I61">
            <v>11.75</v>
          </cell>
          <cell r="J61">
            <v>13.608870967741934</v>
          </cell>
          <cell r="K61" t="str">
            <v>-</v>
          </cell>
          <cell r="L61">
            <v>6.3172043010752681</v>
          </cell>
          <cell r="M61">
            <v>0.85698179897619231</v>
          </cell>
          <cell r="N61" t="str">
            <v>-</v>
          </cell>
          <cell r="O61">
            <v>0.4970263022089117</v>
          </cell>
          <cell r="P61">
            <v>0.67700405059255198</v>
          </cell>
          <cell r="Q61">
            <v>1.4400921658986174</v>
          </cell>
          <cell r="R61" t="str">
            <v>-</v>
          </cell>
          <cell r="S61">
            <v>1.0725304416087043</v>
          </cell>
          <cell r="T61">
            <v>1.2563113037536608</v>
          </cell>
          <cell r="U61">
            <v>18.57</v>
          </cell>
          <cell r="V61">
            <v>1.3630856219709209</v>
          </cell>
          <cell r="W61" t="str">
            <v>-</v>
          </cell>
          <cell r="X61">
            <v>0.63274098007539037</v>
          </cell>
          <cell r="Y61">
            <v>6.7234042553191486E-2</v>
          </cell>
          <cell r="Z61" t="str">
            <v>-</v>
          </cell>
          <cell r="AA61">
            <v>3.1209876543209877E-2</v>
          </cell>
        </row>
        <row r="62">
          <cell r="A62" t="str">
            <v>1989</v>
          </cell>
          <cell r="B62">
            <v>0.11068702290076336</v>
          </cell>
          <cell r="C62">
            <v>1.88</v>
          </cell>
          <cell r="D62">
            <v>1.76</v>
          </cell>
          <cell r="E62">
            <v>0.75</v>
          </cell>
          <cell r="F62">
            <v>0.42613636363636365</v>
          </cell>
          <cell r="G62">
            <v>19.25</v>
          </cell>
          <cell r="H62" t="str">
            <v>-</v>
          </cell>
          <cell r="I62">
            <v>14.75</v>
          </cell>
          <cell r="J62">
            <v>10.9375</v>
          </cell>
          <cell r="K62" t="str">
            <v>-</v>
          </cell>
          <cell r="L62">
            <v>8.3806818181818183</v>
          </cell>
          <cell r="M62">
            <v>0.74455411844792374</v>
          </cell>
          <cell r="N62" t="str">
            <v>-</v>
          </cell>
          <cell r="O62">
            <v>0.74561226140407633</v>
          </cell>
          <cell r="P62">
            <v>0.74508318992599998</v>
          </cell>
          <cell r="Q62">
            <v>1.0818496538081108</v>
          </cell>
          <cell r="R62" t="str">
            <v>-</v>
          </cell>
          <cell r="S62">
            <v>1.095513963161022</v>
          </cell>
          <cell r="T62">
            <v>1.0886818084845664</v>
          </cell>
          <cell r="U62">
            <v>18.53</v>
          </cell>
          <cell r="V62">
            <v>1.0388559093362115</v>
          </cell>
          <cell r="W62" t="str">
            <v>-</v>
          </cell>
          <cell r="X62">
            <v>0.79600647598488927</v>
          </cell>
          <cell r="Y62">
            <v>5.0847457627118647E-2</v>
          </cell>
          <cell r="Z62" t="str">
            <v>-</v>
          </cell>
          <cell r="AA62">
            <v>3.896103896103896E-2</v>
          </cell>
        </row>
        <row r="63">
          <cell r="A63" t="str">
            <v>1988</v>
          </cell>
          <cell r="B63">
            <v>0.10329516242112644</v>
          </cell>
          <cell r="C63">
            <v>1.72</v>
          </cell>
          <cell r="D63">
            <v>1.63</v>
          </cell>
          <cell r="E63">
            <v>0.7</v>
          </cell>
          <cell r="F63">
            <v>0.42944785276073622</v>
          </cell>
          <cell r="G63">
            <v>18.4375</v>
          </cell>
          <cell r="H63" t="str">
            <v>-</v>
          </cell>
          <cell r="I63">
            <v>13.6875</v>
          </cell>
          <cell r="J63">
            <v>11.311349693251534</v>
          </cell>
          <cell r="K63" t="str">
            <v>-</v>
          </cell>
          <cell r="L63">
            <v>8.3972392638036819</v>
          </cell>
          <cell r="M63">
            <v>1.0081416838905111</v>
          </cell>
          <cell r="N63" t="str">
            <v>-</v>
          </cell>
          <cell r="O63">
            <v>0.87471242331288357</v>
          </cell>
          <cell r="P63">
            <v>0.94142705360169732</v>
          </cell>
          <cell r="Q63">
            <v>1.3514157339607569</v>
          </cell>
          <cell r="R63" t="str">
            <v>-</v>
          </cell>
          <cell r="S63">
            <v>1.1961879293167639</v>
          </cell>
          <cell r="T63">
            <v>1.2738018316387603</v>
          </cell>
          <cell r="U63">
            <v>17.184999999999999</v>
          </cell>
          <cell r="V63">
            <v>1.0728833284841433</v>
          </cell>
          <cell r="W63" t="str">
            <v>-</v>
          </cell>
          <cell r="X63">
            <v>0.79647948792551648</v>
          </cell>
          <cell r="Y63">
            <v>5.1141552511415521E-2</v>
          </cell>
          <cell r="Z63" t="str">
            <v>-</v>
          </cell>
          <cell r="AA63">
            <v>3.7966101694915252E-2</v>
          </cell>
        </row>
        <row r="64">
          <cell r="A64" t="str">
            <v>1987</v>
          </cell>
          <cell r="B64">
            <v>0.12489880883543425</v>
          </cell>
          <cell r="C64">
            <v>1.94</v>
          </cell>
          <cell r="D64">
            <v>1.91</v>
          </cell>
          <cell r="E64">
            <v>0.625</v>
          </cell>
          <cell r="F64">
            <v>0.3272251308900524</v>
          </cell>
          <cell r="G64">
            <v>22.375</v>
          </cell>
          <cell r="H64" t="str">
            <v>-</v>
          </cell>
          <cell r="I64">
            <v>13.625</v>
          </cell>
          <cell r="J64">
            <v>11.714659685863875</v>
          </cell>
          <cell r="K64" t="str">
            <v>-</v>
          </cell>
          <cell r="L64">
            <v>7.1335078534031418</v>
          </cell>
          <cell r="M64">
            <v>0.69276520909898731</v>
          </cell>
          <cell r="N64" t="str">
            <v>-</v>
          </cell>
          <cell r="O64">
            <v>0.63408958696916817</v>
          </cell>
          <cell r="P64">
            <v>0.66342739803407769</v>
          </cell>
          <cell r="Q64">
            <v>1.1633227096190542</v>
          </cell>
          <cell r="R64" t="str">
            <v>-</v>
          </cell>
          <cell r="S64">
            <v>0.99629997952557847</v>
          </cell>
          <cell r="T64">
            <v>1.0798113445723163</v>
          </cell>
          <cell r="U64">
            <v>16.149999999999999</v>
          </cell>
          <cell r="V64">
            <v>1.385448916408669</v>
          </cell>
          <cell r="W64" t="str">
            <v>-</v>
          </cell>
          <cell r="X64">
            <v>0.84365325077399389</v>
          </cell>
          <cell r="Y64">
            <v>4.5871559633027525E-2</v>
          </cell>
          <cell r="Z64" t="str">
            <v>-</v>
          </cell>
          <cell r="AA64">
            <v>2.7932960893854747E-2</v>
          </cell>
        </row>
        <row r="65">
          <cell r="A65" t="str">
            <v>1986</v>
          </cell>
          <cell r="B65">
            <v>0.15851272015655576</v>
          </cell>
          <cell r="C65">
            <v>2.2349999999999999</v>
          </cell>
          <cell r="D65">
            <v>1.8</v>
          </cell>
          <cell r="E65">
            <v>0.56000000000000005</v>
          </cell>
          <cell r="F65">
            <v>0.31111111111111112</v>
          </cell>
          <cell r="G65">
            <v>23.375</v>
          </cell>
          <cell r="H65" t="str">
            <v>-</v>
          </cell>
          <cell r="I65">
            <v>16.6875</v>
          </cell>
          <cell r="J65">
            <v>12.986111111111111</v>
          </cell>
          <cell r="K65" t="str">
            <v>-</v>
          </cell>
          <cell r="L65">
            <v>9.2708333333333339</v>
          </cell>
          <cell r="M65">
            <v>0.80910349601938381</v>
          </cell>
          <cell r="N65" t="str">
            <v>-</v>
          </cell>
          <cell r="O65">
            <v>0.72146562905317779</v>
          </cell>
          <cell r="P65">
            <v>0.76528456253628074</v>
          </cell>
          <cell r="Q65">
            <v>1.2681749131944444</v>
          </cell>
          <cell r="R65" t="str">
            <v>-</v>
          </cell>
          <cell r="S65">
            <v>0.98207980225988711</v>
          </cell>
          <cell r="T65">
            <v>1.1251273577271657</v>
          </cell>
          <cell r="U65">
            <v>15.315</v>
          </cell>
          <cell r="V65">
            <v>1.5262814234410709</v>
          </cell>
          <cell r="W65" t="str">
            <v>-</v>
          </cell>
          <cell r="X65">
            <v>1.0896180215475024</v>
          </cell>
          <cell r="Y65">
            <v>3.3558052434456934E-2</v>
          </cell>
          <cell r="Z65" t="str">
            <v>-</v>
          </cell>
          <cell r="AA65">
            <v>2.3957219251336901E-2</v>
          </cell>
        </row>
        <row r="66">
          <cell r="A66" t="str">
            <v>1985</v>
          </cell>
          <cell r="B66">
            <v>0.13522324592487597</v>
          </cell>
          <cell r="C66">
            <v>1.7</v>
          </cell>
          <cell r="D66">
            <v>1.56</v>
          </cell>
          <cell r="E66">
            <v>0.5</v>
          </cell>
          <cell r="F66">
            <v>0.32051282051282048</v>
          </cell>
          <cell r="G66">
            <v>18.125</v>
          </cell>
          <cell r="H66" t="str">
            <v>-</v>
          </cell>
          <cell r="I66">
            <v>12.375</v>
          </cell>
          <cell r="J66">
            <v>11.618589743589743</v>
          </cell>
          <cell r="K66" t="str">
            <v>-</v>
          </cell>
          <cell r="L66">
            <v>7.9326923076923075</v>
          </cell>
          <cell r="M66">
            <v>0.91197721692227174</v>
          </cell>
          <cell r="N66" t="str">
            <v>-</v>
          </cell>
          <cell r="O66">
            <v>0.80616791744840521</v>
          </cell>
          <cell r="P66">
            <v>0.85907256718533853</v>
          </cell>
          <cell r="U66">
            <v>13.58</v>
          </cell>
          <cell r="V66">
            <v>1.3346833578792341</v>
          </cell>
          <cell r="W66" t="str">
            <v>-</v>
          </cell>
          <cell r="X66">
            <v>0.91126656848306331</v>
          </cell>
          <cell r="Y66">
            <v>4.0404040404040407E-2</v>
          </cell>
          <cell r="Z66" t="str">
            <v>-</v>
          </cell>
          <cell r="AA66">
            <v>2.7586206896551724E-2</v>
          </cell>
        </row>
        <row r="67">
          <cell r="A67" t="str">
            <v>1984</v>
          </cell>
          <cell r="B67">
            <v>0.16638241425052114</v>
          </cell>
          <cell r="C67">
            <v>1.57</v>
          </cell>
          <cell r="D67">
            <v>1.45</v>
          </cell>
          <cell r="E67">
            <v>0.45</v>
          </cell>
          <cell r="F67">
            <v>0.31034482758620691</v>
          </cell>
          <cell r="G67">
            <v>13.125</v>
          </cell>
          <cell r="H67" t="str">
            <v>-</v>
          </cell>
          <cell r="I67">
            <v>9.6875</v>
          </cell>
          <cell r="J67">
            <v>9.0517241379310356</v>
          </cell>
          <cell r="K67" t="str">
            <v>-</v>
          </cell>
          <cell r="L67">
            <v>6.681034482758621</v>
          </cell>
          <cell r="M67">
            <v>0.90517241379310354</v>
          </cell>
          <cell r="N67" t="str">
            <v>-</v>
          </cell>
          <cell r="O67">
            <v>0.77059221254424692</v>
          </cell>
          <cell r="P67">
            <v>0.83788231316867523</v>
          </cell>
          <cell r="U67">
            <v>11.895</v>
          </cell>
          <cell r="V67">
            <v>1.1034047919293821</v>
          </cell>
          <cell r="W67" t="str">
            <v>-</v>
          </cell>
          <cell r="X67">
            <v>0.81441782261454398</v>
          </cell>
          <cell r="Y67">
            <v>4.645161290322581E-2</v>
          </cell>
          <cell r="Z67" t="str">
            <v>-</v>
          </cell>
          <cell r="AA67">
            <v>3.4285714285714287E-2</v>
          </cell>
        </row>
        <row r="68">
          <cell r="A68">
            <v>1983</v>
          </cell>
          <cell r="B68">
            <v>0.16662272607434747</v>
          </cell>
          <cell r="C68">
            <v>1.5549999999999999</v>
          </cell>
          <cell r="D68">
            <v>1.42</v>
          </cell>
          <cell r="E68">
            <v>0.4</v>
          </cell>
          <cell r="F68">
            <v>0.28169014084507044</v>
          </cell>
          <cell r="G68">
            <v>13.125</v>
          </cell>
          <cell r="H68" t="str">
            <v>-</v>
          </cell>
          <cell r="I68">
            <v>9.125</v>
          </cell>
          <cell r="J68">
            <v>9.2429577464788739</v>
          </cell>
          <cell r="K68" t="str">
            <v>-</v>
          </cell>
          <cell r="L68">
            <v>6.426056338028169</v>
          </cell>
          <cell r="M68">
            <v>0.76388080549412185</v>
          </cell>
          <cell r="N68" t="str">
            <v>-</v>
          </cell>
          <cell r="O68">
            <v>0.66316370877483688</v>
          </cell>
          <cell r="P68">
            <v>0.71352225713447937</v>
          </cell>
          <cell r="U68">
            <v>10.645</v>
          </cell>
          <cell r="V68">
            <v>1.2329732268670739</v>
          </cell>
          <cell r="W68" t="str">
            <v>-</v>
          </cell>
          <cell r="X68">
            <v>0.85720995772663222</v>
          </cell>
          <cell r="Y68">
            <v>4.3835616438356165E-2</v>
          </cell>
          <cell r="Z68" t="str">
            <v>-</v>
          </cell>
          <cell r="AA68">
            <v>3.0476190476190476E-2</v>
          </cell>
        </row>
        <row r="69">
          <cell r="A69" t="str">
            <v>1982</v>
          </cell>
          <cell r="B69">
            <v>0.15163934426229508</v>
          </cell>
          <cell r="C69">
            <v>1.3149999999999999</v>
          </cell>
          <cell r="D69">
            <v>1.21</v>
          </cell>
          <cell r="E69">
            <v>0.36499999999999999</v>
          </cell>
          <cell r="F69">
            <v>0.30165289256198347</v>
          </cell>
          <cell r="G69">
            <v>9.5625</v>
          </cell>
          <cell r="H69" t="str">
            <v>-</v>
          </cell>
          <cell r="I69">
            <v>5.25</v>
          </cell>
          <cell r="J69">
            <v>7.9028925619834709</v>
          </cell>
          <cell r="K69" t="str">
            <v>-</v>
          </cell>
          <cell r="L69">
            <v>4.338842975206612</v>
          </cell>
          <cell r="M69">
            <v>0.69262862068216224</v>
          </cell>
          <cell r="N69" t="str">
            <v>-</v>
          </cell>
          <cell r="O69">
            <v>0.53107013160423644</v>
          </cell>
          <cell r="P69">
            <v>0.61184937614319934</v>
          </cell>
          <cell r="U69">
            <v>9.4450000000000003</v>
          </cell>
          <cell r="V69">
            <v>1.0124404446797246</v>
          </cell>
          <cell r="W69" t="str">
            <v>-</v>
          </cell>
          <cell r="X69">
            <v>0.55584965590259394</v>
          </cell>
          <cell r="Y69">
            <v>6.9523809523809516E-2</v>
          </cell>
          <cell r="Z69" t="str">
            <v>-</v>
          </cell>
          <cell r="AA69">
            <v>3.8169934640522873E-2</v>
          </cell>
        </row>
        <row r="70">
          <cell r="A70" t="str">
            <v>1981</v>
          </cell>
          <cell r="C70">
            <v>1.0549999999999999</v>
          </cell>
          <cell r="D70">
            <v>1.0900000000000001</v>
          </cell>
          <cell r="E70">
            <v>0.33500000000000002</v>
          </cell>
          <cell r="F70">
            <v>0.30733944954128439</v>
          </cell>
          <cell r="G70">
            <v>7.75</v>
          </cell>
          <cell r="H70" t="str">
            <v>-</v>
          </cell>
          <cell r="I70">
            <v>5.875</v>
          </cell>
          <cell r="J70">
            <v>7.1100917431192654</v>
          </cell>
          <cell r="K70" t="str">
            <v>-</v>
          </cell>
          <cell r="L70">
            <v>5.3899082568807337</v>
          </cell>
          <cell r="M70">
            <v>0.79001019367991843</v>
          </cell>
          <cell r="N70" t="str">
            <v>-</v>
          </cell>
          <cell r="O70">
            <v>0.73332085127629032</v>
          </cell>
          <cell r="P70">
            <v>0.76166552247810437</v>
          </cell>
          <cell r="Q70" t="str">
            <v xml:space="preserve">         </v>
          </cell>
          <cell r="S70" t="str">
            <v xml:space="preserve">         </v>
          </cell>
          <cell r="T70" t="str">
            <v xml:space="preserve">         </v>
          </cell>
          <cell r="U70">
            <v>7.8650000000000002</v>
          </cell>
          <cell r="V70">
            <v>0.98537825810553081</v>
          </cell>
          <cell r="W70" t="str">
            <v>-</v>
          </cell>
          <cell r="X70">
            <v>0.74698029243483788</v>
          </cell>
          <cell r="Y70">
            <v>5.7021276595744685E-2</v>
          </cell>
          <cell r="Z70" t="str">
            <v>-</v>
          </cell>
          <cell r="AA70">
            <v>4.3225806451612905E-2</v>
          </cell>
        </row>
        <row r="72">
          <cell r="A72" t="str">
            <v>Average</v>
          </cell>
          <cell r="J72">
            <v>11.693615517702954</v>
          </cell>
          <cell r="K72" t="str">
            <v>-</v>
          </cell>
          <cell r="L72">
            <v>8.0203213177259265</v>
          </cell>
          <cell r="M72">
            <v>0.72031350785808645</v>
          </cell>
          <cell r="N72" t="str">
            <v>-</v>
          </cell>
          <cell r="O72">
            <v>0.62450756495437132</v>
          </cell>
          <cell r="P72">
            <v>0.67241053640622894</v>
          </cell>
          <cell r="Q72">
            <v>1.0947359280188751</v>
          </cell>
          <cell r="R72" t="str">
            <v>-</v>
          </cell>
          <cell r="S72">
            <v>0.96551109193968432</v>
          </cell>
          <cell r="T72">
            <v>1.0301235099792798</v>
          </cell>
          <cell r="V72">
            <v>1.4266772048641099</v>
          </cell>
          <cell r="W72" t="str">
            <v>-</v>
          </cell>
          <cell r="X72">
            <v>0.97926990074740894</v>
          </cell>
          <cell r="Y72">
            <v>4.98028699124487E-2</v>
          </cell>
          <cell r="Z72" t="str">
            <v>-</v>
          </cell>
          <cell r="AA72">
            <v>3.3563964189190401E-2</v>
          </cell>
        </row>
        <row r="74">
          <cell r="A74" t="str">
            <v>1-Yr. Growth</v>
          </cell>
          <cell r="C74">
            <v>-9.977324263038545E-2</v>
          </cell>
          <cell r="D74">
            <v>0.12391304347826093</v>
          </cell>
          <cell r="E74">
            <v>9.9999999999999867E-2</v>
          </cell>
          <cell r="U74">
            <v>4.1477640959170392E-2</v>
          </cell>
        </row>
        <row r="75">
          <cell r="A75" t="str">
            <v>3-Yr. Growth</v>
          </cell>
          <cell r="C75">
            <v>0.21931372944343641</v>
          </cell>
          <cell r="D75">
            <v>0.1399567435536675</v>
          </cell>
          <cell r="E75">
            <v>7.9265291666473336E-2</v>
          </cell>
          <cell r="U75">
            <v>6.9128831169695815E-2</v>
          </cell>
        </row>
        <row r="76">
          <cell r="A76" t="str">
            <v>5-Yr. Growth</v>
          </cell>
          <cell r="C76">
            <v>8.5018931804756281E-2</v>
          </cell>
          <cell r="D76">
            <v>0.15003612844710013</v>
          </cell>
          <cell r="E76">
            <v>7.2551603577834634E-2</v>
          </cell>
          <cell r="U76">
            <v>6.6993932356916641E-2</v>
          </cell>
        </row>
        <row r="77">
          <cell r="A77" t="str">
            <v>10-Yr. Growth</v>
          </cell>
          <cell r="C77">
            <v>5.4058624225904461E-2</v>
          </cell>
          <cell r="D77">
            <v>0.10763777840461608</v>
          </cell>
          <cell r="E77">
            <v>8.3399317474955215E-2</v>
          </cell>
          <cell r="U77">
            <v>5.6387848357350112E-2</v>
          </cell>
        </row>
        <row r="79">
          <cell r="A79" t="str">
            <v>ARM Financial ('97 data are pro forma for the company's IPO)</v>
          </cell>
        </row>
        <row r="80">
          <cell r="A80">
            <v>1998</v>
          </cell>
          <cell r="B80">
            <v>0.16900000000000001</v>
          </cell>
          <cell r="C80">
            <v>1.5348493555537313</v>
          </cell>
          <cell r="D80">
            <v>1.7767424677776866</v>
          </cell>
          <cell r="E80">
            <v>0.14000000000000001</v>
          </cell>
          <cell r="F80">
            <v>7.8795887720919486E-2</v>
          </cell>
          <cell r="G80">
            <v>37.833330000000004</v>
          </cell>
          <cell r="H80" t="str">
            <v>-</v>
          </cell>
          <cell r="I80">
            <v>18.83333</v>
          </cell>
          <cell r="J80">
            <v>21.293648734203536</v>
          </cell>
          <cell r="K80" t="str">
            <v>-</v>
          </cell>
          <cell r="L80">
            <v>10.59992111493589</v>
          </cell>
          <cell r="M80">
            <v>0.68810574777458022</v>
          </cell>
          <cell r="N80" t="str">
            <v>-</v>
          </cell>
          <cell r="O80">
            <v>0.46715689279917488</v>
          </cell>
          <cell r="P80">
            <v>0.57763132028687758</v>
          </cell>
          <cell r="Q80" t="e">
            <v>#VALUE!</v>
          </cell>
          <cell r="R80" t="str">
            <v>-</v>
          </cell>
          <cell r="S80">
            <v>2.2348916412141397E-2</v>
          </cell>
          <cell r="U80">
            <v>11.15</v>
          </cell>
          <cell r="V80">
            <v>3.3931237668161436</v>
          </cell>
          <cell r="W80" t="str">
            <v>-</v>
          </cell>
          <cell r="X80">
            <v>1.6890878923766817</v>
          </cell>
          <cell r="Y80">
            <v>7.433629634270732E-3</v>
          </cell>
          <cell r="Z80" t="str">
            <v>-</v>
          </cell>
          <cell r="AA80">
            <v>3.7004408546643924E-3</v>
          </cell>
        </row>
        <row r="81">
          <cell r="A81">
            <v>1997</v>
          </cell>
          <cell r="B81">
            <v>0.10299999999999999</v>
          </cell>
          <cell r="C81">
            <v>1.07</v>
          </cell>
          <cell r="D81">
            <v>1.51</v>
          </cell>
          <cell r="E81">
            <v>0.08</v>
          </cell>
          <cell r="F81">
            <v>5.2980132450331126E-2</v>
          </cell>
          <cell r="G81">
            <v>26.5</v>
          </cell>
          <cell r="H81" t="str">
            <v>-</v>
          </cell>
          <cell r="I81">
            <v>18.25</v>
          </cell>
          <cell r="J81">
            <v>17.549668874172184</v>
          </cell>
          <cell r="K81" t="str">
            <v>-</v>
          </cell>
          <cell r="L81">
            <v>12.086092715231787</v>
          </cell>
          <cell r="M81">
            <v>0.79807498290914891</v>
          </cell>
          <cell r="N81" t="str">
            <v>-</v>
          </cell>
          <cell r="O81">
            <v>0.74284528059199684</v>
          </cell>
          <cell r="P81">
            <v>0.77046013175057282</v>
          </cell>
          <cell r="Q81" t="e">
            <v>#VALUE!</v>
          </cell>
          <cell r="R81" t="str">
            <v>-</v>
          </cell>
          <cell r="S81">
            <v>4.7354648540293351E-2</v>
          </cell>
          <cell r="U81">
            <v>9.6999999999999993</v>
          </cell>
          <cell r="V81">
            <v>2.731958762886598</v>
          </cell>
          <cell r="W81" t="str">
            <v>-</v>
          </cell>
          <cell r="X81">
            <v>1.8814432989690724</v>
          </cell>
          <cell r="Y81">
            <v>4.3835616438356161E-3</v>
          </cell>
          <cell r="Z81" t="str">
            <v>-</v>
          </cell>
          <cell r="AA81">
            <v>3.0188679245283017E-3</v>
          </cell>
        </row>
        <row r="83">
          <cell r="A83" t="str">
            <v>Average</v>
          </cell>
          <cell r="J83">
            <v>19.42165880418786</v>
          </cell>
          <cell r="K83" t="str">
            <v>-</v>
          </cell>
          <cell r="L83">
            <v>11.343006915083839</v>
          </cell>
          <cell r="M83">
            <v>0.74309036534186457</v>
          </cell>
          <cell r="N83" t="str">
            <v>-</v>
          </cell>
          <cell r="O83">
            <v>0.60500108669558583</v>
          </cell>
          <cell r="P83">
            <v>0.67404572601872514</v>
          </cell>
          <cell r="Q83" t="e">
            <v>#VALUE!</v>
          </cell>
          <cell r="R83" t="str">
            <v>-</v>
          </cell>
          <cell r="S83">
            <v>3.4851782476217376E-2</v>
          </cell>
          <cell r="V83">
            <v>3.0625412648513706</v>
          </cell>
          <cell r="W83" t="str">
            <v>-</v>
          </cell>
          <cell r="X83">
            <v>1.7852655956728771</v>
          </cell>
          <cell r="Y83">
            <v>5.9085956390531741E-3</v>
          </cell>
          <cell r="Z83" t="str">
            <v>-</v>
          </cell>
          <cell r="AA83">
            <v>3.359654389596347E-3</v>
          </cell>
        </row>
        <row r="85">
          <cell r="A85" t="str">
            <v>1-Yr. Growth</v>
          </cell>
          <cell r="C85">
            <v>0.43443865005021598</v>
          </cell>
          <cell r="D85">
            <v>0.17665064091237515</v>
          </cell>
          <cell r="E85">
            <v>0.75000000000000022</v>
          </cell>
          <cell r="U85">
            <v>0.14948453608247436</v>
          </cell>
        </row>
        <row r="87">
          <cell r="A87" t="str">
            <v>(a) Operating earnings exclude realized investment gains/losses.  Book value and ROAE exclude the effect of FAS 115.</v>
          </cell>
        </row>
        <row r="88">
          <cell r="A88" t="str">
            <v>(b) 1990 dividend excludes special dividends totaling $0.61.</v>
          </cell>
        </row>
        <row r="89">
          <cell r="A89" t="str">
            <v>Source: ILX, Company Reports, Morgan Stanley Dean Witter Research</v>
          </cell>
        </row>
        <row r="92">
          <cell r="A92" t="str">
            <v>Table 28 (continued)</v>
          </cell>
        </row>
        <row r="93">
          <cell r="A93" t="str">
            <v>Life Insurance Stocks Valuation Summary (a)</v>
          </cell>
        </row>
        <row r="95">
          <cell r="F95" t="str">
            <v>Oper'g</v>
          </cell>
          <cell r="N95" t="str">
            <v>P/E Rel</v>
          </cell>
          <cell r="R95" t="str">
            <v>P/E Rel</v>
          </cell>
        </row>
        <row r="96">
          <cell r="C96" t="str">
            <v>Rep'd</v>
          </cell>
          <cell r="D96" t="str">
            <v>Op'g</v>
          </cell>
          <cell r="F96" t="str">
            <v>Payout</v>
          </cell>
          <cell r="K96" t="str">
            <v>P/E Range</v>
          </cell>
          <cell r="N96" t="str">
            <v xml:space="preserve"> to S&amp;P500</v>
          </cell>
          <cell r="P96" t="str">
            <v>Mean</v>
          </cell>
          <cell r="R96" t="str">
            <v>to MSLII</v>
          </cell>
          <cell r="T96" t="str">
            <v>Mean</v>
          </cell>
          <cell r="U96" t="str">
            <v>Ending</v>
          </cell>
          <cell r="Y96" t="str">
            <v>Yield Range</v>
          </cell>
        </row>
        <row r="97">
          <cell r="A97" t="str">
            <v>Year</v>
          </cell>
          <cell r="B97" t="str">
            <v>ROAE</v>
          </cell>
          <cell r="C97" t="str">
            <v>EPS</v>
          </cell>
          <cell r="D97" t="str">
            <v>EPS</v>
          </cell>
          <cell r="E97" t="str">
            <v>Div'd</v>
          </cell>
          <cell r="F97" t="str">
            <v>Ratio</v>
          </cell>
          <cell r="H97" t="str">
            <v>Price Range</v>
          </cell>
          <cell r="K97" t="str">
            <v>(Op. EPS)</v>
          </cell>
          <cell r="N97" t="str">
            <v>High-Low</v>
          </cell>
          <cell r="P97" t="str">
            <v>Rel P/E</v>
          </cell>
          <cell r="R97" t="str">
            <v>High-Low</v>
          </cell>
          <cell r="T97" t="str">
            <v>Rel P/E</v>
          </cell>
          <cell r="U97" t="str">
            <v>BV</v>
          </cell>
          <cell r="X97" t="str">
            <v>P/BV Range</v>
          </cell>
          <cell r="Y97" t="str">
            <v>High-Low</v>
          </cell>
        </row>
        <row r="99">
          <cell r="A99" t="str">
            <v>Conseco (1998 includes Green Tree acquisition; prior years have not been restated)</v>
          </cell>
        </row>
        <row r="100">
          <cell r="A100">
            <v>2000</v>
          </cell>
          <cell r="B100">
            <v>-0.22800000000000001</v>
          </cell>
          <cell r="C100">
            <v>-3.69</v>
          </cell>
          <cell r="D100">
            <v>-1.91</v>
          </cell>
          <cell r="E100">
            <v>0.1</v>
          </cell>
          <cell r="F100">
            <v>-5.2356020942408384E-2</v>
          </cell>
          <cell r="G100">
            <v>18.5</v>
          </cell>
          <cell r="H100" t="str">
            <v>-</v>
          </cell>
          <cell r="I100">
            <v>4.5</v>
          </cell>
          <cell r="J100" t="str">
            <v>NM</v>
          </cell>
          <cell r="K100" t="str">
            <v>-</v>
          </cell>
          <cell r="L100">
            <v>2.7</v>
          </cell>
          <cell r="M100" t="str">
            <v>NM</v>
          </cell>
          <cell r="N100" t="str">
            <v>-</v>
          </cell>
          <cell r="O100">
            <v>0.1</v>
          </cell>
          <cell r="P100" t="str">
            <v>NM</v>
          </cell>
          <cell r="Q100" t="str">
            <v>NM</v>
          </cell>
          <cell r="R100" t="str">
            <v>-</v>
          </cell>
          <cell r="S100">
            <v>0.18867924528301888</v>
          </cell>
          <cell r="T100" t="str">
            <v>NM</v>
          </cell>
          <cell r="U100">
            <v>11.95</v>
          </cell>
          <cell r="V100">
            <v>1.19</v>
          </cell>
          <cell r="W100" t="str">
            <v>-</v>
          </cell>
          <cell r="X100">
            <v>0.3</v>
          </cell>
          <cell r="Y100">
            <v>4.3999999999999997E-2</v>
          </cell>
          <cell r="Z100" t="str">
            <v>-</v>
          </cell>
          <cell r="AA100">
            <v>1.2999999999999999E-2</v>
          </cell>
        </row>
        <row r="101">
          <cell r="A101">
            <v>1999</v>
          </cell>
          <cell r="B101">
            <v>0.17912214313101171</v>
          </cell>
          <cell r="C101">
            <v>2.89</v>
          </cell>
          <cell r="D101">
            <v>3.23</v>
          </cell>
          <cell r="E101">
            <v>0.57999999999999996</v>
          </cell>
          <cell r="F101">
            <v>0.17956656346749225</v>
          </cell>
          <cell r="G101" t="e">
            <v>#N/A</v>
          </cell>
          <cell r="H101" t="str">
            <v>-</v>
          </cell>
          <cell r="I101" t="e">
            <v>#N/A</v>
          </cell>
          <cell r="J101" t="e">
            <v>#N/A</v>
          </cell>
          <cell r="K101" t="str">
            <v>-</v>
          </cell>
          <cell r="L101" t="e">
            <v>#N/A</v>
          </cell>
          <cell r="M101" t="e">
            <v>#N/A</v>
          </cell>
          <cell r="N101" t="str">
            <v>-</v>
          </cell>
          <cell r="O101" t="e">
            <v>#N/A</v>
          </cell>
          <cell r="P101" t="e">
            <v>#N/A</v>
          </cell>
          <cell r="Q101" t="e">
            <v>#N/A</v>
          </cell>
          <cell r="R101" t="str">
            <v>-</v>
          </cell>
          <cell r="S101" t="e">
            <v>#N/A</v>
          </cell>
          <cell r="T101" t="e">
            <v>#N/A</v>
          </cell>
          <cell r="U101">
            <v>18.97</v>
          </cell>
          <cell r="V101" t="e">
            <v>#N/A</v>
          </cell>
          <cell r="W101" t="str">
            <v>-</v>
          </cell>
          <cell r="X101" t="e">
            <v>#N/A</v>
          </cell>
          <cell r="Y101" t="e">
            <v>#N/A</v>
          </cell>
          <cell r="Z101" t="str">
            <v>-</v>
          </cell>
          <cell r="AA101" t="e">
            <v>#N/A</v>
          </cell>
        </row>
        <row r="102">
          <cell r="A102">
            <v>1998</v>
          </cell>
          <cell r="B102">
            <v>0.11593660055987068</v>
          </cell>
          <cell r="C102">
            <v>1.77</v>
          </cell>
          <cell r="D102">
            <v>3.15</v>
          </cell>
          <cell r="E102">
            <v>0.14000000000000001</v>
          </cell>
          <cell r="F102">
            <v>4.4444444444444453E-2</v>
          </cell>
          <cell r="G102">
            <v>58.125</v>
          </cell>
          <cell r="H102" t="str">
            <v>-</v>
          </cell>
          <cell r="I102">
            <v>21.9375</v>
          </cell>
          <cell r="J102">
            <v>18.452380952380953</v>
          </cell>
          <cell r="K102" t="str">
            <v>-</v>
          </cell>
          <cell r="L102">
            <v>6.9642857142857144</v>
          </cell>
          <cell r="M102">
            <v>0.59628998073328277</v>
          </cell>
          <cell r="N102" t="str">
            <v>-</v>
          </cell>
          <cell r="O102">
            <v>0.30692814027334142</v>
          </cell>
          <cell r="P102">
            <v>0.45160906050331207</v>
          </cell>
          <cell r="Q102">
            <v>1.0847960583410319</v>
          </cell>
          <cell r="R102" t="str">
            <v>-</v>
          </cell>
          <cell r="S102">
            <v>0.48667265648397723</v>
          </cell>
          <cell r="T102">
            <v>0.78573435741250452</v>
          </cell>
          <cell r="U102">
            <v>17.579999999999998</v>
          </cell>
          <cell r="V102">
            <v>3.3063139931740619</v>
          </cell>
          <cell r="W102" t="str">
            <v>-</v>
          </cell>
          <cell r="X102">
            <v>1.2478668941979523</v>
          </cell>
          <cell r="Y102">
            <v>6.381766381766382E-3</v>
          </cell>
          <cell r="Z102" t="str">
            <v>-</v>
          </cell>
          <cell r="AA102">
            <v>2.4086021505376346E-3</v>
          </cell>
        </row>
        <row r="103">
          <cell r="A103">
            <v>1997</v>
          </cell>
          <cell r="B103">
            <v>0.16821099761308206</v>
          </cell>
          <cell r="C103">
            <v>2.64</v>
          </cell>
          <cell r="D103">
            <v>2.74</v>
          </cell>
          <cell r="E103">
            <v>0.215</v>
          </cell>
          <cell r="F103">
            <v>7.846715328467152E-2</v>
          </cell>
          <cell r="G103">
            <v>50.0625</v>
          </cell>
          <cell r="H103" t="str">
            <v>-</v>
          </cell>
          <cell r="I103">
            <v>30.75</v>
          </cell>
          <cell r="J103">
            <v>18.270985401459853</v>
          </cell>
          <cell r="K103" t="str">
            <v>-</v>
          </cell>
          <cell r="L103">
            <v>11.222627737226276</v>
          </cell>
          <cell r="M103">
            <v>0.83087700779717388</v>
          </cell>
          <cell r="N103" t="str">
            <v>-</v>
          </cell>
          <cell r="O103">
            <v>0.68977429239251853</v>
          </cell>
          <cell r="P103">
            <v>0.76032565009484621</v>
          </cell>
          <cell r="Q103">
            <v>1.176496162360583</v>
          </cell>
          <cell r="R103" t="str">
            <v>-</v>
          </cell>
          <cell r="S103">
            <v>0.98617115441355663</v>
          </cell>
          <cell r="T103">
            <v>1.0813336583870699</v>
          </cell>
          <cell r="U103">
            <v>19.2</v>
          </cell>
          <cell r="V103">
            <v>2.607421875</v>
          </cell>
          <cell r="W103" t="str">
            <v>-</v>
          </cell>
          <cell r="X103">
            <v>1.6015625</v>
          </cell>
          <cell r="Y103">
            <v>6.9918699186991866E-3</v>
          </cell>
          <cell r="Z103" t="str">
            <v>-</v>
          </cell>
          <cell r="AA103">
            <v>4.2946317103620471E-3</v>
          </cell>
        </row>
        <row r="104">
          <cell r="A104">
            <v>1996</v>
          </cell>
          <cell r="B104">
            <v>0.12461059190031153</v>
          </cell>
          <cell r="C104">
            <v>1.82</v>
          </cell>
          <cell r="D104">
            <v>1.93</v>
          </cell>
          <cell r="E104">
            <v>5.6300000000000003E-2</v>
          </cell>
          <cell r="F104">
            <v>2.9170984455958553E-2</v>
          </cell>
          <cell r="G104">
            <v>32.81</v>
          </cell>
          <cell r="H104" t="str">
            <v>-</v>
          </cell>
          <cell r="I104">
            <v>15.13</v>
          </cell>
          <cell r="J104">
            <v>17</v>
          </cell>
          <cell r="K104" t="str">
            <v>-</v>
          </cell>
          <cell r="L104">
            <v>7.8393782383419692</v>
          </cell>
          <cell r="M104">
            <v>0.92091007583965323</v>
          </cell>
          <cell r="N104" t="str">
            <v>-</v>
          </cell>
          <cell r="O104">
            <v>0.53694371495492943</v>
          </cell>
          <cell r="P104">
            <v>0.72892689539729139</v>
          </cell>
          <cell r="Q104">
            <v>1.408450704225352</v>
          </cell>
          <cell r="R104" t="str">
            <v>-</v>
          </cell>
          <cell r="S104">
            <v>0.79105733989323601</v>
          </cell>
          <cell r="T104">
            <v>1.0997540220592941</v>
          </cell>
          <cell r="U104">
            <v>16.62</v>
          </cell>
          <cell r="V104">
            <v>1.9741275571600481</v>
          </cell>
          <cell r="W104" t="str">
            <v>-</v>
          </cell>
          <cell r="X104">
            <v>0.91034897713598073</v>
          </cell>
          <cell r="Y104">
            <v>3.7210839391936552E-3</v>
          </cell>
          <cell r="Z104" t="str">
            <v>-</v>
          </cell>
          <cell r="AA104">
            <v>1.7159402621152087E-3</v>
          </cell>
        </row>
        <row r="105">
          <cell r="A105">
            <v>1995</v>
          </cell>
          <cell r="B105">
            <v>0.21446013377216264</v>
          </cell>
          <cell r="C105">
            <v>2.11</v>
          </cell>
          <cell r="D105">
            <v>1.26</v>
          </cell>
          <cell r="E105">
            <v>7.2499999999999995E-2</v>
          </cell>
          <cell r="F105">
            <v>5.7539682539682536E-2</v>
          </cell>
          <cell r="G105">
            <v>15.78</v>
          </cell>
          <cell r="H105" t="str">
            <v>-</v>
          </cell>
          <cell r="I105">
            <v>8.1300000000000008</v>
          </cell>
          <cell r="J105">
            <v>12.523809523809524</v>
          </cell>
          <cell r="K105" t="str">
            <v>-</v>
          </cell>
          <cell r="L105">
            <v>6.4523809523809526</v>
          </cell>
          <cell r="M105">
            <v>0.76318156756913613</v>
          </cell>
          <cell r="N105" t="str">
            <v>-</v>
          </cell>
          <cell r="O105">
            <v>0.53237466603803241</v>
          </cell>
          <cell r="P105">
            <v>0.64777811680358433</v>
          </cell>
          <cell r="Q105">
            <v>1.1596119929453261</v>
          </cell>
          <cell r="R105" t="str">
            <v>-</v>
          </cell>
          <cell r="S105">
            <v>0.76179232023387866</v>
          </cell>
          <cell r="T105">
            <v>0.96070215658960234</v>
          </cell>
          <cell r="U105">
            <v>8.83</v>
          </cell>
          <cell r="V105">
            <v>1.7870894677236693</v>
          </cell>
          <cell r="W105" t="str">
            <v>-</v>
          </cell>
          <cell r="X105">
            <v>0.92072480181200456</v>
          </cell>
          <cell r="Y105">
            <v>8.9175891758917578E-3</v>
          </cell>
          <cell r="Z105" t="str">
            <v>-</v>
          </cell>
          <cell r="AA105">
            <v>4.5944233206590621E-3</v>
          </cell>
        </row>
        <row r="106">
          <cell r="A106">
            <v>1994</v>
          </cell>
          <cell r="B106">
            <v>0.13588329295324503</v>
          </cell>
          <cell r="C106">
            <v>1.22</v>
          </cell>
          <cell r="D106">
            <v>1.22</v>
          </cell>
          <cell r="E106">
            <v>0.125</v>
          </cell>
          <cell r="F106">
            <v>0.10245901639344263</v>
          </cell>
          <cell r="G106">
            <v>16.559999999999999</v>
          </cell>
          <cell r="H106" t="str">
            <v>-</v>
          </cell>
          <cell r="I106">
            <v>8.9700000000000006</v>
          </cell>
          <cell r="J106">
            <v>13.573770491803279</v>
          </cell>
          <cell r="K106" t="str">
            <v>-</v>
          </cell>
          <cell r="L106">
            <v>7.3524590163934436</v>
          </cell>
          <cell r="M106">
            <v>0.89714279522824047</v>
          </cell>
          <cell r="N106" t="str">
            <v>-</v>
          </cell>
          <cell r="O106">
            <v>0.53472429210134131</v>
          </cell>
          <cell r="P106">
            <v>0.71593354366479089</v>
          </cell>
          <cell r="Q106">
            <v>1.2721434387819379</v>
          </cell>
          <cell r="R106" t="str">
            <v>-</v>
          </cell>
          <cell r="S106">
            <v>0.87948074358773254</v>
          </cell>
          <cell r="T106">
            <v>1.0758120911848352</v>
          </cell>
          <cell r="U106">
            <v>6.77</v>
          </cell>
          <cell r="V106">
            <v>2.446085672082718</v>
          </cell>
          <cell r="W106" t="str">
            <v>-</v>
          </cell>
          <cell r="X106">
            <v>1.3249630723781389</v>
          </cell>
          <cell r="Y106">
            <v>1.3935340022296542E-2</v>
          </cell>
          <cell r="Z106" t="str">
            <v>-</v>
          </cell>
          <cell r="AA106">
            <v>7.5483091787439619E-3</v>
          </cell>
        </row>
        <row r="107">
          <cell r="A107">
            <v>1993</v>
          </cell>
          <cell r="B107">
            <v>0.34218508201795106</v>
          </cell>
          <cell r="C107">
            <v>2.19</v>
          </cell>
          <cell r="D107">
            <v>1.19</v>
          </cell>
          <cell r="E107">
            <v>0.05</v>
          </cell>
          <cell r="F107">
            <v>4.2016806722689079E-2</v>
          </cell>
          <cell r="G107">
            <v>18.940000000000001</v>
          </cell>
          <cell r="H107" t="str">
            <v>-</v>
          </cell>
          <cell r="I107">
            <v>11.16</v>
          </cell>
          <cell r="J107">
            <v>15.915966386554624</v>
          </cell>
          <cell r="K107" t="str">
            <v>-</v>
          </cell>
          <cell r="L107">
            <v>9.3781512605042021</v>
          </cell>
          <cell r="M107">
            <v>0.90896438529723711</v>
          </cell>
          <cell r="N107" t="str">
            <v>-</v>
          </cell>
          <cell r="O107">
            <v>0.58760346243760664</v>
          </cell>
          <cell r="P107">
            <v>0.74828392386742193</v>
          </cell>
          <cell r="Q107">
            <v>1.2887422175347873</v>
          </cell>
          <cell r="R107" t="str">
            <v>-</v>
          </cell>
          <cell r="S107">
            <v>0.88892429009518492</v>
          </cell>
          <cell r="T107">
            <v>1.0888332538149861</v>
          </cell>
          <cell r="U107">
            <v>7.58</v>
          </cell>
          <cell r="V107">
            <v>2.4986807387862799</v>
          </cell>
          <cell r="W107" t="str">
            <v>-</v>
          </cell>
          <cell r="X107">
            <v>1.4722955145118735</v>
          </cell>
          <cell r="Y107">
            <v>4.4802867383512543E-3</v>
          </cell>
          <cell r="Z107" t="str">
            <v>-</v>
          </cell>
          <cell r="AA107">
            <v>2.6399155227032735E-3</v>
          </cell>
        </row>
        <row r="108">
          <cell r="A108">
            <v>1992</v>
          </cell>
          <cell r="B108">
            <v>0.33067849581611053</v>
          </cell>
          <cell r="C108">
            <v>1.35</v>
          </cell>
          <cell r="D108">
            <v>0.9</v>
          </cell>
          <cell r="E108">
            <v>0.02</v>
          </cell>
          <cell r="F108">
            <v>2.2222222222222223E-2</v>
          </cell>
          <cell r="G108">
            <v>11.85</v>
          </cell>
          <cell r="H108" t="str">
            <v>-</v>
          </cell>
          <cell r="I108">
            <v>5.16</v>
          </cell>
          <cell r="J108">
            <v>13.166666666666666</v>
          </cell>
          <cell r="K108" t="str">
            <v>-</v>
          </cell>
          <cell r="L108">
            <v>5.7333333333333334</v>
          </cell>
          <cell r="M108">
            <v>0.69517775431186191</v>
          </cell>
          <cell r="N108" t="str">
            <v>-</v>
          </cell>
          <cell r="O108">
            <v>0.33864934042134281</v>
          </cell>
          <cell r="P108">
            <v>0.51691354736660233</v>
          </cell>
          <cell r="Q108">
            <v>1.1915535444947207</v>
          </cell>
          <cell r="R108" t="str">
            <v>-</v>
          </cell>
          <cell r="S108">
            <v>0.63916759568933479</v>
          </cell>
          <cell r="T108">
            <v>0.91536057009202776</v>
          </cell>
          <cell r="U108">
            <v>5.12</v>
          </cell>
          <cell r="V108">
            <v>2.314453125</v>
          </cell>
          <cell r="W108" t="str">
            <v>-</v>
          </cell>
          <cell r="X108">
            <v>1.0078125</v>
          </cell>
          <cell r="Y108">
            <v>3.875968992248062E-3</v>
          </cell>
          <cell r="Z108" t="str">
            <v>-</v>
          </cell>
          <cell r="AA108">
            <v>1.6877637130801688E-3</v>
          </cell>
        </row>
        <row r="109">
          <cell r="A109" t="str">
            <v>1991</v>
          </cell>
          <cell r="C109">
            <v>1</v>
          </cell>
          <cell r="D109">
            <v>0.52</v>
          </cell>
          <cell r="E109">
            <v>1.6299999999999999E-2</v>
          </cell>
          <cell r="F109">
            <v>3.1346153846153843E-2</v>
          </cell>
          <cell r="G109">
            <v>8.43</v>
          </cell>
          <cell r="H109" t="str">
            <v>-</v>
          </cell>
          <cell r="I109">
            <v>1.5</v>
          </cell>
          <cell r="J109">
            <v>16.21153846153846</v>
          </cell>
          <cell r="K109" t="str">
            <v>-</v>
          </cell>
          <cell r="L109">
            <v>2.8846153846153846</v>
          </cell>
          <cell r="M109">
            <v>0.82417582417582402</v>
          </cell>
          <cell r="N109" t="str">
            <v>-</v>
          </cell>
          <cell r="O109">
            <v>0.19636592134890296</v>
          </cell>
          <cell r="P109">
            <v>0.51027087276236349</v>
          </cell>
          <cell r="Q109">
            <v>1.6441722577625213</v>
          </cell>
          <cell r="R109" t="str">
            <v>-</v>
          </cell>
          <cell r="S109">
            <v>0.40287924366136657</v>
          </cell>
          <cell r="T109">
            <v>1.023525750711944</v>
          </cell>
          <cell r="U109">
            <v>3.87</v>
          </cell>
          <cell r="V109">
            <v>2.1782945736434107</v>
          </cell>
          <cell r="W109" t="str">
            <v>-</v>
          </cell>
          <cell r="X109">
            <v>0.38759689922480617</v>
          </cell>
          <cell r="Y109">
            <v>1.0866666666666665E-2</v>
          </cell>
          <cell r="Z109" t="str">
            <v>-</v>
          </cell>
          <cell r="AA109">
            <v>1.9335705812574139E-3</v>
          </cell>
        </row>
        <row r="110">
          <cell r="A110">
            <v>1990</v>
          </cell>
          <cell r="B110" t="e">
            <v>#DIV/0!</v>
          </cell>
          <cell r="F110" t="e">
            <v>#DIV/0!</v>
          </cell>
          <cell r="H110" t="str">
            <v>-</v>
          </cell>
          <cell r="J110" t="e">
            <v>#DIV/0!</v>
          </cell>
          <cell r="K110" t="str">
            <v>-</v>
          </cell>
          <cell r="L110" t="e">
            <v>#DIV/0!</v>
          </cell>
          <cell r="M110" t="e">
            <v>#DIV/0!</v>
          </cell>
          <cell r="N110" t="str">
            <v>-</v>
          </cell>
          <cell r="O110" t="e">
            <v>#DIV/0!</v>
          </cell>
          <cell r="P110" t="e">
            <v>#DIV/0!</v>
          </cell>
          <cell r="Q110" t="e">
            <v>#VALUE!</v>
          </cell>
          <cell r="R110" t="str">
            <v>-</v>
          </cell>
          <cell r="S110" t="e">
            <v>#DIV/0!</v>
          </cell>
          <cell r="V110" t="e">
            <v>#DIV/0!</v>
          </cell>
          <cell r="W110" t="str">
            <v>-</v>
          </cell>
          <cell r="X110" t="e">
            <v>#DIV/0!</v>
          </cell>
          <cell r="Y110" t="e">
            <v>#DIV/0!</v>
          </cell>
          <cell r="Z110" t="str">
            <v>-</v>
          </cell>
          <cell r="AA110" t="e">
            <v>#DIV/0!</v>
          </cell>
        </row>
        <row r="111">
          <cell r="A111" t="str">
            <v>1989</v>
          </cell>
          <cell r="B111" t="e">
            <v>#DIV/0!</v>
          </cell>
          <cell r="F111" t="e">
            <v>#DIV/0!</v>
          </cell>
          <cell r="H111" t="str">
            <v>-</v>
          </cell>
          <cell r="J111" t="e">
            <v>#DIV/0!</v>
          </cell>
          <cell r="K111" t="str">
            <v>-</v>
          </cell>
          <cell r="L111" t="e">
            <v>#DIV/0!</v>
          </cell>
          <cell r="M111" t="e">
            <v>#DIV/0!</v>
          </cell>
          <cell r="N111" t="str">
            <v>-</v>
          </cell>
          <cell r="O111" t="e">
            <v>#DIV/0!</v>
          </cell>
          <cell r="P111" t="e">
            <v>#DIV/0!</v>
          </cell>
          <cell r="Q111" t="e">
            <v>#VALUE!</v>
          </cell>
          <cell r="R111" t="str">
            <v>-</v>
          </cell>
          <cell r="S111" t="e">
            <v>#DIV/0!</v>
          </cell>
          <cell r="V111" t="e">
            <v>#DIV/0!</v>
          </cell>
          <cell r="W111" t="str">
            <v>-</v>
          </cell>
          <cell r="X111" t="e">
            <v>#DIV/0!</v>
          </cell>
          <cell r="Y111" t="e">
            <v>#DIV/0!</v>
          </cell>
          <cell r="Z111" t="str">
            <v>-</v>
          </cell>
          <cell r="AA111" t="e">
            <v>#DIV/0!</v>
          </cell>
        </row>
        <row r="112">
          <cell r="A112" t="str">
            <v>1988</v>
          </cell>
          <cell r="B112" t="e">
            <v>#DIV/0!</v>
          </cell>
          <cell r="F112" t="e">
            <v>#DIV/0!</v>
          </cell>
          <cell r="H112" t="str">
            <v>-</v>
          </cell>
          <cell r="J112" t="e">
            <v>#DIV/0!</v>
          </cell>
          <cell r="K112" t="str">
            <v>-</v>
          </cell>
          <cell r="L112" t="e">
            <v>#DIV/0!</v>
          </cell>
          <cell r="M112" t="e">
            <v>#DIV/0!</v>
          </cell>
          <cell r="N112" t="str">
            <v>-</v>
          </cell>
          <cell r="O112" t="e">
            <v>#DIV/0!</v>
          </cell>
          <cell r="P112" t="e">
            <v>#DIV/0!</v>
          </cell>
          <cell r="Q112" t="e">
            <v>#VALUE!</v>
          </cell>
          <cell r="R112" t="str">
            <v>-</v>
          </cell>
          <cell r="S112" t="e">
            <v>#DIV/0!</v>
          </cell>
          <cell r="V112" t="e">
            <v>#DIV/0!</v>
          </cell>
          <cell r="W112" t="str">
            <v>-</v>
          </cell>
          <cell r="X112" t="e">
            <v>#DIV/0!</v>
          </cell>
          <cell r="Y112" t="e">
            <v>#DIV/0!</v>
          </cell>
          <cell r="Z112" t="str">
            <v>-</v>
          </cell>
          <cell r="AA112" t="e">
            <v>#DIV/0!</v>
          </cell>
        </row>
        <row r="113">
          <cell r="A113" t="str">
            <v>1987</v>
          </cell>
          <cell r="B113" t="e">
            <v>#DIV/0!</v>
          </cell>
          <cell r="F113" t="e">
            <v>#DIV/0!</v>
          </cell>
          <cell r="H113" t="str">
            <v>-</v>
          </cell>
          <cell r="J113" t="e">
            <v>#DIV/0!</v>
          </cell>
          <cell r="K113" t="str">
            <v>-</v>
          </cell>
          <cell r="L113" t="e">
            <v>#DIV/0!</v>
          </cell>
          <cell r="M113" t="e">
            <v>#DIV/0!</v>
          </cell>
          <cell r="N113" t="str">
            <v>-</v>
          </cell>
          <cell r="O113" t="e">
            <v>#DIV/0!</v>
          </cell>
          <cell r="P113" t="e">
            <v>#DIV/0!</v>
          </cell>
          <cell r="Q113" t="e">
            <v>#VALUE!</v>
          </cell>
          <cell r="R113" t="str">
            <v>-</v>
          </cell>
          <cell r="S113" t="e">
            <v>#DIV/0!</v>
          </cell>
          <cell r="V113" t="e">
            <v>#DIV/0!</v>
          </cell>
          <cell r="W113" t="str">
            <v>-</v>
          </cell>
          <cell r="X113" t="e">
            <v>#DIV/0!</v>
          </cell>
          <cell r="Y113" t="e">
            <v>#DIV/0!</v>
          </cell>
          <cell r="Z113" t="str">
            <v>-</v>
          </cell>
          <cell r="AA113" t="e">
            <v>#DIV/0!</v>
          </cell>
        </row>
        <row r="114">
          <cell r="A114" t="str">
            <v>1986</v>
          </cell>
          <cell r="F114" t="e">
            <v>#DIV/0!</v>
          </cell>
          <cell r="H114" t="str">
            <v>-</v>
          </cell>
          <cell r="J114" t="e">
            <v>#DIV/0!</v>
          </cell>
          <cell r="K114" t="str">
            <v>-</v>
          </cell>
          <cell r="L114" t="e">
            <v>#DIV/0!</v>
          </cell>
          <cell r="M114" t="e">
            <v>#DIV/0!</v>
          </cell>
          <cell r="N114" t="str">
            <v>-</v>
          </cell>
          <cell r="O114" t="e">
            <v>#DIV/0!</v>
          </cell>
          <cell r="P114" t="e">
            <v>#DIV/0!</v>
          </cell>
          <cell r="Q114" t="e">
            <v>#VALUE!</v>
          </cell>
          <cell r="R114" t="str">
            <v>-</v>
          </cell>
          <cell r="S114" t="e">
            <v>#DIV/0!</v>
          </cell>
          <cell r="V114" t="e">
            <v>#DIV/0!</v>
          </cell>
          <cell r="W114" t="str">
            <v>-</v>
          </cell>
          <cell r="X114" t="e">
            <v>#DIV/0!</v>
          </cell>
          <cell r="Y114" t="e">
            <v>#DIV/0!</v>
          </cell>
          <cell r="Z114" t="str">
            <v>-</v>
          </cell>
          <cell r="AA114" t="e">
            <v>#DIV/0!</v>
          </cell>
        </row>
        <row r="116">
          <cell r="A116" t="str">
            <v>Average</v>
          </cell>
          <cell r="J116" t="e">
            <v>#N/A</v>
          </cell>
          <cell r="K116" t="str">
            <v>-</v>
          </cell>
          <cell r="L116" t="e">
            <v>#N/A</v>
          </cell>
          <cell r="M116" t="e">
            <v>#N/A</v>
          </cell>
          <cell r="N116" t="str">
            <v>-</v>
          </cell>
          <cell r="O116" t="e">
            <v>#N/A</v>
          </cell>
          <cell r="P116" t="e">
            <v>#N/A</v>
          </cell>
          <cell r="Q116" t="e">
            <v>#N/A</v>
          </cell>
          <cell r="R116" t="str">
            <v>-</v>
          </cell>
          <cell r="S116" t="e">
            <v>#N/A</v>
          </cell>
          <cell r="T116" t="e">
            <v>#N/A</v>
          </cell>
          <cell r="V116" t="e">
            <v>#N/A</v>
          </cell>
          <cell r="W116" t="str">
            <v>-</v>
          </cell>
          <cell r="X116" t="e">
            <v>#N/A</v>
          </cell>
          <cell r="Y116" t="e">
            <v>#N/A</v>
          </cell>
          <cell r="Z116" t="str">
            <v>-</v>
          </cell>
          <cell r="AA116" t="e">
            <v>#N/A</v>
          </cell>
        </row>
        <row r="118">
          <cell r="A118" t="str">
            <v>1-Yr. Growth</v>
          </cell>
          <cell r="C118" t="str">
            <v>NM</v>
          </cell>
          <cell r="D118">
            <v>-1.5913312693498451</v>
          </cell>
          <cell r="E118">
            <v>-0.82758620689655171</v>
          </cell>
          <cell r="U118" t="str">
            <v>NM</v>
          </cell>
        </row>
        <row r="119">
          <cell r="A119" t="str">
            <v>3-Yr. Growth</v>
          </cell>
          <cell r="C119" t="str">
            <v>NM</v>
          </cell>
          <cell r="D119" t="str">
            <v>NM</v>
          </cell>
          <cell r="E119">
            <v>-0.22520433881405</v>
          </cell>
          <cell r="U119" t="str">
            <v>NM</v>
          </cell>
        </row>
        <row r="120">
          <cell r="A120" t="str">
            <v>5-Yr. Growth</v>
          </cell>
          <cell r="C120">
            <v>6.4934943017795455E-2</v>
          </cell>
          <cell r="D120">
            <v>0.20716433354060526</v>
          </cell>
          <cell r="E120">
            <v>0.51571656651039799</v>
          </cell>
          <cell r="U120">
            <v>0.16525593998829335</v>
          </cell>
        </row>
        <row r="122">
          <cell r="A122" t="str">
            <v xml:space="preserve">Jefferson-Pilot </v>
          </cell>
        </row>
        <row r="123">
          <cell r="A123">
            <v>2000</v>
          </cell>
          <cell r="B123">
            <v>0.14799999999999999</v>
          </cell>
          <cell r="C123">
            <v>4.93</v>
          </cell>
          <cell r="D123">
            <v>4.28</v>
          </cell>
          <cell r="E123">
            <v>1.44</v>
          </cell>
          <cell r="F123">
            <v>0.3364485981308411</v>
          </cell>
          <cell r="G123">
            <v>75.875</v>
          </cell>
          <cell r="H123" t="str">
            <v>-</v>
          </cell>
          <cell r="I123">
            <v>49.875</v>
          </cell>
          <cell r="J123">
            <v>17.727803738317757</v>
          </cell>
          <cell r="K123" t="str">
            <v>-</v>
          </cell>
          <cell r="L123">
            <v>11.653037383177569</v>
          </cell>
          <cell r="M123">
            <v>0.62950362573689189</v>
          </cell>
          <cell r="N123" t="str">
            <v>-</v>
          </cell>
          <cell r="O123">
            <v>0.51246342842284953</v>
          </cell>
          <cell r="P123">
            <v>0.57098352707987066</v>
          </cell>
          <cell r="Q123">
            <v>1.2262706206090772</v>
          </cell>
          <cell r="R123" t="str">
            <v>-</v>
          </cell>
          <cell r="S123">
            <v>1.436216323763867</v>
          </cell>
          <cell r="T123">
            <v>1.3312434721864721</v>
          </cell>
          <cell r="U123">
            <v>30.59</v>
          </cell>
          <cell r="V123">
            <v>2.4803857469761361</v>
          </cell>
          <cell r="W123" t="str">
            <v>-</v>
          </cell>
          <cell r="X123">
            <v>1.6304347826086956</v>
          </cell>
          <cell r="Y123">
            <v>2.887218045112782E-2</v>
          </cell>
          <cell r="Z123" t="str">
            <v>-</v>
          </cell>
          <cell r="AA123">
            <v>1.8978583196046128E-2</v>
          </cell>
        </row>
        <row r="124">
          <cell r="A124">
            <v>1999</v>
          </cell>
          <cell r="B124">
            <v>0.16300000000000001</v>
          </cell>
          <cell r="C124">
            <v>4.42</v>
          </cell>
          <cell r="D124">
            <v>3.8</v>
          </cell>
          <cell r="E124">
            <v>1.29</v>
          </cell>
          <cell r="F124">
            <v>0.33947368421052632</v>
          </cell>
          <cell r="G124">
            <v>79.625</v>
          </cell>
          <cell r="H124" t="str">
            <v>-</v>
          </cell>
          <cell r="I124">
            <v>61.1875</v>
          </cell>
          <cell r="J124">
            <v>20.953947368421055</v>
          </cell>
          <cell r="K124" t="str">
            <v>-</v>
          </cell>
          <cell r="L124">
            <v>16.101973684210527</v>
          </cell>
          <cell r="M124">
            <v>0.66341199029492171</v>
          </cell>
          <cell r="N124" t="str">
            <v>-</v>
          </cell>
          <cell r="O124">
            <v>0.62299541472266107</v>
          </cell>
          <cell r="P124">
            <v>0.64320370250879133</v>
          </cell>
          <cell r="Q124">
            <v>1.4006649310441881</v>
          </cell>
          <cell r="R124" t="str">
            <v>-</v>
          </cell>
          <cell r="S124">
            <v>1.3176737875786029</v>
          </cell>
          <cell r="T124">
            <v>1.3591693593113954</v>
          </cell>
          <cell r="U124">
            <v>28.06</v>
          </cell>
          <cell r="V124">
            <v>2.8376692801140413</v>
          </cell>
          <cell r="W124" t="str">
            <v>-</v>
          </cell>
          <cell r="X124">
            <v>2.1805951532430505</v>
          </cell>
          <cell r="Y124">
            <v>2.108273748723187E-2</v>
          </cell>
          <cell r="Z124" t="str">
            <v>-</v>
          </cell>
          <cell r="AA124">
            <v>1.620094191522763E-2</v>
          </cell>
        </row>
        <row r="125">
          <cell r="A125">
            <v>1998</v>
          </cell>
          <cell r="B125">
            <v>0.15468257322708748</v>
          </cell>
          <cell r="C125">
            <v>3.91</v>
          </cell>
          <cell r="D125">
            <v>3.37</v>
          </cell>
          <cell r="E125">
            <v>1.1499999999999999</v>
          </cell>
          <cell r="F125">
            <v>0.3412462908011869</v>
          </cell>
          <cell r="G125">
            <v>78.375</v>
          </cell>
          <cell r="H125" t="str">
            <v>-</v>
          </cell>
          <cell r="I125">
            <v>48.666660000000007</v>
          </cell>
          <cell r="J125">
            <v>23.2566765578635</v>
          </cell>
          <cell r="K125" t="str">
            <v>-</v>
          </cell>
          <cell r="L125">
            <v>14.441145400593474</v>
          </cell>
          <cell r="M125">
            <v>0.75154112915814431</v>
          </cell>
          <cell r="N125" t="str">
            <v>-</v>
          </cell>
          <cell r="O125">
            <v>0.63644630376507716</v>
          </cell>
          <cell r="P125">
            <v>0.69399371646161079</v>
          </cell>
          <cell r="Q125">
            <v>1.3672355413206054</v>
          </cell>
          <cell r="R125" t="str">
            <v>-</v>
          </cell>
          <cell r="S125">
            <v>1.0091645982245614</v>
          </cell>
          <cell r="T125">
            <v>1.1882000697725834</v>
          </cell>
          <cell r="U125">
            <v>26.96</v>
          </cell>
          <cell r="V125">
            <v>2.9070845697329375</v>
          </cell>
          <cell r="W125" t="str">
            <v>-</v>
          </cell>
          <cell r="X125">
            <v>1.8051431750741842</v>
          </cell>
          <cell r="Y125">
            <v>2.3630140223306874E-2</v>
          </cell>
          <cell r="Z125" t="str">
            <v>-</v>
          </cell>
          <cell r="AA125">
            <v>1.4673046251993619E-2</v>
          </cell>
        </row>
        <row r="126">
          <cell r="A126">
            <v>1997</v>
          </cell>
          <cell r="B126">
            <v>0.155</v>
          </cell>
          <cell r="C126">
            <v>3.4666666666666668</v>
          </cell>
          <cell r="D126">
            <v>2.78</v>
          </cell>
          <cell r="E126">
            <v>1.04</v>
          </cell>
          <cell r="F126">
            <v>0.37410071942446049</v>
          </cell>
          <cell r="G126">
            <v>57.833333333333336</v>
          </cell>
          <cell r="H126" t="str">
            <v>-</v>
          </cell>
          <cell r="I126">
            <v>34.333333333333336</v>
          </cell>
          <cell r="J126">
            <v>20.803357314148684</v>
          </cell>
          <cell r="K126" t="str">
            <v>-</v>
          </cell>
          <cell r="L126">
            <v>12.35011990407674</v>
          </cell>
          <cell r="M126">
            <v>0.94603716753745726</v>
          </cell>
          <cell r="N126" t="str">
            <v>-</v>
          </cell>
          <cell r="O126">
            <v>0.75907313485413275</v>
          </cell>
          <cell r="P126">
            <v>0.85255515119579495</v>
          </cell>
          <cell r="Q126">
            <v>1.3395593891918021</v>
          </cell>
          <cell r="R126" t="str">
            <v>-</v>
          </cell>
          <cell r="S126">
            <v>1.0852477947343355</v>
          </cell>
          <cell r="T126">
            <v>1.2124035919630689</v>
          </cell>
          <cell r="U126">
            <v>24.03</v>
          </cell>
          <cell r="V126">
            <v>2.4067138299348039</v>
          </cell>
          <cell r="W126" t="str">
            <v>-</v>
          </cell>
          <cell r="X126">
            <v>1.4287695935636011</v>
          </cell>
          <cell r="Y126">
            <v>3.0291262135922328E-2</v>
          </cell>
          <cell r="Z126" t="str">
            <v>-</v>
          </cell>
          <cell r="AA126">
            <v>1.7982708933717579E-2</v>
          </cell>
        </row>
        <row r="127">
          <cell r="A127">
            <v>1996</v>
          </cell>
          <cell r="B127">
            <v>0.13100000000000001</v>
          </cell>
          <cell r="C127">
            <v>2.7133333333333334</v>
          </cell>
          <cell r="D127">
            <v>2.4266666666666667</v>
          </cell>
          <cell r="E127">
            <v>0.95333333333333325</v>
          </cell>
          <cell r="F127">
            <v>0.39285714285714279</v>
          </cell>
          <cell r="G127">
            <v>39.166666666666664</v>
          </cell>
          <cell r="H127" t="str">
            <v>-</v>
          </cell>
          <cell r="I127">
            <v>30.4</v>
          </cell>
          <cell r="J127">
            <v>16.140109890109887</v>
          </cell>
          <cell r="K127" t="str">
            <v>-</v>
          </cell>
          <cell r="L127">
            <v>12.527472527472526</v>
          </cell>
          <cell r="M127">
            <v>0.87432881311537847</v>
          </cell>
          <cell r="N127" t="str">
            <v>-</v>
          </cell>
          <cell r="O127">
            <v>0.85804606352551549</v>
          </cell>
          <cell r="P127">
            <v>0.86618743832044698</v>
          </cell>
          <cell r="Q127">
            <v>1.3372087729999906</v>
          </cell>
          <cell r="R127" t="str">
            <v>-</v>
          </cell>
          <cell r="S127">
            <v>1.2641243720961175</v>
          </cell>
          <cell r="T127">
            <v>1.300666572548054</v>
          </cell>
          <cell r="U127">
            <v>21.12</v>
          </cell>
          <cell r="V127">
            <v>1.8544823232323231</v>
          </cell>
          <cell r="W127" t="str">
            <v>-</v>
          </cell>
          <cell r="X127">
            <v>1.4393939393939392</v>
          </cell>
          <cell r="Y127">
            <v>3.1359649122807018E-2</v>
          </cell>
          <cell r="Z127" t="str">
            <v>-</v>
          </cell>
          <cell r="AA127">
            <v>2.4340425531914893E-2</v>
          </cell>
        </row>
        <row r="128">
          <cell r="A128">
            <v>1995</v>
          </cell>
          <cell r="B128">
            <v>0.14399999999999999</v>
          </cell>
          <cell r="C128">
            <v>2.54</v>
          </cell>
          <cell r="D128">
            <v>2.08</v>
          </cell>
          <cell r="E128">
            <v>0.83333333333333337</v>
          </cell>
          <cell r="F128">
            <v>0.40064102564102566</v>
          </cell>
          <cell r="G128">
            <v>32.086666666666666</v>
          </cell>
          <cell r="H128" t="str">
            <v>-</v>
          </cell>
          <cell r="I128">
            <v>22.58666666666667</v>
          </cell>
          <cell r="J128">
            <v>15.426282051282051</v>
          </cell>
          <cell r="K128" t="str">
            <v>-</v>
          </cell>
          <cell r="L128">
            <v>10.858974358974359</v>
          </cell>
          <cell r="M128">
            <v>0.94005375083985687</v>
          </cell>
          <cell r="N128" t="str">
            <v>-</v>
          </cell>
          <cell r="O128">
            <v>0.89595498011339603</v>
          </cell>
          <cell r="P128">
            <v>0.91800436547662645</v>
          </cell>
          <cell r="Q128">
            <v>1.4283594491927825</v>
          </cell>
          <cell r="R128" t="str">
            <v>-</v>
          </cell>
          <cell r="S128">
            <v>1.2820512820512819</v>
          </cell>
          <cell r="T128">
            <v>1.3552053656220322</v>
          </cell>
          <cell r="U128">
            <v>18.786666666666665</v>
          </cell>
          <cell r="V128">
            <v>1.7079488999290278</v>
          </cell>
          <cell r="W128" t="str">
            <v>-</v>
          </cell>
          <cell r="X128">
            <v>1.2022711142654368</v>
          </cell>
          <cell r="Y128">
            <v>3.6894923258559621E-2</v>
          </cell>
          <cell r="Z128" t="str">
            <v>-</v>
          </cell>
          <cell r="AA128">
            <v>2.5971327654269689E-2</v>
          </cell>
        </row>
        <row r="129">
          <cell r="A129">
            <v>1994</v>
          </cell>
          <cell r="B129">
            <v>0.16477699484841588</v>
          </cell>
          <cell r="C129">
            <v>2.1866666666666665</v>
          </cell>
          <cell r="D129">
            <v>1.8333333333333333</v>
          </cell>
          <cell r="E129">
            <v>0.7466666666666667</v>
          </cell>
          <cell r="F129">
            <v>0.40727272727272729</v>
          </cell>
          <cell r="G129">
            <v>24.5</v>
          </cell>
          <cell r="H129" t="str">
            <v>-</v>
          </cell>
          <cell r="I129">
            <v>19.253333333333334</v>
          </cell>
          <cell r="J129">
            <v>13.363636363636363</v>
          </cell>
          <cell r="K129" t="str">
            <v>-</v>
          </cell>
          <cell r="L129">
            <v>10.501818181818182</v>
          </cell>
          <cell r="M129">
            <v>0.88325422099381112</v>
          </cell>
          <cell r="N129" t="str">
            <v>-</v>
          </cell>
          <cell r="O129">
            <v>0.76376859504132233</v>
          </cell>
          <cell r="P129">
            <v>0.82351140801756673</v>
          </cell>
          <cell r="Q129">
            <v>1.2524495186163416</v>
          </cell>
          <cell r="R129" t="str">
            <v>-</v>
          </cell>
          <cell r="S129">
            <v>1.2561983471074381</v>
          </cell>
          <cell r="T129">
            <v>1.2543239328618898</v>
          </cell>
          <cell r="U129">
            <v>16.393333333333334</v>
          </cell>
          <cell r="V129">
            <v>1.4945099633997558</v>
          </cell>
          <cell r="W129" t="str">
            <v>-</v>
          </cell>
          <cell r="X129">
            <v>1.1744611630744204</v>
          </cell>
          <cell r="Y129">
            <v>3.8781163434903045E-2</v>
          </cell>
          <cell r="Z129" t="str">
            <v>-</v>
          </cell>
          <cell r="AA129">
            <v>3.0476190476190476E-2</v>
          </cell>
        </row>
        <row r="130">
          <cell r="A130">
            <v>1993</v>
          </cell>
          <cell r="B130">
            <v>0.14271805009815103</v>
          </cell>
          <cell r="C130">
            <v>1.7266666666666666</v>
          </cell>
          <cell r="D130">
            <v>1.6133333333333333</v>
          </cell>
          <cell r="E130">
            <v>0.67333333333333334</v>
          </cell>
          <cell r="F130">
            <v>0.41735537190082644</v>
          </cell>
          <cell r="G130">
            <v>25.753333333333334</v>
          </cell>
          <cell r="H130" t="str">
            <v>-</v>
          </cell>
          <cell r="I130">
            <v>20.253333333333334</v>
          </cell>
          <cell r="J130">
            <v>15.962809917355372</v>
          </cell>
          <cell r="K130" t="str">
            <v>-</v>
          </cell>
          <cell r="L130">
            <v>12.553719008264464</v>
          </cell>
          <cell r="M130">
            <v>0.91163962977472135</v>
          </cell>
          <cell r="N130" t="str">
            <v>-</v>
          </cell>
          <cell r="O130">
            <v>0.78657387269827461</v>
          </cell>
          <cell r="P130">
            <v>0.84910675123649804</v>
          </cell>
          <cell r="Q130">
            <v>1.2925352159801922</v>
          </cell>
          <cell r="R130" t="str">
            <v>-</v>
          </cell>
          <cell r="S130">
            <v>1.1899259723473425</v>
          </cell>
          <cell r="T130">
            <v>1.2412305941637674</v>
          </cell>
          <cell r="U130">
            <v>15.573333333333332</v>
          </cell>
          <cell r="V130">
            <v>1.6536815068493151</v>
          </cell>
          <cell r="W130" t="str">
            <v>-</v>
          </cell>
          <cell r="X130">
            <v>1.3005136986301371</v>
          </cell>
          <cell r="Y130">
            <v>3.3245556287030943E-2</v>
          </cell>
          <cell r="Z130" t="str">
            <v>-</v>
          </cell>
          <cell r="AA130">
            <v>2.6145482785399948E-2</v>
          </cell>
        </row>
        <row r="131">
          <cell r="A131">
            <v>1992</v>
          </cell>
          <cell r="B131">
            <v>0.1572441005802708</v>
          </cell>
          <cell r="C131">
            <v>1.7733333333333334</v>
          </cell>
          <cell r="D131">
            <v>1.4933333333333334</v>
          </cell>
          <cell r="E131">
            <v>0.57999999999999996</v>
          </cell>
          <cell r="F131">
            <v>0.3883928571428571</v>
          </cell>
          <cell r="G131">
            <v>22</v>
          </cell>
          <cell r="H131" t="str">
            <v>-</v>
          </cell>
          <cell r="I131">
            <v>14.753333333333332</v>
          </cell>
          <cell r="J131">
            <v>14.732142857142856</v>
          </cell>
          <cell r="K131" t="str">
            <v>-</v>
          </cell>
          <cell r="L131">
            <v>9.8794642857142847</v>
          </cell>
          <cell r="M131">
            <v>0.77783225222507157</v>
          </cell>
          <cell r="N131" t="str">
            <v>-</v>
          </cell>
          <cell r="O131">
            <v>0.58354780187325961</v>
          </cell>
          <cell r="P131">
            <v>0.68069002704916559</v>
          </cell>
          <cell r="Q131">
            <v>1.33322559793148</v>
          </cell>
          <cell r="R131" t="str">
            <v>-</v>
          </cell>
          <cell r="S131">
            <v>1.1013895524765087</v>
          </cell>
          <cell r="T131">
            <v>1.2173075752039944</v>
          </cell>
          <cell r="U131">
            <v>14.7</v>
          </cell>
          <cell r="V131">
            <v>1.4965986394557824</v>
          </cell>
          <cell r="W131" t="str">
            <v>-</v>
          </cell>
          <cell r="X131">
            <v>1.0036281179138322</v>
          </cell>
          <cell r="Y131">
            <v>3.9313149570718485E-2</v>
          </cell>
          <cell r="Z131" t="str">
            <v>-</v>
          </cell>
          <cell r="AA131">
            <v>2.6363636363636363E-2</v>
          </cell>
        </row>
        <row r="132">
          <cell r="A132">
            <v>1991</v>
          </cell>
          <cell r="B132">
            <v>0.1465279399499583</v>
          </cell>
          <cell r="C132">
            <v>1.52</v>
          </cell>
          <cell r="D132">
            <v>1.3266666666666667</v>
          </cell>
          <cell r="E132">
            <v>0.48666666666666664</v>
          </cell>
          <cell r="F132">
            <v>0.36683417085427134</v>
          </cell>
          <cell r="G132">
            <v>17.420000000000002</v>
          </cell>
          <cell r="H132" t="str">
            <v>-</v>
          </cell>
          <cell r="I132">
            <v>10.166666666666666</v>
          </cell>
          <cell r="J132">
            <v>13.13065326633166</v>
          </cell>
          <cell r="K132" t="str">
            <v>-</v>
          </cell>
          <cell r="L132">
            <v>7.6633165829145726</v>
          </cell>
          <cell r="M132">
            <v>0.66754719198432422</v>
          </cell>
          <cell r="N132" t="str">
            <v>-</v>
          </cell>
          <cell r="O132">
            <v>0.52166893008268023</v>
          </cell>
          <cell r="P132">
            <v>0.59460806103350228</v>
          </cell>
          <cell r="Q132">
            <v>1.3317092562202495</v>
          </cell>
          <cell r="R132" t="str">
            <v>-</v>
          </cell>
          <cell r="S132">
            <v>1.0702956121389067</v>
          </cell>
          <cell r="T132">
            <v>1.201002434179578</v>
          </cell>
          <cell r="U132">
            <v>13.38</v>
          </cell>
          <cell r="V132">
            <v>1.3019431988041854</v>
          </cell>
          <cell r="W132" t="str">
            <v>-</v>
          </cell>
          <cell r="X132">
            <v>0.75984055804683603</v>
          </cell>
          <cell r="Y132">
            <v>4.7868852459016391E-2</v>
          </cell>
          <cell r="Z132" t="str">
            <v>-</v>
          </cell>
          <cell r="AA132">
            <v>2.7937236892460769E-2</v>
          </cell>
        </row>
        <row r="133">
          <cell r="A133">
            <v>1990</v>
          </cell>
          <cell r="B133">
            <v>0.13725468001741403</v>
          </cell>
          <cell r="C133">
            <v>1.3066666666666666</v>
          </cell>
          <cell r="D133">
            <v>1.151111111111111</v>
          </cell>
          <cell r="E133">
            <v>0.43555555555555553</v>
          </cell>
          <cell r="F133">
            <v>0.3783783783783784</v>
          </cell>
          <cell r="G133">
            <v>13.28</v>
          </cell>
          <cell r="H133" t="str">
            <v>-</v>
          </cell>
          <cell r="I133">
            <v>9.6133333333333333</v>
          </cell>
          <cell r="J133">
            <v>11.536679536679538</v>
          </cell>
          <cell r="K133" t="str">
            <v>-</v>
          </cell>
          <cell r="L133">
            <v>8.3513513513513526</v>
          </cell>
          <cell r="M133">
            <v>0.72649115470274161</v>
          </cell>
          <cell r="N133" t="str">
            <v>-</v>
          </cell>
          <cell r="O133">
            <v>0.65706934314330068</v>
          </cell>
          <cell r="P133">
            <v>0.69178024892302115</v>
          </cell>
          <cell r="Q133">
            <v>1.2208126493840781</v>
          </cell>
          <cell r="R133" t="str">
            <v>-</v>
          </cell>
          <cell r="S133">
            <v>1.4178864773092281</v>
          </cell>
          <cell r="T133">
            <v>1.3193495633466532</v>
          </cell>
          <cell r="U133">
            <v>11.613333333333335</v>
          </cell>
          <cell r="V133">
            <v>1.1435132032146955</v>
          </cell>
          <cell r="W133" t="str">
            <v>-</v>
          </cell>
          <cell r="X133">
            <v>0.827784156142365</v>
          </cell>
          <cell r="Y133">
            <v>4.5307443365695789E-2</v>
          </cell>
          <cell r="Z133" t="str">
            <v>-</v>
          </cell>
          <cell r="AA133">
            <v>3.2797858099062917E-2</v>
          </cell>
        </row>
        <row r="134">
          <cell r="A134">
            <v>1989</v>
          </cell>
          <cell r="B134">
            <v>0.121153541575011</v>
          </cell>
          <cell r="C134">
            <v>1.08</v>
          </cell>
          <cell r="D134">
            <v>0.99111111111111105</v>
          </cell>
          <cell r="E134">
            <v>0.4</v>
          </cell>
          <cell r="F134">
            <v>0.4035874439461884</v>
          </cell>
          <cell r="G134">
            <v>13.5</v>
          </cell>
          <cell r="H134" t="str">
            <v>-</v>
          </cell>
          <cell r="I134">
            <v>8.8333333333333339</v>
          </cell>
          <cell r="J134">
            <v>13.621076233183857</v>
          </cell>
          <cell r="K134" t="str">
            <v>-</v>
          </cell>
          <cell r="L134">
            <v>8.9125560538116595</v>
          </cell>
          <cell r="M134">
            <v>0.92723459722150148</v>
          </cell>
          <cell r="N134" t="str">
            <v>-</v>
          </cell>
          <cell r="O134">
            <v>0.79293203325726502</v>
          </cell>
          <cell r="P134">
            <v>0.86008331523938319</v>
          </cell>
          <cell r="Q134">
            <v>1.3472874612446941</v>
          </cell>
          <cell r="R134" t="str">
            <v>-</v>
          </cell>
          <cell r="S134">
            <v>1.1650400070342037</v>
          </cell>
          <cell r="T134">
            <v>1.2561637341394489</v>
          </cell>
          <cell r="U134">
            <v>11.693333333333333</v>
          </cell>
          <cell r="V134">
            <v>1.154503990877993</v>
          </cell>
          <cell r="W134" t="str">
            <v>-</v>
          </cell>
          <cell r="X134">
            <v>0.75541619156214368</v>
          </cell>
          <cell r="Y134">
            <v>4.5283018867924525E-2</v>
          </cell>
          <cell r="Z134" t="str">
            <v>-</v>
          </cell>
          <cell r="AA134">
            <v>2.9629629629629631E-2</v>
          </cell>
        </row>
        <row r="135">
          <cell r="A135">
            <v>1988</v>
          </cell>
          <cell r="B135">
            <v>9.1115922417681544E-2</v>
          </cell>
          <cell r="C135">
            <v>0.76444444444444448</v>
          </cell>
          <cell r="D135">
            <v>0.73777777777777775</v>
          </cell>
          <cell r="E135">
            <v>0.36888888888888888</v>
          </cell>
          <cell r="F135">
            <v>0.5</v>
          </cell>
          <cell r="G135">
            <v>11.113333333333335</v>
          </cell>
          <cell r="H135" t="str">
            <v>-</v>
          </cell>
          <cell r="I135">
            <v>7.6133333333333333</v>
          </cell>
          <cell r="J135">
            <v>15.063253012048195</v>
          </cell>
          <cell r="K135" t="str">
            <v>-</v>
          </cell>
          <cell r="L135">
            <v>10.319277108433734</v>
          </cell>
          <cell r="M135">
            <v>1.3425359190773791</v>
          </cell>
          <cell r="N135" t="str">
            <v>-</v>
          </cell>
          <cell r="O135">
            <v>1.0749246987951808</v>
          </cell>
          <cell r="P135">
            <v>1.20873030893628</v>
          </cell>
          <cell r="Q135">
            <v>1.7996718055015766</v>
          </cell>
          <cell r="R135" t="str">
            <v>-</v>
          </cell>
          <cell r="S135">
            <v>1.4699824940788797</v>
          </cell>
          <cell r="T135">
            <v>1.6348271497902283</v>
          </cell>
          <cell r="U135">
            <v>10.14</v>
          </cell>
          <cell r="V135">
            <v>1.0959894806048653</v>
          </cell>
          <cell r="W135" t="str">
            <v>-</v>
          </cell>
          <cell r="X135">
            <v>0.75082182774490458</v>
          </cell>
          <cell r="Y135">
            <v>4.8453006421482779E-2</v>
          </cell>
          <cell r="Z135" t="str">
            <v>-</v>
          </cell>
          <cell r="AA135">
            <v>3.3193361327734448E-2</v>
          </cell>
        </row>
        <row r="136">
          <cell r="A136">
            <v>1987</v>
          </cell>
          <cell r="B136">
            <v>0.13952624113475179</v>
          </cell>
          <cell r="C136">
            <v>1.1022222222222222</v>
          </cell>
          <cell r="D136">
            <v>0.68</v>
          </cell>
          <cell r="E136">
            <v>0.35111111111111115</v>
          </cell>
          <cell r="F136">
            <v>0.5163398692810458</v>
          </cell>
          <cell r="G136">
            <v>12.613333333333335</v>
          </cell>
          <cell r="H136" t="str">
            <v>-</v>
          </cell>
          <cell r="I136">
            <v>6.833333333333333</v>
          </cell>
          <cell r="J136">
            <v>18.549019607843139</v>
          </cell>
          <cell r="K136" t="str">
            <v>-</v>
          </cell>
          <cell r="L136">
            <v>10.049019607843135</v>
          </cell>
          <cell r="M136">
            <v>1.0969260560522258</v>
          </cell>
          <cell r="N136" t="str">
            <v>-</v>
          </cell>
          <cell r="O136">
            <v>0.89324618736383421</v>
          </cell>
          <cell r="P136">
            <v>0.99508612170803001</v>
          </cell>
          <cell r="Q136">
            <v>1.8420079054461904</v>
          </cell>
          <cell r="R136" t="str">
            <v>-</v>
          </cell>
          <cell r="S136">
            <v>1.4034943586373094</v>
          </cell>
          <cell r="T136">
            <v>1.62275113204175</v>
          </cell>
          <cell r="U136">
            <v>9.36</v>
          </cell>
          <cell r="V136">
            <v>1.3475783475783478</v>
          </cell>
          <cell r="W136" t="str">
            <v>-</v>
          </cell>
          <cell r="X136">
            <v>0.73005698005698005</v>
          </cell>
          <cell r="Y136">
            <v>5.138211382113822E-2</v>
          </cell>
          <cell r="Z136" t="str">
            <v>-</v>
          </cell>
          <cell r="AA136">
            <v>2.7836504580690626E-2</v>
          </cell>
        </row>
        <row r="137">
          <cell r="A137">
            <v>1986</v>
          </cell>
          <cell r="B137">
            <v>0.13866967305524239</v>
          </cell>
          <cell r="C137">
            <v>0.89333333333333342</v>
          </cell>
          <cell r="D137">
            <v>0.85333333333333339</v>
          </cell>
          <cell r="E137">
            <v>0.32</v>
          </cell>
          <cell r="F137">
            <v>0.375</v>
          </cell>
          <cell r="G137">
            <v>12</v>
          </cell>
          <cell r="H137" t="str">
            <v>-</v>
          </cell>
          <cell r="I137">
            <v>9.1466666666666665</v>
          </cell>
          <cell r="J137">
            <v>14.062499999999998</v>
          </cell>
          <cell r="K137" t="str">
            <v>-</v>
          </cell>
          <cell r="L137">
            <v>10.71875</v>
          </cell>
          <cell r="M137">
            <v>0.87616822429906527</v>
          </cell>
          <cell r="N137" t="str">
            <v>-</v>
          </cell>
          <cell r="O137">
            <v>0.83414396887159536</v>
          </cell>
          <cell r="P137">
            <v>0.85515609658533032</v>
          </cell>
          <cell r="Q137">
            <v>1.3732910156249998</v>
          </cell>
          <cell r="R137" t="str">
            <v>-</v>
          </cell>
          <cell r="S137">
            <v>1.1354608050847459</v>
          </cell>
          <cell r="T137">
            <v>1.2543759103548728</v>
          </cell>
          <cell r="U137">
            <v>9.3066666666666666</v>
          </cell>
          <cell r="V137">
            <v>1.2893982808022924</v>
          </cell>
          <cell r="W137" t="str">
            <v>-</v>
          </cell>
          <cell r="X137">
            <v>0.98280802292263614</v>
          </cell>
          <cell r="Y137">
            <v>3.4985422740524783E-2</v>
          </cell>
          <cell r="Z137" t="str">
            <v>-</v>
          </cell>
          <cell r="AA137">
            <v>2.6666666666666668E-2</v>
          </cell>
        </row>
        <row r="138">
          <cell r="A138">
            <v>1985</v>
          </cell>
          <cell r="B138">
            <v>0.17297297297297298</v>
          </cell>
          <cell r="C138">
            <v>0.8666666666666667</v>
          </cell>
          <cell r="D138">
            <v>0.86</v>
          </cell>
          <cell r="E138">
            <v>0.28666666666666668</v>
          </cell>
          <cell r="F138">
            <v>0.33333333333333337</v>
          </cell>
          <cell r="G138">
            <v>10.52</v>
          </cell>
          <cell r="H138" t="str">
            <v>-</v>
          </cell>
          <cell r="I138">
            <v>7.1133333333333333</v>
          </cell>
          <cell r="J138">
            <v>12.232558139534884</v>
          </cell>
          <cell r="K138" t="str">
            <v>-</v>
          </cell>
          <cell r="L138">
            <v>8.2713178294573648</v>
          </cell>
          <cell r="M138">
            <v>0.96016939870760465</v>
          </cell>
          <cell r="N138" t="str">
            <v>-</v>
          </cell>
          <cell r="O138">
            <v>0.84058108022940703</v>
          </cell>
          <cell r="P138">
            <v>0.90037523946850584</v>
          </cell>
          <cell r="U138">
            <v>8.3733333333333331</v>
          </cell>
          <cell r="V138">
            <v>1.2563694267515924</v>
          </cell>
          <cell r="W138" t="str">
            <v>-</v>
          </cell>
          <cell r="X138">
            <v>0.84952229299363058</v>
          </cell>
          <cell r="Y138">
            <v>4.0299906279287728E-2</v>
          </cell>
          <cell r="Z138" t="str">
            <v>-</v>
          </cell>
          <cell r="AA138">
            <v>2.7249683143219267E-2</v>
          </cell>
        </row>
        <row r="139">
          <cell r="A139">
            <v>1984</v>
          </cell>
          <cell r="C139">
            <v>0.78666666666666663</v>
          </cell>
          <cell r="D139">
            <v>0.77333333333333332</v>
          </cell>
          <cell r="E139">
            <v>0.25333333333333335</v>
          </cell>
          <cell r="F139">
            <v>0.32758620689655177</v>
          </cell>
          <cell r="G139">
            <v>8.1466666666666665</v>
          </cell>
          <cell r="H139" t="str">
            <v>-</v>
          </cell>
          <cell r="I139">
            <v>4.7066666666666661</v>
          </cell>
          <cell r="J139">
            <v>10.53448275862069</v>
          </cell>
          <cell r="K139" t="str">
            <v>-</v>
          </cell>
          <cell r="L139">
            <v>6.0862068965517233</v>
          </cell>
          <cell r="M139">
            <v>1.0534482758620691</v>
          </cell>
          <cell r="N139" t="str">
            <v>-</v>
          </cell>
          <cell r="O139">
            <v>0.70198464781450098</v>
          </cell>
          <cell r="P139">
            <v>0.87771646183828511</v>
          </cell>
          <cell r="U139">
            <v>7.32</v>
          </cell>
          <cell r="V139">
            <v>1.1129326047358834</v>
          </cell>
          <cell r="W139" t="str">
            <v>-</v>
          </cell>
          <cell r="X139">
            <v>0.64298724954462649</v>
          </cell>
          <cell r="Y139">
            <v>5.3824362606232308E-2</v>
          </cell>
          <cell r="Z139" t="str">
            <v>-</v>
          </cell>
          <cell r="AA139">
            <v>3.1096563011456631E-2</v>
          </cell>
        </row>
        <row r="140">
          <cell r="A140">
            <v>1983</v>
          </cell>
          <cell r="C140">
            <v>0.59333333333333338</v>
          </cell>
          <cell r="D140">
            <v>0.59333333333333338</v>
          </cell>
          <cell r="E140">
            <v>0.22666666666666668</v>
          </cell>
          <cell r="F140">
            <v>0.38202247191011235</v>
          </cell>
          <cell r="G140">
            <v>5.333333333333333</v>
          </cell>
          <cell r="H140" t="str">
            <v>-</v>
          </cell>
          <cell r="I140">
            <v>3.6266666666666669</v>
          </cell>
          <cell r="J140">
            <v>8.9887640449438191</v>
          </cell>
          <cell r="K140" t="str">
            <v>-</v>
          </cell>
          <cell r="L140">
            <v>6.1123595505617976</v>
          </cell>
          <cell r="M140">
            <v>0.74287306156560495</v>
          </cell>
          <cell r="N140" t="str">
            <v>-</v>
          </cell>
          <cell r="O140">
            <v>0.63079045929430322</v>
          </cell>
          <cell r="P140">
            <v>0.68683176042995409</v>
          </cell>
          <cell r="Q140" t="str">
            <v xml:space="preserve">         </v>
          </cell>
          <cell r="S140" t="str">
            <v xml:space="preserve">         </v>
          </cell>
          <cell r="T140" t="str">
            <v xml:space="preserve">         </v>
          </cell>
          <cell r="U140">
            <v>6.28</v>
          </cell>
          <cell r="V140">
            <v>0.84925690021231415</v>
          </cell>
          <cell r="W140" t="str">
            <v>-</v>
          </cell>
          <cell r="X140">
            <v>0.57749469214437366</v>
          </cell>
          <cell r="Y140">
            <v>6.25E-2</v>
          </cell>
          <cell r="Z140" t="str">
            <v>-</v>
          </cell>
          <cell r="AA140">
            <v>4.2500000000000003E-2</v>
          </cell>
        </row>
        <row r="141">
          <cell r="V141" t="str">
            <v xml:space="preserve"> </v>
          </cell>
        </row>
        <row r="142">
          <cell r="A142" t="str">
            <v xml:space="preserve">Average </v>
          </cell>
          <cell r="J142">
            <v>15.338097369859074</v>
          </cell>
          <cell r="K142" t="str">
            <v>-</v>
          </cell>
          <cell r="L142">
            <v>10.408437761957082</v>
          </cell>
          <cell r="M142">
            <v>0.87616646995270953</v>
          </cell>
          <cell r="N142" t="str">
            <v>-</v>
          </cell>
          <cell r="O142">
            <v>0.74256727465936423</v>
          </cell>
          <cell r="P142">
            <v>0.80936687230603666</v>
          </cell>
          <cell r="Q142">
            <v>1.3928192753538833</v>
          </cell>
          <cell r="R142" t="str">
            <v>-</v>
          </cell>
          <cell r="S142">
            <v>1.2402767856442221</v>
          </cell>
          <cell r="T142">
            <v>1.3165480304990527</v>
          </cell>
          <cell r="V142">
            <v>1.6328088996225718</v>
          </cell>
          <cell r="W142" t="str">
            <v>-</v>
          </cell>
          <cell r="X142">
            <v>1.1134412616069884</v>
          </cell>
          <cell r="Y142">
            <v>3.9631938251828362E-2</v>
          </cell>
          <cell r="Z142" t="str">
            <v>-</v>
          </cell>
          <cell r="AA142">
            <v>2.6668880358850958E-2</v>
          </cell>
        </row>
        <row r="144">
          <cell r="A144" t="str">
            <v>1-Yr. Growth</v>
          </cell>
          <cell r="C144">
            <v>0.11538461538461542</v>
          </cell>
          <cell r="D144">
            <v>0.12631578947368438</v>
          </cell>
          <cell r="E144">
            <v>0.11627906976744184</v>
          </cell>
          <cell r="U144">
            <v>9.0163934426229497E-2</v>
          </cell>
        </row>
        <row r="145">
          <cell r="A145" t="str">
            <v>3-Yr. Growth</v>
          </cell>
          <cell r="C145">
            <v>0.12454872688651397</v>
          </cell>
          <cell r="D145">
            <v>0.15469244519371217</v>
          </cell>
          <cell r="E145">
            <v>0.11457607795906144</v>
          </cell>
          <cell r="U145">
            <v>8.3781920909010488E-2</v>
          </cell>
        </row>
        <row r="146">
          <cell r="A146" t="str">
            <v>5-Yr. Growth</v>
          </cell>
          <cell r="C146">
            <v>0.14183313192779434</v>
          </cell>
          <cell r="D146">
            <v>0.15525029159421377</v>
          </cell>
          <cell r="E146">
            <v>0.11560062172982755</v>
          </cell>
          <cell r="U146">
            <v>0.10241712115770452</v>
          </cell>
        </row>
        <row r="147">
          <cell r="A147" t="str">
            <v>10-Yr. Growth</v>
          </cell>
          <cell r="C147">
            <v>0.14200553992191911</v>
          </cell>
          <cell r="D147">
            <v>0.14033552013270856</v>
          </cell>
          <cell r="E147">
            <v>0.12702070166379298</v>
          </cell>
          <cell r="U147">
            <v>0.10169723266613873</v>
          </cell>
        </row>
        <row r="149">
          <cell r="A149" t="str">
            <v>John Hancock</v>
          </cell>
        </row>
        <row r="150">
          <cell r="A150">
            <v>2000</v>
          </cell>
          <cell r="B150">
            <v>0.14299999999999999</v>
          </cell>
          <cell r="C150">
            <v>2.65</v>
          </cell>
          <cell r="D150">
            <v>2.38</v>
          </cell>
          <cell r="E150">
            <v>0.3</v>
          </cell>
          <cell r="F150">
            <v>0.12605042016806722</v>
          </cell>
          <cell r="G150">
            <v>38.25</v>
          </cell>
          <cell r="H150" t="str">
            <v>-</v>
          </cell>
          <cell r="I150">
            <v>13.4375</v>
          </cell>
          <cell r="J150">
            <v>16.071428571428573</v>
          </cell>
          <cell r="K150" t="str">
            <v>-</v>
          </cell>
          <cell r="L150">
            <v>5.6460084033613445</v>
          </cell>
          <cell r="M150">
            <v>0.57068674190127266</v>
          </cell>
          <cell r="N150" t="str">
            <v>-</v>
          </cell>
          <cell r="O150">
            <v>0.24829344729192002</v>
          </cell>
          <cell r="P150">
            <v>0.40949009459659635</v>
          </cell>
          <cell r="Q150">
            <v>1.1116955590930022</v>
          </cell>
          <cell r="R150" t="str">
            <v>-</v>
          </cell>
          <cell r="S150">
            <v>0.69586058693346309</v>
          </cell>
          <cell r="T150">
            <v>0.90377807301323265</v>
          </cell>
          <cell r="U150">
            <v>17.739999999999998</v>
          </cell>
          <cell r="V150">
            <v>2.156144306651635</v>
          </cell>
          <cell r="W150" t="str">
            <v>-</v>
          </cell>
          <cell r="X150">
            <v>0.75746899661781297</v>
          </cell>
          <cell r="Y150">
            <v>2.2325581395348838E-2</v>
          </cell>
          <cell r="Z150" t="str">
            <v>-</v>
          </cell>
          <cell r="AA150">
            <v>7.8431372549019607E-3</v>
          </cell>
        </row>
        <row r="154">
          <cell r="A154" t="str">
            <v>(a) Operating earnings exclude realized investment gains/losses.  Book value and ROAE exclude the effect of FAS 115.</v>
          </cell>
        </row>
        <row r="155">
          <cell r="A155" t="str">
            <v>Source: ILX, Company Reports, Morgan Stanley Dean Witter Research</v>
          </cell>
        </row>
        <row r="158">
          <cell r="A158" t="str">
            <v>Table 28 (continued)</v>
          </cell>
        </row>
        <row r="159">
          <cell r="A159" t="str">
            <v>Life Insurance Stocks Valuation Summary (a)</v>
          </cell>
        </row>
        <row r="161">
          <cell r="F161" t="str">
            <v>Oper'g</v>
          </cell>
          <cell r="N161" t="str">
            <v xml:space="preserve">    P/E Rel</v>
          </cell>
          <cell r="R161" t="str">
            <v>P/E Rel</v>
          </cell>
        </row>
        <row r="162">
          <cell r="C162" t="str">
            <v>Rep'd</v>
          </cell>
          <cell r="D162" t="str">
            <v>Op'g</v>
          </cell>
          <cell r="F162" t="str">
            <v>Payout</v>
          </cell>
          <cell r="L162" t="str">
            <v>P/E Range</v>
          </cell>
          <cell r="N162" t="str">
            <v xml:space="preserve"> to S&amp;P500</v>
          </cell>
          <cell r="P162" t="str">
            <v>Mean</v>
          </cell>
          <cell r="R162" t="str">
            <v>to MSLII</v>
          </cell>
          <cell r="T162" t="str">
            <v>Mean</v>
          </cell>
          <cell r="U162" t="str">
            <v>Ending</v>
          </cell>
          <cell r="Y162" t="str">
            <v>Yield Range</v>
          </cell>
        </row>
        <row r="163">
          <cell r="A163" t="str">
            <v>Year</v>
          </cell>
          <cell r="B163" t="str">
            <v>ROAE</v>
          </cell>
          <cell r="C163" t="str">
            <v>EPS</v>
          </cell>
          <cell r="D163" t="str">
            <v>EPS</v>
          </cell>
          <cell r="E163" t="str">
            <v>Div'd</v>
          </cell>
          <cell r="F163" t="str">
            <v>Ratio</v>
          </cell>
          <cell r="H163" t="str">
            <v>Price Range</v>
          </cell>
          <cell r="L163" t="str">
            <v>(Op. EPS)</v>
          </cell>
          <cell r="N163" t="str">
            <v>High-Low</v>
          </cell>
          <cell r="P163" t="str">
            <v>Rel P/E</v>
          </cell>
          <cell r="R163" t="str">
            <v>High-Low</v>
          </cell>
          <cell r="T163" t="str">
            <v>Rel P/E</v>
          </cell>
          <cell r="U163" t="str">
            <v>BV</v>
          </cell>
          <cell r="X163" t="str">
            <v>P/BV Range</v>
          </cell>
          <cell r="Y163" t="str">
            <v>High-Low</v>
          </cell>
        </row>
        <row r="165">
          <cell r="A165" t="str">
            <v xml:space="preserve">Lincoln National </v>
          </cell>
        </row>
        <row r="166">
          <cell r="A166">
            <v>2000</v>
          </cell>
          <cell r="B166">
            <v>0.14899999999999999</v>
          </cell>
          <cell r="C166">
            <v>3.18</v>
          </cell>
          <cell r="D166">
            <v>3.68</v>
          </cell>
          <cell r="E166">
            <v>1.18</v>
          </cell>
          <cell r="F166">
            <v>0.32065217391304346</v>
          </cell>
          <cell r="G166">
            <v>56.375</v>
          </cell>
          <cell r="H166" t="str">
            <v>-</v>
          </cell>
          <cell r="I166">
            <v>22.625</v>
          </cell>
          <cell r="J166">
            <v>15.319293478260869</v>
          </cell>
          <cell r="K166" t="str">
            <v>-</v>
          </cell>
          <cell r="L166">
            <v>6.1480978260869561</v>
          </cell>
          <cell r="M166">
            <v>0.54397887807437129</v>
          </cell>
          <cell r="N166" t="str">
            <v>-</v>
          </cell>
          <cell r="O166">
            <v>0.27037373919214686</v>
          </cell>
          <cell r="P166">
            <v>0.40717630863325904</v>
          </cell>
          <cell r="Q166">
            <v>1.0596687439784442</v>
          </cell>
          <cell r="R166" t="str">
            <v>-</v>
          </cell>
          <cell r="S166">
            <v>0.7577422235571214</v>
          </cell>
          <cell r="T166">
            <v>0.90870548376778282</v>
          </cell>
          <cell r="U166">
            <v>25.32</v>
          </cell>
          <cell r="V166">
            <v>2.2265007898894154</v>
          </cell>
          <cell r="W166" t="str">
            <v>-</v>
          </cell>
          <cell r="X166">
            <v>0.89356240126382303</v>
          </cell>
          <cell r="Y166">
            <v>5.2154696132596684E-2</v>
          </cell>
          <cell r="Z166" t="str">
            <v>-</v>
          </cell>
          <cell r="AA166">
            <v>2.0931263858093126E-2</v>
          </cell>
        </row>
        <row r="167">
          <cell r="A167">
            <v>1999</v>
          </cell>
          <cell r="B167">
            <v>9.6000000000000002E-2</v>
          </cell>
          <cell r="C167">
            <v>2.2999999999999998</v>
          </cell>
          <cell r="D167">
            <v>2.99</v>
          </cell>
          <cell r="E167">
            <v>1.1200000000000001</v>
          </cell>
          <cell r="F167">
            <v>0.37458193979933113</v>
          </cell>
          <cell r="G167">
            <v>57.5</v>
          </cell>
          <cell r="H167" t="str">
            <v>-</v>
          </cell>
          <cell r="I167">
            <v>36</v>
          </cell>
          <cell r="J167">
            <v>19.23076923076923</v>
          </cell>
          <cell r="K167" t="str">
            <v>-</v>
          </cell>
          <cell r="L167">
            <v>12.040133779264213</v>
          </cell>
          <cell r="M167">
            <v>0.6088553467264104</v>
          </cell>
          <cell r="N167" t="str">
            <v>-</v>
          </cell>
          <cell r="O167">
            <v>0.46584029288809492</v>
          </cell>
          <cell r="P167">
            <v>0.53734781980725266</v>
          </cell>
          <cell r="Q167">
            <v>1.2854792266556971</v>
          </cell>
          <cell r="R167" t="str">
            <v>-</v>
          </cell>
          <cell r="S167">
            <v>0.98528099666646585</v>
          </cell>
          <cell r="T167">
            <v>1.1353801116610815</v>
          </cell>
          <cell r="U167">
            <v>24.14</v>
          </cell>
          <cell r="V167">
            <v>2.3819386909693456</v>
          </cell>
          <cell r="W167" t="str">
            <v>-</v>
          </cell>
          <cell r="X167">
            <v>1.4913007456503728</v>
          </cell>
          <cell r="Y167">
            <v>3.1111111111111114E-2</v>
          </cell>
          <cell r="Z167" t="str">
            <v>-</v>
          </cell>
          <cell r="AA167">
            <v>1.9478260869565219E-2</v>
          </cell>
        </row>
        <row r="168">
          <cell r="A168">
            <v>1998</v>
          </cell>
          <cell r="B168">
            <v>0.109</v>
          </cell>
          <cell r="C168">
            <v>2.5099999999999998</v>
          </cell>
          <cell r="D168">
            <v>2.61</v>
          </cell>
          <cell r="E168">
            <v>1.0549999999999999</v>
          </cell>
          <cell r="F168">
            <v>0.40421455938697315</v>
          </cell>
          <cell r="G168">
            <v>49.4375</v>
          </cell>
          <cell r="H168" t="str">
            <v>-</v>
          </cell>
          <cell r="I168">
            <v>33.5</v>
          </cell>
          <cell r="J168">
            <v>18.941570881226056</v>
          </cell>
          <cell r="K168" t="str">
            <v>-</v>
          </cell>
          <cell r="L168">
            <v>12.835249042145595</v>
          </cell>
          <cell r="M168">
            <v>0.70915652868686097</v>
          </cell>
          <cell r="N168" t="str">
            <v>-</v>
          </cell>
          <cell r="O168">
            <v>0.65720681219383481</v>
          </cell>
          <cell r="P168">
            <v>0.68318167044034794</v>
          </cell>
          <cell r="Q168">
            <v>1.1135550194724311</v>
          </cell>
          <cell r="R168" t="str">
            <v>-</v>
          </cell>
          <cell r="S168">
            <v>0.8969426304783783</v>
          </cell>
          <cell r="T168">
            <v>1.0052488249754048</v>
          </cell>
          <cell r="U168">
            <v>23.864999999999998</v>
          </cell>
          <cell r="V168">
            <v>2.0715482924785253</v>
          </cell>
          <cell r="W168" t="str">
            <v>-</v>
          </cell>
          <cell r="X168">
            <v>1.4037293107060549</v>
          </cell>
          <cell r="Y168">
            <v>3.1492537313432836E-2</v>
          </cell>
          <cell r="Z168" t="str">
            <v>-</v>
          </cell>
          <cell r="AA168">
            <v>2.1340075853350193E-2</v>
          </cell>
        </row>
        <row r="169">
          <cell r="A169">
            <v>1997</v>
          </cell>
          <cell r="B169">
            <v>0.21721124712395684</v>
          </cell>
          <cell r="C169">
            <v>4.49</v>
          </cell>
          <cell r="D169">
            <v>2.2999999999999998</v>
          </cell>
          <cell r="E169">
            <v>0.98</v>
          </cell>
          <cell r="F169">
            <v>0.42608695652173917</v>
          </cell>
          <cell r="G169">
            <v>39.0625</v>
          </cell>
          <cell r="H169" t="str">
            <v>-</v>
          </cell>
          <cell r="I169">
            <v>24.5</v>
          </cell>
          <cell r="J169">
            <v>16.983695652173914</v>
          </cell>
          <cell r="K169" t="str">
            <v>-</v>
          </cell>
          <cell r="L169">
            <v>10.652173913043478</v>
          </cell>
          <cell r="M169">
            <v>0.77233722838444363</v>
          </cell>
          <cell r="N169" t="str">
            <v>-</v>
          </cell>
          <cell r="O169">
            <v>0.65471259453248176</v>
          </cell>
          <cell r="P169">
            <v>0.71352491145846275</v>
          </cell>
          <cell r="Q169">
            <v>1.0936056440549848</v>
          </cell>
          <cell r="R169" t="str">
            <v>-</v>
          </cell>
          <cell r="S169">
            <v>0.93604340184916324</v>
          </cell>
          <cell r="T169">
            <v>1.014824522952074</v>
          </cell>
          <cell r="U169">
            <v>22.48</v>
          </cell>
          <cell r="V169">
            <v>1.7376556939501779</v>
          </cell>
          <cell r="W169" t="str">
            <v>-</v>
          </cell>
          <cell r="X169">
            <v>1.0898576512455516</v>
          </cell>
          <cell r="Y169">
            <v>0.04</v>
          </cell>
          <cell r="Z169" t="str">
            <v>-</v>
          </cell>
          <cell r="AA169">
            <v>2.5087999999999999E-2</v>
          </cell>
        </row>
        <row r="170">
          <cell r="A170">
            <v>1996</v>
          </cell>
          <cell r="B170">
            <v>0.13282416687141951</v>
          </cell>
          <cell r="C170">
            <v>2.4350000000000001</v>
          </cell>
          <cell r="D170">
            <v>2.06</v>
          </cell>
          <cell r="E170">
            <v>0.93500000000000005</v>
          </cell>
          <cell r="F170">
            <v>0.45388349514563109</v>
          </cell>
          <cell r="G170">
            <v>27.8</v>
          </cell>
          <cell r="H170" t="str">
            <v>-</v>
          </cell>
          <cell r="I170">
            <v>21</v>
          </cell>
          <cell r="J170">
            <v>13.495145631067961</v>
          </cell>
          <cell r="K170" t="str">
            <v>-</v>
          </cell>
          <cell r="L170">
            <v>10.194174757281553</v>
          </cell>
          <cell r="M170">
            <v>0.73104797568082125</v>
          </cell>
          <cell r="N170" t="str">
            <v>-</v>
          </cell>
          <cell r="O170">
            <v>0.69823114775901052</v>
          </cell>
          <cell r="P170">
            <v>0.71463956171991594</v>
          </cell>
          <cell r="Q170">
            <v>1.1180733745706679</v>
          </cell>
          <cell r="R170" t="str">
            <v>-</v>
          </cell>
          <cell r="S170">
            <v>1.0286755557297229</v>
          </cell>
          <cell r="T170">
            <v>1.0733744651501955</v>
          </cell>
          <cell r="U170">
            <v>19.515000000000001</v>
          </cell>
          <cell r="V170">
            <v>1.4245452216243915</v>
          </cell>
          <cell r="W170" t="str">
            <v>-</v>
          </cell>
          <cell r="X170">
            <v>1.0760953112990008</v>
          </cell>
          <cell r="Y170">
            <v>4.4523809523809528E-2</v>
          </cell>
          <cell r="Z170" t="str">
            <v>-</v>
          </cell>
          <cell r="AA170">
            <v>3.3633093525179854E-2</v>
          </cell>
        </row>
        <row r="171">
          <cell r="A171">
            <v>1995</v>
          </cell>
          <cell r="B171">
            <v>0.13712303251766644</v>
          </cell>
          <cell r="C171">
            <v>2.3149999999999999</v>
          </cell>
          <cell r="D171">
            <v>1.47</v>
          </cell>
          <cell r="E171">
            <v>0.875</v>
          </cell>
          <cell r="F171">
            <v>0.59523809523809523</v>
          </cell>
          <cell r="G171">
            <v>26.875</v>
          </cell>
          <cell r="H171" t="str">
            <v>-</v>
          </cell>
          <cell r="I171">
            <v>17.375</v>
          </cell>
          <cell r="J171">
            <v>18.282312925170068</v>
          </cell>
          <cell r="K171" t="str">
            <v>-</v>
          </cell>
          <cell r="L171">
            <v>11.819727891156463</v>
          </cell>
          <cell r="M171">
            <v>1.1140958516252326</v>
          </cell>
          <cell r="N171" t="str">
            <v>-</v>
          </cell>
          <cell r="O171">
            <v>0.975225073527761</v>
          </cell>
          <cell r="P171">
            <v>1.0446604625764968</v>
          </cell>
          <cell r="Q171">
            <v>1.6928067523305617</v>
          </cell>
          <cell r="R171" t="str">
            <v>-</v>
          </cell>
          <cell r="S171">
            <v>1.3954814511400782</v>
          </cell>
          <cell r="T171">
            <v>1.5441441017353199</v>
          </cell>
          <cell r="U171">
            <v>17.605</v>
          </cell>
          <cell r="V171">
            <v>1.5265549559784153</v>
          </cell>
          <cell r="W171" t="str">
            <v>-</v>
          </cell>
          <cell r="X171">
            <v>0.98693552967906839</v>
          </cell>
          <cell r="Y171">
            <v>5.0359712230215826E-2</v>
          </cell>
          <cell r="Z171" t="str">
            <v>-</v>
          </cell>
          <cell r="AA171">
            <v>3.255813953488372E-2</v>
          </cell>
        </row>
        <row r="172">
          <cell r="A172">
            <v>1994</v>
          </cell>
          <cell r="B172">
            <v>0.10748295140382134</v>
          </cell>
          <cell r="C172">
            <v>1.6850000000000001</v>
          </cell>
          <cell r="D172">
            <v>1.875</v>
          </cell>
          <cell r="E172">
            <v>0.83</v>
          </cell>
          <cell r="F172">
            <v>0.44266666666666665</v>
          </cell>
          <cell r="G172">
            <v>22.1875</v>
          </cell>
          <cell r="H172" t="str">
            <v>-</v>
          </cell>
          <cell r="I172">
            <v>17.3125</v>
          </cell>
          <cell r="J172">
            <v>11.833333333333334</v>
          </cell>
          <cell r="K172" t="str">
            <v>-</v>
          </cell>
          <cell r="L172">
            <v>9.2333333333333325</v>
          </cell>
          <cell r="M172">
            <v>0.78211059704780783</v>
          </cell>
          <cell r="N172" t="str">
            <v>-</v>
          </cell>
          <cell r="O172">
            <v>0.67151515151515151</v>
          </cell>
          <cell r="P172">
            <v>0.72681287428147967</v>
          </cell>
          <cell r="Q172">
            <v>1.1090284286160574</v>
          </cell>
          <cell r="R172" t="str">
            <v>-</v>
          </cell>
          <cell r="S172">
            <v>1.1044657097288677</v>
          </cell>
          <cell r="T172">
            <v>1.1067470691724626</v>
          </cell>
          <cell r="U172">
            <v>16.175000000000001</v>
          </cell>
          <cell r="V172">
            <v>1.3717156105100463</v>
          </cell>
          <cell r="W172" t="str">
            <v>-</v>
          </cell>
          <cell r="X172">
            <v>1.0703245749613601</v>
          </cell>
          <cell r="Y172">
            <v>4.794223826714801E-2</v>
          </cell>
          <cell r="Z172" t="str">
            <v>-</v>
          </cell>
          <cell r="AA172">
            <v>3.7408450704225348E-2</v>
          </cell>
        </row>
        <row r="173">
          <cell r="A173">
            <v>1993</v>
          </cell>
          <cell r="B173">
            <v>0.10955562808114468</v>
          </cell>
          <cell r="C173">
            <v>1.56</v>
          </cell>
          <cell r="D173">
            <v>1.68</v>
          </cell>
          <cell r="E173">
            <v>0.77500000000000002</v>
          </cell>
          <cell r="F173">
            <v>0.46130952380952384</v>
          </cell>
          <cell r="G173">
            <v>24.125</v>
          </cell>
          <cell r="H173" t="str">
            <v>-</v>
          </cell>
          <cell r="I173">
            <v>17.344000000000001</v>
          </cell>
          <cell r="J173">
            <v>14.360119047619047</v>
          </cell>
          <cell r="K173" t="str">
            <v>-</v>
          </cell>
          <cell r="L173">
            <v>10.323809523809524</v>
          </cell>
          <cell r="M173">
            <v>0.82010959723695298</v>
          </cell>
          <cell r="N173" t="str">
            <v>-</v>
          </cell>
          <cell r="O173">
            <v>0.64685523332139871</v>
          </cell>
          <cell r="P173">
            <v>0.7334824152791759</v>
          </cell>
          <cell r="Q173">
            <v>1.1627626759205707</v>
          </cell>
          <cell r="R173" t="str">
            <v>-</v>
          </cell>
          <cell r="S173">
            <v>0.97856014443692163</v>
          </cell>
          <cell r="T173">
            <v>1.0706614101787462</v>
          </cell>
          <cell r="U173">
            <v>15.27</v>
          </cell>
          <cell r="V173">
            <v>1.579895219384414</v>
          </cell>
          <cell r="W173" t="str">
            <v>-</v>
          </cell>
          <cell r="X173">
            <v>1.1358218729535037</v>
          </cell>
          <cell r="Y173">
            <v>4.4684040590405899E-2</v>
          </cell>
          <cell r="Z173" t="str">
            <v>-</v>
          </cell>
          <cell r="AA173">
            <v>3.2124352331606217E-2</v>
          </cell>
        </row>
        <row r="174">
          <cell r="A174">
            <v>1992</v>
          </cell>
          <cell r="B174">
            <v>0.14058983541752285</v>
          </cell>
          <cell r="C174">
            <v>1.93</v>
          </cell>
          <cell r="D174">
            <v>1.2949999999999999</v>
          </cell>
          <cell r="E174">
            <v>0.73750000000000004</v>
          </cell>
          <cell r="F174">
            <v>0.56949806949806958</v>
          </cell>
          <cell r="G174">
            <v>19</v>
          </cell>
          <cell r="H174" t="str">
            <v>-</v>
          </cell>
          <cell r="I174">
            <v>12.625</v>
          </cell>
          <cell r="J174">
            <v>14.671814671814673</v>
          </cell>
          <cell r="K174" t="str">
            <v>-</v>
          </cell>
          <cell r="L174">
            <v>9.7490347490347489</v>
          </cell>
          <cell r="M174">
            <v>0.77464702596698376</v>
          </cell>
          <cell r="N174" t="str">
            <v>-</v>
          </cell>
          <cell r="O174">
            <v>0.57584375363465734</v>
          </cell>
          <cell r="P174">
            <v>0.67524538980082061</v>
          </cell>
          <cell r="Q174">
            <v>1.3277660336483865</v>
          </cell>
          <cell r="R174" t="str">
            <v>-</v>
          </cell>
          <cell r="S174">
            <v>1.0868489129358694</v>
          </cell>
          <cell r="T174">
            <v>1.2073074732921278</v>
          </cell>
          <cell r="U174">
            <v>14.26</v>
          </cell>
          <cell r="V174">
            <v>0.74459171237050581</v>
          </cell>
          <cell r="W174" t="str">
            <v>-</v>
          </cell>
          <cell r="X174">
            <v>0.57891529555149301</v>
          </cell>
          <cell r="Y174">
            <v>5.8415841584158426E-2</v>
          </cell>
          <cell r="Z174" t="str">
            <v>-</v>
          </cell>
          <cell r="AA174">
            <v>3.8815789473684213E-2</v>
          </cell>
        </row>
        <row r="175">
          <cell r="A175">
            <v>1991</v>
          </cell>
          <cell r="B175">
            <v>8.6670959433354802E-2</v>
          </cell>
          <cell r="C175">
            <v>1.115</v>
          </cell>
          <cell r="D175">
            <v>0.97499999999999998</v>
          </cell>
          <cell r="E175">
            <v>0.6925</v>
          </cell>
          <cell r="F175">
            <v>0.71025641025641029</v>
          </cell>
          <cell r="G175">
            <v>13.75</v>
          </cell>
          <cell r="H175" t="str">
            <v>-</v>
          </cell>
          <cell r="I175">
            <v>9.5</v>
          </cell>
          <cell r="J175">
            <v>14.102564102564102</v>
          </cell>
          <cell r="K175" t="str">
            <v>-</v>
          </cell>
          <cell r="L175">
            <v>9.7435897435897445</v>
          </cell>
          <cell r="M175">
            <v>0.71695801233167777</v>
          </cell>
          <cell r="N175" t="str">
            <v>-</v>
          </cell>
          <cell r="O175">
            <v>0.6632804454451835</v>
          </cell>
          <cell r="P175">
            <v>0.69011922888843058</v>
          </cell>
          <cell r="Q175">
            <v>1.4302803349456494</v>
          </cell>
          <cell r="R175" t="str">
            <v>-</v>
          </cell>
          <cell r="S175">
            <v>1.3608365563672826</v>
          </cell>
          <cell r="T175">
            <v>1.395558445656466</v>
          </cell>
          <cell r="U175">
            <v>13.22</v>
          </cell>
          <cell r="V175">
            <v>0.73222536890743772</v>
          </cell>
          <cell r="W175" t="str">
            <v>-</v>
          </cell>
          <cell r="X175">
            <v>0.47510806379490234</v>
          </cell>
          <cell r="Y175">
            <v>7.2894736842105262E-2</v>
          </cell>
          <cell r="Z175" t="str">
            <v>-</v>
          </cell>
          <cell r="AA175">
            <v>5.0363636363636367E-2</v>
          </cell>
        </row>
        <row r="176">
          <cell r="A176">
            <v>1990</v>
          </cell>
          <cell r="B176">
            <v>8.3736367946894263E-2</v>
          </cell>
          <cell r="C176">
            <v>0.98499999999999999</v>
          </cell>
          <cell r="D176">
            <v>1.2</v>
          </cell>
          <cell r="E176">
            <v>0.65749999999999997</v>
          </cell>
          <cell r="F176">
            <v>0.54791666666666672</v>
          </cell>
          <cell r="G176">
            <v>15.25</v>
          </cell>
          <cell r="H176" t="str">
            <v>-</v>
          </cell>
          <cell r="I176">
            <v>7.6875</v>
          </cell>
          <cell r="J176">
            <v>12.708333333333334</v>
          </cell>
          <cell r="K176" t="str">
            <v>-</v>
          </cell>
          <cell r="L176">
            <v>6.40625</v>
          </cell>
          <cell r="M176">
            <v>0.80027287993282958</v>
          </cell>
          <cell r="N176" t="str">
            <v>-</v>
          </cell>
          <cell r="O176">
            <v>0.50403225806451613</v>
          </cell>
          <cell r="P176">
            <v>0.65215256899867291</v>
          </cell>
          <cell r="Q176">
            <v>1.3447971781305117</v>
          </cell>
          <cell r="R176" t="str">
            <v>-</v>
          </cell>
          <cell r="S176">
            <v>1.0876485568760612</v>
          </cell>
          <cell r="T176">
            <v>1.2162228675032865</v>
          </cell>
          <cell r="U176">
            <v>12.574999999999999</v>
          </cell>
          <cell r="V176">
            <v>0.9088432196792775</v>
          </cell>
          <cell r="W176" t="str">
            <v>-</v>
          </cell>
          <cell r="X176">
            <v>0.4515024132025533</v>
          </cell>
          <cell r="Y176">
            <v>8.5528455284552843E-2</v>
          </cell>
          <cell r="Z176" t="str">
            <v>-</v>
          </cell>
          <cell r="AA176">
            <v>4.3114754098360651E-2</v>
          </cell>
        </row>
        <row r="177">
          <cell r="A177">
            <v>1989</v>
          </cell>
          <cell r="B177">
            <v>0.13223865954095992</v>
          </cell>
          <cell r="C177">
            <v>1.44</v>
          </cell>
          <cell r="D177">
            <v>1.08</v>
          </cell>
          <cell r="E177">
            <v>0.62749999999999995</v>
          </cell>
          <cell r="F177">
            <v>0.58101851851851838</v>
          </cell>
          <cell r="G177">
            <v>15.75</v>
          </cell>
          <cell r="H177" t="str">
            <v>-</v>
          </cell>
          <cell r="I177">
            <v>10.6875</v>
          </cell>
          <cell r="J177">
            <v>14.583333333333332</v>
          </cell>
          <cell r="K177" t="str">
            <v>-</v>
          </cell>
          <cell r="L177">
            <v>9.8958333333333321</v>
          </cell>
          <cell r="M177">
            <v>0.99273882459723162</v>
          </cell>
          <cell r="N177" t="str">
            <v>-</v>
          </cell>
          <cell r="O177">
            <v>0.88041221826809002</v>
          </cell>
          <cell r="P177">
            <v>0.93657552143266076</v>
          </cell>
          <cell r="Q177">
            <v>1.442466205077481</v>
          </cell>
          <cell r="R177" t="str">
            <v>-</v>
          </cell>
          <cell r="S177">
            <v>1.293572984749455</v>
          </cell>
          <cell r="T177">
            <v>1.3680195949134681</v>
          </cell>
          <cell r="U177">
            <v>11.92</v>
          </cell>
          <cell r="V177">
            <v>1.0090410074265419</v>
          </cell>
          <cell r="W177" t="str">
            <v>-</v>
          </cell>
          <cell r="X177">
            <v>0.75274459154020024</v>
          </cell>
          <cell r="Y177">
            <v>5.8713450292397648E-2</v>
          </cell>
          <cell r="Z177" t="str">
            <v>-</v>
          </cell>
          <cell r="AA177">
            <v>3.9841269841269837E-2</v>
          </cell>
        </row>
        <row r="178">
          <cell r="A178">
            <v>1988</v>
          </cell>
          <cell r="B178">
            <v>7.9168961989454639E-2</v>
          </cell>
          <cell r="C178">
            <v>0.82499999999999996</v>
          </cell>
          <cell r="D178">
            <v>1.0549999999999999</v>
          </cell>
          <cell r="E178">
            <v>0.59750000000000003</v>
          </cell>
          <cell r="F178">
            <v>0.56635071090047395</v>
          </cell>
          <cell r="G178">
            <v>13.375</v>
          </cell>
          <cell r="H178" t="str">
            <v>-</v>
          </cell>
          <cell r="I178">
            <v>10.0625</v>
          </cell>
          <cell r="J178">
            <v>12.677725118483414</v>
          </cell>
          <cell r="K178" t="str">
            <v>-</v>
          </cell>
          <cell r="L178">
            <v>9.5379146919431292</v>
          </cell>
          <cell r="M178">
            <v>1.1299220248202686</v>
          </cell>
          <cell r="N178" t="str">
            <v>-</v>
          </cell>
          <cell r="O178">
            <v>0.99353278041074267</v>
          </cell>
          <cell r="P178">
            <v>1.0617274026155057</v>
          </cell>
          <cell r="Q178">
            <v>1.5146624992214355</v>
          </cell>
          <cell r="R178" t="str">
            <v>-</v>
          </cell>
          <cell r="S178">
            <v>1.3586773065446054</v>
          </cell>
          <cell r="T178">
            <v>1.4366699028830205</v>
          </cell>
          <cell r="U178">
            <v>11.15</v>
          </cell>
          <cell r="V178">
            <v>0.91304347826086951</v>
          </cell>
          <cell r="W178" t="str">
            <v>-</v>
          </cell>
          <cell r="X178">
            <v>0.68695652173913047</v>
          </cell>
          <cell r="Y178">
            <v>5.9378881987577653E-2</v>
          </cell>
          <cell r="Z178" t="str">
            <v>-</v>
          </cell>
          <cell r="AA178">
            <v>4.4672897196261684E-2</v>
          </cell>
        </row>
        <row r="179">
          <cell r="A179">
            <v>1987</v>
          </cell>
          <cell r="B179">
            <v>0.12109405439102315</v>
          </cell>
          <cell r="C179">
            <v>1.2749999999999999</v>
          </cell>
          <cell r="D179">
            <v>1.27</v>
          </cell>
          <cell r="E179">
            <v>0.55249999999999999</v>
          </cell>
          <cell r="F179">
            <v>0.43503937007874016</v>
          </cell>
          <cell r="G179">
            <v>15.125</v>
          </cell>
          <cell r="H179" t="str">
            <v>-</v>
          </cell>
          <cell r="I179">
            <v>8.9375</v>
          </cell>
          <cell r="J179">
            <v>11.909448818897637</v>
          </cell>
          <cell r="K179" t="str">
            <v>-</v>
          </cell>
          <cell r="L179">
            <v>7.0374015748031491</v>
          </cell>
          <cell r="M179">
            <v>0.70428437722635351</v>
          </cell>
          <cell r="N179" t="str">
            <v>-</v>
          </cell>
          <cell r="O179">
            <v>0.62554680664916884</v>
          </cell>
          <cell r="P179">
            <v>0.66491559193776117</v>
          </cell>
          <cell r="Q179">
            <v>1.1826662183612351</v>
          </cell>
          <cell r="R179" t="str">
            <v>-</v>
          </cell>
          <cell r="S179">
            <v>0.98287731491664088</v>
          </cell>
          <cell r="T179">
            <v>1.082771766638938</v>
          </cell>
          <cell r="U179">
            <v>11.435</v>
          </cell>
          <cell r="V179">
            <v>1.2889518413597734</v>
          </cell>
          <cell r="W179" t="str">
            <v>-</v>
          </cell>
          <cell r="X179">
            <v>0.82625118035882905</v>
          </cell>
          <cell r="Y179">
            <v>6.1818181818181814E-2</v>
          </cell>
          <cell r="Z179" t="str">
            <v>-</v>
          </cell>
          <cell r="AA179">
            <v>3.6528925619834708E-2</v>
          </cell>
        </row>
        <row r="180">
          <cell r="A180">
            <v>1986</v>
          </cell>
          <cell r="B180">
            <v>0.14631870695096186</v>
          </cell>
          <cell r="C180">
            <v>1.4350000000000001</v>
          </cell>
          <cell r="D180">
            <v>1.0449999999999999</v>
          </cell>
          <cell r="E180">
            <v>0.51</v>
          </cell>
          <cell r="F180">
            <v>0.48803827751196177</v>
          </cell>
          <cell r="G180">
            <v>15.6875</v>
          </cell>
          <cell r="H180" t="str">
            <v>-</v>
          </cell>
          <cell r="I180">
            <v>11.375</v>
          </cell>
          <cell r="J180">
            <v>15.011961722488039</v>
          </cell>
          <cell r="K180" t="str">
            <v>-</v>
          </cell>
          <cell r="L180">
            <v>10.885167464114833</v>
          </cell>
          <cell r="M180">
            <v>0.93532471791202731</v>
          </cell>
          <cell r="N180" t="str">
            <v>-</v>
          </cell>
          <cell r="O180">
            <v>0.84709474428909204</v>
          </cell>
          <cell r="P180">
            <v>0.89120973110055968</v>
          </cell>
          <cell r="Q180">
            <v>1.4660118869617225</v>
          </cell>
          <cell r="R180" t="str">
            <v>-</v>
          </cell>
          <cell r="S180">
            <v>1.1530897737409782</v>
          </cell>
          <cell r="T180">
            <v>1.3095508303513503</v>
          </cell>
          <cell r="U180">
            <v>10.64</v>
          </cell>
          <cell r="V180">
            <v>1.3637299300123509</v>
          </cell>
          <cell r="W180" t="str">
            <v>-</v>
          </cell>
          <cell r="X180">
            <v>1.0755454919720049</v>
          </cell>
          <cell r="Y180">
            <v>4.4835164835164837E-2</v>
          </cell>
          <cell r="Z180" t="str">
            <v>-</v>
          </cell>
          <cell r="AA180">
            <v>3.2509960159362548E-2</v>
          </cell>
        </row>
        <row r="181">
          <cell r="A181">
            <v>1985</v>
          </cell>
          <cell r="B181">
            <v>0.1271537083925153</v>
          </cell>
          <cell r="C181">
            <v>1.165</v>
          </cell>
          <cell r="D181">
            <v>0.995</v>
          </cell>
          <cell r="E181">
            <v>0.47</v>
          </cell>
          <cell r="F181">
            <v>0.47236180904522612</v>
          </cell>
          <cell r="G181">
            <v>13.625</v>
          </cell>
          <cell r="H181" t="str">
            <v>-</v>
          </cell>
          <cell r="I181">
            <v>9.375</v>
          </cell>
          <cell r="J181">
            <v>13.693467336683417</v>
          </cell>
          <cell r="K181" t="str">
            <v>-</v>
          </cell>
          <cell r="L181">
            <v>9.4221105527638187</v>
          </cell>
          <cell r="M181">
            <v>1.0748404502891222</v>
          </cell>
          <cell r="N181" t="str">
            <v>-</v>
          </cell>
          <cell r="O181">
            <v>0.95753156024022545</v>
          </cell>
          <cell r="P181">
            <v>1.0161860052646738</v>
          </cell>
          <cell r="U181">
            <v>9.6999999999999993</v>
          </cell>
          <cell r="V181">
            <v>1.2988589463462006</v>
          </cell>
          <cell r="W181" t="str">
            <v>-</v>
          </cell>
          <cell r="X181">
            <v>0.87703326050012143</v>
          </cell>
          <cell r="Y181">
            <v>5.0133333333333328E-2</v>
          </cell>
          <cell r="Z181" t="str">
            <v>-</v>
          </cell>
          <cell r="AA181">
            <v>3.4495412844036698E-2</v>
          </cell>
        </row>
        <row r="182">
          <cell r="A182">
            <v>1984</v>
          </cell>
          <cell r="B182">
            <v>9.9844303839401072E-2</v>
          </cell>
          <cell r="C182">
            <v>0.85</v>
          </cell>
          <cell r="D182">
            <v>0.82</v>
          </cell>
          <cell r="E182">
            <v>0.43</v>
          </cell>
          <cell r="F182">
            <v>0.52439024390243905</v>
          </cell>
          <cell r="G182">
            <v>10.375</v>
          </cell>
          <cell r="H182" t="str">
            <v>-</v>
          </cell>
          <cell r="I182">
            <v>6.5625</v>
          </cell>
          <cell r="J182">
            <v>12.652439024390244</v>
          </cell>
          <cell r="K182" t="str">
            <v>-</v>
          </cell>
          <cell r="L182">
            <v>8.0030487804878057</v>
          </cell>
          <cell r="M182">
            <v>1.2652439024390243</v>
          </cell>
          <cell r="N182" t="str">
            <v>-</v>
          </cell>
          <cell r="O182">
            <v>0.92307367710355315</v>
          </cell>
          <cell r="P182">
            <v>1.0941587897712888</v>
          </cell>
          <cell r="U182">
            <v>9.1</v>
          </cell>
          <cell r="V182">
            <v>0.99642309657639239</v>
          </cell>
          <cell r="W182" t="str">
            <v>-</v>
          </cell>
          <cell r="X182">
            <v>0.69621870209504344</v>
          </cell>
          <cell r="Y182">
            <v>6.5523809523809526E-2</v>
          </cell>
          <cell r="Z182" t="str">
            <v>-</v>
          </cell>
          <cell r="AA182">
            <v>4.1445783132530119E-2</v>
          </cell>
        </row>
        <row r="183">
          <cell r="A183">
            <v>1983</v>
          </cell>
          <cell r="B183">
            <v>8.1787352882505493E-2</v>
          </cell>
          <cell r="C183">
            <v>1.0249999999999999</v>
          </cell>
          <cell r="D183">
            <v>0.88500000000000001</v>
          </cell>
          <cell r="E183">
            <v>0.38500000000000001</v>
          </cell>
          <cell r="F183">
            <v>0.43502824858757061</v>
          </cell>
          <cell r="G183">
            <v>8.4375</v>
          </cell>
          <cell r="I183">
            <v>5.25</v>
          </cell>
          <cell r="J183">
            <v>9.5338983050847457</v>
          </cell>
          <cell r="K183" t="str">
            <v>-</v>
          </cell>
          <cell r="L183">
            <v>5.9322033898305087</v>
          </cell>
          <cell r="M183">
            <v>0.95338983050847459</v>
          </cell>
          <cell r="N183" t="str">
            <v>-</v>
          </cell>
          <cell r="O183">
            <v>0.68422184427110821</v>
          </cell>
          <cell r="P183">
            <v>0.8188058373897914</v>
          </cell>
          <cell r="Q183" t="str">
            <v xml:space="preserve">         </v>
          </cell>
          <cell r="S183" t="str">
            <v xml:space="preserve">         </v>
          </cell>
          <cell r="T183" t="str">
            <v xml:space="preserve">         </v>
          </cell>
          <cell r="U183">
            <v>8.7449999999999992</v>
          </cell>
          <cell r="V183">
            <v>0.99642309657639239</v>
          </cell>
          <cell r="W183" t="str">
            <v>-</v>
          </cell>
          <cell r="X183">
            <v>0.69621870209504344</v>
          </cell>
          <cell r="Y183">
            <v>7.3333333333333334E-2</v>
          </cell>
          <cell r="Z183" t="str">
            <v>-</v>
          </cell>
          <cell r="AA183">
            <v>4.5629629629629631E-2</v>
          </cell>
        </row>
        <row r="184">
          <cell r="A184" t="str">
            <v xml:space="preserve"> </v>
          </cell>
        </row>
        <row r="185">
          <cell r="A185" t="str">
            <v>Average</v>
          </cell>
          <cell r="J185">
            <v>14.443956997038523</v>
          </cell>
          <cell r="K185" t="str">
            <v>-</v>
          </cell>
          <cell r="L185">
            <v>9.4366252414456753</v>
          </cell>
          <cell r="M185">
            <v>0.85718411386038307</v>
          </cell>
          <cell r="N185" t="str">
            <v>-</v>
          </cell>
          <cell r="O185">
            <v>0.70525167407256761</v>
          </cell>
          <cell r="P185">
            <v>0.78121789396647534</v>
          </cell>
          <cell r="Q185">
            <v>1.2895753481297225</v>
          </cell>
          <cell r="R185" t="str">
            <v>-</v>
          </cell>
          <cell r="S185">
            <v>1.0937829013145075</v>
          </cell>
          <cell r="T185">
            <v>1.191679124722115</v>
          </cell>
          <cell r="V185">
            <v>1.3651381206833597</v>
          </cell>
          <cell r="W185" t="str">
            <v>-</v>
          </cell>
          <cell r="X185">
            <v>0.90356231225600325</v>
          </cell>
          <cell r="Y185">
            <v>5.4046851889074141E-2</v>
          </cell>
          <cell r="Z185" t="str">
            <v>-</v>
          </cell>
          <cell r="AA185">
            <v>3.499887194641723E-2</v>
          </cell>
        </row>
        <row r="186">
          <cell r="A186" t="str">
            <v xml:space="preserve"> </v>
          </cell>
        </row>
        <row r="187">
          <cell r="A187" t="str">
            <v>1-Yr. Growth</v>
          </cell>
          <cell r="C187">
            <v>0.38260869565217415</v>
          </cell>
          <cell r="D187">
            <v>0.23076923076923084</v>
          </cell>
          <cell r="E187">
            <v>5.3571428571428381E-2</v>
          </cell>
          <cell r="U187">
            <v>4.8881524440762103E-2</v>
          </cell>
        </row>
        <row r="188">
          <cell r="A188" t="str">
            <v>3-Yr. Growth</v>
          </cell>
          <cell r="C188">
            <v>-0.10862538954893508</v>
          </cell>
          <cell r="D188">
            <v>0.1696070952851465</v>
          </cell>
          <cell r="E188">
            <v>6.386203404930102E-2</v>
          </cell>
          <cell r="U188">
            <v>4.0452995328255303E-2</v>
          </cell>
        </row>
        <row r="189">
          <cell r="A189" t="str">
            <v>5-Yr. Growth</v>
          </cell>
          <cell r="C189">
            <v>6.5553414101810148E-2</v>
          </cell>
          <cell r="D189">
            <v>0.20145109283692064</v>
          </cell>
          <cell r="E189">
            <v>6.1633931597388392E-2</v>
          </cell>
          <cell r="U189">
            <v>7.5388862720965122E-2</v>
          </cell>
        </row>
        <row r="190">
          <cell r="A190" t="str">
            <v>10-Yr. Growth</v>
          </cell>
          <cell r="C190">
            <v>0.1243436952919601</v>
          </cell>
          <cell r="D190">
            <v>0.11857898856409044</v>
          </cell>
          <cell r="E190">
            <v>6.0226426629867547E-2</v>
          </cell>
          <cell r="U190">
            <v>7.2495727499893636E-2</v>
          </cell>
        </row>
        <row r="192">
          <cell r="A192" t="str">
            <v>MetLife</v>
          </cell>
        </row>
        <row r="193">
          <cell r="A193">
            <v>2000</v>
          </cell>
          <cell r="B193">
            <v>0.104</v>
          </cell>
          <cell r="C193">
            <v>1.61</v>
          </cell>
          <cell r="D193">
            <v>1.96</v>
          </cell>
          <cell r="E193">
            <v>0.2</v>
          </cell>
          <cell r="F193">
            <v>0.10204081632653061</v>
          </cell>
          <cell r="G193">
            <v>36.5</v>
          </cell>
          <cell r="H193" t="str">
            <v>-</v>
          </cell>
          <cell r="I193">
            <v>14.3125</v>
          </cell>
          <cell r="J193">
            <v>18.622448979591837</v>
          </cell>
          <cell r="K193" t="str">
            <v>-</v>
          </cell>
          <cell r="L193">
            <v>7.3022959183673475</v>
          </cell>
          <cell r="M193">
            <v>0.66127193902845882</v>
          </cell>
          <cell r="N193" t="str">
            <v>-</v>
          </cell>
          <cell r="O193">
            <v>0.32113169113204143</v>
          </cell>
          <cell r="P193">
            <v>0.49120181508025013</v>
          </cell>
          <cell r="Q193">
            <v>1.2881551716474469</v>
          </cell>
          <cell r="R193" t="str">
            <v>-</v>
          </cell>
          <cell r="S193">
            <v>0.89999510462856214</v>
          </cell>
          <cell r="T193">
            <v>1.0940751381380045</v>
          </cell>
          <cell r="U193">
            <v>19.48</v>
          </cell>
          <cell r="V193">
            <v>1.8737166324435317</v>
          </cell>
          <cell r="W193" t="str">
            <v>-</v>
          </cell>
          <cell r="X193">
            <v>0.73472792607802873</v>
          </cell>
          <cell r="Y193">
            <v>1.3973799126637555E-2</v>
          </cell>
          <cell r="Z193" t="str">
            <v>-</v>
          </cell>
          <cell r="AA193">
            <v>5.4794520547945206E-3</v>
          </cell>
        </row>
        <row r="195">
          <cell r="A195" t="str">
            <v>MONY Group (1998 data are pro forma for the company's IPO)</v>
          </cell>
        </row>
        <row r="196">
          <cell r="A196">
            <v>2000</v>
          </cell>
          <cell r="B196">
            <v>0.11799999999999999</v>
          </cell>
          <cell r="C196">
            <v>4.7</v>
          </cell>
          <cell r="D196">
            <v>4.88</v>
          </cell>
          <cell r="E196">
            <v>0.42</v>
          </cell>
          <cell r="F196">
            <v>8.6065573770491802E-2</v>
          </cell>
          <cell r="G196">
            <v>50</v>
          </cell>
          <cell r="H196" t="str">
            <v>-</v>
          </cell>
          <cell r="I196">
            <v>26.1875</v>
          </cell>
          <cell r="J196">
            <v>10.245901639344263</v>
          </cell>
          <cell r="K196" t="str">
            <v>-</v>
          </cell>
          <cell r="L196">
            <v>5.3662909836065573</v>
          </cell>
          <cell r="M196">
            <v>0.3638257917403378</v>
          </cell>
          <cell r="N196" t="str">
            <v>-</v>
          </cell>
          <cell r="O196">
            <v>0.23599236704960777</v>
          </cell>
          <cell r="P196">
            <v>0.2999090793949728</v>
          </cell>
          <cell r="Q196">
            <v>0.7087312307514585</v>
          </cell>
          <cell r="R196" t="str">
            <v>-</v>
          </cell>
          <cell r="S196">
            <v>0.66138590783624485</v>
          </cell>
          <cell r="T196">
            <v>0.68505856929385167</v>
          </cell>
          <cell r="U196">
            <v>41.65</v>
          </cell>
          <cell r="V196">
            <v>1.2004801920768309</v>
          </cell>
          <cell r="W196" t="str">
            <v>-</v>
          </cell>
          <cell r="X196">
            <v>0.6287515006002401</v>
          </cell>
          <cell r="Y196">
            <v>1.6038186157517897E-2</v>
          </cell>
          <cell r="Z196" t="str">
            <v>-</v>
          </cell>
          <cell r="AA196">
            <v>8.3999999999999995E-3</v>
          </cell>
        </row>
        <row r="197">
          <cell r="A197">
            <v>1999</v>
          </cell>
          <cell r="B197">
            <v>0.14299999999999999</v>
          </cell>
          <cell r="C197">
            <v>5.2</v>
          </cell>
          <cell r="D197">
            <v>4.3899999999999997</v>
          </cell>
          <cell r="E197">
            <v>0.4</v>
          </cell>
          <cell r="F197">
            <v>9.1116173120728935E-2</v>
          </cell>
          <cell r="G197">
            <v>33.8125</v>
          </cell>
          <cell r="H197" t="str">
            <v>-</v>
          </cell>
          <cell r="I197">
            <v>23.25</v>
          </cell>
          <cell r="J197">
            <v>7.7021640091116179</v>
          </cell>
          <cell r="K197" t="str">
            <v>-</v>
          </cell>
          <cell r="L197">
            <v>5.2961275626423694</v>
          </cell>
          <cell r="M197">
            <v>0.24385419439218933</v>
          </cell>
          <cell r="N197" t="str">
            <v>-</v>
          </cell>
          <cell r="O197">
            <v>0.20491048190868225</v>
          </cell>
          <cell r="P197">
            <v>0.22438233815043579</v>
          </cell>
          <cell r="Q197">
            <v>0.51485053536842362</v>
          </cell>
          <cell r="R197" t="str">
            <v>-</v>
          </cell>
          <cell r="S197">
            <v>0.4333983275484754</v>
          </cell>
          <cell r="T197">
            <v>0.47412443145844951</v>
          </cell>
          <cell r="U197">
            <v>38.79</v>
          </cell>
          <cell r="V197">
            <v>0.87168084557875747</v>
          </cell>
          <cell r="W197" t="str">
            <v>-</v>
          </cell>
          <cell r="X197">
            <v>0.59938128383604028</v>
          </cell>
          <cell r="Y197">
            <v>1.7204301075268817E-2</v>
          </cell>
          <cell r="Z197" t="str">
            <v>-</v>
          </cell>
          <cell r="AA197">
            <v>1.1829944547134937E-2</v>
          </cell>
        </row>
        <row r="198">
          <cell r="A198">
            <v>1998</v>
          </cell>
          <cell r="B198">
            <v>0.113</v>
          </cell>
          <cell r="C198">
            <v>3.42</v>
          </cell>
          <cell r="D198">
            <v>1.97</v>
          </cell>
          <cell r="E198">
            <v>0</v>
          </cell>
          <cell r="F198">
            <v>0</v>
          </cell>
          <cell r="G198">
            <v>32.75</v>
          </cell>
          <cell r="H198" t="str">
            <v>-</v>
          </cell>
          <cell r="I198">
            <v>27.5625</v>
          </cell>
          <cell r="J198">
            <v>16.624365482233504</v>
          </cell>
          <cell r="K198" t="str">
            <v>-</v>
          </cell>
          <cell r="L198">
            <v>13.991116751269036</v>
          </cell>
          <cell r="M198">
            <v>0.53721753299402686</v>
          </cell>
          <cell r="N198" t="str">
            <v>-</v>
          </cell>
          <cell r="O198">
            <v>0.61661276130665432</v>
          </cell>
          <cell r="P198">
            <v>0.68318167044034794</v>
          </cell>
          <cell r="Q198">
            <v>0.9773289525122576</v>
          </cell>
          <cell r="R198" t="str">
            <v>-</v>
          </cell>
          <cell r="S198">
            <v>0.9777160552948313</v>
          </cell>
          <cell r="T198">
            <v>0.97752250390354445</v>
          </cell>
          <cell r="U198">
            <v>33.94</v>
          </cell>
          <cell r="V198">
            <v>0.96493812610489105</v>
          </cell>
          <cell r="W198" t="str">
            <v>-</v>
          </cell>
          <cell r="X198">
            <v>0.81209487330583385</v>
          </cell>
          <cell r="Y198">
            <v>0</v>
          </cell>
          <cell r="Z198" t="str">
            <v>-</v>
          </cell>
          <cell r="AA198">
            <v>0</v>
          </cell>
        </row>
        <row r="200">
          <cell r="A200" t="str">
            <v>Average</v>
          </cell>
          <cell r="J200">
            <v>11.524143710229794</v>
          </cell>
          <cell r="K200" t="str">
            <v>-</v>
          </cell>
          <cell r="L200">
            <v>8.2178450991726546</v>
          </cell>
          <cell r="M200">
            <v>0.38163250637551799</v>
          </cell>
          <cell r="N200" t="str">
            <v>-</v>
          </cell>
          <cell r="O200">
            <v>0.35250520342164809</v>
          </cell>
          <cell r="P200">
            <v>0.40249102932858549</v>
          </cell>
          <cell r="Q200">
            <v>0.7336369062107132</v>
          </cell>
          <cell r="R200" t="str">
            <v>-</v>
          </cell>
          <cell r="S200">
            <v>0.69083343022651722</v>
          </cell>
          <cell r="T200">
            <v>0.71223516821861521</v>
          </cell>
          <cell r="V200">
            <v>1.0123663879201599</v>
          </cell>
          <cell r="W200" t="str">
            <v>-</v>
          </cell>
          <cell r="X200">
            <v>0.68007588591403811</v>
          </cell>
          <cell r="Y200">
            <v>1.1080829077595571E-2</v>
          </cell>
          <cell r="Z200" t="str">
            <v>-</v>
          </cell>
          <cell r="AA200">
            <v>6.7433148490449778E-3</v>
          </cell>
        </row>
        <row r="202">
          <cell r="A202" t="str">
            <v>1-Yr. Growth</v>
          </cell>
          <cell r="C202">
            <v>-9.6153846153846145E-2</v>
          </cell>
          <cell r="D202">
            <v>0.11161731207289294</v>
          </cell>
          <cell r="U202">
            <v>7.3730342871874077E-2</v>
          </cell>
        </row>
        <row r="204">
          <cell r="A204" t="str">
            <v>Nationwide Financial Services</v>
          </cell>
        </row>
        <row r="205">
          <cell r="A205">
            <v>2000</v>
          </cell>
          <cell r="B205">
            <v>0.16800000000000001</v>
          </cell>
          <cell r="C205">
            <v>3.37</v>
          </cell>
          <cell r="D205">
            <v>3.5</v>
          </cell>
          <cell r="E205">
            <v>0.44</v>
          </cell>
          <cell r="F205">
            <v>0.12571428571428572</v>
          </cell>
          <cell r="G205">
            <v>51.4375</v>
          </cell>
          <cell r="H205" t="str">
            <v>-</v>
          </cell>
          <cell r="I205">
            <v>19.5</v>
          </cell>
          <cell r="J205">
            <v>14.696428571428571</v>
          </cell>
          <cell r="K205" t="str">
            <v>-</v>
          </cell>
          <cell r="L205">
            <v>5.5714285714285712</v>
          </cell>
          <cell r="M205">
            <v>0.52186132064971935</v>
          </cell>
          <cell r="N205" t="str">
            <v>-</v>
          </cell>
          <cell r="O205">
            <v>0.24501366408118022</v>
          </cell>
          <cell r="P205">
            <v>0.38343749236544977</v>
          </cell>
          <cell r="Q205">
            <v>1.0165838279261563</v>
          </cell>
          <cell r="R205" t="str">
            <v>-</v>
          </cell>
          <cell r="S205">
            <v>0.68666875406420247</v>
          </cell>
          <cell r="T205">
            <v>0.85162629099517939</v>
          </cell>
          <cell r="U205">
            <v>22.4</v>
          </cell>
          <cell r="V205">
            <v>2.2963169642857144</v>
          </cell>
          <cell r="W205" t="str">
            <v>-</v>
          </cell>
          <cell r="X205">
            <v>0.8705357142857143</v>
          </cell>
          <cell r="Y205">
            <v>2.2564102564102566E-2</v>
          </cell>
          <cell r="Z205" t="str">
            <v>-</v>
          </cell>
          <cell r="AA205">
            <v>8.5540704738760638E-3</v>
          </cell>
        </row>
        <row r="206">
          <cell r="A206">
            <v>1999</v>
          </cell>
          <cell r="B206">
            <v>0.16300000000000001</v>
          </cell>
          <cell r="C206">
            <v>2.97</v>
          </cell>
          <cell r="D206">
            <v>3.02</v>
          </cell>
          <cell r="E206">
            <v>0.36</v>
          </cell>
          <cell r="F206">
            <v>0.11920529801324503</v>
          </cell>
          <cell r="G206">
            <v>54.125</v>
          </cell>
          <cell r="H206" t="str">
            <v>-</v>
          </cell>
          <cell r="I206">
            <v>26.75</v>
          </cell>
          <cell r="J206">
            <v>17.922185430463575</v>
          </cell>
          <cell r="K206" t="str">
            <v>-</v>
          </cell>
          <cell r="L206">
            <v>8.8576158940397356</v>
          </cell>
          <cell r="M206">
            <v>0.56742495806671589</v>
          </cell>
          <cell r="N206" t="str">
            <v>-</v>
          </cell>
          <cell r="O206">
            <v>0.34270668898015133</v>
          </cell>
          <cell r="P206">
            <v>0.45506582352343361</v>
          </cell>
          <cell r="Q206">
            <v>1.1980070474908806</v>
          </cell>
          <cell r="R206" t="str">
            <v>-</v>
          </cell>
          <cell r="S206">
            <v>0.72484581784285884</v>
          </cell>
          <cell r="T206">
            <v>0.96142643266686978</v>
          </cell>
          <cell r="U206">
            <v>19.47</v>
          </cell>
          <cell r="V206">
            <v>2.7799178222907037</v>
          </cell>
          <cell r="W206" t="str">
            <v>-</v>
          </cell>
          <cell r="X206">
            <v>1.3739085772984079</v>
          </cell>
          <cell r="Y206">
            <v>1.3457943925233645E-2</v>
          </cell>
          <cell r="Z206" t="str">
            <v>-</v>
          </cell>
          <cell r="AA206">
            <v>6.6512702078521937E-3</v>
          </cell>
        </row>
        <row r="207">
          <cell r="A207">
            <v>1998</v>
          </cell>
          <cell r="B207">
            <v>0.16420085459530218</v>
          </cell>
          <cell r="C207">
            <v>2.5847589424572313</v>
          </cell>
          <cell r="D207">
            <v>2.4900000000000002</v>
          </cell>
          <cell r="E207">
            <v>0.28000000000000003</v>
          </cell>
          <cell r="F207">
            <v>0.11244979919678715</v>
          </cell>
          <cell r="G207">
            <v>55.843750000000007</v>
          </cell>
          <cell r="H207" t="str">
            <v>-</v>
          </cell>
          <cell r="I207">
            <v>28.25</v>
          </cell>
          <cell r="J207">
            <v>22.427208835341368</v>
          </cell>
          <cell r="K207" t="str">
            <v>-</v>
          </cell>
          <cell r="L207">
            <v>11.345381526104417</v>
          </cell>
          <cell r="M207">
            <v>0.72473682170546394</v>
          </cell>
          <cell r="N207" t="str">
            <v>-</v>
          </cell>
          <cell r="O207">
            <v>0.50001062497417992</v>
          </cell>
          <cell r="P207">
            <v>0.61237372333982187</v>
          </cell>
          <cell r="Q207">
            <v>1.3184720067807976</v>
          </cell>
          <cell r="R207" t="str">
            <v>-</v>
          </cell>
          <cell r="S207">
            <v>0.79282889770121712</v>
          </cell>
          <cell r="T207">
            <v>1.0556504522410073</v>
          </cell>
          <cell r="U207">
            <v>16.89</v>
          </cell>
          <cell r="V207">
            <v>3.3063203078744823</v>
          </cell>
          <cell r="W207" t="str">
            <v>-</v>
          </cell>
          <cell r="X207">
            <v>1.6725873297809355</v>
          </cell>
          <cell r="Y207">
            <v>9.9115044247787623E-3</v>
          </cell>
          <cell r="Z207" t="str">
            <v>-</v>
          </cell>
          <cell r="AA207">
            <v>5.0139899272523781E-3</v>
          </cell>
        </row>
        <row r="208">
          <cell r="A208">
            <v>1997</v>
          </cell>
          <cell r="B208">
            <v>0.151</v>
          </cell>
          <cell r="C208">
            <v>2.14</v>
          </cell>
          <cell r="D208">
            <v>1.98</v>
          </cell>
          <cell r="E208">
            <v>0.18</v>
          </cell>
          <cell r="F208">
            <v>9.0909090909090912E-2</v>
          </cell>
          <cell r="G208">
            <v>38.25</v>
          </cell>
          <cell r="H208" t="str">
            <v>-</v>
          </cell>
          <cell r="I208">
            <v>24</v>
          </cell>
          <cell r="J208">
            <v>19.31818181818182</v>
          </cell>
          <cell r="K208" t="str">
            <v>-</v>
          </cell>
          <cell r="L208">
            <v>12.121212121212121</v>
          </cell>
          <cell r="M208">
            <v>0.88656180900329606</v>
          </cell>
          <cell r="N208" t="str">
            <v>-</v>
          </cell>
          <cell r="O208">
            <v>0.74363264547313623</v>
          </cell>
          <cell r="P208">
            <v>0.8150972272382162</v>
          </cell>
          <cell r="Q208">
            <v>1.2439267107650882</v>
          </cell>
          <cell r="R208" t="str">
            <v>-</v>
          </cell>
          <cell r="S208">
            <v>1.0651328753261968</v>
          </cell>
          <cell r="T208">
            <v>1.1545297930456426</v>
          </cell>
          <cell r="U208">
            <v>14.6</v>
          </cell>
          <cell r="V208">
            <v>2.6198630136986303</v>
          </cell>
          <cell r="W208" t="str">
            <v>-</v>
          </cell>
          <cell r="X208">
            <v>1.6438356164383563</v>
          </cell>
          <cell r="Y208">
            <v>7.4999999999999997E-3</v>
          </cell>
          <cell r="Z208" t="str">
            <v>-</v>
          </cell>
          <cell r="AA208">
            <v>4.7058823529411761E-3</v>
          </cell>
        </row>
        <row r="210">
          <cell r="A210" t="str">
            <v>Average</v>
          </cell>
          <cell r="J210">
            <v>18.591001163853832</v>
          </cell>
          <cell r="K210" t="str">
            <v>-</v>
          </cell>
          <cell r="L210">
            <v>9.4739095281962111</v>
          </cell>
          <cell r="M210">
            <v>0.67514622735629881</v>
          </cell>
          <cell r="N210" t="str">
            <v>-</v>
          </cell>
          <cell r="O210">
            <v>0.45784090587716186</v>
          </cell>
          <cell r="P210">
            <v>0.56649356661673034</v>
          </cell>
          <cell r="Q210">
            <v>1.1942473982407307</v>
          </cell>
          <cell r="R210" t="str">
            <v>-</v>
          </cell>
          <cell r="S210">
            <v>0.8173690862336187</v>
          </cell>
          <cell r="V210">
            <v>2.7506045270373827</v>
          </cell>
          <cell r="W210" t="str">
            <v>-</v>
          </cell>
          <cell r="X210">
            <v>1.3902168094508536</v>
          </cell>
          <cell r="Y210">
            <v>1.3358387728528744E-2</v>
          </cell>
          <cell r="Z210" t="str">
            <v>-</v>
          </cell>
          <cell r="AA210">
            <v>6.2313032404804538E-3</v>
          </cell>
        </row>
        <row r="212">
          <cell r="A212" t="str">
            <v>1-Yr. Growth</v>
          </cell>
          <cell r="C212">
            <v>0.13468013468013473</v>
          </cell>
          <cell r="D212">
            <v>0.1589403973509933</v>
          </cell>
          <cell r="E212">
            <v>0.22222222222222232</v>
          </cell>
          <cell r="U212">
            <v>0.15048793014894701</v>
          </cell>
        </row>
        <row r="213">
          <cell r="A213" t="str">
            <v>3-Yr. Growth</v>
          </cell>
          <cell r="C213">
            <v>0.16342585020022793</v>
          </cell>
          <cell r="D213">
            <v>0.20911502525450731</v>
          </cell>
          <cell r="E213">
            <v>0.34708000687406337</v>
          </cell>
          <cell r="U213">
            <v>0.15336044811203742</v>
          </cell>
        </row>
        <row r="215">
          <cell r="A215" t="str">
            <v xml:space="preserve">Protective Life </v>
          </cell>
        </row>
        <row r="216">
          <cell r="A216">
            <v>2000</v>
          </cell>
          <cell r="B216">
            <v>0.155</v>
          </cell>
          <cell r="C216">
            <v>2.3199999999999998</v>
          </cell>
          <cell r="D216">
            <v>2.33</v>
          </cell>
          <cell r="E216">
            <v>0.51</v>
          </cell>
          <cell r="F216">
            <v>0.21888412017167383</v>
          </cell>
          <cell r="G216">
            <v>32.299999999999997</v>
          </cell>
          <cell r="H216" t="str">
            <v>-</v>
          </cell>
          <cell r="I216">
            <v>19</v>
          </cell>
          <cell r="J216">
            <v>13.862660944206008</v>
          </cell>
          <cell r="K216" t="str">
            <v>-</v>
          </cell>
          <cell r="L216">
            <v>8.1545064377682408</v>
          </cell>
          <cell r="M216">
            <v>0.49225473474059223</v>
          </cell>
          <cell r="N216" t="str">
            <v>-</v>
          </cell>
          <cell r="O216">
            <v>0.35860919250354323</v>
          </cell>
          <cell r="P216">
            <v>0.4254319636220677</v>
          </cell>
          <cell r="Q216">
            <v>0.81497124892451533</v>
          </cell>
          <cell r="R216" t="str">
            <v>-</v>
          </cell>
          <cell r="S216">
            <v>0.56984671123467789</v>
          </cell>
          <cell r="T216">
            <v>0.69240898007959661</v>
          </cell>
          <cell r="U216">
            <v>17.27</v>
          </cell>
          <cell r="V216">
            <v>1.8702953097857555</v>
          </cell>
          <cell r="W216" t="str">
            <v>-</v>
          </cell>
          <cell r="X216">
            <v>1.1001737116386798</v>
          </cell>
          <cell r="Y216">
            <v>2.6842105263157896E-2</v>
          </cell>
          <cell r="Z216" t="str">
            <v>-</v>
          </cell>
          <cell r="AA216">
            <v>1.5789473684210527E-2</v>
          </cell>
        </row>
        <row r="217">
          <cell r="A217">
            <v>1999</v>
          </cell>
          <cell r="B217">
            <v>0.16300000000000001</v>
          </cell>
          <cell r="C217">
            <v>2.29</v>
          </cell>
          <cell r="D217">
            <v>2.34</v>
          </cell>
          <cell r="E217">
            <v>0.47</v>
          </cell>
          <cell r="F217">
            <v>0.20085470085470086</v>
          </cell>
          <cell r="G217">
            <v>40.75</v>
          </cell>
          <cell r="H217" t="str">
            <v>-</v>
          </cell>
          <cell r="I217">
            <v>27.8125</v>
          </cell>
          <cell r="J217">
            <v>17.414529914529915</v>
          </cell>
          <cell r="K217" t="str">
            <v>-</v>
          </cell>
          <cell r="L217">
            <v>11.885683760683762</v>
          </cell>
          <cell r="M217">
            <v>0.55135234175780501</v>
          </cell>
          <cell r="N217" t="str">
            <v>-</v>
          </cell>
          <cell r="O217">
            <v>0.45986452524205751</v>
          </cell>
          <cell r="P217">
            <v>0.50560843349993123</v>
          </cell>
          <cell r="Q217">
            <v>1.1640728552493258</v>
          </cell>
          <cell r="R217" t="str">
            <v>-</v>
          </cell>
          <cell r="S217">
            <v>0.97264187894302467</v>
          </cell>
          <cell r="T217">
            <v>1.0683573670961752</v>
          </cell>
          <cell r="U217">
            <v>15.68</v>
          </cell>
          <cell r="V217">
            <v>2.5988520408163267</v>
          </cell>
          <cell r="W217" t="str">
            <v>-</v>
          </cell>
          <cell r="X217">
            <v>1.7737563775510203</v>
          </cell>
          <cell r="Y217">
            <v>1.6898876404494383E-2</v>
          </cell>
          <cell r="Z217" t="str">
            <v>-</v>
          </cell>
          <cell r="AA217">
            <v>1.1533742331288344E-2</v>
          </cell>
        </row>
        <row r="218">
          <cell r="A218">
            <v>1998</v>
          </cell>
          <cell r="B218">
            <v>0.16496016982770637</v>
          </cell>
          <cell r="C218">
            <v>2.04</v>
          </cell>
          <cell r="D218">
            <v>2.02</v>
          </cell>
          <cell r="E218">
            <v>0.43</v>
          </cell>
          <cell r="F218">
            <v>0.21287128712871287</v>
          </cell>
          <cell r="G218">
            <v>41.25</v>
          </cell>
          <cell r="H218" t="str">
            <v>-</v>
          </cell>
          <cell r="I218">
            <v>28</v>
          </cell>
          <cell r="J218">
            <v>20.420792079207921</v>
          </cell>
          <cell r="K218" t="str">
            <v>-</v>
          </cell>
          <cell r="L218">
            <v>13.861386138613861</v>
          </cell>
          <cell r="M218">
            <v>0.65989932393510842</v>
          </cell>
          <cell r="N218" t="str">
            <v>-</v>
          </cell>
          <cell r="O218">
            <v>0.61089530838867645</v>
          </cell>
          <cell r="P218">
            <v>0.63539731616189243</v>
          </cell>
          <cell r="Q218">
            <v>1.2005168770845338</v>
          </cell>
          <cell r="R218" t="str">
            <v>-</v>
          </cell>
          <cell r="S218">
            <v>0.96865032415191199</v>
          </cell>
          <cell r="T218">
            <v>1.084583600618223</v>
          </cell>
          <cell r="U218">
            <v>13.8</v>
          </cell>
          <cell r="V218">
            <v>2.9891304347826084</v>
          </cell>
          <cell r="W218" t="str">
            <v>-</v>
          </cell>
          <cell r="X218">
            <v>2.0289855072463765</v>
          </cell>
          <cell r="Y218">
            <v>1.5357142857142857E-2</v>
          </cell>
          <cell r="Z218" t="str">
            <v>-</v>
          </cell>
          <cell r="AA218">
            <v>1.0424242424242424E-2</v>
          </cell>
        </row>
        <row r="219">
          <cell r="A219">
            <v>1997</v>
          </cell>
          <cell r="B219">
            <v>0.17162389337812178</v>
          </cell>
          <cell r="C219">
            <v>1.78</v>
          </cell>
          <cell r="D219">
            <v>1.78</v>
          </cell>
          <cell r="E219">
            <v>0.39</v>
          </cell>
          <cell r="F219">
            <v>0.21910112359550563</v>
          </cell>
          <cell r="G219">
            <v>32.65625</v>
          </cell>
          <cell r="H219" t="str">
            <v>-</v>
          </cell>
          <cell r="I219">
            <v>18.8125</v>
          </cell>
          <cell r="J219">
            <v>18.346207865168537</v>
          </cell>
          <cell r="K219" t="str">
            <v>-</v>
          </cell>
          <cell r="L219">
            <v>10.568820224719101</v>
          </cell>
          <cell r="M219">
            <v>0.83429776558292579</v>
          </cell>
          <cell r="N219" t="str">
            <v>-</v>
          </cell>
          <cell r="O219">
            <v>0.64958944220768911</v>
          </cell>
          <cell r="P219">
            <v>0.74194360389530745</v>
          </cell>
          <cell r="Q219">
            <v>1.1813398496566991</v>
          </cell>
          <cell r="R219" t="str">
            <v>-</v>
          </cell>
          <cell r="S219">
            <v>0.92871882466775924</v>
          </cell>
          <cell r="T219">
            <v>1.0550293371622292</v>
          </cell>
          <cell r="U219">
            <v>11.3</v>
          </cell>
          <cell r="V219">
            <v>2.8899336283185839</v>
          </cell>
          <cell r="W219" t="str">
            <v>-</v>
          </cell>
          <cell r="X219">
            <v>1.6648230088495575</v>
          </cell>
          <cell r="Y219">
            <v>2.0730897009966779E-2</v>
          </cell>
          <cell r="Z219" t="str">
            <v>-</v>
          </cell>
          <cell r="AA219">
            <v>1.1942583732057416E-2</v>
          </cell>
        </row>
        <row r="220">
          <cell r="A220">
            <v>1996</v>
          </cell>
          <cell r="B220">
            <v>0.16524786158180291</v>
          </cell>
          <cell r="C220">
            <v>1.46</v>
          </cell>
          <cell r="D220">
            <v>1.44</v>
          </cell>
          <cell r="E220">
            <v>0.36</v>
          </cell>
          <cell r="F220">
            <v>0.25</v>
          </cell>
          <cell r="G220">
            <v>20.8125</v>
          </cell>
          <cell r="H220" t="str">
            <v>-</v>
          </cell>
          <cell r="I220">
            <v>15.25</v>
          </cell>
          <cell r="J220">
            <v>14.453125</v>
          </cell>
          <cell r="K220" t="str">
            <v>-</v>
          </cell>
          <cell r="L220">
            <v>10.590277777777779</v>
          </cell>
          <cell r="M220">
            <v>0.78294284940411696</v>
          </cell>
          <cell r="N220" t="str">
            <v>-</v>
          </cell>
          <cell r="O220">
            <v>0.72536149162861496</v>
          </cell>
          <cell r="P220">
            <v>0.75415217051636596</v>
          </cell>
          <cell r="Q220">
            <v>1.1974420049710024</v>
          </cell>
          <cell r="R220" t="str">
            <v>-</v>
          </cell>
          <cell r="S220">
            <v>1.0686455880704115</v>
          </cell>
          <cell r="T220">
            <v>1.133043796520707</v>
          </cell>
          <cell r="U220">
            <v>9.8800000000000008</v>
          </cell>
          <cell r="V220">
            <v>2.1065283400809713</v>
          </cell>
          <cell r="W220" t="str">
            <v>-</v>
          </cell>
          <cell r="X220">
            <v>1.5435222672064777</v>
          </cell>
          <cell r="Y220">
            <v>2.360655737704918E-2</v>
          </cell>
          <cell r="Z220" t="str">
            <v>-</v>
          </cell>
          <cell r="AA220">
            <v>1.7297297297297298E-2</v>
          </cell>
        </row>
        <row r="221">
          <cell r="A221">
            <v>1995</v>
          </cell>
          <cell r="B221">
            <v>0.18111439749017239</v>
          </cell>
          <cell r="C221">
            <v>1.34</v>
          </cell>
          <cell r="D221">
            <v>1.34</v>
          </cell>
          <cell r="E221">
            <v>0.31</v>
          </cell>
          <cell r="F221">
            <v>0.23134328358208953</v>
          </cell>
          <cell r="G221">
            <v>15.625</v>
          </cell>
          <cell r="H221" t="str">
            <v>-</v>
          </cell>
          <cell r="I221">
            <v>10.72</v>
          </cell>
          <cell r="J221">
            <v>11.66044776119403</v>
          </cell>
          <cell r="K221" t="str">
            <v>-</v>
          </cell>
          <cell r="L221">
            <v>8</v>
          </cell>
          <cell r="M221">
            <v>0.71056963809835649</v>
          </cell>
          <cell r="N221" t="str">
            <v>-</v>
          </cell>
          <cell r="O221">
            <v>0.66006600660066006</v>
          </cell>
          <cell r="P221">
            <v>0.68531782234950822</v>
          </cell>
          <cell r="Q221">
            <v>1.0796710889994472</v>
          </cell>
          <cell r="R221" t="str">
            <v>-</v>
          </cell>
          <cell r="S221">
            <v>0.94451003541912626</v>
          </cell>
          <cell r="T221">
            <v>1.0120905622092868</v>
          </cell>
          <cell r="U221">
            <v>8.1449999999999996</v>
          </cell>
          <cell r="V221">
            <v>1.9183548189073052</v>
          </cell>
          <cell r="W221" t="str">
            <v>-</v>
          </cell>
          <cell r="X221">
            <v>1.3161448741559241</v>
          </cell>
          <cell r="Y221">
            <v>2.8917910447761191E-2</v>
          </cell>
          <cell r="Z221" t="str">
            <v>-</v>
          </cell>
          <cell r="AA221">
            <v>1.984E-2</v>
          </cell>
        </row>
        <row r="222">
          <cell r="A222">
            <v>1994</v>
          </cell>
          <cell r="B222">
            <v>0.20133151451196388</v>
          </cell>
          <cell r="C222">
            <v>1.2849999999999999</v>
          </cell>
          <cell r="D222">
            <v>1.19</v>
          </cell>
          <cell r="E222">
            <v>0.27500000000000002</v>
          </cell>
          <cell r="F222">
            <v>0.23109243697478996</v>
          </cell>
          <cell r="G222">
            <v>12.154999999999999</v>
          </cell>
          <cell r="H222" t="str">
            <v>-</v>
          </cell>
          <cell r="I222">
            <v>9.5299999999999994</v>
          </cell>
          <cell r="J222">
            <v>10.214285714285714</v>
          </cell>
          <cell r="K222" t="str">
            <v>-</v>
          </cell>
          <cell r="L222">
            <v>8.0084033613445378</v>
          </cell>
          <cell r="M222">
            <v>0.67510150127466706</v>
          </cell>
          <cell r="N222" t="str">
            <v>-</v>
          </cell>
          <cell r="O222">
            <v>0.58242933537051189</v>
          </cell>
          <cell r="P222">
            <v>0.62876541832258948</v>
          </cell>
          <cell r="Q222">
            <v>0.95729013254786444</v>
          </cell>
          <cell r="R222" t="str">
            <v>-</v>
          </cell>
          <cell r="S222">
            <v>0.95794298580676296</v>
          </cell>
          <cell r="T222">
            <v>0.9576165591773137</v>
          </cell>
          <cell r="U222">
            <v>6.89</v>
          </cell>
          <cell r="V222">
            <v>1.7641509433962264</v>
          </cell>
          <cell r="W222" t="str">
            <v>-</v>
          </cell>
          <cell r="X222">
            <v>1.3831640058055152</v>
          </cell>
          <cell r="Y222">
            <v>2.8856243441762859E-2</v>
          </cell>
          <cell r="Z222" t="str">
            <v>-</v>
          </cell>
          <cell r="AA222">
            <v>2.2624434389140274E-2</v>
          </cell>
        </row>
        <row r="223">
          <cell r="A223">
            <v>1993</v>
          </cell>
          <cell r="B223">
            <v>0.18859649854175387</v>
          </cell>
          <cell r="C223">
            <v>1.0349999999999999</v>
          </cell>
          <cell r="D223">
            <v>0.995</v>
          </cell>
          <cell r="E223">
            <v>0.2525</v>
          </cell>
          <cell r="F223">
            <v>0.25376884422110552</v>
          </cell>
          <cell r="G223">
            <v>13</v>
          </cell>
          <cell r="H223" t="str">
            <v>-</v>
          </cell>
          <cell r="I223">
            <v>7.125</v>
          </cell>
          <cell r="J223">
            <v>13.06532663316583</v>
          </cell>
          <cell r="K223" t="str">
            <v>-</v>
          </cell>
          <cell r="L223">
            <v>7.1608040201005023</v>
          </cell>
          <cell r="M223">
            <v>0.74616371405858528</v>
          </cell>
          <cell r="N223" t="str">
            <v>-</v>
          </cell>
          <cell r="O223">
            <v>0.44867193108399134</v>
          </cell>
          <cell r="P223">
            <v>0.59741782257128828</v>
          </cell>
          <cell r="Q223">
            <v>1.0579211848717271</v>
          </cell>
          <cell r="R223" t="str">
            <v>-</v>
          </cell>
          <cell r="S223">
            <v>0.67874919621805707</v>
          </cell>
          <cell r="T223">
            <v>0.86833519054489217</v>
          </cell>
          <cell r="U223">
            <v>5.87</v>
          </cell>
          <cell r="V223">
            <v>2.2146507666098807</v>
          </cell>
          <cell r="W223" t="str">
            <v>-</v>
          </cell>
          <cell r="X223">
            <v>1.2137989778534923</v>
          </cell>
          <cell r="Y223">
            <v>3.5438596491228068E-2</v>
          </cell>
          <cell r="Z223" t="str">
            <v>-</v>
          </cell>
          <cell r="AA223">
            <v>1.9423076923076925E-2</v>
          </cell>
        </row>
        <row r="224">
          <cell r="A224">
            <v>1992</v>
          </cell>
          <cell r="B224">
            <v>0.15748809904031877</v>
          </cell>
          <cell r="C224">
            <v>0.76</v>
          </cell>
          <cell r="D224">
            <v>0.78</v>
          </cell>
          <cell r="E224">
            <v>0.22500000000000001</v>
          </cell>
          <cell r="F224">
            <v>0.28846153846153844</v>
          </cell>
          <cell r="G224">
            <v>7.69</v>
          </cell>
          <cell r="H224" t="str">
            <v>-</v>
          </cell>
          <cell r="I224">
            <v>5.03</v>
          </cell>
          <cell r="J224">
            <v>9.8589743589743595</v>
          </cell>
          <cell r="K224" t="str">
            <v>-</v>
          </cell>
          <cell r="L224">
            <v>6.4487179487179489</v>
          </cell>
          <cell r="M224">
            <v>0.5205371889637993</v>
          </cell>
          <cell r="N224" t="str">
            <v>-</v>
          </cell>
          <cell r="O224">
            <v>0.38090478137731537</v>
          </cell>
          <cell r="P224">
            <v>0.45072098517055736</v>
          </cell>
          <cell r="Q224">
            <v>0.89221487411532663</v>
          </cell>
          <cell r="R224" t="str">
            <v>-</v>
          </cell>
          <cell r="S224">
            <v>0.7189206185861704</v>
          </cell>
          <cell r="T224">
            <v>0.80556774635074846</v>
          </cell>
          <cell r="U224">
            <v>5.08</v>
          </cell>
          <cell r="V224">
            <v>1.5137795275590551</v>
          </cell>
          <cell r="W224" t="str">
            <v>-</v>
          </cell>
          <cell r="X224">
            <v>0.99015748031496065</v>
          </cell>
          <cell r="Y224">
            <v>4.4731610337972169E-2</v>
          </cell>
          <cell r="Z224" t="str">
            <v>-</v>
          </cell>
          <cell r="AA224">
            <v>2.9258777633289986E-2</v>
          </cell>
        </row>
        <row r="225">
          <cell r="A225" t="str">
            <v>1991</v>
          </cell>
          <cell r="B225">
            <v>0.15210720478732448</v>
          </cell>
          <cell r="C225">
            <v>0.65500000000000003</v>
          </cell>
          <cell r="D225">
            <v>0.69499999999999995</v>
          </cell>
          <cell r="E225">
            <v>0.20499999999999999</v>
          </cell>
          <cell r="F225">
            <v>0.29496402877697842</v>
          </cell>
          <cell r="G225">
            <v>5.625</v>
          </cell>
          <cell r="H225" t="str">
            <v>-</v>
          </cell>
          <cell r="I225">
            <v>3.22</v>
          </cell>
          <cell r="J225">
            <v>8.0935251798561154</v>
          </cell>
          <cell r="K225" t="str">
            <v>-</v>
          </cell>
          <cell r="L225">
            <v>4.6330935251798566</v>
          </cell>
          <cell r="M225">
            <v>0.41146543873188179</v>
          </cell>
          <cell r="N225" t="str">
            <v>-</v>
          </cell>
          <cell r="O225">
            <v>0.31539098197276083</v>
          </cell>
          <cell r="P225">
            <v>0.36342821035232131</v>
          </cell>
          <cell r="Q225">
            <v>0.82084433872780083</v>
          </cell>
          <cell r="R225" t="str">
            <v>-</v>
          </cell>
          <cell r="S225">
            <v>0.64708010128210292</v>
          </cell>
          <cell r="T225">
            <v>0.73396222000495182</v>
          </cell>
          <cell r="U225">
            <v>4.54</v>
          </cell>
          <cell r="V225">
            <v>1.2389867841409692</v>
          </cell>
          <cell r="W225" t="str">
            <v>-</v>
          </cell>
          <cell r="X225">
            <v>0.70925110132158597</v>
          </cell>
          <cell r="Y225">
            <v>6.3664596273291921E-2</v>
          </cell>
          <cell r="Z225" t="str">
            <v>-</v>
          </cell>
          <cell r="AA225">
            <v>3.6444444444444439E-2</v>
          </cell>
        </row>
        <row r="226">
          <cell r="A226" t="str">
            <v>1990</v>
          </cell>
          <cell r="B226">
            <v>0.12951773255345547</v>
          </cell>
          <cell r="C226">
            <v>0.52</v>
          </cell>
          <cell r="D226">
            <v>0.55500000000000005</v>
          </cell>
          <cell r="E226">
            <v>0.1825</v>
          </cell>
          <cell r="F226">
            <v>0.3288288288288288</v>
          </cell>
          <cell r="G226">
            <v>4</v>
          </cell>
          <cell r="H226" t="str">
            <v>-</v>
          </cell>
          <cell r="I226">
            <v>2.5950000000000002</v>
          </cell>
          <cell r="J226">
            <v>7.2072072072072064</v>
          </cell>
          <cell r="K226" t="str">
            <v>-</v>
          </cell>
          <cell r="L226">
            <v>4.6756756756756754</v>
          </cell>
          <cell r="M226">
            <v>0.45385435813647396</v>
          </cell>
          <cell r="N226" t="str">
            <v>-</v>
          </cell>
          <cell r="O226">
            <v>0.36787377464010035</v>
          </cell>
          <cell r="P226">
            <v>0.41086406638828715</v>
          </cell>
          <cell r="Q226">
            <v>0.76266742933409593</v>
          </cell>
          <cell r="R226" t="str">
            <v>-</v>
          </cell>
          <cell r="S226">
            <v>0.79383288211811132</v>
          </cell>
          <cell r="T226">
            <v>0.77825015572610368</v>
          </cell>
          <cell r="U226">
            <v>4.085</v>
          </cell>
          <cell r="V226">
            <v>0.97919216646266827</v>
          </cell>
          <cell r="W226" t="str">
            <v>-</v>
          </cell>
          <cell r="X226">
            <v>0.63525091799265609</v>
          </cell>
          <cell r="Y226">
            <v>7.0327552986512512E-2</v>
          </cell>
          <cell r="Z226" t="str">
            <v>-</v>
          </cell>
          <cell r="AA226">
            <v>4.5624999999999999E-2</v>
          </cell>
        </row>
        <row r="227">
          <cell r="A227" t="str">
            <v>1989</v>
          </cell>
          <cell r="B227">
            <v>0.1049021401134077</v>
          </cell>
          <cell r="C227">
            <v>0.39500000000000002</v>
          </cell>
          <cell r="D227">
            <v>0.39500000000000002</v>
          </cell>
          <cell r="E227">
            <v>0.17499999999999999</v>
          </cell>
          <cell r="F227">
            <v>0.44303797468354428</v>
          </cell>
          <cell r="G227">
            <v>4.0650000000000004</v>
          </cell>
          <cell r="H227" t="str">
            <v>-</v>
          </cell>
          <cell r="I227">
            <v>3.22</v>
          </cell>
          <cell r="J227">
            <v>10.291139240506329</v>
          </cell>
          <cell r="K227" t="str">
            <v>-</v>
          </cell>
          <cell r="L227">
            <v>8.151898734177216</v>
          </cell>
          <cell r="M227">
            <v>0.70055406674651666</v>
          </cell>
          <cell r="N227" t="str">
            <v>-</v>
          </cell>
          <cell r="O227">
            <v>0.72525789449975231</v>
          </cell>
          <cell r="P227">
            <v>0.71290598062313448</v>
          </cell>
          <cell r="Q227">
            <v>1.0179168388235735</v>
          </cell>
          <cell r="R227" t="str">
            <v>-</v>
          </cell>
          <cell r="S227">
            <v>1.0656076776702244</v>
          </cell>
          <cell r="T227">
            <v>1.0417622582468988</v>
          </cell>
          <cell r="U227">
            <v>3.875</v>
          </cell>
          <cell r="V227">
            <v>1.0490322580645162</v>
          </cell>
          <cell r="W227" t="str">
            <v>-</v>
          </cell>
          <cell r="X227">
            <v>0.83096774193548395</v>
          </cell>
          <cell r="Y227">
            <v>5.4347826086956513E-2</v>
          </cell>
          <cell r="Z227" t="str">
            <v>-</v>
          </cell>
          <cell r="AA227">
            <v>4.3050430504305036E-2</v>
          </cell>
        </row>
        <row r="228">
          <cell r="A228" t="str">
            <v>1988</v>
          </cell>
          <cell r="B228">
            <v>5.8569290631547448E-3</v>
          </cell>
          <cell r="C228">
            <v>2.5000000000000001E-2</v>
          </cell>
          <cell r="D228">
            <v>4.4999999999999998E-2</v>
          </cell>
          <cell r="E228">
            <v>0.17499999999999999</v>
          </cell>
          <cell r="F228">
            <v>3.8888888888888888</v>
          </cell>
          <cell r="G228">
            <v>3.78</v>
          </cell>
          <cell r="H228" t="str">
            <v>-</v>
          </cell>
          <cell r="I228">
            <v>3.125</v>
          </cell>
          <cell r="J228">
            <v>84</v>
          </cell>
          <cell r="K228" t="str">
            <v>-</v>
          </cell>
          <cell r="L228">
            <v>69.444444444444443</v>
          </cell>
          <cell r="M228">
            <v>5.7181756296800543</v>
          </cell>
          <cell r="N228" t="str">
            <v>-</v>
          </cell>
          <cell r="O228">
            <v>6.1783313562672992</v>
          </cell>
          <cell r="P228">
            <v>5.9482534929736772</v>
          </cell>
          <cell r="Q228">
            <v>10.035842293906811</v>
          </cell>
          <cell r="R228" t="str">
            <v>-</v>
          </cell>
          <cell r="S228">
            <v>9.8923710034821148</v>
          </cell>
          <cell r="T228">
            <v>9.9641066486944627</v>
          </cell>
          <cell r="U228">
            <v>3.6549999999999998</v>
          </cell>
          <cell r="V228">
            <v>1.0341997264021887</v>
          </cell>
          <cell r="W228" t="str">
            <v>-</v>
          </cell>
          <cell r="X228">
            <v>0.85499316005471959</v>
          </cell>
          <cell r="Y228">
            <v>5.5999999999999994E-2</v>
          </cell>
          <cell r="Z228" t="str">
            <v>-</v>
          </cell>
          <cell r="AA228">
            <v>4.6296296296296294E-2</v>
          </cell>
        </row>
        <row r="229">
          <cell r="A229" t="str">
            <v>1987</v>
          </cell>
          <cell r="B229">
            <v>0.10358694438704129</v>
          </cell>
          <cell r="C229">
            <v>0.38</v>
          </cell>
          <cell r="D229">
            <v>0.28999999999999998</v>
          </cell>
          <cell r="E229">
            <v>0.17499999999999999</v>
          </cell>
          <cell r="F229">
            <v>0.60344827586206895</v>
          </cell>
          <cell r="G229">
            <v>5.25</v>
          </cell>
          <cell r="H229" t="str">
            <v>-</v>
          </cell>
          <cell r="I229">
            <v>2.9049999999999998</v>
          </cell>
          <cell r="J229">
            <v>18.103448275862071</v>
          </cell>
          <cell r="K229" t="str">
            <v>-</v>
          </cell>
          <cell r="L229">
            <v>10.017241379310345</v>
          </cell>
          <cell r="M229">
            <v>1.0705764799445341</v>
          </cell>
          <cell r="N229" t="str">
            <v>-</v>
          </cell>
          <cell r="O229">
            <v>0.89042145593869737</v>
          </cell>
          <cell r="P229">
            <v>0.98049896794161573</v>
          </cell>
          <cell r="Q229">
            <v>1.7977605040578024</v>
          </cell>
          <cell r="R229" t="str">
            <v>-</v>
          </cell>
          <cell r="S229">
            <v>1.3990560585628973</v>
          </cell>
          <cell r="T229">
            <v>1.5984082813103497</v>
          </cell>
          <cell r="U229">
            <v>3.8</v>
          </cell>
          <cell r="V229">
            <v>1.381578947368421</v>
          </cell>
          <cell r="W229" t="str">
            <v>-</v>
          </cell>
          <cell r="X229">
            <v>0.76447368421052631</v>
          </cell>
          <cell r="Y229">
            <v>6.0240963855421686E-2</v>
          </cell>
          <cell r="Z229" t="str">
            <v>-</v>
          </cell>
          <cell r="AA229">
            <v>3.3333333333333333E-2</v>
          </cell>
        </row>
        <row r="230">
          <cell r="A230" t="str">
            <v>1986</v>
          </cell>
          <cell r="B230">
            <v>0.1073450960222035</v>
          </cell>
          <cell r="C230">
            <v>0.375</v>
          </cell>
          <cell r="D230">
            <v>0.34499999999999997</v>
          </cell>
          <cell r="E230">
            <v>0.17499999999999999</v>
          </cell>
          <cell r="F230">
            <v>0.50724637681159424</v>
          </cell>
          <cell r="G230">
            <v>6.375</v>
          </cell>
          <cell r="H230" t="str">
            <v>-</v>
          </cell>
          <cell r="I230">
            <v>4.4405000000000001</v>
          </cell>
          <cell r="J230">
            <v>18.478260869565219</v>
          </cell>
          <cell r="K230" t="str">
            <v>-</v>
          </cell>
          <cell r="L230">
            <v>12.871014492753625</v>
          </cell>
          <cell r="M230">
            <v>1.1512935121224435</v>
          </cell>
          <cell r="N230" t="str">
            <v>-</v>
          </cell>
          <cell r="O230">
            <v>1.0016353690858852</v>
          </cell>
          <cell r="P230">
            <v>1.0764644406041644</v>
          </cell>
          <cell r="Q230">
            <v>1.8045176630434783</v>
          </cell>
          <cell r="R230" t="str">
            <v>-</v>
          </cell>
          <cell r="S230">
            <v>1.3634549250798333</v>
          </cell>
          <cell r="T230">
            <v>1.5839862940616558</v>
          </cell>
          <cell r="U230">
            <v>3.58</v>
          </cell>
          <cell r="V230">
            <v>1.7807262569832403</v>
          </cell>
          <cell r="W230" t="str">
            <v>-</v>
          </cell>
          <cell r="X230">
            <v>1.2403631284916201</v>
          </cell>
          <cell r="Y230">
            <v>3.9409976354014185E-2</v>
          </cell>
          <cell r="Z230" t="str">
            <v>-</v>
          </cell>
          <cell r="AA230">
            <v>2.7450980392156862E-2</v>
          </cell>
        </row>
        <row r="231">
          <cell r="A231" t="str">
            <v>1985</v>
          </cell>
          <cell r="C231">
            <v>0.32750000000000001</v>
          </cell>
          <cell r="D231">
            <v>0.31</v>
          </cell>
          <cell r="E231">
            <v>0.16250000000000001</v>
          </cell>
          <cell r="F231">
            <v>0.52419354838709675</v>
          </cell>
          <cell r="G231">
            <v>6.25</v>
          </cell>
          <cell r="H231" t="str">
            <v>-</v>
          </cell>
          <cell r="I231">
            <v>4.4400000000000004</v>
          </cell>
          <cell r="J231">
            <v>20.161290322580644</v>
          </cell>
          <cell r="K231" t="str">
            <v>-</v>
          </cell>
          <cell r="L231">
            <v>14.322580645161292</v>
          </cell>
          <cell r="M231">
            <v>1.5825188636248544</v>
          </cell>
          <cell r="N231" t="str">
            <v>-</v>
          </cell>
          <cell r="O231">
            <v>1.4555468135326517</v>
          </cell>
          <cell r="P231">
            <v>1.519032838578753</v>
          </cell>
          <cell r="Q231" t="str">
            <v xml:space="preserve">         </v>
          </cell>
          <cell r="S231" t="str">
            <v xml:space="preserve">         </v>
          </cell>
          <cell r="T231" t="str">
            <v xml:space="preserve">         </v>
          </cell>
          <cell r="U231">
            <v>3.375</v>
          </cell>
          <cell r="V231">
            <v>1.8518518518518519</v>
          </cell>
          <cell r="W231" t="str">
            <v>-</v>
          </cell>
          <cell r="X231">
            <v>1.3155555555555556</v>
          </cell>
          <cell r="Y231">
            <v>3.65990990990991E-2</v>
          </cell>
          <cell r="Z231" t="str">
            <v>-</v>
          </cell>
          <cell r="AA231">
            <v>2.6000000000000002E-2</v>
          </cell>
        </row>
        <row r="233">
          <cell r="A233" t="str">
            <v>Average (P/E excludes 1988)</v>
          </cell>
          <cell r="J233">
            <v>14.126325744435992</v>
          </cell>
          <cell r="K233" t="str">
            <v>-</v>
          </cell>
          <cell r="L233">
            <v>9.3711141203011064</v>
          </cell>
          <cell r="M233">
            <v>0.7750805030272907</v>
          </cell>
          <cell r="N233" t="str">
            <v>-</v>
          </cell>
          <cell r="O233">
            <v>0.66242207939781161</v>
          </cell>
          <cell r="P233">
            <v>0.7187512912125511</v>
          </cell>
          <cell r="Q233">
            <v>1.1487827416525138</v>
          </cell>
          <cell r="R233" t="str">
            <v>-</v>
          </cell>
          <cell r="S233">
            <v>0.96213931512126105</v>
          </cell>
          <cell r="T233">
            <v>1.0554610283868875</v>
          </cell>
          <cell r="V233">
            <v>1.8769106260959016</v>
          </cell>
          <cell r="W233" t="str">
            <v>-</v>
          </cell>
          <cell r="X233">
            <v>1.2435867591779108</v>
          </cell>
          <cell r="Y233">
            <v>3.8509132073048104E-2</v>
          </cell>
          <cell r="Z233" t="str">
            <v>-</v>
          </cell>
          <cell r="AA233">
            <v>2.5303453100330883E-2</v>
          </cell>
        </row>
        <row r="235">
          <cell r="A235" t="str">
            <v>1-Yr. Growth</v>
          </cell>
          <cell r="C235">
            <v>1.3100436681222627E-2</v>
          </cell>
          <cell r="D235">
            <v>-4.2735042735041473E-3</v>
          </cell>
          <cell r="E235">
            <v>8.5106382978723527E-2</v>
          </cell>
          <cell r="U235">
            <v>0.10140306122448983</v>
          </cell>
        </row>
        <row r="236">
          <cell r="A236" t="str">
            <v>3-Yr. Growth</v>
          </cell>
          <cell r="C236">
            <v>9.2335364430206512E-2</v>
          </cell>
          <cell r="D236">
            <v>9.3902562224110531E-2</v>
          </cell>
          <cell r="E236">
            <v>9.3541299792876842E-2</v>
          </cell>
          <cell r="U236">
            <v>0.15187308716511194</v>
          </cell>
        </row>
        <row r="237">
          <cell r="A237" t="str">
            <v>5-Yr. Growth</v>
          </cell>
          <cell r="C237">
            <v>0.11603197428653544</v>
          </cell>
          <cell r="D237">
            <v>0.11699241630603807</v>
          </cell>
          <cell r="E237">
            <v>0.10469324008713388</v>
          </cell>
          <cell r="U237">
            <v>0.16219833731376099</v>
          </cell>
        </row>
        <row r="238">
          <cell r="A238" t="str">
            <v>10-Yr. Growth</v>
          </cell>
          <cell r="C238">
            <v>0.16131079786278923</v>
          </cell>
          <cell r="D238">
            <v>0.15426703786729656</v>
          </cell>
          <cell r="E238">
            <v>0.10823211368371877</v>
          </cell>
          <cell r="U238">
            <v>0.15507458354258929</v>
          </cell>
        </row>
        <row r="242">
          <cell r="A242" t="str">
            <v>(a) Operating earnings exclude realized investment gains/losses.  Book value and ROAE exclude the effect of FAS 115.</v>
          </cell>
        </row>
        <row r="243">
          <cell r="A243" t="str">
            <v>(d) RGA began trading on May 4, 1993.</v>
          </cell>
        </row>
        <row r="244">
          <cell r="A244" t="str">
            <v>(e)  ReliaStar fully demutualized in 1989.</v>
          </cell>
        </row>
        <row r="245">
          <cell r="A245" t="str">
            <v>Source: ILX, Company Reports, Morgan Stanley Dean Witter Research</v>
          </cell>
        </row>
        <row r="248">
          <cell r="A248" t="str">
            <v>Table 28 (continued)</v>
          </cell>
        </row>
        <row r="249">
          <cell r="A249" t="str">
            <v>Life Insurance Stocks Valuation Summary (a)</v>
          </cell>
        </row>
        <row r="251">
          <cell r="F251" t="str">
            <v>Oper'g</v>
          </cell>
          <cell r="N251" t="str">
            <v xml:space="preserve">    P/E Rel</v>
          </cell>
          <cell r="R251" t="str">
            <v>P/E Rel</v>
          </cell>
        </row>
        <row r="252">
          <cell r="C252" t="str">
            <v>Rep'd</v>
          </cell>
          <cell r="D252" t="str">
            <v>Op'g</v>
          </cell>
          <cell r="F252" t="str">
            <v>Payout</v>
          </cell>
          <cell r="K252" t="str">
            <v>P/E Range</v>
          </cell>
          <cell r="N252" t="str">
            <v xml:space="preserve"> to S&amp;P500</v>
          </cell>
          <cell r="P252" t="str">
            <v>Mean</v>
          </cell>
          <cell r="R252" t="str">
            <v>to MSLII</v>
          </cell>
          <cell r="T252" t="str">
            <v>Mean</v>
          </cell>
          <cell r="U252" t="str">
            <v>Ending</v>
          </cell>
          <cell r="Y252" t="str">
            <v>Yield Range</v>
          </cell>
        </row>
        <row r="253">
          <cell r="A253" t="str">
            <v>Year</v>
          </cell>
          <cell r="B253" t="str">
            <v>ROAE</v>
          </cell>
          <cell r="C253" t="str">
            <v>EPS</v>
          </cell>
          <cell r="D253" t="str">
            <v>EPS</v>
          </cell>
          <cell r="E253" t="str">
            <v>Div'd</v>
          </cell>
          <cell r="F253" t="str">
            <v>Ratio</v>
          </cell>
          <cell r="H253" t="str">
            <v>Price Range</v>
          </cell>
          <cell r="K253" t="str">
            <v>(Op. EPS)</v>
          </cell>
          <cell r="N253" t="str">
            <v>High-Low</v>
          </cell>
          <cell r="P253" t="str">
            <v>Rel P/E</v>
          </cell>
          <cell r="R253" t="str">
            <v>High-Low</v>
          </cell>
          <cell r="T253" t="str">
            <v>Rel P/E</v>
          </cell>
          <cell r="U253" t="str">
            <v>BV</v>
          </cell>
          <cell r="X253" t="str">
            <v>P/BV Range</v>
          </cell>
          <cell r="Y253" t="str">
            <v>High-Low</v>
          </cell>
        </row>
        <row r="255">
          <cell r="A255" t="str">
            <v xml:space="preserve">Reinsurance Group of America </v>
          </cell>
        </row>
        <row r="256">
          <cell r="A256">
            <v>2000</v>
          </cell>
          <cell r="B256">
            <v>0.14599999999999999</v>
          </cell>
          <cell r="C256">
            <v>1.56</v>
          </cell>
          <cell r="D256">
            <v>2.5499999999999998</v>
          </cell>
          <cell r="E256">
            <v>0.24</v>
          </cell>
          <cell r="F256">
            <v>9.4117647058823528E-2</v>
          </cell>
          <cell r="G256">
            <v>38.375</v>
          </cell>
          <cell r="H256" t="str">
            <v>-</v>
          </cell>
          <cell r="I256">
            <v>15.375</v>
          </cell>
          <cell r="J256">
            <v>15.049019607843139</v>
          </cell>
          <cell r="K256" t="str">
            <v>-</v>
          </cell>
          <cell r="L256">
            <v>6.0294117647058831</v>
          </cell>
          <cell r="M256">
            <v>0.5343816158369652</v>
          </cell>
          <cell r="N256" t="str">
            <v>-</v>
          </cell>
          <cell r="O256">
            <v>0.26515430464290624</v>
          </cell>
          <cell r="P256">
            <v>0.39976796023993572</v>
          </cell>
          <cell r="Q256">
            <v>1.040973314375103</v>
          </cell>
          <cell r="R256" t="str">
            <v>-</v>
          </cell>
          <cell r="S256">
            <v>0.74311437562754956</v>
          </cell>
          <cell r="T256">
            <v>0.89204384500132627</v>
          </cell>
          <cell r="U256">
            <v>18.239999999999998</v>
          </cell>
          <cell r="V256">
            <v>2.1038925438596494</v>
          </cell>
          <cell r="W256" t="str">
            <v>-</v>
          </cell>
          <cell r="X256">
            <v>0.84292763157894746</v>
          </cell>
          <cell r="Y256">
            <v>1.5609756097560976E-2</v>
          </cell>
          <cell r="Z256" t="str">
            <v>-</v>
          </cell>
          <cell r="AA256">
            <v>6.2540716612377849E-3</v>
          </cell>
        </row>
        <row r="257">
          <cell r="A257">
            <v>1999</v>
          </cell>
          <cell r="B257">
            <v>6.0999999999999999E-2</v>
          </cell>
          <cell r="C257">
            <v>0.88</v>
          </cell>
          <cell r="D257">
            <v>2.21</v>
          </cell>
          <cell r="E257">
            <v>0.22</v>
          </cell>
          <cell r="F257">
            <v>9.9547511312217202E-2</v>
          </cell>
          <cell r="G257">
            <v>49.166660000000007</v>
          </cell>
          <cell r="H257" t="str">
            <v>-</v>
          </cell>
          <cell r="I257">
            <v>22.125</v>
          </cell>
          <cell r="J257">
            <v>22.247357466063352</v>
          </cell>
          <cell r="K257" t="str">
            <v>-</v>
          </cell>
          <cell r="L257">
            <v>10.01131221719457</v>
          </cell>
          <cell r="M257">
            <v>0.70436197227481268</v>
          </cell>
          <cell r="N257" t="str">
            <v>-</v>
          </cell>
          <cell r="O257">
            <v>0.38734392000560347</v>
          </cell>
          <cell r="P257">
            <v>0.54585294614020807</v>
          </cell>
          <cell r="Q257">
            <v>1.4871228252716144</v>
          </cell>
          <cell r="R257" t="str">
            <v>-</v>
          </cell>
          <cell r="S257">
            <v>0.81925631891935924</v>
          </cell>
          <cell r="T257">
            <v>1.1531895720954868</v>
          </cell>
          <cell r="U257">
            <v>17.309999999999999</v>
          </cell>
          <cell r="V257">
            <v>2.8403616406701335</v>
          </cell>
          <cell r="W257" t="str">
            <v>-</v>
          </cell>
          <cell r="X257">
            <v>1.2781629116117852</v>
          </cell>
          <cell r="Y257">
            <v>9.9435028248587576E-3</v>
          </cell>
          <cell r="Z257" t="str">
            <v>-</v>
          </cell>
          <cell r="AA257">
            <v>4.4745768779087284E-3</v>
          </cell>
        </row>
        <row r="258">
          <cell r="A258">
            <v>1998</v>
          </cell>
          <cell r="B258">
            <v>0.107</v>
          </cell>
          <cell r="C258">
            <v>1.48</v>
          </cell>
          <cell r="D258">
            <v>2.0333333333333332</v>
          </cell>
          <cell r="E258">
            <v>0.17</v>
          </cell>
          <cell r="F258">
            <v>8.3606557377049195E-2</v>
          </cell>
          <cell r="G258">
            <v>47.083330000000004</v>
          </cell>
          <cell r="H258" t="str">
            <v>-</v>
          </cell>
          <cell r="I258">
            <v>25.083330000000004</v>
          </cell>
          <cell r="J258">
            <v>23.155736065573773</v>
          </cell>
          <cell r="K258" t="str">
            <v>-</v>
          </cell>
          <cell r="L258">
            <v>12.336063934426232</v>
          </cell>
          <cell r="M258">
            <v>0.74827923009167807</v>
          </cell>
          <cell r="N258" t="str">
            <v>-</v>
          </cell>
          <cell r="O258">
            <v>0.5436717155242129</v>
          </cell>
          <cell r="P258">
            <v>0.64597547280794543</v>
          </cell>
          <cell r="Q258">
            <v>1.3613013560008096</v>
          </cell>
          <cell r="R258" t="str">
            <v>-</v>
          </cell>
          <cell r="S258">
            <v>0.86205897515207763</v>
          </cell>
          <cell r="T258">
            <v>1.1116801655764437</v>
          </cell>
          <cell r="U258">
            <v>15.52</v>
          </cell>
          <cell r="V258">
            <v>3.0337197164948457</v>
          </cell>
          <cell r="W258" t="str">
            <v>-</v>
          </cell>
          <cell r="X258">
            <v>1.6161939432989694</v>
          </cell>
          <cell r="Y258">
            <v>6.7774095385261844E-3</v>
          </cell>
          <cell r="Z258" t="str">
            <v>-</v>
          </cell>
          <cell r="AA258">
            <v>3.6106197246456441E-3</v>
          </cell>
        </row>
        <row r="259">
          <cell r="A259">
            <v>1997</v>
          </cell>
          <cell r="B259">
            <v>0.13</v>
          </cell>
          <cell r="C259">
            <v>1.42</v>
          </cell>
          <cell r="D259">
            <v>1.6866666666666665</v>
          </cell>
          <cell r="E259">
            <v>0.16</v>
          </cell>
          <cell r="F259">
            <v>9.4861660079051391E-2</v>
          </cell>
          <cell r="G259">
            <v>31.123333333333335</v>
          </cell>
          <cell r="H259" t="str">
            <v>-</v>
          </cell>
          <cell r="I259">
            <v>19.833333333333332</v>
          </cell>
          <cell r="J259">
            <v>18.452569169960476</v>
          </cell>
          <cell r="K259" t="str">
            <v>-</v>
          </cell>
          <cell r="L259">
            <v>11.758893280632412</v>
          </cell>
          <cell r="M259">
            <v>0.83913456889315496</v>
          </cell>
          <cell r="N259" t="str">
            <v>-</v>
          </cell>
          <cell r="O259">
            <v>0.72273468227611626</v>
          </cell>
          <cell r="P259">
            <v>0.78093462558463567</v>
          </cell>
          <cell r="Q259">
            <v>1.1881886136484532</v>
          </cell>
          <cell r="R259" t="str">
            <v>-</v>
          </cell>
          <cell r="S259">
            <v>1.0332946643789465</v>
          </cell>
          <cell r="T259">
            <v>1.1107416390136997</v>
          </cell>
          <cell r="U259">
            <v>11.43</v>
          </cell>
          <cell r="V259">
            <v>2.7229512977544474</v>
          </cell>
          <cell r="W259" t="str">
            <v>-</v>
          </cell>
          <cell r="X259">
            <v>1.7351997666958296</v>
          </cell>
          <cell r="Y259">
            <v>8.0672268907563023E-3</v>
          </cell>
          <cell r="Z259" t="str">
            <v>-</v>
          </cell>
          <cell r="AA259">
            <v>5.140837528113955E-3</v>
          </cell>
        </row>
        <row r="260">
          <cell r="A260">
            <v>1996</v>
          </cell>
          <cell r="B260">
            <v>0.14899999999999999</v>
          </cell>
          <cell r="C260">
            <v>1.4466666666666665</v>
          </cell>
          <cell r="D260">
            <v>1.4333333333333333</v>
          </cell>
          <cell r="E260">
            <v>0.142222222222222</v>
          </cell>
          <cell r="F260">
            <v>9.9224806201550234E-2</v>
          </cell>
          <cell r="G260">
            <v>22</v>
          </cell>
          <cell r="H260" t="str">
            <v>-</v>
          </cell>
          <cell r="I260">
            <v>15.055555555555534</v>
          </cell>
          <cell r="J260">
            <v>15.348837209302326</v>
          </cell>
          <cell r="K260" t="str">
            <v>-</v>
          </cell>
          <cell r="L260">
            <v>10.503875968992233</v>
          </cell>
          <cell r="M260">
            <v>0.83146463755700573</v>
          </cell>
          <cell r="N260" t="str">
            <v>-</v>
          </cell>
          <cell r="O260">
            <v>0.71944355952001593</v>
          </cell>
          <cell r="P260">
            <v>0.77545409853851077</v>
          </cell>
          <cell r="Q260">
            <v>1.2716517986165969</v>
          </cell>
          <cell r="R260" t="str">
            <v>-</v>
          </cell>
          <cell r="S260">
            <v>1.0599269393534039</v>
          </cell>
          <cell r="T260">
            <v>1.1657893689850005</v>
          </cell>
          <cell r="U260">
            <v>10.4</v>
          </cell>
          <cell r="V260">
            <v>2.1153846153846154</v>
          </cell>
          <cell r="W260" t="str">
            <v>-</v>
          </cell>
          <cell r="X260">
            <v>1.4476495726495706</v>
          </cell>
          <cell r="Y260">
            <v>9.4464944649446485E-3</v>
          </cell>
          <cell r="Z260" t="str">
            <v>-</v>
          </cell>
          <cell r="AA260">
            <v>6.4646464646464542E-3</v>
          </cell>
        </row>
        <row r="261">
          <cell r="A261">
            <v>1995</v>
          </cell>
          <cell r="B261">
            <v>0.152</v>
          </cell>
          <cell r="C261">
            <v>1.2444444444444467</v>
          </cell>
          <cell r="D261">
            <v>1.2444444444444467</v>
          </cell>
          <cell r="E261">
            <v>0.12444444444444468</v>
          </cell>
          <cell r="F261">
            <v>0.1</v>
          </cell>
          <cell r="G261">
            <v>16.444444444444468</v>
          </cell>
          <cell r="H261" t="str">
            <v>-</v>
          </cell>
          <cell r="I261">
            <v>11.111111111111134</v>
          </cell>
          <cell r="J261">
            <v>13.21428571428571</v>
          </cell>
          <cell r="K261" t="str">
            <v>-</v>
          </cell>
          <cell r="L261">
            <v>8.9285714285714306</v>
          </cell>
          <cell r="M261">
            <v>0.80525811787237722</v>
          </cell>
          <cell r="N261" t="str">
            <v>-</v>
          </cell>
          <cell r="O261">
            <v>0.7366808109382369</v>
          </cell>
          <cell r="P261">
            <v>0.77096946440530711</v>
          </cell>
          <cell r="Q261">
            <v>1.223544973544973</v>
          </cell>
          <cell r="R261" t="str">
            <v>-</v>
          </cell>
          <cell r="S261">
            <v>1.0541406645302751</v>
          </cell>
          <cell r="T261">
            <v>1.1388428190376241</v>
          </cell>
          <cell r="U261">
            <v>9.0844444444444665</v>
          </cell>
          <cell r="V261">
            <v>1.8101761252446165</v>
          </cell>
          <cell r="W261" t="str">
            <v>-</v>
          </cell>
          <cell r="X261">
            <v>1.2230919765166335</v>
          </cell>
          <cell r="Y261">
            <v>1.1199999999999998E-2</v>
          </cell>
          <cell r="Z261" t="str">
            <v>-</v>
          </cell>
          <cell r="AA261">
            <v>7.5675675675675709E-3</v>
          </cell>
        </row>
        <row r="262">
          <cell r="A262">
            <v>1994</v>
          </cell>
          <cell r="B262">
            <v>0.1393511424725391</v>
          </cell>
          <cell r="C262">
            <v>1.0488888888888865</v>
          </cell>
          <cell r="D262">
            <v>1.0355555555555533</v>
          </cell>
          <cell r="E262">
            <v>0.10666666666666667</v>
          </cell>
          <cell r="F262">
            <v>0.10300429184549378</v>
          </cell>
          <cell r="G262">
            <v>12.833333333333334</v>
          </cell>
          <cell r="H262" t="str">
            <v>-</v>
          </cell>
          <cell r="I262">
            <v>9.7222222222222001</v>
          </cell>
          <cell r="J262">
            <v>12.392703862660971</v>
          </cell>
          <cell r="K262" t="str">
            <v>-</v>
          </cell>
          <cell r="L262">
            <v>9.3884120171673811</v>
          </cell>
          <cell r="M262">
            <v>0.81908155073767153</v>
          </cell>
          <cell r="N262" t="str">
            <v>-</v>
          </cell>
          <cell r="O262">
            <v>0.68279360124853683</v>
          </cell>
          <cell r="P262">
            <v>0.75093757599310418</v>
          </cell>
          <cell r="Q262">
            <v>1.1614530330516375</v>
          </cell>
          <cell r="R262" t="str">
            <v>-</v>
          </cell>
          <cell r="S262">
            <v>1.1230157915271988</v>
          </cell>
          <cell r="T262">
            <v>1.1422344122894181</v>
          </cell>
          <cell r="U262">
            <v>7.9155555555555326</v>
          </cell>
          <cell r="V262">
            <v>1.621280179674345</v>
          </cell>
          <cell r="W262" t="str">
            <v>-</v>
          </cell>
          <cell r="X262">
            <v>1.2282425603593494</v>
          </cell>
          <cell r="Y262">
            <v>1.0971428571428597E-2</v>
          </cell>
          <cell r="Z262" t="str">
            <v>-</v>
          </cell>
          <cell r="AA262">
            <v>8.3116883116883117E-3</v>
          </cell>
        </row>
        <row r="263">
          <cell r="A263" t="str">
            <v>1993(d)</v>
          </cell>
          <cell r="B263">
            <v>0.129</v>
          </cell>
          <cell r="C263">
            <v>1.0711111111111133</v>
          </cell>
          <cell r="D263">
            <v>0.89777777777778001</v>
          </cell>
          <cell r="E263">
            <v>0.10666666666666667</v>
          </cell>
          <cell r="F263">
            <v>0.11881188118811853</v>
          </cell>
          <cell r="G263">
            <v>15.5</v>
          </cell>
          <cell r="H263" t="str">
            <v>-</v>
          </cell>
          <cell r="I263">
            <v>11.5</v>
          </cell>
          <cell r="J263">
            <v>17.264851485148473</v>
          </cell>
          <cell r="K263" t="str">
            <v>-</v>
          </cell>
          <cell r="L263">
            <v>12.809405940594027</v>
          </cell>
          <cell r="M263">
            <v>0.98599951371493266</v>
          </cell>
          <cell r="N263" t="str">
            <v>-</v>
          </cell>
          <cell r="O263">
            <v>0.80259435718007688</v>
          </cell>
          <cell r="P263">
            <v>0.89429693544750477</v>
          </cell>
          <cell r="Q263">
            <v>1.3979636830079736</v>
          </cell>
          <cell r="R263" t="str">
            <v>-</v>
          </cell>
          <cell r="S263">
            <v>1.2141617005302394</v>
          </cell>
          <cell r="T263">
            <v>1.3060626917691065</v>
          </cell>
          <cell r="U263">
            <v>7.1511111111111338</v>
          </cell>
          <cell r="V263">
            <v>2.1674953387196947</v>
          </cell>
          <cell r="W263" t="str">
            <v>-</v>
          </cell>
          <cell r="X263">
            <v>1.6081417029210638</v>
          </cell>
          <cell r="Y263">
            <v>9.2753623188405795E-3</v>
          </cell>
          <cell r="Z263" t="str">
            <v>-</v>
          </cell>
          <cell r="AA263">
            <v>6.8817204301075277E-3</v>
          </cell>
        </row>
        <row r="265">
          <cell r="A265" t="str">
            <v>Average</v>
          </cell>
          <cell r="J265">
            <v>17.140670072604777</v>
          </cell>
          <cell r="K265" t="str">
            <v>-</v>
          </cell>
          <cell r="L265">
            <v>10.220743319035522</v>
          </cell>
          <cell r="M265">
            <v>0.78349515087232469</v>
          </cell>
          <cell r="N265" t="str">
            <v>-</v>
          </cell>
          <cell r="O265">
            <v>0.60755211891696315</v>
          </cell>
          <cell r="P265">
            <v>0.69552363489464397</v>
          </cell>
          <cell r="Q265">
            <v>1.2665249496896451</v>
          </cell>
          <cell r="R265" t="str">
            <v>-</v>
          </cell>
          <cell r="S265">
            <v>0.98862117875238131</v>
          </cell>
          <cell r="T265">
            <v>1.1275730642210131</v>
          </cell>
          <cell r="V265">
            <v>2.3019076822252931</v>
          </cell>
          <cell r="W265" t="str">
            <v>-</v>
          </cell>
          <cell r="X265">
            <v>1.3724512582040185</v>
          </cell>
          <cell r="Y265">
            <v>1.0161397588364506E-2</v>
          </cell>
          <cell r="Z265" t="str">
            <v>-</v>
          </cell>
          <cell r="AA265">
            <v>6.0882160707394972E-3</v>
          </cell>
        </row>
        <row r="267">
          <cell r="A267" t="str">
            <v>1-Yr. Growth</v>
          </cell>
          <cell r="C267">
            <v>0.77272727272727271</v>
          </cell>
          <cell r="D267">
            <v>0.15384615384615374</v>
          </cell>
          <cell r="E267">
            <v>9.0909090909090828E-2</v>
          </cell>
          <cell r="U267">
            <v>5.3726169844020788E-2</v>
          </cell>
        </row>
        <row r="268">
          <cell r="A268" t="str">
            <v>3-Yr. Growth</v>
          </cell>
          <cell r="C268">
            <v>3.1839346779616085E-2</v>
          </cell>
          <cell r="D268">
            <v>0.14772270380621921</v>
          </cell>
          <cell r="E268">
            <v>0.14471424255333187</v>
          </cell>
          <cell r="U268">
            <v>0.1685829204222471</v>
          </cell>
        </row>
        <row r="269">
          <cell r="A269" t="str">
            <v>5-Yr. Growth</v>
          </cell>
          <cell r="C269">
            <v>4.6236379208685063E-2</v>
          </cell>
          <cell r="D269">
            <v>0.15428468485193791</v>
          </cell>
          <cell r="E269">
            <v>0.14037357635025249</v>
          </cell>
          <cell r="U269">
            <v>0.14959612737512562</v>
          </cell>
        </row>
        <row r="271">
          <cell r="A271" t="str">
            <v>Stancorp Financial</v>
          </cell>
        </row>
        <row r="272">
          <cell r="A272">
            <v>2000</v>
          </cell>
          <cell r="B272">
            <v>0.108</v>
          </cell>
          <cell r="C272">
            <v>2.94</v>
          </cell>
          <cell r="D272">
            <v>3.02</v>
          </cell>
          <cell r="E272">
            <v>0.24</v>
          </cell>
          <cell r="F272">
            <v>7.9470198675496692E-2</v>
          </cell>
          <cell r="G272">
            <v>51</v>
          </cell>
          <cell r="H272" t="str">
            <v>-</v>
          </cell>
          <cell r="I272">
            <v>23</v>
          </cell>
          <cell r="J272">
            <v>16.887417218543046</v>
          </cell>
          <cell r="K272" t="str">
            <v>-</v>
          </cell>
          <cell r="L272">
            <v>7.6158940397350996</v>
          </cell>
          <cell r="M272">
            <v>0.59966200694261762</v>
          </cell>
          <cell r="N272" t="str">
            <v>-</v>
          </cell>
          <cell r="O272">
            <v>0.33492273660273408</v>
          </cell>
          <cell r="P272">
            <v>0.46729237177267585</v>
          </cell>
          <cell r="Q272">
            <v>1.1681392629763112</v>
          </cell>
          <cell r="R272" t="str">
            <v>-</v>
          </cell>
          <cell r="S272">
            <v>0.93864552049869754</v>
          </cell>
          <cell r="T272">
            <v>1.0533923917375043</v>
          </cell>
          <cell r="U272">
            <v>28.08</v>
          </cell>
          <cell r="V272">
            <v>1.8162393162393164</v>
          </cell>
          <cell r="W272" t="str">
            <v>-</v>
          </cell>
          <cell r="X272">
            <v>0.81908831908831914</v>
          </cell>
          <cell r="Y272">
            <v>1.0434782608695651E-2</v>
          </cell>
          <cell r="Z272" t="str">
            <v>-</v>
          </cell>
          <cell r="AA272">
            <v>4.7058823529411761E-3</v>
          </cell>
        </row>
        <row r="273">
          <cell r="A273">
            <v>1999</v>
          </cell>
          <cell r="B273">
            <v>9.2999999999999999E-2</v>
          </cell>
          <cell r="C273">
            <v>2.37</v>
          </cell>
          <cell r="D273">
            <v>2.5</v>
          </cell>
          <cell r="E273">
            <v>0.18</v>
          </cell>
          <cell r="F273">
            <v>7.1999999999999995E-2</v>
          </cell>
          <cell r="G273">
            <v>15</v>
          </cell>
          <cell r="H273" t="str">
            <v>-</v>
          </cell>
          <cell r="I273">
            <v>10.46875</v>
          </cell>
          <cell r="J273">
            <v>6</v>
          </cell>
          <cell r="K273" t="str">
            <v>-</v>
          </cell>
          <cell r="L273">
            <v>4.1875</v>
          </cell>
          <cell r="M273">
            <v>0.18996286817864003</v>
          </cell>
          <cell r="N273" t="str">
            <v>-</v>
          </cell>
          <cell r="O273">
            <v>0.16201698936505565</v>
          </cell>
          <cell r="P273">
            <v>0.17598992877184783</v>
          </cell>
          <cell r="Q273">
            <v>0.40106951871657753</v>
          </cell>
          <cell r="R273" t="str">
            <v>-</v>
          </cell>
          <cell r="S273">
            <v>0.34267594108019639</v>
          </cell>
          <cell r="T273">
            <v>0.37187272989838693</v>
          </cell>
          <cell r="U273">
            <v>26.84</v>
          </cell>
          <cell r="V273">
            <v>0.55886736214605071</v>
          </cell>
          <cell r="W273" t="str">
            <v>-</v>
          </cell>
          <cell r="X273">
            <v>0.39004284649776455</v>
          </cell>
          <cell r="Y273">
            <v>1.7194029850746268E-2</v>
          </cell>
          <cell r="Z273" t="str">
            <v>-</v>
          </cell>
          <cell r="AA273">
            <v>1.2E-2</v>
          </cell>
        </row>
        <row r="275">
          <cell r="A275" t="str">
            <v>Average</v>
          </cell>
          <cell r="J275">
            <v>11.443708609271523</v>
          </cell>
          <cell r="K275" t="str">
            <v>-</v>
          </cell>
          <cell r="L275">
            <v>5.9016970198675498</v>
          </cell>
          <cell r="M275">
            <v>0.39481243756062884</v>
          </cell>
          <cell r="N275" t="str">
            <v>-</v>
          </cell>
          <cell r="O275">
            <v>0.24846986298389487</v>
          </cell>
          <cell r="P275">
            <v>0.32164115027226181</v>
          </cell>
          <cell r="Q275">
            <v>0.7846043908464444</v>
          </cell>
          <cell r="R275" t="str">
            <v>-</v>
          </cell>
          <cell r="S275">
            <v>0.64066073078944696</v>
          </cell>
          <cell r="T275">
            <v>0.71263256081794557</v>
          </cell>
          <cell r="V275">
            <v>1.1875533391926836</v>
          </cell>
          <cell r="W275" t="str">
            <v>-</v>
          </cell>
          <cell r="X275">
            <v>0.60456558279304184</v>
          </cell>
          <cell r="Y275">
            <v>1.3814406229720959E-2</v>
          </cell>
          <cell r="Z275" t="str">
            <v>-</v>
          </cell>
          <cell r="AA275">
            <v>8.3529411764705873E-3</v>
          </cell>
        </row>
        <row r="277">
          <cell r="A277" t="str">
            <v>1-Yr. Growth</v>
          </cell>
          <cell r="C277">
            <v>0.240506329113924</v>
          </cell>
          <cell r="D277">
            <v>0.20799999999999996</v>
          </cell>
          <cell r="E277">
            <v>0.33333333333333326</v>
          </cell>
          <cell r="U277">
            <v>4.6199701937406745E-2</v>
          </cell>
        </row>
        <row r="279">
          <cell r="A279" t="str">
            <v>Torchmark (1998 operating earnings exclude Wadell &amp; Reed)</v>
          </cell>
        </row>
        <row r="280">
          <cell r="A280">
            <v>2000</v>
          </cell>
          <cell r="B280">
            <v>0.16200000000000001</v>
          </cell>
          <cell r="C280">
            <v>2.82</v>
          </cell>
          <cell r="D280">
            <v>2.85</v>
          </cell>
          <cell r="E280">
            <v>0.36</v>
          </cell>
          <cell r="F280">
            <v>0.12631578947368421</v>
          </cell>
          <cell r="G280">
            <v>41.1875</v>
          </cell>
          <cell r="H280" t="str">
            <v>-</v>
          </cell>
          <cell r="I280">
            <v>18.75</v>
          </cell>
          <cell r="J280">
            <v>14.451754385964913</v>
          </cell>
          <cell r="K280" t="str">
            <v>-</v>
          </cell>
          <cell r="L280">
            <v>6.5789473684210522</v>
          </cell>
          <cell r="M280">
            <v>0.51317308779543291</v>
          </cell>
          <cell r="N280" t="str">
            <v>-</v>
          </cell>
          <cell r="O280">
            <v>0.28932112830098877</v>
          </cell>
          <cell r="P280">
            <v>0.40124710804821084</v>
          </cell>
          <cell r="Q280">
            <v>0.99965918403431153</v>
          </cell>
          <cell r="R280" t="str">
            <v>-</v>
          </cell>
          <cell r="S280">
            <v>0.81084367045368033</v>
          </cell>
          <cell r="T280">
            <v>0.90525142724399599</v>
          </cell>
          <cell r="U280">
            <v>18.600000000000001</v>
          </cell>
          <cell r="V280">
            <v>2.2143817204301075</v>
          </cell>
          <cell r="W280" t="str">
            <v>-</v>
          </cell>
          <cell r="X280">
            <v>1.0080645161290323</v>
          </cell>
          <cell r="Y280">
            <v>1.9199999999999998E-2</v>
          </cell>
          <cell r="Z280" t="str">
            <v>-</v>
          </cell>
          <cell r="AA280">
            <v>8.7405159332321694E-3</v>
          </cell>
        </row>
        <row r="281">
          <cell r="A281">
            <v>1999</v>
          </cell>
          <cell r="B281">
            <v>0.12728937565027626</v>
          </cell>
          <cell r="C281">
            <v>2.0299999999999998</v>
          </cell>
          <cell r="D281">
            <v>2.5499999999999998</v>
          </cell>
          <cell r="E281">
            <v>0.36</v>
          </cell>
          <cell r="F281">
            <v>0.14117647058823529</v>
          </cell>
          <cell r="G281">
            <v>38</v>
          </cell>
          <cell r="H281" t="str">
            <v>-</v>
          </cell>
          <cell r="I281">
            <v>24.5625</v>
          </cell>
          <cell r="J281">
            <v>14.901960784313726</v>
          </cell>
          <cell r="K281" t="str">
            <v>-</v>
          </cell>
          <cell r="L281">
            <v>9.632352941176471</v>
          </cell>
          <cell r="M281">
            <v>0.47180320201230858</v>
          </cell>
          <cell r="N281" t="str">
            <v>-</v>
          </cell>
          <cell r="O281">
            <v>0.37268174902234052</v>
          </cell>
          <cell r="P281">
            <v>0.42224247551732452</v>
          </cell>
          <cell r="Q281">
            <v>0.99612037328300296</v>
          </cell>
          <cell r="R281" t="str">
            <v>-</v>
          </cell>
          <cell r="S281">
            <v>0.78824492153653603</v>
          </cell>
          <cell r="T281">
            <v>0.89218264740976949</v>
          </cell>
          <cell r="U281">
            <v>16.32</v>
          </cell>
          <cell r="V281">
            <v>2.3284313725490198</v>
          </cell>
          <cell r="W281" t="str">
            <v>-</v>
          </cell>
          <cell r="X281">
            <v>1.5050551470588236</v>
          </cell>
          <cell r="Y281">
            <v>1.465648854961832E-2</v>
          </cell>
          <cell r="Z281" t="str">
            <v>-</v>
          </cell>
          <cell r="AA281">
            <v>9.4736842105263147E-3</v>
          </cell>
        </row>
        <row r="282">
          <cell r="A282">
            <v>1998</v>
          </cell>
          <cell r="B282">
            <v>0.12728937565027626</v>
          </cell>
          <cell r="C282">
            <v>1.73</v>
          </cell>
          <cell r="D282">
            <v>2.29</v>
          </cell>
          <cell r="E282">
            <v>0.57999999999999996</v>
          </cell>
          <cell r="F282">
            <v>0.25327510917030566</v>
          </cell>
          <cell r="G282">
            <v>49.8125</v>
          </cell>
          <cell r="H282" t="str">
            <v>-</v>
          </cell>
          <cell r="I282">
            <v>31.8125</v>
          </cell>
          <cell r="J282">
            <v>21.752183406113538</v>
          </cell>
          <cell r="K282" t="str">
            <v>-</v>
          </cell>
          <cell r="L282">
            <v>13.891921397379912</v>
          </cell>
          <cell r="M282">
            <v>0.98918523902289857</v>
          </cell>
          <cell r="N282" t="str">
            <v>-</v>
          </cell>
          <cell r="O282">
            <v>0.85383659479901119</v>
          </cell>
          <cell r="P282">
            <v>0.92151091691095488</v>
          </cell>
          <cell r="Q282">
            <v>1.2787879721407134</v>
          </cell>
          <cell r="R282" t="str">
            <v>-</v>
          </cell>
          <cell r="S282">
            <v>0.97078416473654172</v>
          </cell>
          <cell r="T282">
            <v>1.1247860684386275</v>
          </cell>
          <cell r="U282">
            <v>15.43</v>
          </cell>
          <cell r="V282">
            <v>3.2282890473104344</v>
          </cell>
          <cell r="W282" t="str">
            <v>-</v>
          </cell>
          <cell r="X282">
            <v>2.0617303953337656</v>
          </cell>
          <cell r="Y282">
            <v>1.8231827111984282E-2</v>
          </cell>
          <cell r="Z282" t="str">
            <v>-</v>
          </cell>
          <cell r="AA282">
            <v>1.1643663739021329E-2</v>
          </cell>
        </row>
        <row r="283">
          <cell r="A283">
            <v>1997</v>
          </cell>
          <cell r="B283">
            <v>0.2</v>
          </cell>
          <cell r="C283">
            <v>2.39</v>
          </cell>
          <cell r="D283">
            <v>2.56</v>
          </cell>
          <cell r="E283">
            <v>0.59499999999999997</v>
          </cell>
          <cell r="F283">
            <v>0.23242187499999997</v>
          </cell>
          <cell r="G283">
            <v>42.6875</v>
          </cell>
          <cell r="H283" t="str">
            <v>-</v>
          </cell>
          <cell r="I283">
            <v>25</v>
          </cell>
          <cell r="J283">
            <v>16.6748046875</v>
          </cell>
          <cell r="K283" t="str">
            <v>-</v>
          </cell>
          <cell r="L283">
            <v>9.765625</v>
          </cell>
          <cell r="M283">
            <v>0.75829034504320147</v>
          </cell>
          <cell r="N283" t="str">
            <v>-</v>
          </cell>
          <cell r="O283">
            <v>0.6002228027043639</v>
          </cell>
          <cell r="P283">
            <v>0.67925657387378269</v>
          </cell>
          <cell r="Q283">
            <v>1.0737156914037347</v>
          </cell>
          <cell r="R283" t="str">
            <v>-</v>
          </cell>
          <cell r="S283">
            <v>0.85813927943760981</v>
          </cell>
          <cell r="T283">
            <v>0.9659274854206723</v>
          </cell>
          <cell r="U283">
            <v>12.9</v>
          </cell>
          <cell r="V283">
            <v>3.3091085271317828</v>
          </cell>
          <cell r="W283" t="str">
            <v>-</v>
          </cell>
          <cell r="X283">
            <v>1.9379844961240309</v>
          </cell>
          <cell r="Y283">
            <v>2.3799999999999998E-2</v>
          </cell>
          <cell r="Z283" t="str">
            <v>-</v>
          </cell>
          <cell r="AA283">
            <v>1.3938506588579794E-2</v>
          </cell>
        </row>
        <row r="284">
          <cell r="A284">
            <v>1996</v>
          </cell>
          <cell r="B284">
            <v>0.20499999999999999</v>
          </cell>
          <cell r="C284">
            <v>2.17</v>
          </cell>
          <cell r="D284">
            <v>2.19</v>
          </cell>
          <cell r="E284">
            <v>0.57999999999999996</v>
          </cell>
          <cell r="F284">
            <v>0.26484018264840181</v>
          </cell>
          <cell r="G284">
            <v>25.85</v>
          </cell>
          <cell r="H284" t="str">
            <v>-</v>
          </cell>
          <cell r="I284">
            <v>20.125</v>
          </cell>
          <cell r="J284">
            <v>11.803652968036531</v>
          </cell>
          <cell r="K284" t="str">
            <v>-</v>
          </cell>
          <cell r="L284">
            <v>9.1894977168949765</v>
          </cell>
          <cell r="M284">
            <v>0.63941782058702767</v>
          </cell>
          <cell r="N284" t="str">
            <v>-</v>
          </cell>
          <cell r="O284">
            <v>0.62941765184212173</v>
          </cell>
          <cell r="P284">
            <v>0.63441773621457465</v>
          </cell>
          <cell r="Q284">
            <v>0.97793313736839527</v>
          </cell>
          <cell r="R284" t="str">
            <v>-</v>
          </cell>
          <cell r="S284">
            <v>0.92729543056457886</v>
          </cell>
          <cell r="T284">
            <v>0.95261428396648706</v>
          </cell>
          <cell r="U284">
            <v>11.42</v>
          </cell>
          <cell r="V284">
            <v>2.2635726795096325</v>
          </cell>
          <cell r="W284" t="str">
            <v>-</v>
          </cell>
          <cell r="X284">
            <v>1.7622591943957968</v>
          </cell>
          <cell r="Y284">
            <v>2.8819875776397514E-2</v>
          </cell>
          <cell r="Z284" t="str">
            <v>-</v>
          </cell>
          <cell r="AA284">
            <v>2.243713733075435E-2</v>
          </cell>
        </row>
        <row r="285">
          <cell r="A285">
            <v>1995</v>
          </cell>
          <cell r="B285">
            <v>0.10090817356205853</v>
          </cell>
          <cell r="C285">
            <v>1</v>
          </cell>
          <cell r="D285">
            <v>1.9650000000000001</v>
          </cell>
          <cell r="E285">
            <v>0.56499999999999995</v>
          </cell>
          <cell r="F285">
            <v>0.28753180661577604</v>
          </cell>
          <cell r="G285">
            <v>22.6</v>
          </cell>
          <cell r="H285" t="str">
            <v>-</v>
          </cell>
          <cell r="I285">
            <v>17.5</v>
          </cell>
          <cell r="J285">
            <v>11.501272264631044</v>
          </cell>
          <cell r="K285" t="str">
            <v>-</v>
          </cell>
          <cell r="L285">
            <v>8.905852417302798</v>
          </cell>
          <cell r="M285">
            <v>0.70086972971548112</v>
          </cell>
          <cell r="N285" t="str">
            <v>-</v>
          </cell>
          <cell r="O285">
            <v>0.73480630505798672</v>
          </cell>
          <cell r="P285">
            <v>0.71783801738673392</v>
          </cell>
          <cell r="Q285">
            <v>1.0649326170954669</v>
          </cell>
          <cell r="R285" t="str">
            <v>-</v>
          </cell>
          <cell r="S285">
            <v>1.051458372763022</v>
          </cell>
          <cell r="T285">
            <v>1.0581954949292445</v>
          </cell>
          <cell r="U285">
            <v>10.164999999999999</v>
          </cell>
          <cell r="V285">
            <v>2.2233152975897692</v>
          </cell>
          <cell r="W285" t="str">
            <v>-</v>
          </cell>
          <cell r="X285">
            <v>1.7215937038858831</v>
          </cell>
          <cell r="Y285">
            <v>3.2285714285714286E-2</v>
          </cell>
          <cell r="Z285" t="str">
            <v>-</v>
          </cell>
          <cell r="AA285">
            <v>2.4999999999999994E-2</v>
          </cell>
        </row>
        <row r="286">
          <cell r="A286">
            <v>1994</v>
          </cell>
          <cell r="B286">
            <v>0.20100000000000001</v>
          </cell>
          <cell r="C286">
            <v>1.86</v>
          </cell>
          <cell r="D286">
            <v>1.905</v>
          </cell>
          <cell r="E286">
            <v>0.56000000000000005</v>
          </cell>
          <cell r="F286">
            <v>0.2939632545931759</v>
          </cell>
          <cell r="G286">
            <v>24.75</v>
          </cell>
          <cell r="H286" t="str">
            <v>-</v>
          </cell>
          <cell r="I286">
            <v>16.1875</v>
          </cell>
          <cell r="J286">
            <v>12.992125984251969</v>
          </cell>
          <cell r="K286" t="str">
            <v>-</v>
          </cell>
          <cell r="L286">
            <v>8.4973753280839901</v>
          </cell>
          <cell r="M286">
            <v>0.85869966848988555</v>
          </cell>
          <cell r="N286" t="str">
            <v>-</v>
          </cell>
          <cell r="O286">
            <v>0.61799093295156293</v>
          </cell>
          <cell r="P286">
            <v>0.73834530072072424</v>
          </cell>
          <cell r="Q286">
            <v>1.2176313012419839</v>
          </cell>
          <cell r="R286" t="str">
            <v>-</v>
          </cell>
          <cell r="S286">
            <v>1.0164324555124391</v>
          </cell>
          <cell r="T286">
            <v>1.1170318783772115</v>
          </cell>
          <cell r="U286">
            <v>9.6549999999999994</v>
          </cell>
          <cell r="V286">
            <v>2.5634386328327294</v>
          </cell>
          <cell r="W286" t="str">
            <v>-</v>
          </cell>
          <cell r="X286">
            <v>1.6765924391506992</v>
          </cell>
          <cell r="Y286">
            <v>3.4594594594594595E-2</v>
          </cell>
          <cell r="Z286" t="str">
            <v>-</v>
          </cell>
          <cell r="AA286">
            <v>2.262626262626263E-2</v>
          </cell>
        </row>
        <row r="287">
          <cell r="A287">
            <v>1993</v>
          </cell>
          <cell r="B287">
            <v>0.24548515457606365</v>
          </cell>
          <cell r="C287">
            <v>2.0049999999999999</v>
          </cell>
          <cell r="D287">
            <v>1.97</v>
          </cell>
          <cell r="E287">
            <v>0.54</v>
          </cell>
          <cell r="F287">
            <v>0.2741116751269036</v>
          </cell>
          <cell r="G287">
            <v>32.375</v>
          </cell>
          <cell r="H287" t="str">
            <v>-</v>
          </cell>
          <cell r="I287">
            <v>20.5625</v>
          </cell>
          <cell r="J287">
            <v>16.434010152284266</v>
          </cell>
          <cell r="K287" t="str">
            <v>-</v>
          </cell>
          <cell r="L287">
            <v>10.437817258883248</v>
          </cell>
          <cell r="M287">
            <v>0.93854998014187685</v>
          </cell>
          <cell r="N287" t="str">
            <v>-</v>
          </cell>
          <cell r="O287">
            <v>0.65399857511799797</v>
          </cell>
          <cell r="P287">
            <v>0.79627427762993741</v>
          </cell>
          <cell r="Q287">
            <v>1.3306890811566208</v>
          </cell>
          <cell r="R287" t="str">
            <v>-</v>
          </cell>
          <cell r="S287">
            <v>0.98936656482305663</v>
          </cell>
          <cell r="T287">
            <v>1.1600278229898386</v>
          </cell>
          <cell r="U287">
            <v>8.6449999999999996</v>
          </cell>
          <cell r="V287">
            <v>3.7449392712550611</v>
          </cell>
          <cell r="W287" t="str">
            <v>-</v>
          </cell>
          <cell r="X287">
            <v>2.3785425101214575</v>
          </cell>
          <cell r="Y287">
            <v>2.6261398176291795E-2</v>
          </cell>
          <cell r="Z287" t="str">
            <v>-</v>
          </cell>
          <cell r="AA287">
            <v>1.6679536679536682E-2</v>
          </cell>
        </row>
        <row r="288">
          <cell r="A288">
            <v>1992</v>
          </cell>
          <cell r="B288">
            <v>0.25131625131625129</v>
          </cell>
          <cell r="C288">
            <v>1.79</v>
          </cell>
          <cell r="D288">
            <v>1.7949999999999999</v>
          </cell>
          <cell r="E288">
            <v>0.53500000000000003</v>
          </cell>
          <cell r="F288">
            <v>0.29805013927576607</v>
          </cell>
          <cell r="G288">
            <v>29.1875</v>
          </cell>
          <cell r="H288" t="str">
            <v>-</v>
          </cell>
          <cell r="I288">
            <v>18</v>
          </cell>
          <cell r="J288">
            <v>16.260445682451255</v>
          </cell>
          <cell r="K288" t="str">
            <v>-</v>
          </cell>
          <cell r="L288">
            <v>10.027855153203342</v>
          </cell>
          <cell r="M288">
            <v>0.85852405926352982</v>
          </cell>
          <cell r="N288" t="str">
            <v>-</v>
          </cell>
          <cell r="O288">
            <v>0.59231276746623407</v>
          </cell>
          <cell r="P288">
            <v>0.725418413364882</v>
          </cell>
          <cell r="Q288">
            <v>1.4715335459231904</v>
          </cell>
          <cell r="R288" t="str">
            <v>-</v>
          </cell>
          <cell r="S288">
            <v>1.1179325700338174</v>
          </cell>
          <cell r="T288">
            <v>1.2947330579785039</v>
          </cell>
          <cell r="U288">
            <v>7.69</v>
          </cell>
          <cell r="V288">
            <v>3.7955136540962289</v>
          </cell>
          <cell r="W288" t="str">
            <v>-</v>
          </cell>
          <cell r="X288">
            <v>2.3407022106631987</v>
          </cell>
          <cell r="Y288">
            <v>2.9722222222222223E-2</v>
          </cell>
          <cell r="Z288" t="str">
            <v>-</v>
          </cell>
          <cell r="AA288">
            <v>1.8329764453961457E-2</v>
          </cell>
        </row>
        <row r="289">
          <cell r="A289">
            <v>1991</v>
          </cell>
          <cell r="B289">
            <v>0.25825082508250824</v>
          </cell>
          <cell r="C289">
            <v>1.5649999999999999</v>
          </cell>
          <cell r="D289">
            <v>1.55</v>
          </cell>
          <cell r="E289">
            <v>0.5</v>
          </cell>
          <cell r="F289">
            <v>0.32258064516129031</v>
          </cell>
          <cell r="G289">
            <v>19.75</v>
          </cell>
          <cell r="H289" t="str">
            <v>-</v>
          </cell>
          <cell r="I289">
            <v>15.458500000000001</v>
          </cell>
          <cell r="J289">
            <v>12.741935483870968</v>
          </cell>
          <cell r="K289" t="str">
            <v>-</v>
          </cell>
          <cell r="L289">
            <v>9.9732258064516124</v>
          </cell>
          <cell r="M289">
            <v>0.64778523049674464</v>
          </cell>
          <cell r="N289" t="str">
            <v>-</v>
          </cell>
          <cell r="O289">
            <v>0.67891258042556923</v>
          </cell>
          <cell r="P289">
            <v>0.66334890546115699</v>
          </cell>
          <cell r="Q289">
            <v>1.2922855460315383</v>
          </cell>
          <cell r="R289" t="str">
            <v>-</v>
          </cell>
          <cell r="S289">
            <v>1.3929086321859794</v>
          </cell>
          <cell r="T289">
            <v>1.3425970891087589</v>
          </cell>
          <cell r="U289">
            <v>6.5549999999999997</v>
          </cell>
          <cell r="V289">
            <v>3.0129672006102215</v>
          </cell>
          <cell r="W289" t="str">
            <v>-</v>
          </cell>
          <cell r="X289">
            <v>2.3582761250953475</v>
          </cell>
          <cell r="Y289">
            <v>3.2344664747549892E-2</v>
          </cell>
          <cell r="Z289" t="str">
            <v>-</v>
          </cell>
          <cell r="AA289">
            <v>2.5316455696202531E-2</v>
          </cell>
        </row>
        <row r="290">
          <cell r="A290">
            <v>1990</v>
          </cell>
          <cell r="B290">
            <v>0.26950354609929078</v>
          </cell>
          <cell r="C290">
            <v>1.425</v>
          </cell>
          <cell r="D290">
            <v>1.41</v>
          </cell>
          <cell r="E290">
            <v>0.46500000000000002</v>
          </cell>
          <cell r="F290">
            <v>0.32978723404255322</v>
          </cell>
          <cell r="G290">
            <v>19.125</v>
          </cell>
          <cell r="H290" t="str">
            <v>-</v>
          </cell>
          <cell r="I290">
            <v>12.666499999999999</v>
          </cell>
          <cell r="J290">
            <v>13.563829787234043</v>
          </cell>
          <cell r="K290" t="str">
            <v>-</v>
          </cell>
          <cell r="L290">
            <v>8.9833333333333325</v>
          </cell>
          <cell r="M290">
            <v>0.85414545259660224</v>
          </cell>
          <cell r="N290" t="str">
            <v>-</v>
          </cell>
          <cell r="O290">
            <v>0.70679255179648559</v>
          </cell>
          <cell r="P290">
            <v>0.78046900219654392</v>
          </cell>
          <cell r="Q290">
            <v>1.43532590341101</v>
          </cell>
          <cell r="R290" t="str">
            <v>-</v>
          </cell>
          <cell r="S290">
            <v>1.5251839275608374</v>
          </cell>
          <cell r="T290">
            <v>1.4802549154859237</v>
          </cell>
          <cell r="U290">
            <v>5.5650000000000004</v>
          </cell>
          <cell r="V290">
            <v>3.4366576819407006</v>
          </cell>
          <cell r="W290" t="str">
            <v>-</v>
          </cell>
          <cell r="X290">
            <v>2.2761006289308172</v>
          </cell>
          <cell r="Y290">
            <v>3.6711009355386258E-2</v>
          </cell>
          <cell r="Z290" t="str">
            <v>-</v>
          </cell>
          <cell r="AA290">
            <v>2.4313725490196079E-2</v>
          </cell>
        </row>
        <row r="291">
          <cell r="A291">
            <v>1989</v>
          </cell>
          <cell r="B291">
            <v>0.27715355805243447</v>
          </cell>
          <cell r="C291">
            <v>1.2949999999999999</v>
          </cell>
          <cell r="D291">
            <v>1.2949999999999999</v>
          </cell>
          <cell r="E291">
            <v>0.41499999999999998</v>
          </cell>
          <cell r="F291">
            <v>0.32046332046332049</v>
          </cell>
          <cell r="G291">
            <v>19.583500000000001</v>
          </cell>
          <cell r="H291" t="str">
            <v>-</v>
          </cell>
          <cell r="I291">
            <v>10</v>
          </cell>
          <cell r="J291">
            <v>15.122393822393823</v>
          </cell>
          <cell r="K291" t="str">
            <v>-</v>
          </cell>
          <cell r="L291">
            <v>7.7220077220077226</v>
          </cell>
          <cell r="M291">
            <v>1.0294345692575781</v>
          </cell>
          <cell r="N291" t="str">
            <v>-</v>
          </cell>
          <cell r="O291">
            <v>0.68701136316794686</v>
          </cell>
          <cell r="P291">
            <v>0.85822296621276251</v>
          </cell>
          <cell r="Q291">
            <v>1.4957857391091813</v>
          </cell>
          <cell r="R291" t="str">
            <v>-</v>
          </cell>
          <cell r="S291">
            <v>1.0094127741186565</v>
          </cell>
          <cell r="T291">
            <v>1.252599256613919</v>
          </cell>
          <cell r="U291">
            <v>5.01</v>
          </cell>
          <cell r="V291">
            <v>3.9088822355289423</v>
          </cell>
          <cell r="W291" t="str">
            <v>-</v>
          </cell>
          <cell r="X291">
            <v>1.9960079840319362</v>
          </cell>
          <cell r="Y291">
            <v>4.1499999999999995E-2</v>
          </cell>
          <cell r="Z291" t="str">
            <v>-</v>
          </cell>
          <cell r="AA291">
            <v>2.1191309010136081E-2</v>
          </cell>
        </row>
        <row r="292">
          <cell r="A292">
            <v>1988</v>
          </cell>
          <cell r="B292">
            <v>0.24699828473413377</v>
          </cell>
          <cell r="C292">
            <v>1.08</v>
          </cell>
          <cell r="D292">
            <v>1.08</v>
          </cell>
          <cell r="E292">
            <v>0.36499999999999999</v>
          </cell>
          <cell r="F292">
            <v>0.33796296296296291</v>
          </cell>
          <cell r="G292">
            <v>11.166499999999999</v>
          </cell>
          <cell r="H292" t="str">
            <v>-</v>
          </cell>
          <cell r="I292">
            <v>7.9165000000000001</v>
          </cell>
          <cell r="J292">
            <v>10.33935185185185</v>
          </cell>
          <cell r="K292" t="str">
            <v>-</v>
          </cell>
          <cell r="L292">
            <v>7.3300925925925924</v>
          </cell>
          <cell r="M292">
            <v>0.9215108602363502</v>
          </cell>
          <cell r="N292" t="str">
            <v>-</v>
          </cell>
          <cell r="O292">
            <v>0.76355131172839508</v>
          </cell>
          <cell r="P292">
            <v>0.8425310859823727</v>
          </cell>
          <cell r="Q292">
            <v>1.2352869595999822</v>
          </cell>
          <cell r="R292" t="str">
            <v>-</v>
          </cell>
          <cell r="S292">
            <v>1.0441727339875488</v>
          </cell>
          <cell r="T292">
            <v>1.1397298467937655</v>
          </cell>
          <cell r="U292">
            <v>4.335</v>
          </cell>
          <cell r="V292">
            <v>2.5758938869665511</v>
          </cell>
          <cell r="W292" t="str">
            <v>-</v>
          </cell>
          <cell r="X292">
            <v>1.8261822376009227</v>
          </cell>
          <cell r="Y292">
            <v>4.6106233815448747E-2</v>
          </cell>
          <cell r="Z292" t="str">
            <v>-</v>
          </cell>
          <cell r="AA292">
            <v>3.2687055030672103E-2</v>
          </cell>
        </row>
        <row r="293">
          <cell r="A293">
            <v>1987</v>
          </cell>
          <cell r="B293">
            <v>0.34835566382460409</v>
          </cell>
          <cell r="C293">
            <v>1.43</v>
          </cell>
          <cell r="D293">
            <v>0.99</v>
          </cell>
          <cell r="E293">
            <v>0.33500000000000002</v>
          </cell>
          <cell r="F293">
            <v>0.3383838383838384</v>
          </cell>
          <cell r="G293">
            <v>12.25</v>
          </cell>
          <cell r="H293" t="str">
            <v>-</v>
          </cell>
          <cell r="I293">
            <v>7.25</v>
          </cell>
          <cell r="J293">
            <v>12.373737373737374</v>
          </cell>
          <cell r="K293" t="str">
            <v>-</v>
          </cell>
          <cell r="L293">
            <v>7.3232323232323235</v>
          </cell>
          <cell r="M293">
            <v>0.73174082635939519</v>
          </cell>
          <cell r="N293" t="str">
            <v>-</v>
          </cell>
          <cell r="O293">
            <v>0.65095398428731766</v>
          </cell>
          <cell r="P293">
            <v>0.69134740532335637</v>
          </cell>
          <cell r="Q293">
            <v>1.228772331056343</v>
          </cell>
          <cell r="R293" t="str">
            <v>-</v>
          </cell>
          <cell r="S293">
            <v>1.0227978105073077</v>
          </cell>
          <cell r="T293">
            <v>1.1257850707818253</v>
          </cell>
          <cell r="U293">
            <v>4.41</v>
          </cell>
          <cell r="V293">
            <v>2.7777777777777777</v>
          </cell>
          <cell r="W293" t="str">
            <v>-</v>
          </cell>
          <cell r="X293">
            <v>1.6439909297052153</v>
          </cell>
          <cell r="Y293">
            <v>4.6206896551724143E-2</v>
          </cell>
          <cell r="Z293" t="str">
            <v>-</v>
          </cell>
          <cell r="AA293">
            <v>2.7346938775510206E-2</v>
          </cell>
        </row>
        <row r="294">
          <cell r="A294">
            <v>1986</v>
          </cell>
          <cell r="B294">
            <v>0.36087243886318576</v>
          </cell>
          <cell r="C294">
            <v>1.365</v>
          </cell>
          <cell r="D294">
            <v>0.90500000000000003</v>
          </cell>
          <cell r="E294">
            <v>0.26500000000000001</v>
          </cell>
          <cell r="F294">
            <v>0.29281767955801108</v>
          </cell>
          <cell r="G294">
            <v>12.833500000000001</v>
          </cell>
          <cell r="H294" t="str">
            <v>-</v>
          </cell>
          <cell r="I294">
            <v>7.0834999999999999</v>
          </cell>
          <cell r="J294">
            <v>14.180662983425416</v>
          </cell>
          <cell r="K294" t="str">
            <v>-</v>
          </cell>
          <cell r="L294">
            <v>7.8270718232044194</v>
          </cell>
          <cell r="M294">
            <v>0.88353040395173921</v>
          </cell>
          <cell r="N294" t="str">
            <v>-</v>
          </cell>
          <cell r="O294">
            <v>0.6091106477201883</v>
          </cell>
          <cell r="P294">
            <v>0.74632052583596376</v>
          </cell>
          <cell r="Q294">
            <v>1.3848303694751383</v>
          </cell>
          <cell r="R294" t="str">
            <v>-</v>
          </cell>
          <cell r="S294">
            <v>0.82913896432250211</v>
          </cell>
          <cell r="T294">
            <v>1.1069846668988201</v>
          </cell>
          <cell r="U294">
            <v>3.8</v>
          </cell>
          <cell r="V294">
            <v>3.3772368421052636</v>
          </cell>
          <cell r="W294" t="str">
            <v>-</v>
          </cell>
          <cell r="X294">
            <v>1.8640789473684212</v>
          </cell>
          <cell r="Y294">
            <v>3.7410884449777658E-2</v>
          </cell>
          <cell r="Z294" t="str">
            <v>-</v>
          </cell>
          <cell r="AA294">
            <v>2.0649082479448317E-2</v>
          </cell>
        </row>
        <row r="295">
          <cell r="A295">
            <v>1985</v>
          </cell>
          <cell r="B295">
            <v>0.30683403068340309</v>
          </cell>
          <cell r="C295">
            <v>1.1000000000000001</v>
          </cell>
          <cell r="D295">
            <v>0.71499999999999997</v>
          </cell>
          <cell r="E295">
            <v>0.17499999999999999</v>
          </cell>
          <cell r="F295">
            <v>0.24475524475524474</v>
          </cell>
          <cell r="G295">
            <v>8.9164999999999992</v>
          </cell>
          <cell r="H295" t="str">
            <v>-</v>
          </cell>
          <cell r="I295">
            <v>4.875</v>
          </cell>
          <cell r="J295">
            <v>12.47062937062937</v>
          </cell>
          <cell r="K295" t="str">
            <v>-</v>
          </cell>
          <cell r="L295">
            <v>6.8181818181818183</v>
          </cell>
          <cell r="M295">
            <v>0.97885630852663807</v>
          </cell>
          <cell r="N295" t="str">
            <v>-</v>
          </cell>
          <cell r="O295">
            <v>0.69290465631929055</v>
          </cell>
          <cell r="P295">
            <v>0.83588048242296431</v>
          </cell>
          <cell r="U295">
            <v>3.7650000000000001</v>
          </cell>
          <cell r="V295">
            <v>2.3682602921646745</v>
          </cell>
          <cell r="W295" t="str">
            <v>-</v>
          </cell>
          <cell r="X295">
            <v>1.2948207171314741</v>
          </cell>
          <cell r="Y295">
            <v>3.5897435897435895E-2</v>
          </cell>
          <cell r="Z295" t="str">
            <v>-</v>
          </cell>
          <cell r="AA295">
            <v>1.9626535075421971E-2</v>
          </cell>
        </row>
        <row r="296">
          <cell r="A296">
            <v>1984</v>
          </cell>
          <cell r="B296">
            <v>0.24561403508771931</v>
          </cell>
          <cell r="C296">
            <v>0.80500000000000005</v>
          </cell>
          <cell r="D296">
            <v>0.52500000000000002</v>
          </cell>
          <cell r="E296">
            <v>0.15</v>
          </cell>
          <cell r="F296">
            <v>0.2857142857142857</v>
          </cell>
          <cell r="G296">
            <v>5.7084999999999999</v>
          </cell>
          <cell r="H296" t="str">
            <v>-</v>
          </cell>
          <cell r="I296">
            <v>3.0625</v>
          </cell>
          <cell r="J296">
            <v>10.873333333333333</v>
          </cell>
          <cell r="K296" t="str">
            <v>-</v>
          </cell>
          <cell r="L296">
            <v>5.833333333333333</v>
          </cell>
          <cell r="M296">
            <v>1.0873333333333333</v>
          </cell>
          <cell r="N296" t="str">
            <v>-</v>
          </cell>
          <cell r="O296">
            <v>0.67281814686658969</v>
          </cell>
          <cell r="P296">
            <v>0.88007574009996148</v>
          </cell>
          <cell r="U296">
            <v>3.4049999999999998</v>
          </cell>
          <cell r="V296">
            <v>1.6765051395007342</v>
          </cell>
          <cell r="W296" t="str">
            <v>-</v>
          </cell>
          <cell r="X296">
            <v>0.89941262848751846</v>
          </cell>
          <cell r="Y296">
            <v>4.8979591836734691E-2</v>
          </cell>
          <cell r="Z296" t="str">
            <v>-</v>
          </cell>
          <cell r="AA296">
            <v>2.6276605062625909E-2</v>
          </cell>
        </row>
        <row r="297">
          <cell r="A297">
            <v>1983</v>
          </cell>
          <cell r="B297">
            <v>0.14000000000000001</v>
          </cell>
          <cell r="C297">
            <v>0.66</v>
          </cell>
          <cell r="D297">
            <v>0.42499999999999999</v>
          </cell>
          <cell r="E297">
            <v>0.13500000000000001</v>
          </cell>
          <cell r="F297">
            <v>0.31764705882352945</v>
          </cell>
          <cell r="G297">
            <v>3.75</v>
          </cell>
          <cell r="H297" t="str">
            <v>-</v>
          </cell>
          <cell r="I297">
            <v>2.8334999999999999</v>
          </cell>
          <cell r="J297">
            <v>8.8235294117647065</v>
          </cell>
          <cell r="K297" t="str">
            <v>-</v>
          </cell>
          <cell r="L297">
            <v>6.6670588235294117</v>
          </cell>
          <cell r="M297">
            <v>0.72921730675741381</v>
          </cell>
          <cell r="N297" t="str">
            <v>-</v>
          </cell>
          <cell r="O297">
            <v>0.6880349663085048</v>
          </cell>
          <cell r="P297">
            <v>0.70862613653295936</v>
          </cell>
          <cell r="Q297" t="str">
            <v xml:space="preserve">         </v>
          </cell>
          <cell r="S297" t="str">
            <v xml:space="preserve">         </v>
          </cell>
          <cell r="T297" t="str">
            <v xml:space="preserve">         </v>
          </cell>
          <cell r="U297">
            <v>3.15</v>
          </cell>
          <cell r="V297">
            <v>1.1904761904761905</v>
          </cell>
          <cell r="W297" t="str">
            <v>-</v>
          </cell>
          <cell r="X297">
            <v>0.8995238095238095</v>
          </cell>
          <cell r="Y297">
            <v>4.7644256220222343E-2</v>
          </cell>
          <cell r="Z297" t="str">
            <v>-</v>
          </cell>
          <cell r="AA297">
            <v>3.6000000000000004E-2</v>
          </cell>
        </row>
        <row r="299">
          <cell r="A299" t="str">
            <v>Average</v>
          </cell>
          <cell r="J299">
            <v>13.736756318543788</v>
          </cell>
          <cell r="K299" t="str">
            <v>-</v>
          </cell>
          <cell r="L299">
            <v>8.6335990087340182</v>
          </cell>
          <cell r="M299">
            <v>0.81067041242152449</v>
          </cell>
          <cell r="N299" t="str">
            <v>-</v>
          </cell>
          <cell r="O299">
            <v>0.6385932619934942</v>
          </cell>
          <cell r="P299">
            <v>0.72463183720750934</v>
          </cell>
          <cell r="Q299">
            <v>1.2322193168220408</v>
          </cell>
          <cell r="R299" t="str">
            <v>-</v>
          </cell>
          <cell r="S299">
            <v>1.0236074848362744</v>
          </cell>
          <cell r="V299">
            <v>2.7775359694319901</v>
          </cell>
          <cell r="W299" t="str">
            <v>-</v>
          </cell>
          <cell r="X299">
            <v>1.747273256707675</v>
          </cell>
          <cell r="Y299">
            <v>3.3354060755061261E-2</v>
          </cell>
          <cell r="Z299" t="str">
            <v>-</v>
          </cell>
          <cell r="AA299">
            <v>2.1237598787893767E-2</v>
          </cell>
        </row>
        <row r="301">
          <cell r="A301" t="str">
            <v>1-Yr. Growth</v>
          </cell>
          <cell r="C301">
            <v>0.38916256157635476</v>
          </cell>
          <cell r="D301">
            <v>0.11764705882352944</v>
          </cell>
          <cell r="E301">
            <v>0</v>
          </cell>
          <cell r="U301">
            <v>0.13970588235294135</v>
          </cell>
          <cell r="V301" t="str">
            <v xml:space="preserve"> </v>
          </cell>
        </row>
        <row r="302">
          <cell r="A302" t="str">
            <v>3-Yr. Growth</v>
          </cell>
          <cell r="C302">
            <v>5.6696824836857784E-2</v>
          </cell>
          <cell r="D302">
            <v>3.6418042731212186E-2</v>
          </cell>
          <cell r="E302">
            <v>-0.15421136529466761</v>
          </cell>
          <cell r="U302">
            <v>0.12972934889491605</v>
          </cell>
          <cell r="V302" t="str">
            <v xml:space="preserve"> </v>
          </cell>
        </row>
        <row r="303">
          <cell r="A303" t="str">
            <v>5-Yr. Growth</v>
          </cell>
          <cell r="C303">
            <v>0.23040991364436358</v>
          </cell>
          <cell r="D303">
            <v>7.7200288513581183E-2</v>
          </cell>
          <cell r="E303">
            <v>-8.6200721980567607E-2</v>
          </cell>
          <cell r="U303">
            <v>0.12844685956815427</v>
          </cell>
        </row>
        <row r="304">
          <cell r="A304" t="str">
            <v>10-Yr. Growth</v>
          </cell>
          <cell r="C304">
            <v>7.0639900020385449E-2</v>
          </cell>
          <cell r="D304">
            <v>7.2908225235359891E-2</v>
          </cell>
          <cell r="E304">
            <v>-2.5268604187815846E-2</v>
          </cell>
          <cell r="U304">
            <v>0.12824853313400975</v>
          </cell>
        </row>
        <row r="306">
          <cell r="A306" t="str">
            <v>UNUM (1996 EPS restated for adoption of FAS 128)</v>
          </cell>
        </row>
        <row r="307">
          <cell r="A307">
            <v>2000</v>
          </cell>
          <cell r="B307">
            <v>0.109</v>
          </cell>
          <cell r="C307">
            <v>2.33</v>
          </cell>
          <cell r="D307">
            <v>2.36</v>
          </cell>
          <cell r="E307">
            <v>0.6</v>
          </cell>
          <cell r="F307">
            <v>0.25423728813559321</v>
          </cell>
          <cell r="G307">
            <v>31.9375</v>
          </cell>
          <cell r="H307" t="str">
            <v>-</v>
          </cell>
          <cell r="I307">
            <v>11.9375</v>
          </cell>
          <cell r="J307">
            <v>13.532838983050848</v>
          </cell>
          <cell r="K307" t="str">
            <v>-</v>
          </cell>
          <cell r="L307">
            <v>5.0582627118644075</v>
          </cell>
          <cell r="M307">
            <v>0.48054295569229105</v>
          </cell>
          <cell r="N307" t="str">
            <v>-</v>
          </cell>
          <cell r="O307">
            <v>0.22244626580599333</v>
          </cell>
          <cell r="P307">
            <v>0.35149461074914218</v>
          </cell>
          <cell r="Q307">
            <v>0.93609581329464886</v>
          </cell>
          <cell r="R307" t="str">
            <v>-</v>
          </cell>
          <cell r="S307">
            <v>0.6234219661178827</v>
          </cell>
          <cell r="T307">
            <v>0.77975888970626572</v>
          </cell>
          <cell r="U307">
            <v>22.61</v>
          </cell>
          <cell r="V307">
            <v>1.4125386996904026</v>
          </cell>
          <cell r="W307" t="str">
            <v>-</v>
          </cell>
          <cell r="X307">
            <v>0.52797434763379036</v>
          </cell>
          <cell r="Y307">
            <v>5.0261780104712037E-2</v>
          </cell>
          <cell r="Z307" t="str">
            <v>-</v>
          </cell>
          <cell r="AA307">
            <v>1.8786692759295499E-2</v>
          </cell>
        </row>
        <row r="308">
          <cell r="A308">
            <v>1999</v>
          </cell>
          <cell r="B308">
            <v>-3.5999999999999997E-2</v>
          </cell>
          <cell r="C308">
            <v>-0.77</v>
          </cell>
          <cell r="D308">
            <v>2.71</v>
          </cell>
          <cell r="E308">
            <v>0.58499999999999996</v>
          </cell>
          <cell r="F308">
            <v>0.21586715867158671</v>
          </cell>
          <cell r="G308">
            <v>62.5</v>
          </cell>
          <cell r="H308" t="str">
            <v>-</v>
          </cell>
          <cell r="I308">
            <v>26</v>
          </cell>
          <cell r="J308">
            <v>23.062730627306273</v>
          </cell>
          <cell r="K308" t="str">
            <v>-</v>
          </cell>
          <cell r="L308">
            <v>9.5940959409594093</v>
          </cell>
          <cell r="M308">
            <v>0.73017707633241091</v>
          </cell>
          <cell r="N308" t="str">
            <v>-</v>
          </cell>
          <cell r="O308">
            <v>0.37120156179910313</v>
          </cell>
          <cell r="P308">
            <v>0.55068931906575702</v>
          </cell>
          <cell r="Q308">
            <v>1.541626378830633</v>
          </cell>
          <cell r="R308" t="str">
            <v>-</v>
          </cell>
          <cell r="S308">
            <v>0.78511423412106451</v>
          </cell>
          <cell r="T308">
            <v>1.1633703064758487</v>
          </cell>
          <cell r="U308">
            <v>20.65</v>
          </cell>
          <cell r="V308">
            <v>3.026634382566586</v>
          </cell>
          <cell r="W308" t="str">
            <v>-</v>
          </cell>
          <cell r="X308">
            <v>1.2590799031476998</v>
          </cell>
          <cell r="Y308">
            <v>2.2499999999999999E-2</v>
          </cell>
          <cell r="Z308" t="str">
            <v>-</v>
          </cell>
          <cell r="AA308">
            <v>9.3600000000000003E-3</v>
          </cell>
        </row>
        <row r="309">
          <cell r="A309">
            <v>1998</v>
          </cell>
          <cell r="B309">
            <v>0.17013317933065406</v>
          </cell>
          <cell r="C309">
            <v>2.569789751102852</v>
          </cell>
          <cell r="D309">
            <v>2.75</v>
          </cell>
          <cell r="E309">
            <v>0.58499999999999996</v>
          </cell>
          <cell r="F309">
            <v>0.21272727272727271</v>
          </cell>
          <cell r="G309">
            <v>60.0625</v>
          </cell>
          <cell r="H309" t="str">
            <v>-</v>
          </cell>
          <cell r="I309">
            <v>41.75</v>
          </cell>
          <cell r="J309">
            <v>21.84090909090909</v>
          </cell>
          <cell r="K309" t="str">
            <v>-</v>
          </cell>
          <cell r="L309">
            <v>15.181818181818182</v>
          </cell>
          <cell r="M309">
            <v>0.70579050446794012</v>
          </cell>
          <cell r="N309" t="str">
            <v>-</v>
          </cell>
          <cell r="O309">
            <v>0.66908903679167575</v>
          </cell>
          <cell r="P309">
            <v>0.68743977062980788</v>
          </cell>
          <cell r="Q309">
            <v>1.2840040617818393</v>
          </cell>
          <cell r="R309" t="str">
            <v>-</v>
          </cell>
          <cell r="S309">
            <v>1.0609237024331364</v>
          </cell>
          <cell r="T309">
            <v>1.172463882107488</v>
          </cell>
          <cell r="U309">
            <v>17.989999999999998</v>
          </cell>
          <cell r="V309">
            <v>3.3386603668704837</v>
          </cell>
          <cell r="W309" t="str">
            <v>-</v>
          </cell>
          <cell r="X309">
            <v>2.3207337409672042</v>
          </cell>
          <cell r="Y309">
            <v>1.401197604790419E-2</v>
          </cell>
          <cell r="Z309" t="str">
            <v>-</v>
          </cell>
          <cell r="AA309">
            <v>9.7398543184183135E-3</v>
          </cell>
        </row>
        <row r="310">
          <cell r="A310">
            <v>1997</v>
          </cell>
          <cell r="B310">
            <v>0.154</v>
          </cell>
          <cell r="C310">
            <v>2.59</v>
          </cell>
          <cell r="D310">
            <v>2.39</v>
          </cell>
          <cell r="E310">
            <v>0.56999999999999995</v>
          </cell>
          <cell r="F310">
            <v>0.23849372384937234</v>
          </cell>
          <cell r="G310">
            <v>54.4375</v>
          </cell>
          <cell r="H310" t="str">
            <v>-</v>
          </cell>
          <cell r="I310">
            <v>35.3125</v>
          </cell>
          <cell r="J310">
            <v>22.777196652719663</v>
          </cell>
          <cell r="K310" t="str">
            <v>-</v>
          </cell>
          <cell r="L310">
            <v>14.77510460251046</v>
          </cell>
          <cell r="M310">
            <v>1.0357979378226314</v>
          </cell>
          <cell r="N310" t="str">
            <v>-</v>
          </cell>
          <cell r="O310">
            <v>0.90811952074434299</v>
          </cell>
          <cell r="P310">
            <v>0.97195872928348725</v>
          </cell>
          <cell r="Q310">
            <v>1.4666578655968876</v>
          </cell>
          <cell r="R310" t="str">
            <v>-</v>
          </cell>
          <cell r="S310">
            <v>1.2983395960026765</v>
          </cell>
          <cell r="T310">
            <v>1.382498730799782</v>
          </cell>
          <cell r="U310">
            <v>16.13</v>
          </cell>
          <cell r="V310">
            <v>3.3749225046497213</v>
          </cell>
          <cell r="W310" t="str">
            <v>-</v>
          </cell>
          <cell r="X310">
            <v>2.1892436453812771</v>
          </cell>
          <cell r="Y310">
            <v>1.614159292035398E-2</v>
          </cell>
          <cell r="Z310" t="str">
            <v>-</v>
          </cell>
          <cell r="AA310">
            <v>1.0470723306544201E-2</v>
          </cell>
        </row>
        <row r="311">
          <cell r="A311">
            <v>1996</v>
          </cell>
          <cell r="B311">
            <v>0.13300000000000001</v>
          </cell>
          <cell r="C311">
            <v>1.61</v>
          </cell>
          <cell r="D311">
            <v>2.04</v>
          </cell>
          <cell r="E311">
            <v>0.54500000000000004</v>
          </cell>
          <cell r="F311">
            <v>0.26715686274509803</v>
          </cell>
          <cell r="G311">
            <v>36.5625</v>
          </cell>
          <cell r="H311" t="str">
            <v>-</v>
          </cell>
          <cell r="I311">
            <v>27.9375</v>
          </cell>
          <cell r="J311">
            <v>17.922794117647058</v>
          </cell>
          <cell r="K311" t="str">
            <v>-</v>
          </cell>
          <cell r="L311">
            <v>13.694852941176471</v>
          </cell>
          <cell r="M311">
            <v>0.97089892294946134</v>
          </cell>
          <cell r="N311" t="str">
            <v>-</v>
          </cell>
          <cell r="O311">
            <v>0.9380036261079775</v>
          </cell>
          <cell r="P311">
            <v>0.95445127452871947</v>
          </cell>
          <cell r="Q311">
            <v>1.4849042350991764</v>
          </cell>
          <cell r="R311" t="str">
            <v>-</v>
          </cell>
          <cell r="S311">
            <v>1.381922597495103</v>
          </cell>
          <cell r="T311">
            <v>1.4334134162971397</v>
          </cell>
          <cell r="U311">
            <v>15.22</v>
          </cell>
          <cell r="V311">
            <v>2.4022667542706961</v>
          </cell>
          <cell r="W311" t="str">
            <v>-</v>
          </cell>
          <cell r="X311">
            <v>1.8355781865965834</v>
          </cell>
          <cell r="Y311">
            <v>1.9507829977628635E-2</v>
          </cell>
          <cell r="Z311" t="str">
            <v>-</v>
          </cell>
          <cell r="AA311">
            <v>1.4905982905982907E-2</v>
          </cell>
        </row>
        <row r="312">
          <cell r="A312">
            <v>1995</v>
          </cell>
          <cell r="B312">
            <v>0.13300000000000001</v>
          </cell>
          <cell r="C312">
            <v>1.9350000000000001</v>
          </cell>
          <cell r="D312">
            <v>1.7549999999999999</v>
          </cell>
          <cell r="E312">
            <v>0.52</v>
          </cell>
          <cell r="F312">
            <v>0.29629629629629634</v>
          </cell>
          <cell r="G312">
            <v>28.26</v>
          </cell>
          <cell r="H312" t="str">
            <v>-</v>
          </cell>
          <cell r="I312">
            <v>18.875</v>
          </cell>
          <cell r="J312">
            <v>16.102564102564106</v>
          </cell>
          <cell r="K312" t="str">
            <v>-</v>
          </cell>
          <cell r="L312">
            <v>10.754985754985755</v>
          </cell>
          <cell r="M312">
            <v>0.98126533227081691</v>
          </cell>
          <cell r="N312" t="str">
            <v>-</v>
          </cell>
          <cell r="O312">
            <v>0.88737506229255414</v>
          </cell>
          <cell r="P312">
            <v>0.93432019728168547</v>
          </cell>
          <cell r="Q312">
            <v>1.4909781576448244</v>
          </cell>
          <cell r="R312" t="str">
            <v>-</v>
          </cell>
          <cell r="S312">
            <v>1.2697739970467243</v>
          </cell>
          <cell r="T312">
            <v>1.3803760773457743</v>
          </cell>
          <cell r="U312">
            <v>14.33</v>
          </cell>
          <cell r="V312">
            <v>1.9720865317515703</v>
          </cell>
          <cell r="W312" t="str">
            <v>-</v>
          </cell>
          <cell r="X312">
            <v>1.3171667829727844</v>
          </cell>
          <cell r="Y312">
            <v>2.7549668874172185E-2</v>
          </cell>
          <cell r="Z312" t="str">
            <v>-</v>
          </cell>
          <cell r="AA312">
            <v>1.8400566171266806E-2</v>
          </cell>
        </row>
        <row r="313">
          <cell r="A313">
            <v>1994</v>
          </cell>
          <cell r="B313">
            <v>7.6999999999999999E-2</v>
          </cell>
          <cell r="C313">
            <v>1.0449999999999999</v>
          </cell>
          <cell r="D313">
            <v>1.74</v>
          </cell>
          <cell r="E313">
            <v>0.46</v>
          </cell>
          <cell r="F313">
            <v>0.26436781609195403</v>
          </cell>
          <cell r="G313">
            <v>29</v>
          </cell>
          <cell r="H313" t="str">
            <v>-</v>
          </cell>
          <cell r="I313">
            <v>17.5625</v>
          </cell>
          <cell r="J313">
            <v>16.666666666666668</v>
          </cell>
          <cell r="K313" t="str">
            <v>-</v>
          </cell>
          <cell r="L313">
            <v>10.093390804597702</v>
          </cell>
          <cell r="M313">
            <v>1.1015642211940957</v>
          </cell>
          <cell r="N313" t="str">
            <v>-</v>
          </cell>
          <cell r="O313">
            <v>0.73406478578892376</v>
          </cell>
          <cell r="P313">
            <v>0.91781450349150973</v>
          </cell>
          <cell r="Q313">
            <v>1.562011871290222</v>
          </cell>
          <cell r="R313" t="str">
            <v>-</v>
          </cell>
          <cell r="S313">
            <v>1.207343397679151</v>
          </cell>
          <cell r="T313">
            <v>1.3846776344846865</v>
          </cell>
          <cell r="U313">
            <v>13.52</v>
          </cell>
          <cell r="V313">
            <v>2.1449704142011834</v>
          </cell>
          <cell r="W313" t="str">
            <v>-</v>
          </cell>
          <cell r="X313">
            <v>1.2990014792899409</v>
          </cell>
          <cell r="Y313">
            <v>2.6192170818505341E-2</v>
          </cell>
          <cell r="Z313" t="str">
            <v>-</v>
          </cell>
          <cell r="AA313">
            <v>1.5862068965517243E-2</v>
          </cell>
        </row>
        <row r="314">
          <cell r="A314">
            <v>1993</v>
          </cell>
          <cell r="B314">
            <v>0.14599999999999999</v>
          </cell>
          <cell r="C314">
            <v>1.905</v>
          </cell>
          <cell r="D314">
            <v>1.885</v>
          </cell>
          <cell r="E314">
            <v>0.38500000000000001</v>
          </cell>
          <cell r="F314">
            <v>0.20424403183023873</v>
          </cell>
          <cell r="G314">
            <v>30.0625</v>
          </cell>
          <cell r="H314" t="str">
            <v>-</v>
          </cell>
          <cell r="I314">
            <v>23.875</v>
          </cell>
          <cell r="J314">
            <v>15.948275862068966</v>
          </cell>
          <cell r="K314" t="str">
            <v>-</v>
          </cell>
          <cell r="L314">
            <v>12.665782493368701</v>
          </cell>
          <cell r="M314">
            <v>0.91080958664014644</v>
          </cell>
          <cell r="N314" t="str">
            <v>-</v>
          </cell>
          <cell r="O314">
            <v>0.79359539432134707</v>
          </cell>
          <cell r="P314">
            <v>0.85220249048074681</v>
          </cell>
          <cell r="Q314">
            <v>1.2913583693982968</v>
          </cell>
          <cell r="R314" t="str">
            <v>-</v>
          </cell>
          <cell r="S314">
            <v>1.2005481036368435</v>
          </cell>
          <cell r="T314">
            <v>1.2459532365175701</v>
          </cell>
          <cell r="U314">
            <v>13.835000000000001</v>
          </cell>
          <cell r="V314">
            <v>2.1729309721720274</v>
          </cell>
          <cell r="W314" t="str">
            <v>-</v>
          </cell>
          <cell r="X314">
            <v>1.7256956993133357</v>
          </cell>
          <cell r="Y314">
            <v>1.6125654450261779E-2</v>
          </cell>
          <cell r="Z314" t="str">
            <v>-</v>
          </cell>
          <cell r="AA314">
            <v>1.2806652806652807E-2</v>
          </cell>
        </row>
        <row r="315">
          <cell r="A315">
            <v>1992</v>
          </cell>
          <cell r="B315">
            <v>0.16</v>
          </cell>
          <cell r="C315">
            <v>1.855</v>
          </cell>
          <cell r="D315">
            <v>1.68</v>
          </cell>
          <cell r="E315">
            <v>0.3125</v>
          </cell>
          <cell r="F315">
            <v>0.18601190476190477</v>
          </cell>
          <cell r="G315">
            <v>27.1875</v>
          </cell>
          <cell r="H315" t="str">
            <v>-</v>
          </cell>
          <cell r="I315">
            <v>16</v>
          </cell>
          <cell r="J315">
            <v>16.183035714285715</v>
          </cell>
          <cell r="K315" t="str">
            <v>-</v>
          </cell>
          <cell r="L315">
            <v>9.5238095238095237</v>
          </cell>
          <cell r="M315">
            <v>0.85443694373208623</v>
          </cell>
          <cell r="N315" t="str">
            <v>-</v>
          </cell>
          <cell r="O315">
            <v>0.56254043259359265</v>
          </cell>
          <cell r="P315">
            <v>0.70848868816283939</v>
          </cell>
          <cell r="Q315">
            <v>1.4645281189398835</v>
          </cell>
          <cell r="R315" t="str">
            <v>-</v>
          </cell>
          <cell r="S315">
            <v>1.0617401921749747</v>
          </cell>
          <cell r="T315">
            <v>1.2631341555574291</v>
          </cell>
          <cell r="U315">
            <v>12.465</v>
          </cell>
          <cell r="V315">
            <v>2.1811070998796631</v>
          </cell>
          <cell r="W315" t="str">
            <v>-</v>
          </cell>
          <cell r="X315">
            <v>1.283594063377457</v>
          </cell>
          <cell r="Y315">
            <v>1.953125E-2</v>
          </cell>
          <cell r="Z315" t="str">
            <v>-</v>
          </cell>
          <cell r="AA315">
            <v>1.1494252873563218E-2</v>
          </cell>
        </row>
        <row r="316">
          <cell r="A316">
            <v>1991</v>
          </cell>
          <cell r="B316">
            <v>0.154</v>
          </cell>
          <cell r="C316">
            <v>1.575</v>
          </cell>
          <cell r="D316">
            <v>1.4719381698987071</v>
          </cell>
          <cell r="E316">
            <v>0.245</v>
          </cell>
          <cell r="F316">
            <v>0.16644720886398368</v>
          </cell>
          <cell r="G316">
            <v>20.25</v>
          </cell>
          <cell r="H316" t="str">
            <v>-</v>
          </cell>
          <cell r="I316">
            <v>10.375</v>
          </cell>
          <cell r="J316">
            <v>13.757371344880283</v>
          </cell>
          <cell r="K316" t="str">
            <v>-</v>
          </cell>
          <cell r="L316">
            <v>7.0485297631176769</v>
          </cell>
          <cell r="M316">
            <v>0.69940881265278509</v>
          </cell>
          <cell r="N316" t="str">
            <v>-</v>
          </cell>
          <cell r="O316">
            <v>0.47981822757778603</v>
          </cell>
          <cell r="P316">
            <v>0.58961352011528556</v>
          </cell>
          <cell r="Q316">
            <v>1.3952709274726454</v>
          </cell>
          <cell r="R316" t="str">
            <v>-</v>
          </cell>
          <cell r="S316">
            <v>0.98443153116168669</v>
          </cell>
          <cell r="T316">
            <v>1.1898512293171661</v>
          </cell>
          <cell r="U316">
            <v>10.95</v>
          </cell>
          <cell r="V316">
            <v>1.8493150684931507</v>
          </cell>
          <cell r="W316" t="str">
            <v>-</v>
          </cell>
          <cell r="X316">
            <v>0.94748858447488593</v>
          </cell>
          <cell r="Y316">
            <v>2.3614457831325302E-2</v>
          </cell>
          <cell r="Z316" t="str">
            <v>-</v>
          </cell>
          <cell r="AA316">
            <v>1.2098765432098766E-2</v>
          </cell>
        </row>
        <row r="317">
          <cell r="A317">
            <v>1990</v>
          </cell>
          <cell r="B317">
            <v>0.152</v>
          </cell>
          <cell r="C317">
            <v>1.365</v>
          </cell>
          <cell r="D317">
            <v>1.325</v>
          </cell>
          <cell r="E317">
            <v>0.1875</v>
          </cell>
          <cell r="F317">
            <v>0.14150943396226415</v>
          </cell>
          <cell r="G317">
            <v>14.281499999999999</v>
          </cell>
          <cell r="H317" t="str">
            <v>-</v>
          </cell>
          <cell r="I317">
            <v>8.0314999999999994</v>
          </cell>
          <cell r="J317">
            <v>10.778490566037735</v>
          </cell>
          <cell r="K317" t="str">
            <v>-</v>
          </cell>
          <cell r="L317">
            <v>6.0615094339622635</v>
          </cell>
          <cell r="M317">
            <v>0.6787462573071622</v>
          </cell>
          <cell r="N317" t="str">
            <v>-</v>
          </cell>
          <cell r="O317">
            <v>0.47690868874604747</v>
          </cell>
          <cell r="P317">
            <v>0.57782747302660487</v>
          </cell>
          <cell r="Q317">
            <v>1.1405810122791256</v>
          </cell>
          <cell r="R317" t="str">
            <v>-</v>
          </cell>
          <cell r="S317">
            <v>1.0291187493993657</v>
          </cell>
          <cell r="T317">
            <v>1.0848498808392457</v>
          </cell>
          <cell r="U317">
            <v>9.3125</v>
          </cell>
          <cell r="V317">
            <v>1.5335838926174497</v>
          </cell>
          <cell r="W317" t="str">
            <v>-</v>
          </cell>
          <cell r="X317">
            <v>0.86244295302013418</v>
          </cell>
          <cell r="Y317">
            <v>2.3345576791383927E-2</v>
          </cell>
          <cell r="Z317" t="str">
            <v>-</v>
          </cell>
          <cell r="AA317">
            <v>1.3128873017540175E-2</v>
          </cell>
        </row>
        <row r="318">
          <cell r="A318">
            <v>1989</v>
          </cell>
          <cell r="B318">
            <v>0.11700000000000001</v>
          </cell>
          <cell r="C318">
            <v>0.96499999999999997</v>
          </cell>
          <cell r="D318">
            <v>0.92672106780558072</v>
          </cell>
          <cell r="E318">
            <v>0.14249999999999999</v>
          </cell>
          <cell r="F318">
            <v>0.15376795127516776</v>
          </cell>
          <cell r="G318">
            <v>12.25</v>
          </cell>
          <cell r="H318" t="str">
            <v>-</v>
          </cell>
          <cell r="I318">
            <v>6.5940000000000003</v>
          </cell>
          <cell r="J318">
            <v>13.21864844295302</v>
          </cell>
          <cell r="K318" t="str">
            <v>-</v>
          </cell>
          <cell r="L318">
            <v>7.1154096190067122</v>
          </cell>
          <cell r="M318">
            <v>0.89983992123573997</v>
          </cell>
          <cell r="N318" t="str">
            <v>-</v>
          </cell>
          <cell r="O318">
            <v>0.63304356040984988</v>
          </cell>
          <cell r="P318">
            <v>0.76644174082279493</v>
          </cell>
          <cell r="Q318">
            <v>1.3074825363949576</v>
          </cell>
          <cell r="R318" t="str">
            <v>-</v>
          </cell>
          <cell r="S318">
            <v>0.93011890444532186</v>
          </cell>
          <cell r="T318">
            <v>1.1188007204201398</v>
          </cell>
          <cell r="U318">
            <v>8.5449999999999999</v>
          </cell>
          <cell r="V318">
            <v>1.4335868929198361</v>
          </cell>
          <cell r="W318" t="str">
            <v>-</v>
          </cell>
          <cell r="X318">
            <v>0.77167934464599186</v>
          </cell>
          <cell r="Y318">
            <v>2.1610555050045492E-2</v>
          </cell>
          <cell r="Z318" t="str">
            <v>-</v>
          </cell>
          <cell r="AA318">
            <v>1.1632653061224489E-2</v>
          </cell>
        </row>
        <row r="319">
          <cell r="A319">
            <v>1988</v>
          </cell>
          <cell r="B319">
            <v>0.10199999999999999</v>
          </cell>
          <cell r="C319">
            <v>0.73</v>
          </cell>
          <cell r="D319">
            <v>0.69995072346906773</v>
          </cell>
          <cell r="E319">
            <v>0.115</v>
          </cell>
          <cell r="F319">
            <v>0.16429728000000002</v>
          </cell>
          <cell r="G319">
            <v>7.0315000000000003</v>
          </cell>
          <cell r="H319" t="str">
            <v>-</v>
          </cell>
          <cell r="I319">
            <v>4.2815000000000003</v>
          </cell>
          <cell r="J319">
            <v>10.045707168000002</v>
          </cell>
          <cell r="K319" t="str">
            <v>-</v>
          </cell>
          <cell r="L319">
            <v>6.1168591680000013</v>
          </cell>
          <cell r="M319">
            <v>0.89533931978609638</v>
          </cell>
          <cell r="N319" t="str">
            <v>-</v>
          </cell>
          <cell r="O319">
            <v>0.63717283000000013</v>
          </cell>
          <cell r="P319">
            <v>0.76625607489304826</v>
          </cell>
          <cell r="Q319">
            <v>1.2002039627240146</v>
          </cell>
          <cell r="R319" t="str">
            <v>-</v>
          </cell>
          <cell r="S319">
            <v>0.87134745982906003</v>
          </cell>
          <cell r="T319">
            <v>1.0357757112765373</v>
          </cell>
          <cell r="U319">
            <v>7.6050000000000004</v>
          </cell>
          <cell r="V319">
            <v>0.92458908612754764</v>
          </cell>
          <cell r="W319" t="str">
            <v>-</v>
          </cell>
          <cell r="X319">
            <v>0.56298487836949374</v>
          </cell>
          <cell r="Y319">
            <v>2.6859745416326054E-2</v>
          </cell>
          <cell r="Z319" t="str">
            <v>-</v>
          </cell>
          <cell r="AA319">
            <v>1.6354974045367277E-2</v>
          </cell>
        </row>
        <row r="320">
          <cell r="A320">
            <v>1987</v>
          </cell>
          <cell r="B320">
            <v>7.0000000000000007E-2</v>
          </cell>
          <cell r="C320">
            <v>0.47</v>
          </cell>
          <cell r="D320">
            <v>0.42016376663254856</v>
          </cell>
          <cell r="E320">
            <v>0.1</v>
          </cell>
          <cell r="F320">
            <v>0.23800243605359322</v>
          </cell>
          <cell r="G320">
            <v>7.8440000000000003</v>
          </cell>
          <cell r="H320" t="str">
            <v>-</v>
          </cell>
          <cell r="I320">
            <v>3.8439999999999999</v>
          </cell>
          <cell r="J320">
            <v>18.668911084043852</v>
          </cell>
          <cell r="K320" t="str">
            <v>-</v>
          </cell>
          <cell r="L320">
            <v>9.1488136419001229</v>
          </cell>
          <cell r="M320">
            <v>1.1040160309901745</v>
          </cell>
          <cell r="N320" t="str">
            <v>-</v>
          </cell>
          <cell r="O320">
            <v>0.81322787928001095</v>
          </cell>
          <cell r="P320">
            <v>0.95862195513509274</v>
          </cell>
          <cell r="Q320">
            <v>1.8539137124174629</v>
          </cell>
          <cell r="R320" t="str">
            <v>-</v>
          </cell>
          <cell r="S320">
            <v>1.2777672684218049</v>
          </cell>
          <cell r="T320">
            <v>1.5658404904196339</v>
          </cell>
          <cell r="U320">
            <v>6.8550000000000004</v>
          </cell>
          <cell r="V320">
            <v>1.1442742523705325</v>
          </cell>
          <cell r="W320" t="str">
            <v>-</v>
          </cell>
          <cell r="X320">
            <v>0.56075857038657906</v>
          </cell>
          <cell r="Y320">
            <v>2.6014568158168577E-2</v>
          </cell>
          <cell r="Z320" t="str">
            <v>-</v>
          </cell>
          <cell r="AA320">
            <v>1.2748597654258032E-2</v>
          </cell>
        </row>
        <row r="322">
          <cell r="A322" t="str">
            <v>Average</v>
          </cell>
          <cell r="B322" t="str">
            <v xml:space="preserve"> </v>
          </cell>
          <cell r="C322" t="str">
            <v xml:space="preserve"> </v>
          </cell>
          <cell r="J322">
            <v>16.464724315938092</v>
          </cell>
          <cell r="K322" t="str">
            <v>-</v>
          </cell>
          <cell r="L322">
            <v>9.7738017557912418</v>
          </cell>
          <cell r="M322">
            <v>0.86061670164813131</v>
          </cell>
          <cell r="N322" t="str">
            <v>-</v>
          </cell>
          <cell r="O322">
            <v>0.6519004908756576</v>
          </cell>
          <cell r="P322">
            <v>0.75625859626189451</v>
          </cell>
          <cell r="Q322">
            <v>1.3871155016546157</v>
          </cell>
          <cell r="R322" t="str">
            <v>-</v>
          </cell>
          <cell r="S322">
            <v>1.0701365499974853</v>
          </cell>
          <cell r="T322">
            <v>1.4218093238361516</v>
          </cell>
          <cell r="V322">
            <v>2.0651047798986326</v>
          </cell>
          <cell r="W322" t="str">
            <v>-</v>
          </cell>
          <cell r="X322">
            <v>1.2473872985412255</v>
          </cell>
          <cell r="Y322">
            <v>2.3804773317199109E-2</v>
          </cell>
          <cell r="Z322" t="str">
            <v>-</v>
          </cell>
          <cell r="AA322">
            <v>1.3413618379837839E-2</v>
          </cell>
        </row>
        <row r="324">
          <cell r="A324" t="str">
            <v>1-Yr. Growth</v>
          </cell>
          <cell r="C324" t="str">
            <v>NM</v>
          </cell>
          <cell r="D324">
            <v>-0.12915129151291516</v>
          </cell>
          <cell r="E324">
            <v>2.5641025641025772E-2</v>
          </cell>
          <cell r="U324">
            <v>9.4915254237288194E-2</v>
          </cell>
        </row>
        <row r="325">
          <cell r="A325" t="str">
            <v>3-Yr. Growth</v>
          </cell>
          <cell r="C325">
            <v>-3.4648700262472687E-2</v>
          </cell>
          <cell r="D325">
            <v>-4.2017302287917779E-3</v>
          </cell>
          <cell r="E325">
            <v>1.724476819110099E-2</v>
          </cell>
          <cell r="U325">
            <v>0.1191511148016402</v>
          </cell>
        </row>
        <row r="326">
          <cell r="A326" t="str">
            <v>5-Yr. Growth</v>
          </cell>
          <cell r="C326">
            <v>3.7850957508791971E-2</v>
          </cell>
          <cell r="D326">
            <v>6.1028321430396826E-2</v>
          </cell>
          <cell r="E326">
            <v>2.9033661071187877E-2</v>
          </cell>
          <cell r="U326">
            <v>9.5496197347068268E-2</v>
          </cell>
        </row>
        <row r="327">
          <cell r="A327" t="str">
            <v>10-Yr. Growth</v>
          </cell>
          <cell r="C327">
            <v>5.4926803438499983E-2</v>
          </cell>
          <cell r="D327">
            <v>5.9423525119240095E-2</v>
          </cell>
          <cell r="E327">
            <v>0.12334976252295826</v>
          </cell>
          <cell r="U327">
            <v>9.2756573454263691E-2</v>
          </cell>
        </row>
        <row r="331">
          <cell r="A331" t="str">
            <v>(a) Operating earnings exclude realized investment gains/losses.  Book value and ROAE exclude the effect of FAS 115.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7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657" customWidth="1"/>
    <col min="2" max="5" width="9.140625" style="657"/>
    <col min="6" max="6" width="18.7109375" style="657" customWidth="1"/>
    <col min="7" max="256" width="9.140625" style="657"/>
    <col min="257" max="257" width="100.7109375" style="657" customWidth="1"/>
    <col min="258" max="512" width="9.140625" style="657"/>
    <col min="513" max="513" width="100.7109375" style="657" customWidth="1"/>
    <col min="514" max="768" width="9.140625" style="657"/>
    <col min="769" max="769" width="100.7109375" style="657" customWidth="1"/>
    <col min="770" max="1024" width="9.140625" style="657"/>
    <col min="1025" max="1025" width="100.7109375" style="657" customWidth="1"/>
    <col min="1026" max="1280" width="9.140625" style="657"/>
    <col min="1281" max="1281" width="100.7109375" style="657" customWidth="1"/>
    <col min="1282" max="1536" width="9.140625" style="657"/>
    <col min="1537" max="1537" width="100.7109375" style="657" customWidth="1"/>
    <col min="1538" max="1792" width="9.140625" style="657"/>
    <col min="1793" max="1793" width="100.7109375" style="657" customWidth="1"/>
    <col min="1794" max="2048" width="9.140625" style="657"/>
    <col min="2049" max="2049" width="100.7109375" style="657" customWidth="1"/>
    <col min="2050" max="2304" width="9.140625" style="657"/>
    <col min="2305" max="2305" width="100.7109375" style="657" customWidth="1"/>
    <col min="2306" max="2560" width="9.140625" style="657"/>
    <col min="2561" max="2561" width="100.7109375" style="657" customWidth="1"/>
    <col min="2562" max="2816" width="9.140625" style="657"/>
    <col min="2817" max="2817" width="100.7109375" style="657" customWidth="1"/>
    <col min="2818" max="3072" width="9.140625" style="657"/>
    <col min="3073" max="3073" width="100.7109375" style="657" customWidth="1"/>
    <col min="3074" max="3328" width="9.140625" style="657"/>
    <col min="3329" max="3329" width="100.7109375" style="657" customWidth="1"/>
    <col min="3330" max="3584" width="9.140625" style="657"/>
    <col min="3585" max="3585" width="100.7109375" style="657" customWidth="1"/>
    <col min="3586" max="3840" width="9.140625" style="657"/>
    <col min="3841" max="3841" width="100.7109375" style="657" customWidth="1"/>
    <col min="3842" max="4096" width="9.140625" style="657"/>
    <col min="4097" max="4097" width="100.7109375" style="657" customWidth="1"/>
    <col min="4098" max="4352" width="9.140625" style="657"/>
    <col min="4353" max="4353" width="100.7109375" style="657" customWidth="1"/>
    <col min="4354" max="4608" width="9.140625" style="657"/>
    <col min="4609" max="4609" width="100.7109375" style="657" customWidth="1"/>
    <col min="4610" max="4864" width="9.140625" style="657"/>
    <col min="4865" max="4865" width="100.7109375" style="657" customWidth="1"/>
    <col min="4866" max="5120" width="9.140625" style="657"/>
    <col min="5121" max="5121" width="100.7109375" style="657" customWidth="1"/>
    <col min="5122" max="5376" width="9.140625" style="657"/>
    <col min="5377" max="5377" width="100.7109375" style="657" customWidth="1"/>
    <col min="5378" max="5632" width="9.140625" style="657"/>
    <col min="5633" max="5633" width="100.7109375" style="657" customWidth="1"/>
    <col min="5634" max="5888" width="9.140625" style="657"/>
    <col min="5889" max="5889" width="100.7109375" style="657" customWidth="1"/>
    <col min="5890" max="6144" width="9.140625" style="657"/>
    <col min="6145" max="6145" width="100.7109375" style="657" customWidth="1"/>
    <col min="6146" max="6400" width="9.140625" style="657"/>
    <col min="6401" max="6401" width="100.7109375" style="657" customWidth="1"/>
    <col min="6402" max="6656" width="9.140625" style="657"/>
    <col min="6657" max="6657" width="100.7109375" style="657" customWidth="1"/>
    <col min="6658" max="6912" width="9.140625" style="657"/>
    <col min="6913" max="6913" width="100.7109375" style="657" customWidth="1"/>
    <col min="6914" max="7168" width="9.140625" style="657"/>
    <col min="7169" max="7169" width="100.7109375" style="657" customWidth="1"/>
    <col min="7170" max="7424" width="9.140625" style="657"/>
    <col min="7425" max="7425" width="100.7109375" style="657" customWidth="1"/>
    <col min="7426" max="7680" width="9.140625" style="657"/>
    <col min="7681" max="7681" width="100.7109375" style="657" customWidth="1"/>
    <col min="7682" max="7936" width="9.140625" style="657"/>
    <col min="7937" max="7937" width="100.7109375" style="657" customWidth="1"/>
    <col min="7938" max="8192" width="9.140625" style="657"/>
    <col min="8193" max="8193" width="100.7109375" style="657" customWidth="1"/>
    <col min="8194" max="8448" width="9.140625" style="657"/>
    <col min="8449" max="8449" width="100.7109375" style="657" customWidth="1"/>
    <col min="8450" max="8704" width="9.140625" style="657"/>
    <col min="8705" max="8705" width="100.7109375" style="657" customWidth="1"/>
    <col min="8706" max="8960" width="9.140625" style="657"/>
    <col min="8961" max="8961" width="100.7109375" style="657" customWidth="1"/>
    <col min="8962" max="9216" width="9.140625" style="657"/>
    <col min="9217" max="9217" width="100.7109375" style="657" customWidth="1"/>
    <col min="9218" max="9472" width="9.140625" style="657"/>
    <col min="9473" max="9473" width="100.7109375" style="657" customWidth="1"/>
    <col min="9474" max="9728" width="9.140625" style="657"/>
    <col min="9729" max="9729" width="100.7109375" style="657" customWidth="1"/>
    <col min="9730" max="9984" width="9.140625" style="657"/>
    <col min="9985" max="9985" width="100.7109375" style="657" customWidth="1"/>
    <col min="9986" max="10240" width="9.140625" style="657"/>
    <col min="10241" max="10241" width="100.7109375" style="657" customWidth="1"/>
    <col min="10242" max="10496" width="9.140625" style="657"/>
    <col min="10497" max="10497" width="100.7109375" style="657" customWidth="1"/>
    <col min="10498" max="10752" width="9.140625" style="657"/>
    <col min="10753" max="10753" width="100.7109375" style="657" customWidth="1"/>
    <col min="10754" max="11008" width="9.140625" style="657"/>
    <col min="11009" max="11009" width="100.7109375" style="657" customWidth="1"/>
    <col min="11010" max="11264" width="9.140625" style="657"/>
    <col min="11265" max="11265" width="100.7109375" style="657" customWidth="1"/>
    <col min="11266" max="11520" width="9.140625" style="657"/>
    <col min="11521" max="11521" width="100.7109375" style="657" customWidth="1"/>
    <col min="11522" max="11776" width="9.140625" style="657"/>
    <col min="11777" max="11777" width="100.7109375" style="657" customWidth="1"/>
    <col min="11778" max="12032" width="9.140625" style="657"/>
    <col min="12033" max="12033" width="100.7109375" style="657" customWidth="1"/>
    <col min="12034" max="12288" width="9.140625" style="657"/>
    <col min="12289" max="12289" width="100.7109375" style="657" customWidth="1"/>
    <col min="12290" max="12544" width="9.140625" style="657"/>
    <col min="12545" max="12545" width="100.7109375" style="657" customWidth="1"/>
    <col min="12546" max="12800" width="9.140625" style="657"/>
    <col min="12801" max="12801" width="100.7109375" style="657" customWidth="1"/>
    <col min="12802" max="13056" width="9.140625" style="657"/>
    <col min="13057" max="13057" width="100.7109375" style="657" customWidth="1"/>
    <col min="13058" max="13312" width="9.140625" style="657"/>
    <col min="13313" max="13313" width="100.7109375" style="657" customWidth="1"/>
    <col min="13314" max="13568" width="9.140625" style="657"/>
    <col min="13569" max="13569" width="100.7109375" style="657" customWidth="1"/>
    <col min="13570" max="13824" width="9.140625" style="657"/>
    <col min="13825" max="13825" width="100.7109375" style="657" customWidth="1"/>
    <col min="13826" max="14080" width="9.140625" style="657"/>
    <col min="14081" max="14081" width="100.7109375" style="657" customWidth="1"/>
    <col min="14082" max="14336" width="9.140625" style="657"/>
    <col min="14337" max="14337" width="100.7109375" style="657" customWidth="1"/>
    <col min="14338" max="14592" width="9.140625" style="657"/>
    <col min="14593" max="14593" width="100.7109375" style="657" customWidth="1"/>
    <col min="14594" max="14848" width="9.140625" style="657"/>
    <col min="14849" max="14849" width="100.7109375" style="657" customWidth="1"/>
    <col min="14850" max="15104" width="9.140625" style="657"/>
    <col min="15105" max="15105" width="100.7109375" style="657" customWidth="1"/>
    <col min="15106" max="15360" width="9.140625" style="657"/>
    <col min="15361" max="15361" width="100.7109375" style="657" customWidth="1"/>
    <col min="15362" max="15616" width="9.140625" style="657"/>
    <col min="15617" max="15617" width="100.7109375" style="657" customWidth="1"/>
    <col min="15618" max="15872" width="9.140625" style="657"/>
    <col min="15873" max="15873" width="100.7109375" style="657" customWidth="1"/>
    <col min="15874" max="16128" width="9.140625" style="657"/>
    <col min="16129" max="16129" width="100.7109375" style="657" customWidth="1"/>
    <col min="16130" max="16384" width="9.140625" style="657"/>
  </cols>
  <sheetData>
    <row r="1" spans="1:8" ht="30" customHeight="1" x14ac:dyDescent="0.2">
      <c r="A1" s="655"/>
      <c r="B1" s="656"/>
      <c r="C1" s="656"/>
      <c r="D1" s="656"/>
      <c r="E1" s="656"/>
      <c r="F1" s="656"/>
      <c r="G1" s="656"/>
      <c r="H1" s="656"/>
    </row>
    <row r="2" spans="1:8" ht="14.25" x14ac:dyDescent="0.2">
      <c r="A2" s="658" t="s">
        <v>551</v>
      </c>
      <c r="B2" s="656"/>
      <c r="C2" s="656"/>
      <c r="D2" s="656"/>
      <c r="E2" s="656"/>
      <c r="F2" s="656"/>
      <c r="G2" s="656"/>
      <c r="H2" s="656"/>
    </row>
    <row r="3" spans="1:8" ht="14.25" x14ac:dyDescent="0.2">
      <c r="A3" s="658" t="s">
        <v>552</v>
      </c>
      <c r="B3" s="656"/>
      <c r="C3" s="656"/>
      <c r="D3" s="656"/>
      <c r="E3" s="656"/>
      <c r="F3" s="656"/>
      <c r="G3" s="656"/>
      <c r="H3" s="656"/>
    </row>
    <row r="4" spans="1:8" ht="14.25" x14ac:dyDescent="0.2">
      <c r="A4" s="658" t="s">
        <v>553</v>
      </c>
      <c r="B4" s="656"/>
      <c r="C4" s="656"/>
      <c r="D4" s="656"/>
      <c r="E4" s="656"/>
      <c r="F4" s="656"/>
      <c r="G4" s="656"/>
      <c r="H4" s="656"/>
    </row>
    <row r="5" spans="1:8" ht="14.25" x14ac:dyDescent="0.2">
      <c r="A5" s="658" t="s">
        <v>554</v>
      </c>
      <c r="B5" s="656"/>
      <c r="C5" s="656"/>
      <c r="D5" s="656"/>
      <c r="E5" s="656"/>
      <c r="F5" s="656"/>
      <c r="G5" s="656"/>
      <c r="H5" s="656"/>
    </row>
    <row r="6" spans="1:8" ht="14.25" x14ac:dyDescent="0.2">
      <c r="A6" s="658"/>
      <c r="B6" s="656"/>
      <c r="C6" s="656"/>
      <c r="D6" s="656"/>
      <c r="E6" s="656"/>
      <c r="F6" s="656"/>
      <c r="G6" s="656"/>
      <c r="H6" s="656"/>
    </row>
    <row r="7" spans="1:8" x14ac:dyDescent="0.2">
      <c r="A7" s="655" t="s">
        <v>555</v>
      </c>
      <c r="B7" s="656"/>
      <c r="C7" s="656"/>
      <c r="D7" s="656"/>
      <c r="E7" s="656"/>
      <c r="F7" s="656"/>
      <c r="G7" s="656"/>
      <c r="H7" s="656"/>
    </row>
    <row r="8" spans="1:8" x14ac:dyDescent="0.2">
      <c r="A8" s="655" t="s">
        <v>556</v>
      </c>
      <c r="B8" s="656"/>
      <c r="C8" s="656"/>
      <c r="D8" s="656"/>
      <c r="E8" s="656"/>
      <c r="F8" s="656"/>
      <c r="G8" s="656"/>
      <c r="H8" s="656"/>
    </row>
    <row r="9" spans="1:8" x14ac:dyDescent="0.2">
      <c r="A9" s="655"/>
      <c r="B9" s="656"/>
      <c r="C9" s="656"/>
      <c r="D9" s="656"/>
      <c r="E9" s="656"/>
      <c r="F9" s="656"/>
      <c r="G9" s="656"/>
      <c r="H9" s="656"/>
    </row>
    <row r="10" spans="1:8" x14ac:dyDescent="0.2">
      <c r="A10" s="659" t="s">
        <v>557</v>
      </c>
      <c r="B10" s="656"/>
      <c r="C10" s="656"/>
      <c r="D10" s="656"/>
      <c r="E10" s="656"/>
      <c r="F10" s="656"/>
      <c r="G10" s="656"/>
      <c r="H10" s="656"/>
    </row>
    <row r="11" spans="1:8" x14ac:dyDescent="0.2">
      <c r="A11" s="659" t="s">
        <v>558</v>
      </c>
      <c r="B11" s="656"/>
      <c r="C11" s="656"/>
      <c r="D11" s="656"/>
      <c r="E11" s="656"/>
      <c r="F11" s="656"/>
      <c r="G11" s="656"/>
      <c r="H11" s="656"/>
    </row>
    <row r="12" spans="1:8" x14ac:dyDescent="0.2">
      <c r="A12" s="659" t="s">
        <v>559</v>
      </c>
      <c r="B12" s="656"/>
      <c r="C12" s="656"/>
      <c r="D12" s="656"/>
      <c r="E12" s="656"/>
      <c r="F12" s="656"/>
      <c r="G12" s="656"/>
      <c r="H12" s="656"/>
    </row>
    <row r="13" spans="1:8" x14ac:dyDescent="0.2">
      <c r="A13" s="659" t="s">
        <v>560</v>
      </c>
      <c r="B13" s="656"/>
      <c r="C13" s="656"/>
      <c r="D13" s="656"/>
      <c r="E13" s="656"/>
      <c r="F13" s="656"/>
      <c r="G13" s="656"/>
      <c r="H13" s="656"/>
    </row>
    <row r="14" spans="1:8" x14ac:dyDescent="0.2">
      <c r="A14" s="659" t="s">
        <v>561</v>
      </c>
      <c r="B14" s="656"/>
      <c r="C14" s="656"/>
      <c r="D14" s="656"/>
      <c r="E14" s="656"/>
      <c r="F14" s="656"/>
      <c r="G14" s="656"/>
      <c r="H14" s="656"/>
    </row>
    <row r="15" spans="1:8" x14ac:dyDescent="0.2">
      <c r="A15" s="659" t="s">
        <v>562</v>
      </c>
      <c r="B15" s="656"/>
      <c r="C15" s="656"/>
      <c r="D15" s="656"/>
      <c r="E15" s="656"/>
      <c r="F15" s="656"/>
      <c r="G15" s="656"/>
      <c r="H15" s="656"/>
    </row>
    <row r="16" spans="1:8" x14ac:dyDescent="0.2">
      <c r="A16" s="659"/>
      <c r="B16" s="656"/>
      <c r="C16" s="656"/>
      <c r="D16" s="656"/>
      <c r="E16" s="656"/>
      <c r="F16" s="656"/>
      <c r="G16" s="656"/>
      <c r="H16" s="656"/>
    </row>
    <row r="17" spans="1:8" x14ac:dyDescent="0.2">
      <c r="A17" s="659" t="s">
        <v>548</v>
      </c>
      <c r="B17" s="656"/>
      <c r="C17" s="656"/>
      <c r="D17" s="656"/>
      <c r="E17" s="656"/>
      <c r="F17" s="656"/>
      <c r="G17" s="656"/>
      <c r="H17" s="656"/>
    </row>
    <row r="18" spans="1:8" x14ac:dyDescent="0.2">
      <c r="A18" s="659"/>
      <c r="B18" s="656"/>
      <c r="C18" s="656"/>
      <c r="D18" s="656"/>
      <c r="E18" s="656"/>
      <c r="F18" s="656"/>
      <c r="G18" s="656"/>
      <c r="H18" s="656"/>
    </row>
    <row r="19" spans="1:8" x14ac:dyDescent="0.2">
      <c r="A19" s="659" t="s">
        <v>549</v>
      </c>
      <c r="B19" s="656"/>
      <c r="C19" s="656"/>
      <c r="D19" s="656"/>
      <c r="E19" s="656"/>
      <c r="F19" s="656"/>
      <c r="G19" s="656"/>
      <c r="H19" s="656"/>
    </row>
    <row r="20" spans="1:8" x14ac:dyDescent="0.2">
      <c r="A20" s="655"/>
      <c r="B20" s="656"/>
      <c r="C20" s="656"/>
      <c r="D20" s="656"/>
      <c r="E20" s="656"/>
      <c r="F20" s="656"/>
      <c r="G20" s="656"/>
      <c r="H20" s="656"/>
    </row>
    <row r="21" spans="1:8" x14ac:dyDescent="0.2">
      <c r="A21" s="660" t="s">
        <v>550</v>
      </c>
      <c r="B21" s="656"/>
      <c r="C21" s="656"/>
      <c r="D21" s="656"/>
      <c r="E21" s="656"/>
      <c r="F21" s="656"/>
      <c r="G21" s="656"/>
      <c r="H21" s="656"/>
    </row>
    <row r="22" spans="1:8" x14ac:dyDescent="0.2">
      <c r="A22" s="661"/>
      <c r="B22" s="661"/>
      <c r="C22" s="661"/>
      <c r="D22" s="661"/>
      <c r="E22" s="661"/>
      <c r="F22" s="661"/>
      <c r="G22" s="661"/>
      <c r="H22" s="661"/>
    </row>
    <row r="23" spans="1:8" x14ac:dyDescent="0.2">
      <c r="A23" s="662" t="s">
        <v>845</v>
      </c>
      <c r="B23" s="661"/>
      <c r="C23" s="661"/>
      <c r="D23" s="661"/>
      <c r="E23" s="661"/>
      <c r="F23" s="661"/>
      <c r="G23" s="661"/>
      <c r="H23" s="661"/>
    </row>
    <row r="24" spans="1:8" x14ac:dyDescent="0.2">
      <c r="A24" s="662" t="s">
        <v>846</v>
      </c>
      <c r="B24" s="661"/>
      <c r="C24" s="661"/>
      <c r="D24" s="661"/>
      <c r="E24" s="661"/>
      <c r="F24" s="661"/>
      <c r="G24" s="661"/>
      <c r="H24" s="661"/>
    </row>
    <row r="25" spans="1:8" x14ac:dyDescent="0.2">
      <c r="A25" s="662" t="s">
        <v>847</v>
      </c>
      <c r="B25" s="661"/>
      <c r="C25" s="661"/>
      <c r="D25" s="661"/>
      <c r="E25" s="661"/>
      <c r="F25" s="661"/>
      <c r="G25" s="661"/>
      <c r="H25" s="661"/>
    </row>
    <row r="26" spans="1:8" x14ac:dyDescent="0.2">
      <c r="A26" s="662" t="s">
        <v>848</v>
      </c>
      <c r="B26" s="661"/>
      <c r="C26" s="661"/>
      <c r="D26" s="661"/>
      <c r="E26" s="661"/>
      <c r="F26" s="661"/>
      <c r="G26" s="661"/>
      <c r="H26" s="661"/>
    </row>
    <row r="27" spans="1:8" x14ac:dyDescent="0.2">
      <c r="A27" s="661"/>
      <c r="B27" s="661"/>
      <c r="C27" s="661"/>
      <c r="D27" s="661"/>
      <c r="E27" s="661"/>
      <c r="F27" s="661"/>
      <c r="G27" s="661"/>
      <c r="H27" s="661"/>
    </row>
    <row r="28" spans="1:8" x14ac:dyDescent="0.2">
      <c r="A28" s="661"/>
      <c r="B28" s="661"/>
      <c r="C28" s="661"/>
      <c r="D28" s="661"/>
      <c r="E28" s="661"/>
      <c r="F28" s="661"/>
      <c r="G28" s="661"/>
      <c r="H28" s="661"/>
    </row>
    <row r="29" spans="1:8" x14ac:dyDescent="0.2">
      <c r="A29" s="662" t="s">
        <v>840</v>
      </c>
      <c r="B29" s="661"/>
      <c r="C29" s="661"/>
      <c r="D29" s="661"/>
      <c r="E29" s="661"/>
      <c r="F29" s="661"/>
      <c r="G29" s="661"/>
      <c r="H29" s="661"/>
    </row>
    <row r="30" spans="1:8" x14ac:dyDescent="0.2">
      <c r="A30" s="662" t="s">
        <v>841</v>
      </c>
      <c r="B30" s="661"/>
      <c r="C30" s="661"/>
      <c r="D30" s="661"/>
      <c r="E30" s="661"/>
      <c r="F30" s="661"/>
      <c r="G30" s="661"/>
      <c r="H30" s="661"/>
    </row>
    <row r="31" spans="1:8" x14ac:dyDescent="0.2">
      <c r="A31" s="662" t="s">
        <v>842</v>
      </c>
      <c r="B31" s="661"/>
      <c r="C31" s="661"/>
      <c r="D31" s="661"/>
      <c r="E31" s="661"/>
      <c r="F31" s="661"/>
      <c r="G31" s="661"/>
      <c r="H31" s="661"/>
    </row>
    <row r="32" spans="1:8" x14ac:dyDescent="0.2">
      <c r="A32" s="662" t="s">
        <v>843</v>
      </c>
      <c r="B32" s="661"/>
      <c r="C32" s="661"/>
      <c r="D32" s="661"/>
      <c r="E32" s="661"/>
      <c r="F32" s="661"/>
      <c r="G32" s="661"/>
      <c r="H32" s="661"/>
    </row>
    <row r="33" spans="1:8" x14ac:dyDescent="0.2">
      <c r="A33" s="662" t="s">
        <v>844</v>
      </c>
      <c r="B33" s="661"/>
      <c r="C33" s="661"/>
      <c r="D33" s="661"/>
      <c r="E33" s="661"/>
      <c r="F33" s="661"/>
      <c r="G33" s="661"/>
      <c r="H33" s="661"/>
    </row>
    <row r="34" spans="1:8" x14ac:dyDescent="0.2">
      <c r="A34" s="661"/>
      <c r="B34" s="661"/>
      <c r="C34" s="661"/>
      <c r="D34" s="661"/>
      <c r="E34" s="661"/>
      <c r="F34" s="661"/>
      <c r="G34" s="661"/>
      <c r="H34" s="661"/>
    </row>
    <row r="35" spans="1:8" x14ac:dyDescent="0.2">
      <c r="A35" s="662" t="s">
        <v>836</v>
      </c>
      <c r="B35" s="661"/>
      <c r="C35" s="661"/>
      <c r="D35" s="661"/>
      <c r="E35" s="661"/>
      <c r="F35" s="661"/>
      <c r="G35" s="661"/>
      <c r="H35" s="661"/>
    </row>
    <row r="36" spans="1:8" x14ac:dyDescent="0.2">
      <c r="A36" s="662" t="s">
        <v>837</v>
      </c>
      <c r="B36" s="661"/>
      <c r="C36" s="661"/>
      <c r="D36" s="661"/>
      <c r="E36" s="661"/>
      <c r="F36" s="661"/>
      <c r="G36" s="661"/>
      <c r="H36" s="661"/>
    </row>
    <row r="37" spans="1:8" x14ac:dyDescent="0.2">
      <c r="A37" s="662" t="s">
        <v>838</v>
      </c>
      <c r="B37" s="661"/>
      <c r="C37" s="661"/>
      <c r="D37" s="661"/>
      <c r="E37" s="661"/>
      <c r="F37" s="661"/>
      <c r="G37" s="661"/>
      <c r="H37" s="661"/>
    </row>
    <row r="38" spans="1:8" x14ac:dyDescent="0.2">
      <c r="A38" s="662" t="s">
        <v>839</v>
      </c>
      <c r="B38" s="661"/>
      <c r="C38" s="661"/>
      <c r="D38" s="661"/>
      <c r="E38" s="661"/>
      <c r="F38" s="661"/>
      <c r="G38" s="661"/>
      <c r="H38" s="661"/>
    </row>
    <row r="39" spans="1:8" x14ac:dyDescent="0.2">
      <c r="A39" s="661"/>
      <c r="B39" s="661"/>
      <c r="C39" s="661"/>
      <c r="D39" s="661"/>
      <c r="E39" s="661"/>
      <c r="F39" s="661"/>
      <c r="G39" s="661"/>
      <c r="H39" s="661"/>
    </row>
    <row r="40" spans="1:8" x14ac:dyDescent="0.2">
      <c r="A40" s="662" t="s">
        <v>830</v>
      </c>
      <c r="B40" s="661"/>
      <c r="C40" s="661"/>
      <c r="D40" s="661"/>
      <c r="E40" s="661"/>
      <c r="F40" s="661"/>
      <c r="G40" s="661"/>
      <c r="H40" s="661"/>
    </row>
    <row r="41" spans="1:8" x14ac:dyDescent="0.2">
      <c r="A41" s="662" t="s">
        <v>831</v>
      </c>
      <c r="B41" s="661"/>
      <c r="C41" s="661"/>
      <c r="D41" s="661"/>
      <c r="E41" s="661"/>
      <c r="F41" s="661"/>
      <c r="G41" s="661"/>
      <c r="H41" s="661"/>
    </row>
    <row r="42" spans="1:8" x14ac:dyDescent="0.2">
      <c r="A42" s="662" t="s">
        <v>832</v>
      </c>
      <c r="B42" s="661"/>
      <c r="C42" s="661"/>
      <c r="D42" s="661"/>
      <c r="E42" s="661"/>
      <c r="F42" s="661"/>
      <c r="G42" s="661"/>
      <c r="H42" s="661"/>
    </row>
    <row r="43" spans="1:8" x14ac:dyDescent="0.2">
      <c r="A43" s="662" t="s">
        <v>833</v>
      </c>
      <c r="B43" s="661"/>
      <c r="C43" s="661"/>
      <c r="D43" s="661"/>
      <c r="E43" s="661"/>
      <c r="F43" s="661"/>
      <c r="G43" s="661"/>
      <c r="H43" s="661"/>
    </row>
    <row r="44" spans="1:8" x14ac:dyDescent="0.2">
      <c r="A44" s="662" t="s">
        <v>834</v>
      </c>
      <c r="B44" s="661"/>
      <c r="C44" s="661"/>
      <c r="D44" s="661"/>
      <c r="E44" s="661"/>
      <c r="F44" s="661"/>
      <c r="G44" s="661"/>
      <c r="H44" s="661"/>
    </row>
    <row r="45" spans="1:8" x14ac:dyDescent="0.2">
      <c r="A45" s="662" t="s">
        <v>835</v>
      </c>
      <c r="B45" s="661"/>
      <c r="C45" s="661"/>
      <c r="D45" s="661"/>
      <c r="E45" s="661"/>
      <c r="F45" s="661"/>
      <c r="G45" s="661"/>
      <c r="H45" s="661"/>
    </row>
    <row r="46" spans="1:8" x14ac:dyDescent="0.2">
      <c r="A46" s="661"/>
      <c r="B46" s="661"/>
      <c r="C46" s="661"/>
      <c r="D46" s="661"/>
      <c r="E46" s="661"/>
      <c r="F46" s="661"/>
      <c r="G46" s="661"/>
      <c r="H46" s="661"/>
    </row>
    <row r="47" spans="1:8" ht="15.75" x14ac:dyDescent="0.2">
      <c r="A47" s="663" t="s">
        <v>563</v>
      </c>
      <c r="B47" s="661"/>
      <c r="C47" s="661"/>
      <c r="D47" s="661"/>
      <c r="E47" s="661"/>
      <c r="F47" s="661"/>
      <c r="G47" s="661"/>
      <c r="H47" s="661"/>
    </row>
    <row r="48" spans="1:8" x14ac:dyDescent="0.2">
      <c r="A48" s="661"/>
      <c r="B48" s="661"/>
      <c r="C48" s="661"/>
      <c r="D48" s="661"/>
      <c r="E48" s="661"/>
      <c r="F48" s="661"/>
      <c r="G48" s="661"/>
      <c r="H48" s="661"/>
    </row>
    <row r="49" spans="1:8" x14ac:dyDescent="0.2">
      <c r="A49" s="662" t="s">
        <v>826</v>
      </c>
      <c r="B49" s="661"/>
      <c r="C49" s="661"/>
      <c r="D49" s="661"/>
      <c r="E49" s="661"/>
      <c r="F49" s="661"/>
      <c r="G49" s="661"/>
      <c r="H49" s="661"/>
    </row>
    <row r="50" spans="1:8" x14ac:dyDescent="0.2">
      <c r="A50" s="662" t="s">
        <v>827</v>
      </c>
      <c r="B50" s="661"/>
      <c r="C50" s="661"/>
      <c r="D50" s="661"/>
      <c r="E50" s="661"/>
      <c r="F50" s="661"/>
      <c r="G50" s="661"/>
      <c r="H50" s="661"/>
    </row>
    <row r="51" spans="1:8" x14ac:dyDescent="0.2">
      <c r="A51" s="662" t="s">
        <v>828</v>
      </c>
      <c r="B51" s="661"/>
      <c r="C51" s="661"/>
      <c r="D51" s="661"/>
      <c r="E51" s="661"/>
      <c r="F51" s="661"/>
      <c r="G51" s="661"/>
      <c r="H51" s="661"/>
    </row>
    <row r="52" spans="1:8" x14ac:dyDescent="0.2">
      <c r="A52" s="662" t="s">
        <v>829</v>
      </c>
      <c r="B52" s="661"/>
      <c r="C52" s="661"/>
      <c r="D52" s="661"/>
      <c r="E52" s="661"/>
      <c r="F52" s="661"/>
      <c r="G52" s="661"/>
      <c r="H52" s="661"/>
    </row>
    <row r="53" spans="1:8" x14ac:dyDescent="0.2">
      <c r="A53" s="661"/>
      <c r="B53" s="661"/>
      <c r="C53" s="661"/>
      <c r="D53" s="661"/>
      <c r="E53" s="661"/>
      <c r="F53" s="661"/>
      <c r="G53" s="661"/>
      <c r="H53" s="661"/>
    </row>
    <row r="54" spans="1:8" x14ac:dyDescent="0.2">
      <c r="A54" s="662" t="s">
        <v>564</v>
      </c>
      <c r="B54" s="661"/>
      <c r="C54" s="661"/>
      <c r="D54" s="661"/>
      <c r="E54" s="661"/>
      <c r="F54" s="661"/>
      <c r="G54" s="661"/>
      <c r="H54" s="661"/>
    </row>
    <row r="55" spans="1:8" x14ac:dyDescent="0.2">
      <c r="A55" s="661"/>
      <c r="B55" s="661"/>
      <c r="C55" s="661"/>
      <c r="D55" s="661"/>
      <c r="E55" s="661"/>
      <c r="F55" s="661"/>
      <c r="G55" s="661"/>
      <c r="H55" s="661"/>
    </row>
    <row r="56" spans="1:8" ht="15.75" x14ac:dyDescent="0.2">
      <c r="A56" s="663" t="s">
        <v>565</v>
      </c>
      <c r="B56" s="661"/>
      <c r="C56" s="661"/>
      <c r="D56" s="661"/>
      <c r="E56" s="661"/>
      <c r="F56" s="661"/>
      <c r="G56" s="661"/>
      <c r="H56" s="661"/>
    </row>
    <row r="57" spans="1:8" x14ac:dyDescent="0.2">
      <c r="A57" s="661"/>
      <c r="B57" s="661"/>
      <c r="C57" s="661"/>
      <c r="D57" s="661"/>
      <c r="E57" s="661"/>
      <c r="F57" s="661"/>
      <c r="G57" s="661"/>
      <c r="H57" s="661"/>
    </row>
    <row r="58" spans="1:8" x14ac:dyDescent="0.2">
      <c r="A58" s="662" t="s">
        <v>824</v>
      </c>
      <c r="B58" s="661"/>
      <c r="C58" s="661"/>
      <c r="D58" s="661"/>
      <c r="E58" s="661"/>
      <c r="F58" s="661"/>
      <c r="G58" s="661"/>
      <c r="H58" s="661"/>
    </row>
    <row r="59" spans="1:8" x14ac:dyDescent="0.2">
      <c r="A59" s="662" t="s">
        <v>825</v>
      </c>
      <c r="B59" s="661"/>
      <c r="C59" s="661"/>
      <c r="D59" s="661"/>
      <c r="E59" s="661"/>
      <c r="F59" s="661"/>
      <c r="G59" s="661"/>
      <c r="H59" s="661"/>
    </row>
    <row r="60" spans="1:8" x14ac:dyDescent="0.2">
      <c r="A60" s="661"/>
      <c r="B60" s="661"/>
      <c r="C60" s="661"/>
      <c r="D60" s="661"/>
      <c r="E60" s="661"/>
      <c r="F60" s="661"/>
      <c r="G60" s="661"/>
      <c r="H60" s="661"/>
    </row>
    <row r="61" spans="1:8" ht="15.75" x14ac:dyDescent="0.2">
      <c r="A61" s="663" t="s">
        <v>566</v>
      </c>
      <c r="B61" s="661"/>
      <c r="C61" s="661"/>
      <c r="D61" s="661"/>
      <c r="E61" s="661"/>
      <c r="F61" s="661"/>
      <c r="G61" s="661"/>
      <c r="H61" s="661"/>
    </row>
    <row r="62" spans="1:8" x14ac:dyDescent="0.2">
      <c r="A62" s="661"/>
      <c r="B62" s="661"/>
      <c r="C62" s="661"/>
      <c r="D62" s="661"/>
      <c r="E62" s="661"/>
      <c r="F62" s="661"/>
      <c r="G62" s="661"/>
      <c r="H62" s="661"/>
    </row>
    <row r="63" spans="1:8" x14ac:dyDescent="0.2">
      <c r="A63" s="662" t="s">
        <v>822</v>
      </c>
      <c r="B63" s="661"/>
      <c r="C63" s="661"/>
      <c r="D63" s="661"/>
      <c r="E63" s="661"/>
      <c r="F63" s="661"/>
      <c r="G63" s="661"/>
      <c r="H63" s="661"/>
    </row>
    <row r="64" spans="1:8" x14ac:dyDescent="0.2">
      <c r="A64" s="662" t="s">
        <v>823</v>
      </c>
      <c r="B64" s="661"/>
      <c r="C64" s="661"/>
      <c r="D64" s="661"/>
      <c r="E64" s="661"/>
      <c r="F64" s="661"/>
      <c r="G64" s="661"/>
      <c r="H64" s="661"/>
    </row>
    <row r="65" spans="1:8" x14ac:dyDescent="0.2">
      <c r="A65" s="661"/>
      <c r="B65" s="661"/>
      <c r="C65" s="661"/>
      <c r="D65" s="661"/>
      <c r="E65" s="661"/>
      <c r="F65" s="661"/>
      <c r="G65" s="661"/>
      <c r="H65" s="661"/>
    </row>
    <row r="66" spans="1:8" x14ac:dyDescent="0.2">
      <c r="A66" s="662" t="s">
        <v>820</v>
      </c>
      <c r="B66" s="661"/>
      <c r="C66" s="661"/>
      <c r="D66" s="661"/>
      <c r="E66" s="661"/>
      <c r="F66" s="661"/>
      <c r="G66" s="661"/>
      <c r="H66" s="661"/>
    </row>
    <row r="67" spans="1:8" x14ac:dyDescent="0.2">
      <c r="A67" s="662" t="s">
        <v>821</v>
      </c>
      <c r="B67" s="661"/>
      <c r="C67" s="661"/>
      <c r="D67" s="661"/>
      <c r="E67" s="661"/>
      <c r="F67" s="661"/>
      <c r="G67" s="661"/>
      <c r="H67" s="661"/>
    </row>
    <row r="68" spans="1:8" x14ac:dyDescent="0.2">
      <c r="A68" s="661"/>
      <c r="B68" s="661"/>
      <c r="C68" s="661"/>
      <c r="D68" s="661"/>
      <c r="E68" s="661"/>
      <c r="F68" s="661"/>
      <c r="G68" s="661"/>
      <c r="H68" s="661"/>
    </row>
    <row r="69" spans="1:8" x14ac:dyDescent="0.2">
      <c r="A69" s="662" t="s">
        <v>818</v>
      </c>
      <c r="B69" s="661"/>
      <c r="C69" s="661"/>
      <c r="D69" s="661"/>
      <c r="E69" s="661"/>
      <c r="F69" s="661"/>
      <c r="G69" s="661"/>
      <c r="H69" s="661"/>
    </row>
    <row r="70" spans="1:8" x14ac:dyDescent="0.2">
      <c r="A70" s="662" t="s">
        <v>819</v>
      </c>
      <c r="B70" s="661"/>
      <c r="C70" s="661"/>
      <c r="D70" s="661"/>
      <c r="E70" s="661"/>
      <c r="F70" s="661"/>
      <c r="G70" s="661"/>
      <c r="H70" s="661"/>
    </row>
    <row r="71" spans="1:8" x14ac:dyDescent="0.2">
      <c r="A71" s="661"/>
      <c r="B71" s="661"/>
      <c r="C71" s="661"/>
      <c r="D71" s="661"/>
      <c r="E71" s="661"/>
      <c r="F71" s="661"/>
      <c r="G71" s="661"/>
      <c r="H71" s="661"/>
    </row>
    <row r="72" spans="1:8" x14ac:dyDescent="0.2">
      <c r="A72" s="662" t="s">
        <v>816</v>
      </c>
      <c r="B72" s="661"/>
      <c r="C72" s="661"/>
      <c r="D72" s="661"/>
      <c r="E72" s="661"/>
      <c r="F72" s="661"/>
      <c r="G72" s="661"/>
      <c r="H72" s="661"/>
    </row>
    <row r="73" spans="1:8" x14ac:dyDescent="0.2">
      <c r="A73" s="662" t="s">
        <v>817</v>
      </c>
      <c r="B73" s="661"/>
      <c r="C73" s="661"/>
      <c r="D73" s="661"/>
      <c r="E73" s="661"/>
      <c r="F73" s="661"/>
      <c r="G73" s="661"/>
      <c r="H73" s="661"/>
    </row>
    <row r="74" spans="1:8" x14ac:dyDescent="0.2">
      <c r="A74" s="661"/>
      <c r="B74" s="661"/>
      <c r="C74" s="661"/>
      <c r="D74" s="661"/>
      <c r="E74" s="661"/>
      <c r="F74" s="661"/>
      <c r="G74" s="661"/>
      <c r="H74" s="661"/>
    </row>
    <row r="75" spans="1:8" x14ac:dyDescent="0.2">
      <c r="A75" s="662" t="s">
        <v>814</v>
      </c>
      <c r="B75" s="661"/>
      <c r="C75" s="661"/>
      <c r="D75" s="661"/>
      <c r="E75" s="661"/>
      <c r="F75" s="661"/>
      <c r="G75" s="661"/>
      <c r="H75" s="661"/>
    </row>
    <row r="76" spans="1:8" x14ac:dyDescent="0.2">
      <c r="A76" s="662" t="s">
        <v>815</v>
      </c>
      <c r="B76" s="661"/>
      <c r="C76" s="661"/>
      <c r="D76" s="661"/>
      <c r="E76" s="661"/>
      <c r="F76" s="661"/>
      <c r="G76" s="661"/>
      <c r="H76" s="661"/>
    </row>
    <row r="77" spans="1:8" x14ac:dyDescent="0.2">
      <c r="A77" s="661"/>
      <c r="B77" s="661"/>
      <c r="C77" s="661"/>
      <c r="D77" s="661"/>
      <c r="E77" s="661"/>
      <c r="F77" s="661"/>
      <c r="G77" s="661"/>
      <c r="H77" s="661"/>
    </row>
    <row r="78" spans="1:8" x14ac:dyDescent="0.2">
      <c r="A78" s="662" t="s">
        <v>811</v>
      </c>
      <c r="B78" s="661"/>
      <c r="C78" s="661"/>
      <c r="D78" s="661"/>
      <c r="E78" s="661"/>
      <c r="F78" s="661"/>
      <c r="G78" s="661"/>
      <c r="H78" s="661"/>
    </row>
    <row r="79" spans="1:8" x14ac:dyDescent="0.2">
      <c r="A79" s="662" t="s">
        <v>812</v>
      </c>
      <c r="B79" s="661"/>
      <c r="C79" s="661"/>
      <c r="D79" s="661"/>
      <c r="E79" s="661"/>
      <c r="F79" s="661"/>
      <c r="G79" s="661"/>
      <c r="H79" s="661"/>
    </row>
    <row r="80" spans="1:8" x14ac:dyDescent="0.2">
      <c r="A80" s="662" t="s">
        <v>813</v>
      </c>
      <c r="B80" s="661"/>
      <c r="C80" s="661"/>
      <c r="D80" s="661"/>
      <c r="E80" s="661"/>
      <c r="F80" s="661"/>
      <c r="G80" s="661"/>
      <c r="H80" s="661"/>
    </row>
    <row r="81" spans="1:8" x14ac:dyDescent="0.2">
      <c r="A81" s="661"/>
      <c r="B81" s="661"/>
      <c r="C81" s="661"/>
      <c r="D81" s="661"/>
      <c r="E81" s="661"/>
      <c r="F81" s="661"/>
      <c r="G81" s="661"/>
      <c r="H81" s="661"/>
    </row>
    <row r="82" spans="1:8" x14ac:dyDescent="0.2">
      <c r="A82" s="662" t="s">
        <v>567</v>
      </c>
      <c r="B82" s="661"/>
      <c r="C82" s="661"/>
      <c r="D82" s="661"/>
      <c r="E82" s="661"/>
      <c r="F82" s="661"/>
      <c r="G82" s="661"/>
      <c r="H82" s="661"/>
    </row>
    <row r="83" spans="1:8" x14ac:dyDescent="0.2">
      <c r="A83" s="661"/>
      <c r="B83" s="661"/>
      <c r="C83" s="661"/>
      <c r="D83" s="661"/>
      <c r="E83" s="661"/>
      <c r="F83" s="661"/>
      <c r="G83" s="661"/>
      <c r="H83" s="661"/>
    </row>
    <row r="84" spans="1:8" x14ac:dyDescent="0.2">
      <c r="A84" s="662" t="s">
        <v>806</v>
      </c>
      <c r="B84" s="661"/>
      <c r="C84" s="661"/>
      <c r="D84" s="661"/>
      <c r="E84" s="661"/>
      <c r="F84" s="661"/>
      <c r="G84" s="661"/>
      <c r="H84" s="661"/>
    </row>
    <row r="85" spans="1:8" x14ac:dyDescent="0.2">
      <c r="A85" s="662" t="s">
        <v>807</v>
      </c>
      <c r="B85" s="661"/>
      <c r="C85" s="661"/>
      <c r="D85" s="661"/>
      <c r="E85" s="661"/>
      <c r="F85" s="661"/>
      <c r="G85" s="661"/>
      <c r="H85" s="661"/>
    </row>
    <row r="86" spans="1:8" x14ac:dyDescent="0.2">
      <c r="A86" s="662" t="s">
        <v>808</v>
      </c>
      <c r="B86" s="661"/>
      <c r="C86" s="661"/>
      <c r="D86" s="661"/>
      <c r="E86" s="661"/>
      <c r="F86" s="661"/>
      <c r="G86" s="661"/>
      <c r="H86" s="661"/>
    </row>
    <row r="87" spans="1:8" x14ac:dyDescent="0.2">
      <c r="A87" s="662" t="s">
        <v>809</v>
      </c>
      <c r="B87" s="661"/>
      <c r="C87" s="661"/>
      <c r="D87" s="661"/>
      <c r="E87" s="661"/>
      <c r="F87" s="661"/>
      <c r="G87" s="661"/>
      <c r="H87" s="661"/>
    </row>
    <row r="88" spans="1:8" x14ac:dyDescent="0.2">
      <c r="A88" s="662" t="s">
        <v>810</v>
      </c>
      <c r="B88" s="661"/>
      <c r="C88" s="661"/>
      <c r="D88" s="661"/>
      <c r="E88" s="661"/>
      <c r="F88" s="661"/>
      <c r="G88" s="661"/>
      <c r="H88" s="661"/>
    </row>
    <row r="89" spans="1:8" x14ac:dyDescent="0.2">
      <c r="A89" s="662" t="s">
        <v>693</v>
      </c>
      <c r="B89" s="661"/>
      <c r="C89" s="661"/>
      <c r="D89" s="661"/>
      <c r="E89" s="661"/>
      <c r="F89" s="661"/>
      <c r="G89" s="661"/>
      <c r="H89" s="661"/>
    </row>
    <row r="90" spans="1:8" x14ac:dyDescent="0.2">
      <c r="A90" s="661"/>
      <c r="B90" s="661"/>
      <c r="C90" s="661"/>
      <c r="D90" s="661"/>
      <c r="E90" s="661"/>
      <c r="F90" s="661"/>
      <c r="G90" s="661"/>
      <c r="H90" s="661"/>
    </row>
    <row r="91" spans="1:8" x14ac:dyDescent="0.2">
      <c r="A91" s="662" t="s">
        <v>799</v>
      </c>
      <c r="B91" s="661"/>
      <c r="C91" s="661"/>
      <c r="D91" s="661"/>
      <c r="E91" s="661"/>
      <c r="F91" s="661"/>
      <c r="G91" s="661"/>
      <c r="H91" s="661"/>
    </row>
    <row r="92" spans="1:8" x14ac:dyDescent="0.2">
      <c r="A92" s="662" t="s">
        <v>800</v>
      </c>
      <c r="B92" s="661"/>
      <c r="C92" s="661"/>
      <c r="D92" s="661"/>
      <c r="E92" s="661"/>
      <c r="F92" s="661"/>
      <c r="G92" s="661"/>
      <c r="H92" s="661"/>
    </row>
    <row r="93" spans="1:8" x14ac:dyDescent="0.2">
      <c r="A93" s="662" t="s">
        <v>801</v>
      </c>
      <c r="B93" s="661"/>
      <c r="C93" s="661"/>
      <c r="D93" s="661"/>
      <c r="E93" s="661"/>
      <c r="F93" s="661"/>
      <c r="G93" s="661"/>
      <c r="H93" s="661"/>
    </row>
    <row r="94" spans="1:8" x14ac:dyDescent="0.2">
      <c r="A94" s="662" t="s">
        <v>802</v>
      </c>
      <c r="B94" s="661"/>
      <c r="C94" s="661"/>
      <c r="D94" s="661"/>
      <c r="E94" s="661"/>
      <c r="F94" s="661"/>
      <c r="G94" s="661"/>
      <c r="H94" s="661"/>
    </row>
    <row r="95" spans="1:8" x14ac:dyDescent="0.2">
      <c r="A95" s="662" t="s">
        <v>803</v>
      </c>
      <c r="B95" s="661"/>
      <c r="C95" s="661"/>
      <c r="D95" s="661"/>
      <c r="E95" s="661"/>
      <c r="F95" s="661"/>
      <c r="G95" s="661"/>
      <c r="H95" s="661"/>
    </row>
    <row r="96" spans="1:8" x14ac:dyDescent="0.2">
      <c r="A96" s="662" t="s">
        <v>804</v>
      </c>
      <c r="B96" s="661"/>
      <c r="C96" s="661"/>
      <c r="D96" s="661"/>
      <c r="E96" s="661"/>
      <c r="F96" s="661"/>
      <c r="G96" s="661"/>
      <c r="H96" s="661"/>
    </row>
    <row r="97" spans="1:8" x14ac:dyDescent="0.2">
      <c r="A97" s="662" t="s">
        <v>805</v>
      </c>
      <c r="B97" s="661"/>
      <c r="C97" s="661"/>
      <c r="D97" s="661"/>
      <c r="E97" s="661"/>
      <c r="F97" s="661"/>
      <c r="G97" s="661"/>
      <c r="H97" s="661"/>
    </row>
    <row r="98" spans="1:8" x14ac:dyDescent="0.2">
      <c r="A98" s="661"/>
      <c r="B98" s="661"/>
      <c r="C98" s="661"/>
      <c r="D98" s="661"/>
      <c r="E98" s="661"/>
      <c r="F98" s="661"/>
      <c r="G98" s="661"/>
      <c r="H98" s="661"/>
    </row>
    <row r="99" spans="1:8" x14ac:dyDescent="0.2">
      <c r="A99" s="662" t="s">
        <v>797</v>
      </c>
      <c r="B99" s="661"/>
      <c r="C99" s="661"/>
      <c r="D99" s="661"/>
      <c r="E99" s="661"/>
      <c r="F99" s="661"/>
      <c r="G99" s="661"/>
      <c r="H99" s="661"/>
    </row>
    <row r="100" spans="1:8" x14ac:dyDescent="0.2">
      <c r="A100" s="662" t="s">
        <v>798</v>
      </c>
      <c r="B100" s="661"/>
      <c r="C100" s="661"/>
      <c r="D100" s="661"/>
      <c r="E100" s="661"/>
      <c r="F100" s="661"/>
      <c r="G100" s="661"/>
      <c r="H100" s="661"/>
    </row>
    <row r="101" spans="1:8" x14ac:dyDescent="0.2">
      <c r="A101" s="661"/>
      <c r="B101" s="661"/>
      <c r="C101" s="661"/>
      <c r="D101" s="661"/>
      <c r="E101" s="661"/>
      <c r="F101" s="661"/>
      <c r="G101" s="661"/>
      <c r="H101" s="661"/>
    </row>
    <row r="102" spans="1:8" ht="15.75" x14ac:dyDescent="0.2">
      <c r="A102" s="663" t="s">
        <v>568</v>
      </c>
      <c r="B102" s="661"/>
      <c r="C102" s="661"/>
      <c r="D102" s="661"/>
      <c r="E102" s="661"/>
      <c r="F102" s="661"/>
      <c r="G102" s="661"/>
      <c r="H102" s="661"/>
    </row>
    <row r="103" spans="1:8" x14ac:dyDescent="0.2">
      <c r="A103" s="661"/>
      <c r="B103" s="661"/>
      <c r="C103" s="661"/>
      <c r="D103" s="661"/>
      <c r="E103" s="661"/>
      <c r="F103" s="661"/>
      <c r="G103" s="661"/>
      <c r="H103" s="661"/>
    </row>
    <row r="104" spans="1:8" x14ac:dyDescent="0.2">
      <c r="A104" s="662" t="s">
        <v>788</v>
      </c>
      <c r="B104" s="661"/>
      <c r="C104" s="661"/>
      <c r="D104" s="661"/>
      <c r="E104" s="661"/>
      <c r="F104" s="661"/>
      <c r="G104" s="661"/>
      <c r="H104" s="661"/>
    </row>
    <row r="105" spans="1:8" x14ac:dyDescent="0.2">
      <c r="A105" s="662" t="s">
        <v>789</v>
      </c>
      <c r="B105" s="661"/>
      <c r="C105" s="661"/>
      <c r="D105" s="661"/>
      <c r="E105" s="661"/>
      <c r="F105" s="661"/>
      <c r="G105" s="661"/>
      <c r="H105" s="661"/>
    </row>
    <row r="106" spans="1:8" x14ac:dyDescent="0.2">
      <c r="A106" s="662" t="s">
        <v>790</v>
      </c>
      <c r="B106" s="661"/>
      <c r="C106" s="661"/>
      <c r="D106" s="661"/>
      <c r="E106" s="661"/>
      <c r="F106" s="661"/>
      <c r="G106" s="661"/>
      <c r="H106" s="661"/>
    </row>
    <row r="107" spans="1:8" x14ac:dyDescent="0.2">
      <c r="A107" s="662" t="s">
        <v>791</v>
      </c>
      <c r="B107" s="661"/>
      <c r="C107" s="661"/>
      <c r="D107" s="661"/>
      <c r="E107" s="661"/>
      <c r="F107" s="661"/>
      <c r="G107" s="661"/>
      <c r="H107" s="661"/>
    </row>
    <row r="108" spans="1:8" x14ac:dyDescent="0.2">
      <c r="A108" s="662" t="s">
        <v>792</v>
      </c>
      <c r="B108" s="661"/>
      <c r="C108" s="661"/>
      <c r="D108" s="661"/>
      <c r="E108" s="661"/>
      <c r="F108" s="661"/>
      <c r="G108" s="661"/>
      <c r="H108" s="661"/>
    </row>
    <row r="109" spans="1:8" x14ac:dyDescent="0.2">
      <c r="A109" s="662" t="s">
        <v>793</v>
      </c>
      <c r="B109" s="661"/>
      <c r="C109" s="661"/>
      <c r="D109" s="661"/>
      <c r="E109" s="661"/>
      <c r="F109" s="661"/>
      <c r="G109" s="661"/>
      <c r="H109" s="661"/>
    </row>
    <row r="110" spans="1:8" x14ac:dyDescent="0.2">
      <c r="A110" s="662" t="s">
        <v>794</v>
      </c>
      <c r="B110" s="661"/>
      <c r="C110" s="661"/>
      <c r="D110" s="661"/>
      <c r="E110" s="661"/>
      <c r="F110" s="661"/>
      <c r="G110" s="661"/>
      <c r="H110" s="661"/>
    </row>
    <row r="111" spans="1:8" x14ac:dyDescent="0.2">
      <c r="A111" s="662" t="s">
        <v>795</v>
      </c>
      <c r="B111" s="661"/>
      <c r="C111" s="661"/>
      <c r="D111" s="661"/>
      <c r="E111" s="661"/>
      <c r="F111" s="661"/>
      <c r="G111" s="661"/>
      <c r="H111" s="661"/>
    </row>
    <row r="112" spans="1:8" x14ac:dyDescent="0.2">
      <c r="A112" s="662" t="s">
        <v>796</v>
      </c>
      <c r="B112" s="661"/>
      <c r="C112" s="661"/>
      <c r="D112" s="661"/>
      <c r="E112" s="661"/>
      <c r="F112" s="661"/>
      <c r="G112" s="661"/>
      <c r="H112" s="661"/>
    </row>
    <row r="113" spans="1:8" x14ac:dyDescent="0.2">
      <c r="A113" s="661"/>
      <c r="B113" s="661"/>
      <c r="C113" s="661"/>
      <c r="D113" s="661"/>
      <c r="E113" s="661"/>
      <c r="F113" s="661"/>
      <c r="G113" s="661"/>
      <c r="H113" s="661"/>
    </row>
    <row r="114" spans="1:8" ht="15.75" x14ac:dyDescent="0.2">
      <c r="A114" s="664" t="s">
        <v>569</v>
      </c>
      <c r="B114" s="664"/>
      <c r="C114" s="664"/>
      <c r="D114" s="664"/>
      <c r="E114" s="664"/>
      <c r="F114" s="664"/>
      <c r="G114" s="664"/>
      <c r="H114" s="664"/>
    </row>
    <row r="115" spans="1:8" x14ac:dyDescent="0.2">
      <c r="A115" s="665" t="s">
        <v>570</v>
      </c>
      <c r="B115" s="665"/>
      <c r="C115" s="665"/>
      <c r="D115" s="665"/>
      <c r="E115" s="665"/>
      <c r="F115" s="665"/>
      <c r="G115" s="665"/>
      <c r="H115" s="665"/>
    </row>
    <row r="116" spans="1:8" x14ac:dyDescent="0.2">
      <c r="A116" s="666"/>
      <c r="B116" s="666"/>
      <c r="C116" s="666"/>
      <c r="D116" s="666"/>
      <c r="E116" s="666"/>
      <c r="F116" s="666"/>
      <c r="G116" s="666"/>
      <c r="H116" s="666"/>
    </row>
    <row r="117" spans="1:8" x14ac:dyDescent="0.2">
      <c r="A117" s="665" t="s">
        <v>786</v>
      </c>
      <c r="B117" s="665"/>
      <c r="C117" s="665"/>
      <c r="D117" s="665"/>
      <c r="E117" s="665"/>
      <c r="F117" s="665"/>
      <c r="G117" s="665"/>
      <c r="H117" s="665"/>
    </row>
    <row r="118" spans="1:8" x14ac:dyDescent="0.2">
      <c r="A118" s="662" t="s">
        <v>787</v>
      </c>
      <c r="B118" s="662"/>
      <c r="C118" s="662"/>
      <c r="D118" s="662"/>
      <c r="E118" s="662"/>
      <c r="F118" s="662"/>
      <c r="G118" s="662"/>
      <c r="H118" s="662"/>
    </row>
    <row r="119" spans="1:8" x14ac:dyDescent="0.2">
      <c r="A119" s="666"/>
      <c r="B119" s="666"/>
      <c r="C119" s="666"/>
      <c r="D119" s="666"/>
      <c r="E119" s="666"/>
      <c r="F119" s="666"/>
      <c r="G119" s="666"/>
      <c r="H119" s="666"/>
    </row>
    <row r="120" spans="1:8" x14ac:dyDescent="0.2">
      <c r="A120" s="665" t="s">
        <v>779</v>
      </c>
      <c r="B120" s="665"/>
      <c r="C120" s="665"/>
      <c r="D120" s="665"/>
      <c r="E120" s="665"/>
      <c r="F120" s="665"/>
      <c r="G120" s="665"/>
      <c r="H120" s="665"/>
    </row>
    <row r="121" spans="1:8" x14ac:dyDescent="0.2">
      <c r="A121" s="662" t="s">
        <v>780</v>
      </c>
      <c r="B121" s="662"/>
      <c r="C121" s="662"/>
      <c r="D121" s="662"/>
      <c r="E121" s="662"/>
      <c r="F121" s="662"/>
      <c r="G121" s="662"/>
      <c r="H121" s="662"/>
    </row>
    <row r="122" spans="1:8" x14ac:dyDescent="0.2">
      <c r="A122" s="662" t="s">
        <v>781</v>
      </c>
      <c r="B122" s="662"/>
      <c r="C122" s="662"/>
      <c r="D122" s="662"/>
      <c r="E122" s="662"/>
      <c r="F122" s="662"/>
      <c r="G122" s="662"/>
      <c r="H122" s="662"/>
    </row>
    <row r="123" spans="1:8" x14ac:dyDescent="0.2">
      <c r="A123" s="662" t="s">
        <v>782</v>
      </c>
      <c r="B123" s="662"/>
      <c r="C123" s="662"/>
      <c r="D123" s="662"/>
      <c r="E123" s="662"/>
      <c r="F123" s="662"/>
      <c r="G123" s="662"/>
      <c r="H123" s="662"/>
    </row>
    <row r="124" spans="1:8" x14ac:dyDescent="0.2">
      <c r="A124" s="662" t="s">
        <v>783</v>
      </c>
      <c r="B124" s="662"/>
      <c r="C124" s="662"/>
      <c r="D124" s="662"/>
      <c r="E124" s="662"/>
      <c r="F124" s="662"/>
      <c r="G124" s="662"/>
      <c r="H124" s="662"/>
    </row>
    <row r="125" spans="1:8" x14ac:dyDescent="0.2">
      <c r="A125" s="662" t="s">
        <v>784</v>
      </c>
      <c r="B125" s="662"/>
      <c r="C125" s="662"/>
      <c r="D125" s="662"/>
      <c r="E125" s="662"/>
      <c r="F125" s="662"/>
      <c r="G125" s="662"/>
      <c r="H125" s="662"/>
    </row>
    <row r="126" spans="1:8" x14ac:dyDescent="0.2">
      <c r="A126" s="662" t="s">
        <v>785</v>
      </c>
      <c r="B126" s="662"/>
      <c r="C126" s="662"/>
      <c r="D126" s="662"/>
      <c r="E126" s="662"/>
      <c r="F126" s="662"/>
      <c r="G126" s="662"/>
      <c r="H126" s="662"/>
    </row>
    <row r="127" spans="1:8" x14ac:dyDescent="0.2">
      <c r="A127" s="667"/>
      <c r="B127" s="667"/>
      <c r="C127" s="667"/>
      <c r="D127" s="667"/>
      <c r="E127" s="667"/>
      <c r="F127" s="667"/>
      <c r="G127" s="667"/>
      <c r="H127" s="667"/>
    </row>
    <row r="128" spans="1:8" x14ac:dyDescent="0.2">
      <c r="A128" s="668"/>
      <c r="B128" s="669" t="s">
        <v>571</v>
      </c>
      <c r="C128" s="670"/>
      <c r="D128" s="669" t="s">
        <v>572</v>
      </c>
      <c r="E128" s="671"/>
      <c r="F128" s="670"/>
      <c r="G128" s="669" t="s">
        <v>573</v>
      </c>
      <c r="H128" s="670"/>
    </row>
    <row r="129" spans="1:8" x14ac:dyDescent="0.2">
      <c r="A129" s="668" t="s">
        <v>574</v>
      </c>
      <c r="B129" s="668" t="s">
        <v>476</v>
      </c>
      <c r="C129" s="668" t="s">
        <v>575</v>
      </c>
      <c r="D129" s="668" t="s">
        <v>476</v>
      </c>
      <c r="E129" s="668" t="s">
        <v>576</v>
      </c>
      <c r="F129" s="668" t="s">
        <v>577</v>
      </c>
      <c r="G129" s="668" t="s">
        <v>476</v>
      </c>
      <c r="H129" s="668" t="s">
        <v>578</v>
      </c>
    </row>
    <row r="130" spans="1:8" x14ac:dyDescent="0.2">
      <c r="A130" s="668" t="s">
        <v>579</v>
      </c>
      <c r="B130" s="668">
        <v>1189</v>
      </c>
      <c r="C130" s="672">
        <v>0.38</v>
      </c>
      <c r="D130" s="668">
        <v>315</v>
      </c>
      <c r="E130" s="672">
        <v>0.41</v>
      </c>
      <c r="F130" s="672">
        <v>0.26</v>
      </c>
      <c r="G130" s="668">
        <v>555</v>
      </c>
      <c r="H130" s="672">
        <v>0.39</v>
      </c>
    </row>
    <row r="131" spans="1:8" x14ac:dyDescent="0.2">
      <c r="A131" s="668" t="s">
        <v>580</v>
      </c>
      <c r="B131" s="668">
        <v>1355</v>
      </c>
      <c r="C131" s="672">
        <v>0.43</v>
      </c>
      <c r="D131" s="668">
        <v>364</v>
      </c>
      <c r="E131" s="672">
        <v>0.47</v>
      </c>
      <c r="F131" s="672">
        <v>0.27</v>
      </c>
      <c r="G131" s="668">
        <v>644</v>
      </c>
      <c r="H131" s="672">
        <v>0.45</v>
      </c>
    </row>
    <row r="132" spans="1:8" x14ac:dyDescent="0.2">
      <c r="A132" s="668" t="s">
        <v>581</v>
      </c>
      <c r="B132" s="668">
        <v>53</v>
      </c>
      <c r="C132" s="672">
        <v>0.02</v>
      </c>
      <c r="D132" s="668">
        <v>4</v>
      </c>
      <c r="E132" s="672">
        <v>0.01</v>
      </c>
      <c r="F132" s="672">
        <v>0.08</v>
      </c>
      <c r="G132" s="668">
        <v>7</v>
      </c>
      <c r="H132" s="672">
        <v>0</v>
      </c>
    </row>
    <row r="133" spans="1:8" x14ac:dyDescent="0.2">
      <c r="A133" s="668" t="s">
        <v>582</v>
      </c>
      <c r="B133" s="668">
        <v>545</v>
      </c>
      <c r="C133" s="672">
        <v>0.17</v>
      </c>
      <c r="D133" s="668">
        <v>84</v>
      </c>
      <c r="E133" s="672">
        <v>0.11</v>
      </c>
      <c r="F133" s="672">
        <v>0.15</v>
      </c>
      <c r="G133" s="668">
        <v>214</v>
      </c>
      <c r="H133" s="672">
        <v>0.15</v>
      </c>
    </row>
    <row r="134" spans="1:8" x14ac:dyDescent="0.2">
      <c r="A134" s="668" t="s">
        <v>9</v>
      </c>
      <c r="B134" s="673">
        <v>3142</v>
      </c>
      <c r="C134" s="668"/>
      <c r="D134" s="668">
        <v>767</v>
      </c>
      <c r="E134" s="668"/>
      <c r="F134" s="668"/>
      <c r="G134" s="668">
        <v>1420</v>
      </c>
      <c r="H134" s="668"/>
    </row>
    <row r="135" spans="1:8" x14ac:dyDescent="0.2">
      <c r="A135" s="674"/>
      <c r="B135" s="674"/>
      <c r="C135" s="674"/>
      <c r="D135" s="674"/>
      <c r="E135" s="674"/>
      <c r="F135" s="674"/>
      <c r="G135" s="674"/>
      <c r="H135" s="674"/>
    </row>
    <row r="136" spans="1:8" x14ac:dyDescent="0.2">
      <c r="A136" s="665" t="s">
        <v>775</v>
      </c>
      <c r="B136" s="665"/>
      <c r="C136" s="665"/>
      <c r="D136" s="665"/>
      <c r="E136" s="665"/>
      <c r="F136" s="665"/>
      <c r="G136" s="665"/>
      <c r="H136" s="665"/>
    </row>
    <row r="137" spans="1:8" x14ac:dyDescent="0.2">
      <c r="A137" s="662" t="s">
        <v>776</v>
      </c>
      <c r="B137" s="662"/>
      <c r="C137" s="662"/>
      <c r="D137" s="662"/>
      <c r="E137" s="662"/>
      <c r="F137" s="662"/>
      <c r="G137" s="662"/>
      <c r="H137" s="662"/>
    </row>
    <row r="138" spans="1:8" x14ac:dyDescent="0.2">
      <c r="A138" s="662" t="s">
        <v>777</v>
      </c>
      <c r="B138" s="662"/>
      <c r="C138" s="662"/>
      <c r="D138" s="662"/>
      <c r="E138" s="662"/>
      <c r="F138" s="662"/>
      <c r="G138" s="662"/>
      <c r="H138" s="662"/>
    </row>
    <row r="139" spans="1:8" x14ac:dyDescent="0.2">
      <c r="A139" s="662" t="s">
        <v>778</v>
      </c>
      <c r="B139" s="662"/>
      <c r="C139" s="662"/>
      <c r="D139" s="662"/>
      <c r="E139" s="662"/>
      <c r="F139" s="662"/>
      <c r="G139" s="662"/>
      <c r="H139" s="662"/>
    </row>
    <row r="140" spans="1:8" x14ac:dyDescent="0.2">
      <c r="A140" s="661"/>
      <c r="B140" s="661"/>
      <c r="C140" s="661"/>
      <c r="D140" s="661"/>
      <c r="E140" s="661"/>
      <c r="F140" s="661"/>
      <c r="G140" s="661"/>
      <c r="H140" s="661"/>
    </row>
    <row r="141" spans="1:8" ht="15.75" x14ac:dyDescent="0.2">
      <c r="A141" s="663" t="s">
        <v>583</v>
      </c>
      <c r="B141" s="661"/>
      <c r="C141" s="661"/>
      <c r="D141" s="661"/>
      <c r="E141" s="661"/>
      <c r="F141" s="661"/>
      <c r="G141" s="661"/>
      <c r="H141" s="661"/>
    </row>
    <row r="142" spans="1:8" x14ac:dyDescent="0.2">
      <c r="A142" s="661"/>
      <c r="B142" s="661"/>
      <c r="C142" s="661"/>
      <c r="D142" s="661"/>
      <c r="E142" s="661"/>
      <c r="F142" s="661"/>
      <c r="G142" s="661"/>
      <c r="H142" s="661"/>
    </row>
    <row r="143" spans="1:8" x14ac:dyDescent="0.2">
      <c r="A143" s="662" t="s">
        <v>773</v>
      </c>
      <c r="B143" s="661"/>
      <c r="C143" s="661"/>
      <c r="D143" s="661"/>
      <c r="E143" s="661"/>
      <c r="F143" s="661"/>
      <c r="G143" s="661"/>
      <c r="H143" s="661"/>
    </row>
    <row r="144" spans="1:8" x14ac:dyDescent="0.2">
      <c r="A144" s="662" t="s">
        <v>774</v>
      </c>
      <c r="B144" s="661"/>
      <c r="C144" s="661"/>
      <c r="D144" s="661"/>
      <c r="E144" s="661"/>
      <c r="F144" s="661"/>
      <c r="G144" s="661"/>
      <c r="H144" s="661"/>
    </row>
    <row r="145" spans="1:8" x14ac:dyDescent="0.2">
      <c r="A145" s="661"/>
      <c r="B145" s="661"/>
      <c r="C145" s="661"/>
      <c r="D145" s="661"/>
      <c r="E145" s="661"/>
      <c r="F145" s="661"/>
      <c r="G145" s="661"/>
      <c r="H145" s="661"/>
    </row>
    <row r="146" spans="1:8" x14ac:dyDescent="0.2">
      <c r="A146" s="662" t="s">
        <v>770</v>
      </c>
      <c r="B146" s="661"/>
      <c r="C146" s="661"/>
      <c r="D146" s="661"/>
      <c r="E146" s="661"/>
      <c r="F146" s="661"/>
      <c r="G146" s="661"/>
      <c r="H146" s="661"/>
    </row>
    <row r="147" spans="1:8" x14ac:dyDescent="0.2">
      <c r="A147" s="662" t="s">
        <v>771</v>
      </c>
      <c r="B147" s="661"/>
      <c r="C147" s="661"/>
      <c r="D147" s="661"/>
      <c r="E147" s="661"/>
      <c r="F147" s="661"/>
      <c r="G147" s="661"/>
      <c r="H147" s="661"/>
    </row>
    <row r="148" spans="1:8" x14ac:dyDescent="0.2">
      <c r="A148" s="662" t="s">
        <v>772</v>
      </c>
      <c r="B148" s="661"/>
      <c r="C148" s="661"/>
      <c r="D148" s="661"/>
      <c r="E148" s="661"/>
      <c r="F148" s="661"/>
      <c r="G148" s="661"/>
      <c r="H148" s="661"/>
    </row>
    <row r="149" spans="1:8" x14ac:dyDescent="0.2">
      <c r="A149" s="661"/>
      <c r="B149" s="661"/>
      <c r="C149" s="661"/>
      <c r="D149" s="661"/>
      <c r="E149" s="661"/>
      <c r="F149" s="661"/>
      <c r="G149" s="661"/>
      <c r="H149" s="661"/>
    </row>
    <row r="150" spans="1:8" x14ac:dyDescent="0.2">
      <c r="A150" s="662" t="s">
        <v>767</v>
      </c>
      <c r="B150" s="661"/>
      <c r="C150" s="661"/>
      <c r="D150" s="661"/>
      <c r="E150" s="661"/>
      <c r="F150" s="661"/>
      <c r="G150" s="661"/>
      <c r="H150" s="661"/>
    </row>
    <row r="151" spans="1:8" x14ac:dyDescent="0.2">
      <c r="A151" s="662" t="s">
        <v>768</v>
      </c>
      <c r="B151" s="661"/>
      <c r="C151" s="661"/>
      <c r="D151" s="661"/>
      <c r="E151" s="661"/>
      <c r="F151" s="661"/>
      <c r="G151" s="661"/>
      <c r="H151" s="661"/>
    </row>
    <row r="152" spans="1:8" x14ac:dyDescent="0.2">
      <c r="A152" s="662" t="s">
        <v>769</v>
      </c>
      <c r="B152" s="661"/>
      <c r="C152" s="661"/>
      <c r="D152" s="661"/>
      <c r="E152" s="661"/>
      <c r="F152" s="661"/>
      <c r="G152" s="661"/>
      <c r="H152" s="661"/>
    </row>
    <row r="153" spans="1:8" x14ac:dyDescent="0.2">
      <c r="A153" s="661"/>
      <c r="B153" s="661"/>
      <c r="C153" s="661"/>
      <c r="D153" s="661"/>
      <c r="E153" s="661"/>
      <c r="F153" s="661"/>
      <c r="G153" s="661"/>
      <c r="H153" s="661"/>
    </row>
    <row r="154" spans="1:8" x14ac:dyDescent="0.2">
      <c r="A154" s="662" t="s">
        <v>764</v>
      </c>
      <c r="B154" s="661"/>
      <c r="C154" s="661"/>
      <c r="D154" s="661"/>
      <c r="E154" s="661"/>
      <c r="F154" s="661"/>
      <c r="G154" s="661"/>
      <c r="H154" s="661"/>
    </row>
    <row r="155" spans="1:8" x14ac:dyDescent="0.2">
      <c r="A155" s="662" t="s">
        <v>765</v>
      </c>
      <c r="B155" s="661"/>
      <c r="C155" s="661"/>
      <c r="D155" s="661"/>
      <c r="E155" s="661"/>
      <c r="F155" s="661"/>
      <c r="G155" s="661"/>
      <c r="H155" s="661"/>
    </row>
    <row r="156" spans="1:8" x14ac:dyDescent="0.2">
      <c r="A156" s="662" t="s">
        <v>766</v>
      </c>
      <c r="B156" s="661"/>
      <c r="C156" s="661"/>
      <c r="D156" s="661"/>
      <c r="E156" s="661"/>
      <c r="F156" s="661"/>
      <c r="G156" s="661"/>
      <c r="H156" s="661"/>
    </row>
    <row r="157" spans="1:8" x14ac:dyDescent="0.2">
      <c r="A157" s="661"/>
      <c r="B157" s="661"/>
      <c r="C157" s="661"/>
      <c r="D157" s="661"/>
      <c r="E157" s="661"/>
      <c r="F157" s="661"/>
      <c r="G157" s="661"/>
      <c r="H157" s="661"/>
    </row>
    <row r="158" spans="1:8" x14ac:dyDescent="0.2">
      <c r="A158" s="662" t="s">
        <v>762</v>
      </c>
      <c r="B158" s="661"/>
      <c r="C158" s="661"/>
      <c r="D158" s="661"/>
      <c r="E158" s="661"/>
      <c r="F158" s="661"/>
      <c r="G158" s="661"/>
      <c r="H158" s="661"/>
    </row>
    <row r="159" spans="1:8" x14ac:dyDescent="0.2">
      <c r="A159" s="662" t="s">
        <v>763</v>
      </c>
      <c r="B159" s="661"/>
      <c r="C159" s="661"/>
      <c r="D159" s="661"/>
      <c r="E159" s="661"/>
      <c r="F159" s="661"/>
      <c r="G159" s="661"/>
      <c r="H159" s="661"/>
    </row>
    <row r="160" spans="1:8" x14ac:dyDescent="0.2">
      <c r="A160" s="661"/>
      <c r="B160" s="661"/>
      <c r="C160" s="661"/>
      <c r="D160" s="661"/>
      <c r="E160" s="661"/>
      <c r="F160" s="661"/>
      <c r="G160" s="661"/>
      <c r="H160" s="661"/>
    </row>
    <row r="161" spans="1:8" ht="15.75" x14ac:dyDescent="0.2">
      <c r="A161" s="663" t="s">
        <v>584</v>
      </c>
      <c r="B161" s="661"/>
      <c r="C161" s="661"/>
      <c r="D161" s="661"/>
      <c r="E161" s="661"/>
      <c r="F161" s="661"/>
      <c r="G161" s="661"/>
      <c r="H161" s="661"/>
    </row>
    <row r="162" spans="1:8" x14ac:dyDescent="0.2">
      <c r="A162" s="661"/>
      <c r="B162" s="661"/>
      <c r="C162" s="661"/>
      <c r="D162" s="661"/>
      <c r="E162" s="661"/>
      <c r="F162" s="661"/>
      <c r="G162" s="661"/>
      <c r="H162" s="661"/>
    </row>
    <row r="163" spans="1:8" x14ac:dyDescent="0.2">
      <c r="A163" s="662" t="s">
        <v>760</v>
      </c>
      <c r="B163" s="661"/>
      <c r="C163" s="661"/>
      <c r="D163" s="661"/>
      <c r="E163" s="661"/>
      <c r="F163" s="661"/>
      <c r="G163" s="661"/>
      <c r="H163" s="661"/>
    </row>
    <row r="164" spans="1:8" x14ac:dyDescent="0.2">
      <c r="A164" s="662" t="s">
        <v>761</v>
      </c>
      <c r="B164" s="661"/>
      <c r="C164" s="661"/>
      <c r="D164" s="661"/>
      <c r="E164" s="661"/>
      <c r="F164" s="661"/>
      <c r="G164" s="661"/>
      <c r="H164" s="661"/>
    </row>
    <row r="165" spans="1:8" x14ac:dyDescent="0.2">
      <c r="A165" s="661"/>
      <c r="B165" s="661"/>
      <c r="C165" s="661"/>
      <c r="D165" s="661"/>
      <c r="E165" s="661"/>
      <c r="F165" s="661"/>
      <c r="G165" s="661"/>
      <c r="H165" s="661"/>
    </row>
    <row r="166" spans="1:8" x14ac:dyDescent="0.2">
      <c r="A166" s="662" t="s">
        <v>758</v>
      </c>
      <c r="B166" s="661"/>
      <c r="C166" s="661"/>
      <c r="D166" s="661"/>
      <c r="E166" s="661"/>
      <c r="F166" s="661"/>
      <c r="G166" s="661"/>
      <c r="H166" s="661"/>
    </row>
    <row r="167" spans="1:8" x14ac:dyDescent="0.2">
      <c r="A167" s="662" t="s">
        <v>759</v>
      </c>
      <c r="B167" s="661"/>
      <c r="C167" s="661"/>
      <c r="D167" s="661"/>
      <c r="E167" s="661"/>
      <c r="F167" s="661"/>
      <c r="G167" s="661"/>
      <c r="H167" s="661"/>
    </row>
    <row r="168" spans="1:8" x14ac:dyDescent="0.2">
      <c r="A168" s="661"/>
      <c r="B168" s="661"/>
      <c r="C168" s="661"/>
      <c r="D168" s="661"/>
      <c r="E168" s="661"/>
      <c r="F168" s="661"/>
      <c r="G168" s="661"/>
      <c r="H168" s="661"/>
    </row>
    <row r="169" spans="1:8" x14ac:dyDescent="0.2">
      <c r="A169" s="662" t="s">
        <v>756</v>
      </c>
      <c r="B169" s="661"/>
      <c r="C169" s="661"/>
      <c r="D169" s="661"/>
      <c r="E169" s="661"/>
      <c r="F169" s="661"/>
      <c r="G169" s="661"/>
      <c r="H169" s="661"/>
    </row>
    <row r="170" spans="1:8" x14ac:dyDescent="0.2">
      <c r="A170" s="662" t="s">
        <v>757</v>
      </c>
      <c r="B170" s="661"/>
      <c r="C170" s="661"/>
      <c r="D170" s="661"/>
      <c r="E170" s="661"/>
      <c r="F170" s="661"/>
      <c r="G170" s="661"/>
      <c r="H170" s="661"/>
    </row>
    <row r="171" spans="1:8" x14ac:dyDescent="0.2">
      <c r="A171" s="661"/>
      <c r="B171" s="661"/>
      <c r="C171" s="661"/>
      <c r="D171" s="661"/>
      <c r="E171" s="661"/>
      <c r="F171" s="661"/>
      <c r="G171" s="661"/>
      <c r="H171" s="661"/>
    </row>
    <row r="172" spans="1:8" x14ac:dyDescent="0.2">
      <c r="A172" s="662" t="s">
        <v>753</v>
      </c>
      <c r="B172" s="661"/>
      <c r="C172" s="661"/>
      <c r="D172" s="661"/>
      <c r="E172" s="661"/>
      <c r="F172" s="661"/>
      <c r="G172" s="661"/>
      <c r="H172" s="661"/>
    </row>
    <row r="173" spans="1:8" x14ac:dyDescent="0.2">
      <c r="A173" s="662" t="s">
        <v>754</v>
      </c>
      <c r="B173" s="661"/>
      <c r="C173" s="661"/>
      <c r="D173" s="661"/>
      <c r="E173" s="661"/>
      <c r="F173" s="661"/>
      <c r="G173" s="661"/>
      <c r="H173" s="661"/>
    </row>
    <row r="174" spans="1:8" x14ac:dyDescent="0.2">
      <c r="A174" s="662" t="s">
        <v>755</v>
      </c>
      <c r="B174" s="661"/>
      <c r="C174" s="661"/>
      <c r="D174" s="661"/>
      <c r="E174" s="661"/>
      <c r="F174" s="661"/>
      <c r="G174" s="661"/>
      <c r="H174" s="661"/>
    </row>
    <row r="175" spans="1:8" x14ac:dyDescent="0.2">
      <c r="A175" s="661"/>
      <c r="B175" s="661"/>
      <c r="C175" s="661"/>
      <c r="D175" s="661"/>
      <c r="E175" s="661"/>
      <c r="F175" s="661"/>
      <c r="G175" s="661"/>
      <c r="H175" s="661"/>
    </row>
    <row r="176" spans="1:8" x14ac:dyDescent="0.2">
      <c r="A176" s="661"/>
      <c r="B176" s="661"/>
      <c r="C176" s="661"/>
      <c r="D176" s="661"/>
      <c r="E176" s="661"/>
      <c r="F176" s="661"/>
      <c r="G176" s="661"/>
      <c r="H176" s="661"/>
    </row>
    <row r="177" spans="1:8" x14ac:dyDescent="0.2">
      <c r="A177" s="662" t="s">
        <v>585</v>
      </c>
      <c r="B177" s="661"/>
      <c r="C177" s="661"/>
      <c r="D177" s="661"/>
      <c r="E177" s="661"/>
      <c r="F177" s="661"/>
      <c r="G177" s="661"/>
      <c r="H177" s="661"/>
    </row>
    <row r="178" spans="1:8" x14ac:dyDescent="0.2">
      <c r="A178" s="661"/>
      <c r="B178" s="661"/>
      <c r="C178" s="661"/>
      <c r="D178" s="661"/>
      <c r="E178" s="661"/>
      <c r="F178" s="661"/>
      <c r="G178" s="661"/>
      <c r="H178" s="661"/>
    </row>
    <row r="179" spans="1:8" ht="15.75" x14ac:dyDescent="0.2">
      <c r="A179" s="663" t="s">
        <v>586</v>
      </c>
      <c r="B179" s="661"/>
      <c r="C179" s="661"/>
      <c r="D179" s="661"/>
      <c r="E179" s="661"/>
      <c r="F179" s="661"/>
      <c r="G179" s="661"/>
      <c r="H179" s="661"/>
    </row>
    <row r="180" spans="1:8" x14ac:dyDescent="0.2">
      <c r="A180" s="661"/>
      <c r="B180" s="661"/>
      <c r="C180" s="661"/>
      <c r="D180" s="661"/>
      <c r="E180" s="661"/>
      <c r="F180" s="661"/>
      <c r="G180" s="661"/>
      <c r="H180" s="661"/>
    </row>
    <row r="181" spans="1:8" x14ac:dyDescent="0.2">
      <c r="A181" s="661"/>
      <c r="B181" s="661"/>
      <c r="C181" s="661"/>
      <c r="D181" s="661"/>
      <c r="E181" s="661"/>
      <c r="F181" s="661"/>
      <c r="G181" s="661"/>
      <c r="H181" s="661"/>
    </row>
    <row r="182" spans="1:8" x14ac:dyDescent="0.2">
      <c r="A182" s="661"/>
      <c r="B182" s="661"/>
      <c r="C182" s="661"/>
      <c r="D182" s="661"/>
      <c r="E182" s="661"/>
      <c r="F182" s="661"/>
      <c r="G182" s="661"/>
      <c r="H182" s="661"/>
    </row>
    <row r="183" spans="1:8" x14ac:dyDescent="0.2">
      <c r="A183" s="661"/>
      <c r="B183" s="661"/>
      <c r="C183" s="661"/>
      <c r="D183" s="661"/>
      <c r="E183" s="661"/>
      <c r="F183" s="661"/>
      <c r="G183" s="661"/>
      <c r="H183" s="661"/>
    </row>
    <row r="184" spans="1:8" x14ac:dyDescent="0.2">
      <c r="A184" s="661"/>
      <c r="B184" s="661"/>
      <c r="C184" s="661"/>
      <c r="D184" s="661"/>
      <c r="E184" s="661"/>
      <c r="F184" s="661"/>
      <c r="G184" s="661"/>
      <c r="H184" s="661"/>
    </row>
    <row r="185" spans="1:8" x14ac:dyDescent="0.2">
      <c r="A185" s="661"/>
      <c r="B185" s="661"/>
      <c r="C185" s="661"/>
      <c r="D185" s="661"/>
      <c r="E185" s="661"/>
      <c r="F185" s="661"/>
      <c r="G185" s="661"/>
      <c r="H185" s="661"/>
    </row>
    <row r="186" spans="1:8" x14ac:dyDescent="0.2">
      <c r="A186" s="661"/>
      <c r="B186" s="661"/>
      <c r="C186" s="661"/>
      <c r="D186" s="661"/>
      <c r="E186" s="661"/>
      <c r="F186" s="661"/>
      <c r="G186" s="661"/>
      <c r="H186" s="661"/>
    </row>
    <row r="187" spans="1:8" x14ac:dyDescent="0.2">
      <c r="A187" s="661"/>
      <c r="B187" s="661"/>
      <c r="C187" s="661"/>
      <c r="D187" s="661"/>
      <c r="E187" s="661"/>
      <c r="F187" s="661"/>
      <c r="G187" s="661"/>
      <c r="H187" s="661"/>
    </row>
    <row r="188" spans="1:8" x14ac:dyDescent="0.2">
      <c r="A188" s="661"/>
      <c r="B188" s="661"/>
      <c r="C188" s="661"/>
      <c r="D188" s="661"/>
      <c r="E188" s="661"/>
      <c r="F188" s="661"/>
      <c r="G188" s="661"/>
      <c r="H188" s="661"/>
    </row>
    <row r="189" spans="1:8" x14ac:dyDescent="0.2">
      <c r="A189" s="661"/>
      <c r="B189" s="661"/>
      <c r="C189" s="661"/>
      <c r="D189" s="661"/>
      <c r="E189" s="661"/>
      <c r="F189" s="661"/>
      <c r="G189" s="661"/>
      <c r="H189" s="661"/>
    </row>
    <row r="190" spans="1:8" x14ac:dyDescent="0.2">
      <c r="A190" s="661"/>
      <c r="B190" s="661"/>
      <c r="C190" s="661"/>
      <c r="D190" s="661"/>
      <c r="E190" s="661"/>
      <c r="F190" s="661"/>
      <c r="G190" s="661"/>
      <c r="H190" s="661"/>
    </row>
    <row r="191" spans="1:8" x14ac:dyDescent="0.2">
      <c r="A191" s="661"/>
      <c r="B191" s="661"/>
      <c r="C191" s="661"/>
      <c r="D191" s="661"/>
      <c r="E191" s="661"/>
      <c r="F191" s="661"/>
      <c r="G191" s="661"/>
      <c r="H191" s="661"/>
    </row>
    <row r="192" spans="1:8" x14ac:dyDescent="0.2">
      <c r="A192" s="661"/>
      <c r="B192" s="661"/>
      <c r="C192" s="661"/>
      <c r="D192" s="661"/>
      <c r="E192" s="661"/>
      <c r="F192" s="661"/>
      <c r="G192" s="661"/>
      <c r="H192" s="661"/>
    </row>
    <row r="193" spans="1:8" x14ac:dyDescent="0.2">
      <c r="A193" s="661"/>
      <c r="B193" s="661"/>
      <c r="C193" s="661"/>
      <c r="D193" s="661"/>
      <c r="E193" s="661"/>
      <c r="F193" s="661"/>
      <c r="G193" s="661"/>
      <c r="H193" s="661"/>
    </row>
    <row r="194" spans="1:8" x14ac:dyDescent="0.2">
      <c r="A194" s="661"/>
      <c r="B194" s="661"/>
      <c r="C194" s="661"/>
      <c r="D194" s="661"/>
      <c r="E194" s="661"/>
      <c r="F194" s="661"/>
      <c r="G194" s="661"/>
      <c r="H194" s="661"/>
    </row>
    <row r="195" spans="1:8" x14ac:dyDescent="0.2">
      <c r="A195" s="661"/>
      <c r="B195" s="661"/>
      <c r="C195" s="661"/>
      <c r="D195" s="661"/>
      <c r="E195" s="661"/>
      <c r="F195" s="661"/>
      <c r="G195" s="661"/>
      <c r="H195" s="661"/>
    </row>
    <row r="196" spans="1:8" x14ac:dyDescent="0.2">
      <c r="A196" s="661"/>
      <c r="B196" s="661"/>
      <c r="C196" s="661"/>
      <c r="D196" s="661"/>
      <c r="E196" s="661"/>
      <c r="F196" s="661"/>
      <c r="G196" s="661"/>
      <c r="H196" s="661"/>
    </row>
    <row r="197" spans="1:8" x14ac:dyDescent="0.2">
      <c r="A197" s="661"/>
      <c r="B197" s="661"/>
      <c r="C197" s="661"/>
      <c r="D197" s="661"/>
      <c r="E197" s="661"/>
      <c r="F197" s="661"/>
      <c r="G197" s="661"/>
      <c r="H197" s="661"/>
    </row>
    <row r="198" spans="1:8" x14ac:dyDescent="0.2">
      <c r="A198" s="661"/>
      <c r="B198" s="661"/>
      <c r="C198" s="661"/>
      <c r="D198" s="661"/>
      <c r="E198" s="661"/>
      <c r="F198" s="661"/>
      <c r="G198" s="661"/>
      <c r="H198" s="661"/>
    </row>
    <row r="199" spans="1:8" x14ac:dyDescent="0.2">
      <c r="A199" s="661"/>
      <c r="B199" s="661"/>
      <c r="C199" s="661"/>
      <c r="D199" s="661"/>
      <c r="E199" s="661"/>
      <c r="F199" s="661"/>
      <c r="G199" s="661"/>
      <c r="H199" s="661"/>
    </row>
    <row r="200" spans="1:8" x14ac:dyDescent="0.2">
      <c r="A200" s="661"/>
      <c r="B200" s="661"/>
      <c r="C200" s="661"/>
      <c r="D200" s="661"/>
      <c r="E200" s="661"/>
      <c r="F200" s="661"/>
      <c r="G200" s="661"/>
      <c r="H200" s="661"/>
    </row>
    <row r="201" spans="1:8" x14ac:dyDescent="0.2">
      <c r="A201" s="661"/>
      <c r="B201" s="661"/>
      <c r="C201" s="661"/>
      <c r="D201" s="661"/>
      <c r="E201" s="661"/>
      <c r="F201" s="661"/>
      <c r="G201" s="661"/>
      <c r="H201" s="661"/>
    </row>
    <row r="202" spans="1:8" x14ac:dyDescent="0.2">
      <c r="A202" s="661"/>
      <c r="B202" s="661"/>
      <c r="C202" s="661"/>
      <c r="D202" s="661"/>
      <c r="E202" s="661"/>
      <c r="F202" s="661"/>
      <c r="G202" s="661"/>
      <c r="H202" s="661"/>
    </row>
    <row r="203" spans="1:8" x14ac:dyDescent="0.2">
      <c r="A203" s="661"/>
      <c r="B203" s="661"/>
      <c r="C203" s="661"/>
      <c r="D203" s="661"/>
      <c r="E203" s="661"/>
      <c r="F203" s="661"/>
      <c r="G203" s="661"/>
      <c r="H203" s="661"/>
    </row>
    <row r="204" spans="1:8" x14ac:dyDescent="0.2">
      <c r="A204" s="661"/>
      <c r="B204" s="661"/>
      <c r="C204" s="661"/>
      <c r="D204" s="661"/>
      <c r="E204" s="661"/>
      <c r="F204" s="661"/>
      <c r="G204" s="661"/>
      <c r="H204" s="661"/>
    </row>
    <row r="205" spans="1:8" x14ac:dyDescent="0.2">
      <c r="A205" s="661"/>
      <c r="B205" s="661"/>
      <c r="C205" s="661"/>
      <c r="D205" s="661"/>
      <c r="E205" s="661"/>
      <c r="F205" s="661"/>
      <c r="G205" s="661"/>
      <c r="H205" s="661"/>
    </row>
    <row r="206" spans="1:8" ht="15.75" x14ac:dyDescent="0.2">
      <c r="A206" s="663" t="s">
        <v>587</v>
      </c>
      <c r="B206" s="661"/>
      <c r="C206" s="661"/>
      <c r="D206" s="661"/>
      <c r="E206" s="661"/>
      <c r="F206" s="661"/>
      <c r="G206" s="661"/>
      <c r="H206" s="661"/>
    </row>
    <row r="207" spans="1:8" x14ac:dyDescent="0.2">
      <c r="A207" s="661"/>
      <c r="B207" s="661"/>
      <c r="C207" s="661"/>
      <c r="D207" s="661"/>
      <c r="E207" s="661"/>
      <c r="F207" s="661"/>
      <c r="G207" s="661"/>
      <c r="H207" s="661"/>
    </row>
    <row r="208" spans="1:8" x14ac:dyDescent="0.2">
      <c r="A208" s="662" t="s">
        <v>748</v>
      </c>
      <c r="B208" s="661"/>
      <c r="C208" s="661"/>
      <c r="D208" s="661"/>
      <c r="E208" s="661"/>
      <c r="F208" s="661"/>
      <c r="G208" s="661"/>
      <c r="H208" s="661"/>
    </row>
    <row r="209" spans="1:8" x14ac:dyDescent="0.2">
      <c r="A209" s="662" t="s">
        <v>749</v>
      </c>
      <c r="B209" s="661"/>
      <c r="C209" s="661"/>
      <c r="D209" s="661"/>
      <c r="E209" s="661"/>
      <c r="F209" s="661"/>
      <c r="G209" s="661"/>
      <c r="H209" s="661"/>
    </row>
    <row r="210" spans="1:8" x14ac:dyDescent="0.2">
      <c r="A210" s="662" t="s">
        <v>750</v>
      </c>
      <c r="B210" s="661"/>
      <c r="C210" s="661"/>
      <c r="D210" s="661"/>
      <c r="E210" s="661"/>
      <c r="F210" s="661"/>
      <c r="G210" s="661"/>
      <c r="H210" s="661"/>
    </row>
    <row r="211" spans="1:8" x14ac:dyDescent="0.2">
      <c r="A211" s="662" t="s">
        <v>751</v>
      </c>
      <c r="B211" s="661"/>
      <c r="C211" s="661"/>
      <c r="D211" s="661"/>
      <c r="E211" s="661"/>
      <c r="F211" s="661"/>
      <c r="G211" s="661"/>
      <c r="H211" s="661"/>
    </row>
    <row r="212" spans="1:8" x14ac:dyDescent="0.2">
      <c r="A212" s="662" t="s">
        <v>752</v>
      </c>
      <c r="B212" s="661"/>
      <c r="C212" s="661"/>
      <c r="D212" s="661"/>
      <c r="E212" s="661"/>
      <c r="F212" s="661"/>
      <c r="G212" s="661"/>
      <c r="H212" s="661"/>
    </row>
    <row r="213" spans="1:8" x14ac:dyDescent="0.2">
      <c r="A213" s="661"/>
      <c r="B213" s="661"/>
      <c r="C213" s="661"/>
      <c r="D213" s="661"/>
      <c r="E213" s="661"/>
      <c r="F213" s="661"/>
      <c r="G213" s="661"/>
      <c r="H213" s="661"/>
    </row>
    <row r="214" spans="1:8" x14ac:dyDescent="0.2">
      <c r="A214" s="662" t="s">
        <v>745</v>
      </c>
      <c r="B214" s="661"/>
      <c r="C214" s="661"/>
      <c r="D214" s="661"/>
      <c r="E214" s="661"/>
      <c r="F214" s="661"/>
      <c r="G214" s="661"/>
      <c r="H214" s="661"/>
    </row>
    <row r="215" spans="1:8" x14ac:dyDescent="0.2">
      <c r="A215" s="662" t="s">
        <v>746</v>
      </c>
      <c r="B215" s="661"/>
      <c r="C215" s="661"/>
      <c r="D215" s="661"/>
      <c r="E215" s="661"/>
      <c r="F215" s="661"/>
      <c r="G215" s="661"/>
      <c r="H215" s="661"/>
    </row>
    <row r="216" spans="1:8" x14ac:dyDescent="0.2">
      <c r="A216" s="662" t="s">
        <v>747</v>
      </c>
      <c r="B216" s="661"/>
      <c r="C216" s="661"/>
      <c r="D216" s="661"/>
      <c r="E216" s="661"/>
      <c r="F216" s="661"/>
      <c r="G216" s="661"/>
      <c r="H216" s="661"/>
    </row>
    <row r="217" spans="1:8" ht="15.75" x14ac:dyDescent="0.2">
      <c r="A217" s="663" t="s">
        <v>588</v>
      </c>
      <c r="B217" s="661"/>
      <c r="C217" s="661"/>
      <c r="D217" s="661"/>
      <c r="E217" s="661"/>
      <c r="F217" s="661"/>
      <c r="G217" s="661"/>
      <c r="H217" s="661"/>
    </row>
    <row r="218" spans="1:8" x14ac:dyDescent="0.2">
      <c r="A218" s="661"/>
      <c r="B218" s="661"/>
      <c r="C218" s="661"/>
      <c r="D218" s="661"/>
      <c r="E218" s="661"/>
      <c r="F218" s="661"/>
      <c r="G218" s="661"/>
      <c r="H218" s="661"/>
    </row>
    <row r="219" spans="1:8" x14ac:dyDescent="0.2">
      <c r="A219" s="662" t="s">
        <v>743</v>
      </c>
      <c r="B219" s="661"/>
      <c r="C219" s="661"/>
      <c r="D219" s="661"/>
      <c r="E219" s="661"/>
      <c r="F219" s="661"/>
      <c r="G219" s="661"/>
      <c r="H219" s="661"/>
    </row>
    <row r="220" spans="1:8" x14ac:dyDescent="0.2">
      <c r="A220" s="662" t="s">
        <v>744</v>
      </c>
      <c r="B220" s="661"/>
      <c r="C220" s="661"/>
      <c r="D220" s="661"/>
      <c r="E220" s="661"/>
      <c r="F220" s="661"/>
      <c r="G220" s="661"/>
      <c r="H220" s="661"/>
    </row>
    <row r="221" spans="1:8" x14ac:dyDescent="0.2">
      <c r="A221" s="661"/>
      <c r="B221" s="661"/>
      <c r="C221" s="661"/>
      <c r="D221" s="661"/>
      <c r="E221" s="661"/>
      <c r="F221" s="661"/>
      <c r="G221" s="661"/>
      <c r="H221" s="661"/>
    </row>
    <row r="222" spans="1:8" x14ac:dyDescent="0.2">
      <c r="A222" s="662" t="s">
        <v>736</v>
      </c>
      <c r="B222" s="661"/>
      <c r="C222" s="661"/>
      <c r="D222" s="661"/>
      <c r="E222" s="661"/>
      <c r="F222" s="661"/>
      <c r="G222" s="661"/>
      <c r="H222" s="661"/>
    </row>
    <row r="223" spans="1:8" x14ac:dyDescent="0.2">
      <c r="A223" s="662" t="s">
        <v>737</v>
      </c>
      <c r="B223" s="661"/>
      <c r="C223" s="661"/>
      <c r="D223" s="661"/>
      <c r="E223" s="661"/>
      <c r="F223" s="661"/>
      <c r="G223" s="661"/>
      <c r="H223" s="661"/>
    </row>
    <row r="224" spans="1:8" x14ac:dyDescent="0.2">
      <c r="A224" s="662" t="s">
        <v>738</v>
      </c>
      <c r="B224" s="661"/>
      <c r="C224" s="661"/>
      <c r="D224" s="661"/>
      <c r="E224" s="661"/>
      <c r="F224" s="661"/>
      <c r="G224" s="661"/>
      <c r="H224" s="661"/>
    </row>
    <row r="225" spans="1:8" x14ac:dyDescent="0.2">
      <c r="A225" s="662" t="s">
        <v>739</v>
      </c>
      <c r="B225" s="661"/>
      <c r="C225" s="661"/>
      <c r="D225" s="661"/>
      <c r="E225" s="661"/>
      <c r="F225" s="661"/>
      <c r="G225" s="661"/>
      <c r="H225" s="661"/>
    </row>
    <row r="226" spans="1:8" x14ac:dyDescent="0.2">
      <c r="A226" s="662" t="s">
        <v>740</v>
      </c>
      <c r="B226" s="661"/>
      <c r="C226" s="661"/>
      <c r="D226" s="661"/>
      <c r="E226" s="661"/>
      <c r="F226" s="661"/>
      <c r="G226" s="661"/>
      <c r="H226" s="661"/>
    </row>
    <row r="227" spans="1:8" x14ac:dyDescent="0.2">
      <c r="A227" s="662" t="s">
        <v>741</v>
      </c>
      <c r="B227" s="661"/>
      <c r="C227" s="661"/>
      <c r="D227" s="661"/>
      <c r="E227" s="661"/>
      <c r="F227" s="661"/>
      <c r="G227" s="661"/>
      <c r="H227" s="661"/>
    </row>
    <row r="228" spans="1:8" x14ac:dyDescent="0.2">
      <c r="A228" s="662" t="s">
        <v>742</v>
      </c>
      <c r="B228" s="661"/>
      <c r="C228" s="661"/>
      <c r="D228" s="661"/>
      <c r="E228" s="661"/>
      <c r="F228" s="661"/>
      <c r="G228" s="661"/>
      <c r="H228" s="661"/>
    </row>
    <row r="229" spans="1:8" x14ac:dyDescent="0.2">
      <c r="A229" s="661"/>
      <c r="B229" s="661"/>
      <c r="C229" s="661"/>
      <c r="D229" s="661"/>
      <c r="E229" s="661"/>
      <c r="F229" s="661"/>
      <c r="G229" s="661"/>
      <c r="H229" s="661"/>
    </row>
    <row r="230" spans="1:8" x14ac:dyDescent="0.2">
      <c r="A230" s="662" t="s">
        <v>733</v>
      </c>
      <c r="B230" s="661"/>
      <c r="C230" s="661"/>
      <c r="D230" s="661"/>
      <c r="E230" s="661"/>
      <c r="F230" s="661"/>
      <c r="G230" s="661"/>
      <c r="H230" s="661"/>
    </row>
    <row r="231" spans="1:8" x14ac:dyDescent="0.2">
      <c r="A231" s="662" t="s">
        <v>734</v>
      </c>
      <c r="B231" s="661"/>
      <c r="C231" s="661"/>
      <c r="D231" s="661"/>
      <c r="E231" s="661"/>
      <c r="F231" s="661"/>
      <c r="G231" s="661"/>
      <c r="H231" s="661"/>
    </row>
    <row r="232" spans="1:8" x14ac:dyDescent="0.2">
      <c r="A232" s="662" t="s">
        <v>735</v>
      </c>
      <c r="B232" s="661"/>
      <c r="C232" s="661"/>
      <c r="D232" s="661"/>
      <c r="E232" s="661"/>
      <c r="F232" s="661"/>
      <c r="G232" s="661"/>
      <c r="H232" s="661"/>
    </row>
    <row r="233" spans="1:8" x14ac:dyDescent="0.2">
      <c r="A233" s="661"/>
      <c r="B233" s="661"/>
      <c r="C233" s="661"/>
      <c r="D233" s="661"/>
      <c r="E233" s="661"/>
      <c r="F233" s="661"/>
      <c r="G233" s="661"/>
      <c r="H233" s="661"/>
    </row>
    <row r="234" spans="1:8" x14ac:dyDescent="0.2">
      <c r="A234" s="662" t="s">
        <v>728</v>
      </c>
      <c r="B234" s="661"/>
      <c r="C234" s="661"/>
      <c r="D234" s="661"/>
      <c r="E234" s="661"/>
      <c r="F234" s="661"/>
      <c r="G234" s="661"/>
      <c r="H234" s="661"/>
    </row>
    <row r="235" spans="1:8" x14ac:dyDescent="0.2">
      <c r="A235" s="662" t="s">
        <v>729</v>
      </c>
      <c r="B235" s="661"/>
      <c r="C235" s="661"/>
      <c r="D235" s="661"/>
      <c r="E235" s="661"/>
      <c r="F235" s="661"/>
      <c r="G235" s="661"/>
      <c r="H235" s="661"/>
    </row>
    <row r="236" spans="1:8" x14ac:dyDescent="0.2">
      <c r="A236" s="662" t="s">
        <v>730</v>
      </c>
      <c r="B236" s="661"/>
      <c r="C236" s="661"/>
      <c r="D236" s="661"/>
      <c r="E236" s="661"/>
      <c r="F236" s="661"/>
      <c r="G236" s="661"/>
      <c r="H236" s="661"/>
    </row>
    <row r="237" spans="1:8" x14ac:dyDescent="0.2">
      <c r="A237" s="662" t="s">
        <v>731</v>
      </c>
      <c r="B237" s="661"/>
      <c r="C237" s="661"/>
      <c r="D237" s="661"/>
      <c r="E237" s="661"/>
      <c r="F237" s="661"/>
      <c r="G237" s="661"/>
      <c r="H237" s="661"/>
    </row>
    <row r="238" spans="1:8" x14ac:dyDescent="0.2">
      <c r="A238" s="662" t="s">
        <v>732</v>
      </c>
      <c r="B238" s="661"/>
      <c r="C238" s="661"/>
      <c r="D238" s="661"/>
      <c r="E238" s="661"/>
      <c r="F238" s="661"/>
      <c r="G238" s="661"/>
      <c r="H238" s="661"/>
    </row>
    <row r="239" spans="1:8" x14ac:dyDescent="0.2">
      <c r="A239" s="661"/>
      <c r="B239" s="661"/>
      <c r="C239" s="661"/>
      <c r="D239" s="661"/>
      <c r="E239" s="661"/>
      <c r="F239" s="661"/>
      <c r="G239" s="661"/>
      <c r="H239" s="661"/>
    </row>
    <row r="240" spans="1:8" x14ac:dyDescent="0.2">
      <c r="A240" s="662" t="s">
        <v>722</v>
      </c>
      <c r="B240" s="661"/>
      <c r="C240" s="661"/>
      <c r="D240" s="661"/>
      <c r="E240" s="661"/>
      <c r="F240" s="661"/>
      <c r="G240" s="661"/>
      <c r="H240" s="661"/>
    </row>
    <row r="241" spans="1:8" x14ac:dyDescent="0.2">
      <c r="A241" s="662" t="s">
        <v>723</v>
      </c>
      <c r="B241" s="661"/>
      <c r="C241" s="661"/>
      <c r="D241" s="661"/>
      <c r="E241" s="661"/>
      <c r="F241" s="661"/>
      <c r="G241" s="661"/>
      <c r="H241" s="661"/>
    </row>
    <row r="242" spans="1:8" x14ac:dyDescent="0.2">
      <c r="A242" s="662" t="s">
        <v>724</v>
      </c>
      <c r="B242" s="661"/>
      <c r="C242" s="661"/>
      <c r="D242" s="661"/>
      <c r="E242" s="661"/>
      <c r="F242" s="661"/>
      <c r="G242" s="661"/>
      <c r="H242" s="661"/>
    </row>
    <row r="243" spans="1:8" x14ac:dyDescent="0.2">
      <c r="A243" s="662" t="s">
        <v>725</v>
      </c>
      <c r="B243" s="661"/>
      <c r="C243" s="661"/>
      <c r="D243" s="661"/>
      <c r="E243" s="661"/>
      <c r="F243" s="661"/>
      <c r="G243" s="661"/>
      <c r="H243" s="661"/>
    </row>
    <row r="244" spans="1:8" x14ac:dyDescent="0.2">
      <c r="A244" s="662" t="s">
        <v>726</v>
      </c>
      <c r="B244" s="661"/>
      <c r="C244" s="661"/>
      <c r="D244" s="661"/>
      <c r="E244" s="661"/>
      <c r="F244" s="661"/>
      <c r="G244" s="661"/>
      <c r="H244" s="661"/>
    </row>
    <row r="245" spans="1:8" x14ac:dyDescent="0.2">
      <c r="A245" s="662" t="s">
        <v>727</v>
      </c>
      <c r="B245" s="661"/>
      <c r="C245" s="661"/>
      <c r="D245" s="661"/>
      <c r="E245" s="661"/>
      <c r="F245" s="661"/>
      <c r="G245" s="661"/>
      <c r="H245" s="661"/>
    </row>
    <row r="246" spans="1:8" x14ac:dyDescent="0.2">
      <c r="A246" s="661"/>
      <c r="B246" s="661"/>
      <c r="C246" s="661"/>
      <c r="D246" s="661"/>
      <c r="E246" s="661"/>
      <c r="F246" s="661"/>
      <c r="G246" s="661"/>
      <c r="H246" s="661"/>
    </row>
    <row r="247" spans="1:8" x14ac:dyDescent="0.2">
      <c r="A247" s="662" t="s">
        <v>712</v>
      </c>
      <c r="B247" s="661"/>
      <c r="C247" s="661"/>
      <c r="D247" s="661"/>
      <c r="E247" s="661"/>
      <c r="F247" s="661"/>
      <c r="G247" s="661"/>
      <c r="H247" s="661"/>
    </row>
    <row r="248" spans="1:8" x14ac:dyDescent="0.2">
      <c r="A248" s="662" t="s">
        <v>713</v>
      </c>
      <c r="B248" s="661"/>
      <c r="C248" s="661"/>
      <c r="D248" s="661"/>
      <c r="E248" s="661"/>
      <c r="F248" s="661"/>
      <c r="G248" s="661"/>
      <c r="H248" s="661"/>
    </row>
    <row r="249" spans="1:8" x14ac:dyDescent="0.2">
      <c r="A249" s="662" t="s">
        <v>714</v>
      </c>
      <c r="B249" s="661"/>
      <c r="C249" s="661"/>
      <c r="D249" s="661"/>
      <c r="E249" s="661"/>
      <c r="F249" s="661"/>
      <c r="G249" s="661"/>
      <c r="H249" s="661"/>
    </row>
    <row r="250" spans="1:8" x14ac:dyDescent="0.2">
      <c r="A250" s="662" t="s">
        <v>715</v>
      </c>
      <c r="B250" s="661"/>
      <c r="C250" s="661"/>
      <c r="D250" s="661"/>
      <c r="E250" s="661"/>
      <c r="F250" s="661"/>
      <c r="G250" s="661"/>
      <c r="H250" s="661"/>
    </row>
    <row r="251" spans="1:8" x14ac:dyDescent="0.2">
      <c r="A251" s="662" t="s">
        <v>716</v>
      </c>
      <c r="B251" s="661"/>
      <c r="C251" s="661"/>
      <c r="D251" s="661"/>
      <c r="E251" s="661"/>
      <c r="F251" s="661"/>
      <c r="G251" s="661"/>
      <c r="H251" s="661"/>
    </row>
    <row r="252" spans="1:8" x14ac:dyDescent="0.2">
      <c r="A252" s="662" t="s">
        <v>717</v>
      </c>
      <c r="B252" s="661"/>
      <c r="C252" s="661"/>
      <c r="D252" s="661"/>
      <c r="E252" s="661"/>
      <c r="F252" s="661"/>
      <c r="G252" s="661"/>
      <c r="H252" s="661"/>
    </row>
    <row r="253" spans="1:8" x14ac:dyDescent="0.2">
      <c r="A253" s="662" t="s">
        <v>718</v>
      </c>
      <c r="B253" s="661"/>
      <c r="C253" s="661"/>
      <c r="D253" s="661"/>
      <c r="E253" s="661"/>
      <c r="F253" s="661"/>
      <c r="G253" s="661"/>
      <c r="H253" s="661"/>
    </row>
    <row r="254" spans="1:8" x14ac:dyDescent="0.2">
      <c r="A254" s="662" t="s">
        <v>719</v>
      </c>
      <c r="B254" s="661"/>
      <c r="C254" s="661"/>
      <c r="D254" s="661"/>
      <c r="E254" s="661"/>
      <c r="F254" s="661"/>
      <c r="G254" s="661"/>
      <c r="H254" s="661"/>
    </row>
    <row r="255" spans="1:8" x14ac:dyDescent="0.2">
      <c r="A255" s="662" t="s">
        <v>720</v>
      </c>
      <c r="B255" s="661"/>
      <c r="C255" s="661"/>
      <c r="D255" s="661"/>
      <c r="E255" s="661"/>
      <c r="F255" s="661"/>
      <c r="G255" s="661"/>
      <c r="H255" s="661"/>
    </row>
    <row r="256" spans="1:8" x14ac:dyDescent="0.2">
      <c r="A256" s="662" t="s">
        <v>721</v>
      </c>
      <c r="B256" s="661"/>
      <c r="C256" s="661"/>
      <c r="D256" s="661"/>
      <c r="E256" s="661"/>
      <c r="F256" s="661"/>
      <c r="G256" s="661"/>
      <c r="H256" s="661"/>
    </row>
    <row r="257" spans="1:8" x14ac:dyDescent="0.2">
      <c r="A257" s="661"/>
      <c r="B257" s="661"/>
      <c r="C257" s="661"/>
      <c r="D257" s="661"/>
      <c r="E257" s="661"/>
      <c r="F257" s="661"/>
      <c r="G257" s="661"/>
      <c r="H257" s="661"/>
    </row>
    <row r="258" spans="1:8" x14ac:dyDescent="0.2">
      <c r="A258" s="662" t="s">
        <v>710</v>
      </c>
      <c r="B258" s="661"/>
      <c r="C258" s="661"/>
      <c r="D258" s="661"/>
      <c r="E258" s="661"/>
      <c r="F258" s="661"/>
      <c r="G258" s="661"/>
      <c r="H258" s="661"/>
    </row>
    <row r="259" spans="1:8" x14ac:dyDescent="0.2">
      <c r="A259" s="662" t="s">
        <v>711</v>
      </c>
      <c r="B259" s="661"/>
      <c r="C259" s="661"/>
      <c r="D259" s="661"/>
      <c r="E259" s="661"/>
      <c r="F259" s="661"/>
      <c r="G259" s="661"/>
      <c r="H259" s="661"/>
    </row>
    <row r="260" spans="1:8" x14ac:dyDescent="0.2">
      <c r="A260" s="661"/>
      <c r="B260" s="661"/>
      <c r="C260" s="661"/>
      <c r="D260" s="661"/>
      <c r="E260" s="661"/>
      <c r="F260" s="661"/>
      <c r="G260" s="661"/>
      <c r="H260" s="661"/>
    </row>
    <row r="261" spans="1:8" x14ac:dyDescent="0.2">
      <c r="A261" s="662" t="s">
        <v>694</v>
      </c>
      <c r="B261" s="661"/>
      <c r="C261" s="661"/>
      <c r="D261" s="661"/>
      <c r="E261" s="661"/>
      <c r="F261" s="661"/>
      <c r="G261" s="661"/>
      <c r="H261" s="661"/>
    </row>
    <row r="262" spans="1:8" x14ac:dyDescent="0.2">
      <c r="A262" s="662" t="s">
        <v>695</v>
      </c>
      <c r="B262" s="661"/>
      <c r="C262" s="661"/>
      <c r="D262" s="661"/>
      <c r="E262" s="661"/>
      <c r="F262" s="661"/>
      <c r="G262" s="661"/>
      <c r="H262" s="661"/>
    </row>
    <row r="263" spans="1:8" x14ac:dyDescent="0.2">
      <c r="A263" s="662" t="s">
        <v>696</v>
      </c>
      <c r="B263" s="661"/>
      <c r="C263" s="661"/>
      <c r="D263" s="661"/>
      <c r="E263" s="661"/>
      <c r="F263" s="661"/>
      <c r="G263" s="661"/>
      <c r="H263" s="661"/>
    </row>
    <row r="264" spans="1:8" x14ac:dyDescent="0.2">
      <c r="A264" s="662" t="s">
        <v>697</v>
      </c>
      <c r="B264" s="661"/>
      <c r="C264" s="661"/>
      <c r="D264" s="661"/>
      <c r="E264" s="661"/>
      <c r="F264" s="661"/>
      <c r="G264" s="661"/>
      <c r="H264" s="661"/>
    </row>
    <row r="265" spans="1:8" x14ac:dyDescent="0.2">
      <c r="A265" s="662" t="s">
        <v>698</v>
      </c>
      <c r="B265" s="661"/>
      <c r="C265" s="661"/>
      <c r="D265" s="661"/>
      <c r="E265" s="661"/>
      <c r="F265" s="661"/>
      <c r="G265" s="661"/>
      <c r="H265" s="661"/>
    </row>
    <row r="266" spans="1:8" x14ac:dyDescent="0.2">
      <c r="A266" s="662" t="s">
        <v>699</v>
      </c>
      <c r="B266" s="661"/>
      <c r="C266" s="661"/>
      <c r="D266" s="661"/>
      <c r="E266" s="661"/>
      <c r="F266" s="661"/>
      <c r="G266" s="661"/>
      <c r="H266" s="661"/>
    </row>
    <row r="267" spans="1:8" x14ac:dyDescent="0.2">
      <c r="A267" s="662" t="s">
        <v>700</v>
      </c>
      <c r="B267" s="661"/>
      <c r="C267" s="661"/>
      <c r="D267" s="661"/>
      <c r="E267" s="661"/>
      <c r="F267" s="661"/>
      <c r="G267" s="661"/>
      <c r="H267" s="661"/>
    </row>
    <row r="268" spans="1:8" x14ac:dyDescent="0.2">
      <c r="A268" s="662" t="s">
        <v>701</v>
      </c>
      <c r="B268" s="661"/>
      <c r="C268" s="661"/>
      <c r="D268" s="661"/>
      <c r="E268" s="661"/>
      <c r="F268" s="661"/>
      <c r="G268" s="661"/>
      <c r="H268" s="661"/>
    </row>
    <row r="269" spans="1:8" x14ac:dyDescent="0.2">
      <c r="A269" s="662" t="s">
        <v>702</v>
      </c>
      <c r="B269" s="661"/>
      <c r="C269" s="661"/>
      <c r="D269" s="661"/>
      <c r="E269" s="661"/>
      <c r="F269" s="661"/>
      <c r="G269" s="661"/>
      <c r="H269" s="661"/>
    </row>
    <row r="270" spans="1:8" x14ac:dyDescent="0.2">
      <c r="A270" s="662" t="s">
        <v>703</v>
      </c>
      <c r="B270" s="661"/>
      <c r="C270" s="661"/>
      <c r="D270" s="661"/>
      <c r="E270" s="661"/>
      <c r="F270" s="661"/>
      <c r="G270" s="661"/>
      <c r="H270" s="661"/>
    </row>
    <row r="271" spans="1:8" x14ac:dyDescent="0.2">
      <c r="A271" s="662" t="s">
        <v>704</v>
      </c>
      <c r="B271" s="661"/>
      <c r="C271" s="661"/>
      <c r="D271" s="661"/>
      <c r="E271" s="661"/>
      <c r="F271" s="661"/>
      <c r="G271" s="661"/>
      <c r="H271" s="661"/>
    </row>
    <row r="272" spans="1:8" x14ac:dyDescent="0.2">
      <c r="A272" s="662" t="s">
        <v>705</v>
      </c>
      <c r="B272" s="661"/>
      <c r="C272" s="661"/>
      <c r="D272" s="661"/>
      <c r="E272" s="661"/>
      <c r="F272" s="661"/>
      <c r="G272" s="661"/>
      <c r="H272" s="661"/>
    </row>
    <row r="273" spans="1:8" x14ac:dyDescent="0.2">
      <c r="A273" s="662" t="s">
        <v>706</v>
      </c>
      <c r="B273" s="661"/>
      <c r="C273" s="661"/>
      <c r="D273" s="661"/>
      <c r="E273" s="661"/>
      <c r="F273" s="661"/>
      <c r="G273" s="661"/>
      <c r="H273" s="661"/>
    </row>
    <row r="274" spans="1:8" x14ac:dyDescent="0.2">
      <c r="A274" s="662" t="s">
        <v>707</v>
      </c>
      <c r="B274" s="661"/>
      <c r="C274" s="661"/>
      <c r="D274" s="661"/>
      <c r="E274" s="661"/>
      <c r="F274" s="661"/>
      <c r="G274" s="661"/>
      <c r="H274" s="661"/>
    </row>
    <row r="275" spans="1:8" x14ac:dyDescent="0.2">
      <c r="A275" s="662" t="s">
        <v>708</v>
      </c>
      <c r="B275" s="661"/>
      <c r="C275" s="661"/>
      <c r="D275" s="661"/>
      <c r="E275" s="661"/>
      <c r="F275" s="661"/>
      <c r="G275" s="661"/>
      <c r="H275" s="661"/>
    </row>
    <row r="276" spans="1:8" x14ac:dyDescent="0.2">
      <c r="A276" s="662" t="s">
        <v>709</v>
      </c>
      <c r="B276" s="661"/>
      <c r="C276" s="661"/>
      <c r="D276" s="661"/>
      <c r="E276" s="661"/>
      <c r="F276" s="661"/>
      <c r="G276" s="661"/>
      <c r="H276" s="661"/>
    </row>
    <row r="277" spans="1:8" x14ac:dyDescent="0.2">
      <c r="A277" s="661"/>
      <c r="B277" s="661"/>
      <c r="C277" s="661"/>
      <c r="D277" s="661"/>
      <c r="E277" s="661"/>
      <c r="F277" s="661"/>
      <c r="G277" s="661"/>
      <c r="H277" s="661"/>
    </row>
    <row r="278" spans="1:8" x14ac:dyDescent="0.2">
      <c r="A278" s="662" t="s">
        <v>687</v>
      </c>
      <c r="B278" s="661"/>
      <c r="C278" s="661"/>
      <c r="D278" s="661"/>
      <c r="E278" s="661"/>
      <c r="F278" s="661"/>
      <c r="G278" s="661"/>
      <c r="H278" s="661"/>
    </row>
    <row r="279" spans="1:8" x14ac:dyDescent="0.2">
      <c r="A279" s="662" t="s">
        <v>688</v>
      </c>
      <c r="B279" s="661"/>
      <c r="C279" s="661"/>
      <c r="D279" s="661"/>
      <c r="E279" s="661"/>
      <c r="F279" s="661"/>
      <c r="G279" s="661"/>
      <c r="H279" s="661"/>
    </row>
    <row r="280" spans="1:8" x14ac:dyDescent="0.2">
      <c r="A280" s="662" t="s">
        <v>689</v>
      </c>
      <c r="B280" s="661"/>
      <c r="C280" s="661"/>
      <c r="D280" s="661"/>
      <c r="E280" s="661"/>
      <c r="F280" s="661"/>
      <c r="G280" s="661"/>
      <c r="H280" s="661"/>
    </row>
    <row r="281" spans="1:8" x14ac:dyDescent="0.2">
      <c r="A281" s="662" t="s">
        <v>690</v>
      </c>
      <c r="B281" s="661"/>
      <c r="C281" s="661"/>
      <c r="D281" s="661"/>
      <c r="E281" s="661"/>
      <c r="F281" s="661"/>
      <c r="G281" s="661"/>
      <c r="H281" s="661"/>
    </row>
    <row r="282" spans="1:8" x14ac:dyDescent="0.2">
      <c r="A282" s="662" t="s">
        <v>691</v>
      </c>
      <c r="B282" s="661"/>
      <c r="C282" s="661"/>
      <c r="D282" s="661"/>
      <c r="E282" s="661"/>
      <c r="F282" s="661"/>
      <c r="G282" s="661"/>
      <c r="H282" s="661"/>
    </row>
    <row r="283" spans="1:8" x14ac:dyDescent="0.2">
      <c r="A283" s="662" t="s">
        <v>692</v>
      </c>
      <c r="B283" s="661"/>
      <c r="C283" s="661"/>
      <c r="D283" s="661"/>
      <c r="E283" s="661"/>
      <c r="F283" s="661"/>
      <c r="G283" s="661"/>
      <c r="H283" s="661"/>
    </row>
    <row r="284" spans="1:8" x14ac:dyDescent="0.2">
      <c r="A284" s="662" t="s">
        <v>693</v>
      </c>
      <c r="B284" s="661"/>
      <c r="C284" s="661"/>
      <c r="D284" s="661"/>
      <c r="E284" s="661"/>
      <c r="F284" s="661"/>
      <c r="G284" s="661"/>
      <c r="H284" s="661"/>
    </row>
    <row r="285" spans="1:8" x14ac:dyDescent="0.2">
      <c r="A285" s="661"/>
      <c r="B285" s="661"/>
      <c r="C285" s="661"/>
      <c r="D285" s="661"/>
      <c r="E285" s="661"/>
      <c r="F285" s="661"/>
      <c r="G285" s="661"/>
      <c r="H285" s="661"/>
    </row>
    <row r="286" spans="1:8" x14ac:dyDescent="0.2">
      <c r="A286" s="662" t="s">
        <v>678</v>
      </c>
      <c r="B286" s="661"/>
      <c r="C286" s="661"/>
      <c r="D286" s="661"/>
      <c r="E286" s="661"/>
      <c r="F286" s="661"/>
      <c r="G286" s="661"/>
      <c r="H286" s="661"/>
    </row>
    <row r="287" spans="1:8" x14ac:dyDescent="0.2">
      <c r="A287" s="662" t="s">
        <v>679</v>
      </c>
      <c r="B287" s="661"/>
      <c r="C287" s="661"/>
      <c r="D287" s="661"/>
      <c r="E287" s="661"/>
      <c r="F287" s="661"/>
      <c r="G287" s="661"/>
      <c r="H287" s="661"/>
    </row>
    <row r="288" spans="1:8" x14ac:dyDescent="0.2">
      <c r="A288" s="662" t="s">
        <v>680</v>
      </c>
      <c r="B288" s="661"/>
      <c r="C288" s="661"/>
      <c r="D288" s="661"/>
      <c r="E288" s="661"/>
      <c r="F288" s="661"/>
      <c r="G288" s="661"/>
      <c r="H288" s="661"/>
    </row>
    <row r="289" spans="1:8" x14ac:dyDescent="0.2">
      <c r="A289" s="662" t="s">
        <v>681</v>
      </c>
      <c r="B289" s="661"/>
      <c r="C289" s="661"/>
      <c r="D289" s="661"/>
      <c r="E289" s="661"/>
      <c r="F289" s="661"/>
      <c r="G289" s="661"/>
      <c r="H289" s="661"/>
    </row>
    <row r="290" spans="1:8" x14ac:dyDescent="0.2">
      <c r="A290" s="662" t="s">
        <v>682</v>
      </c>
      <c r="B290" s="661"/>
      <c r="C290" s="661"/>
      <c r="D290" s="661"/>
      <c r="E290" s="661"/>
      <c r="F290" s="661"/>
      <c r="G290" s="661"/>
      <c r="H290" s="661"/>
    </row>
    <row r="291" spans="1:8" x14ac:dyDescent="0.2">
      <c r="A291" s="662" t="s">
        <v>683</v>
      </c>
      <c r="B291" s="661"/>
      <c r="C291" s="661"/>
      <c r="D291" s="661"/>
      <c r="E291" s="661"/>
      <c r="F291" s="661"/>
      <c r="G291" s="661"/>
      <c r="H291" s="661"/>
    </row>
    <row r="292" spans="1:8" x14ac:dyDescent="0.2">
      <c r="A292" s="662" t="s">
        <v>684</v>
      </c>
      <c r="B292" s="661"/>
      <c r="C292" s="661"/>
      <c r="D292" s="661"/>
      <c r="E292" s="661"/>
      <c r="F292" s="661"/>
      <c r="G292" s="661"/>
      <c r="H292" s="661"/>
    </row>
    <row r="293" spans="1:8" x14ac:dyDescent="0.2">
      <c r="A293" s="662" t="s">
        <v>685</v>
      </c>
      <c r="B293" s="661"/>
      <c r="C293" s="661"/>
      <c r="D293" s="661"/>
      <c r="E293" s="661"/>
      <c r="F293" s="661"/>
      <c r="G293" s="661"/>
      <c r="H293" s="661"/>
    </row>
    <row r="294" spans="1:8" x14ac:dyDescent="0.2">
      <c r="A294" s="662" t="s">
        <v>686</v>
      </c>
      <c r="B294" s="661"/>
      <c r="C294" s="661"/>
      <c r="D294" s="661"/>
      <c r="E294" s="661"/>
      <c r="F294" s="661"/>
      <c r="G294" s="661"/>
      <c r="H294" s="661"/>
    </row>
    <row r="295" spans="1:8" x14ac:dyDescent="0.2">
      <c r="A295" s="661"/>
      <c r="B295" s="661"/>
      <c r="C295" s="661"/>
      <c r="D295" s="661"/>
      <c r="E295" s="661"/>
      <c r="F295" s="661"/>
      <c r="G295" s="661"/>
      <c r="H295" s="661"/>
    </row>
    <row r="296" spans="1:8" x14ac:dyDescent="0.2">
      <c r="A296" s="662" t="s">
        <v>671</v>
      </c>
      <c r="B296" s="661"/>
      <c r="C296" s="661"/>
      <c r="D296" s="661"/>
      <c r="E296" s="661"/>
      <c r="F296" s="661"/>
      <c r="G296" s="661"/>
      <c r="H296" s="661"/>
    </row>
    <row r="297" spans="1:8" x14ac:dyDescent="0.2">
      <c r="A297" s="662" t="s">
        <v>672</v>
      </c>
      <c r="B297" s="661"/>
      <c r="C297" s="661"/>
      <c r="D297" s="661"/>
      <c r="E297" s="661"/>
      <c r="F297" s="661"/>
      <c r="G297" s="661"/>
      <c r="H297" s="661"/>
    </row>
    <row r="298" spans="1:8" x14ac:dyDescent="0.2">
      <c r="A298" s="662" t="s">
        <v>673</v>
      </c>
      <c r="B298" s="661"/>
      <c r="C298" s="661"/>
      <c r="D298" s="661"/>
      <c r="E298" s="661"/>
      <c r="F298" s="661"/>
      <c r="G298" s="661"/>
      <c r="H298" s="661"/>
    </row>
    <row r="299" spans="1:8" x14ac:dyDescent="0.2">
      <c r="A299" s="662" t="s">
        <v>674</v>
      </c>
      <c r="B299" s="661"/>
      <c r="C299" s="661"/>
      <c r="D299" s="661"/>
      <c r="E299" s="661"/>
      <c r="F299" s="661"/>
      <c r="G299" s="661"/>
      <c r="H299" s="661"/>
    </row>
    <row r="300" spans="1:8" x14ac:dyDescent="0.2">
      <c r="A300" s="662" t="s">
        <v>675</v>
      </c>
      <c r="B300" s="661"/>
      <c r="C300" s="661"/>
      <c r="D300" s="661"/>
      <c r="E300" s="661"/>
      <c r="F300" s="661"/>
      <c r="G300" s="661"/>
      <c r="H300" s="661"/>
    </row>
    <row r="301" spans="1:8" x14ac:dyDescent="0.2">
      <c r="A301" s="662" t="s">
        <v>676</v>
      </c>
      <c r="B301" s="661"/>
      <c r="C301" s="661"/>
      <c r="D301" s="661"/>
      <c r="E301" s="661"/>
      <c r="F301" s="661"/>
      <c r="G301" s="661"/>
      <c r="H301" s="661"/>
    </row>
    <row r="302" spans="1:8" x14ac:dyDescent="0.2">
      <c r="A302" s="662" t="s">
        <v>677</v>
      </c>
      <c r="B302" s="661"/>
      <c r="C302" s="661"/>
      <c r="D302" s="661"/>
      <c r="E302" s="661"/>
      <c r="F302" s="661"/>
      <c r="G302" s="661"/>
      <c r="H302" s="661"/>
    </row>
    <row r="303" spans="1:8" x14ac:dyDescent="0.2">
      <c r="A303" s="661"/>
      <c r="B303" s="661"/>
      <c r="C303" s="661"/>
      <c r="D303" s="661"/>
      <c r="E303" s="661"/>
      <c r="F303" s="661"/>
      <c r="G303" s="661"/>
      <c r="H303" s="661"/>
    </row>
    <row r="304" spans="1:8" x14ac:dyDescent="0.2">
      <c r="A304" s="662" t="s">
        <v>668</v>
      </c>
      <c r="B304" s="661"/>
      <c r="C304" s="661"/>
      <c r="D304" s="661"/>
      <c r="E304" s="661"/>
      <c r="F304" s="661"/>
      <c r="G304" s="661"/>
      <c r="H304" s="661"/>
    </row>
    <row r="305" spans="1:8" x14ac:dyDescent="0.2">
      <c r="A305" s="662" t="s">
        <v>669</v>
      </c>
      <c r="B305" s="661"/>
      <c r="C305" s="661"/>
      <c r="D305" s="661"/>
      <c r="E305" s="661"/>
      <c r="F305" s="661"/>
      <c r="G305" s="661"/>
      <c r="H305" s="661"/>
    </row>
    <row r="306" spans="1:8" x14ac:dyDescent="0.2">
      <c r="A306" s="662" t="s">
        <v>670</v>
      </c>
      <c r="B306" s="661"/>
      <c r="C306" s="661"/>
      <c r="D306" s="661"/>
      <c r="E306" s="661"/>
      <c r="F306" s="661"/>
      <c r="G306" s="661"/>
      <c r="H306" s="661"/>
    </row>
    <row r="307" spans="1:8" x14ac:dyDescent="0.2">
      <c r="A307" s="661"/>
      <c r="B307" s="661"/>
      <c r="C307" s="661"/>
      <c r="D307" s="661"/>
      <c r="E307" s="661"/>
      <c r="F307" s="661"/>
      <c r="G307" s="661"/>
      <c r="H307" s="661"/>
    </row>
    <row r="308" spans="1:8" x14ac:dyDescent="0.2">
      <c r="A308" s="662" t="s">
        <v>666</v>
      </c>
      <c r="B308" s="661"/>
      <c r="C308" s="661"/>
      <c r="D308" s="661"/>
      <c r="E308" s="661"/>
      <c r="F308" s="661"/>
      <c r="G308" s="661"/>
      <c r="H308" s="661"/>
    </row>
    <row r="309" spans="1:8" x14ac:dyDescent="0.2">
      <c r="A309" s="662" t="s">
        <v>667</v>
      </c>
      <c r="B309" s="661"/>
      <c r="C309" s="661"/>
      <c r="D309" s="661"/>
      <c r="E309" s="661"/>
      <c r="F309" s="661"/>
      <c r="G309" s="661"/>
      <c r="H309" s="661"/>
    </row>
    <row r="310" spans="1:8" x14ac:dyDescent="0.2">
      <c r="A310" s="661"/>
      <c r="B310" s="661"/>
      <c r="C310" s="661"/>
      <c r="D310" s="661"/>
      <c r="E310" s="661"/>
      <c r="F310" s="661"/>
      <c r="G310" s="661"/>
      <c r="H310" s="661"/>
    </row>
    <row r="311" spans="1:8" x14ac:dyDescent="0.2">
      <c r="A311" s="662" t="s">
        <v>653</v>
      </c>
      <c r="B311" s="661"/>
      <c r="C311" s="661"/>
      <c r="D311" s="661"/>
      <c r="E311" s="661"/>
      <c r="F311" s="661"/>
      <c r="G311" s="661"/>
      <c r="H311" s="661"/>
    </row>
    <row r="312" spans="1:8" x14ac:dyDescent="0.2">
      <c r="A312" s="662" t="s">
        <v>654</v>
      </c>
      <c r="B312" s="661"/>
      <c r="C312" s="661"/>
      <c r="D312" s="661"/>
      <c r="E312" s="661"/>
      <c r="F312" s="661"/>
      <c r="G312" s="661"/>
      <c r="H312" s="661"/>
    </row>
    <row r="313" spans="1:8" x14ac:dyDescent="0.2">
      <c r="A313" s="662" t="s">
        <v>655</v>
      </c>
      <c r="B313" s="661"/>
      <c r="C313" s="661"/>
      <c r="D313" s="661"/>
      <c r="E313" s="661"/>
      <c r="F313" s="661"/>
      <c r="G313" s="661"/>
      <c r="H313" s="661"/>
    </row>
    <row r="314" spans="1:8" x14ac:dyDescent="0.2">
      <c r="A314" s="662" t="s">
        <v>656</v>
      </c>
      <c r="B314" s="661"/>
      <c r="C314" s="661"/>
      <c r="D314" s="661"/>
      <c r="E314" s="661"/>
      <c r="F314" s="661"/>
      <c r="G314" s="661"/>
      <c r="H314" s="661"/>
    </row>
    <row r="315" spans="1:8" x14ac:dyDescent="0.2">
      <c r="A315" s="662" t="s">
        <v>657</v>
      </c>
      <c r="B315" s="661"/>
      <c r="C315" s="661"/>
      <c r="D315" s="661"/>
      <c r="E315" s="661"/>
      <c r="F315" s="661"/>
      <c r="G315" s="661"/>
      <c r="H315" s="661"/>
    </row>
    <row r="316" spans="1:8" x14ac:dyDescent="0.2">
      <c r="A316" s="662" t="s">
        <v>658</v>
      </c>
      <c r="B316" s="661"/>
      <c r="C316" s="661"/>
      <c r="D316" s="661"/>
      <c r="E316" s="661"/>
      <c r="F316" s="661"/>
      <c r="G316" s="661"/>
      <c r="H316" s="661"/>
    </row>
    <row r="317" spans="1:8" x14ac:dyDescent="0.2">
      <c r="A317" s="662" t="s">
        <v>659</v>
      </c>
      <c r="B317" s="661"/>
      <c r="C317" s="661"/>
      <c r="D317" s="661"/>
      <c r="E317" s="661"/>
      <c r="F317" s="661"/>
      <c r="G317" s="661"/>
      <c r="H317" s="661"/>
    </row>
    <row r="318" spans="1:8" x14ac:dyDescent="0.2">
      <c r="A318" s="662" t="s">
        <v>660</v>
      </c>
      <c r="B318" s="661"/>
      <c r="C318" s="661"/>
      <c r="D318" s="661"/>
      <c r="E318" s="661"/>
      <c r="F318" s="661"/>
      <c r="G318" s="661"/>
      <c r="H318" s="661"/>
    </row>
    <row r="319" spans="1:8" x14ac:dyDescent="0.2">
      <c r="A319" s="662" t="s">
        <v>661</v>
      </c>
      <c r="B319" s="661"/>
      <c r="C319" s="661"/>
      <c r="D319" s="661"/>
      <c r="E319" s="661"/>
      <c r="F319" s="661"/>
      <c r="G319" s="661"/>
      <c r="H319" s="661"/>
    </row>
    <row r="320" spans="1:8" x14ac:dyDescent="0.2">
      <c r="A320" s="662" t="s">
        <v>662</v>
      </c>
      <c r="B320" s="661"/>
      <c r="C320" s="661"/>
      <c r="D320" s="661"/>
      <c r="E320" s="661"/>
      <c r="F320" s="661"/>
      <c r="G320" s="661"/>
      <c r="H320" s="661"/>
    </row>
    <row r="321" spans="1:8" x14ac:dyDescent="0.2">
      <c r="A321" s="662" t="s">
        <v>663</v>
      </c>
      <c r="B321" s="661"/>
      <c r="C321" s="661"/>
      <c r="D321" s="661"/>
      <c r="E321" s="661"/>
      <c r="F321" s="661"/>
      <c r="G321" s="661"/>
      <c r="H321" s="661"/>
    </row>
    <row r="322" spans="1:8" x14ac:dyDescent="0.2">
      <c r="A322" s="662" t="s">
        <v>664</v>
      </c>
      <c r="B322" s="661"/>
      <c r="C322" s="661"/>
      <c r="D322" s="661"/>
      <c r="E322" s="661"/>
      <c r="F322" s="661"/>
      <c r="G322" s="661"/>
      <c r="H322" s="661"/>
    </row>
    <row r="323" spans="1:8" x14ac:dyDescent="0.2">
      <c r="A323" s="662" t="s">
        <v>665</v>
      </c>
      <c r="B323" s="661"/>
      <c r="C323" s="661"/>
      <c r="D323" s="661"/>
      <c r="E323" s="661"/>
      <c r="F323" s="661"/>
      <c r="G323" s="661"/>
      <c r="H323" s="661"/>
    </row>
    <row r="324" spans="1:8" x14ac:dyDescent="0.2">
      <c r="A324" s="661"/>
      <c r="B324" s="661"/>
      <c r="C324" s="661"/>
      <c r="D324" s="661"/>
      <c r="E324" s="661"/>
      <c r="F324" s="661"/>
      <c r="G324" s="661"/>
      <c r="H324" s="661"/>
    </row>
    <row r="325" spans="1:8" x14ac:dyDescent="0.2">
      <c r="A325" s="662" t="s">
        <v>645</v>
      </c>
      <c r="B325" s="661"/>
      <c r="C325" s="661"/>
      <c r="D325" s="661"/>
      <c r="E325" s="661"/>
      <c r="F325" s="661"/>
      <c r="G325" s="661"/>
      <c r="H325" s="661"/>
    </row>
    <row r="326" spans="1:8" x14ac:dyDescent="0.2">
      <c r="A326" s="662" t="s">
        <v>646</v>
      </c>
      <c r="B326" s="661"/>
      <c r="C326" s="661"/>
      <c r="D326" s="661"/>
      <c r="E326" s="661"/>
      <c r="F326" s="661"/>
      <c r="G326" s="661"/>
      <c r="H326" s="661"/>
    </row>
    <row r="327" spans="1:8" x14ac:dyDescent="0.2">
      <c r="A327" s="662" t="s">
        <v>647</v>
      </c>
      <c r="B327" s="661"/>
      <c r="C327" s="661"/>
      <c r="D327" s="661"/>
      <c r="E327" s="661"/>
      <c r="F327" s="661"/>
      <c r="G327" s="661"/>
      <c r="H327" s="661"/>
    </row>
    <row r="328" spans="1:8" x14ac:dyDescent="0.2">
      <c r="A328" s="662" t="s">
        <v>648</v>
      </c>
      <c r="B328" s="661"/>
      <c r="C328" s="661"/>
      <c r="D328" s="661"/>
      <c r="E328" s="661"/>
      <c r="F328" s="661"/>
      <c r="G328" s="661"/>
      <c r="H328" s="661"/>
    </row>
    <row r="329" spans="1:8" x14ac:dyDescent="0.2">
      <c r="A329" s="662" t="s">
        <v>649</v>
      </c>
      <c r="B329" s="661"/>
      <c r="C329" s="661"/>
      <c r="D329" s="661"/>
      <c r="E329" s="661"/>
      <c r="F329" s="661"/>
      <c r="G329" s="661"/>
      <c r="H329" s="661"/>
    </row>
    <row r="330" spans="1:8" x14ac:dyDescent="0.2">
      <c r="A330" s="662" t="s">
        <v>650</v>
      </c>
      <c r="B330" s="661"/>
      <c r="C330" s="661"/>
      <c r="D330" s="661"/>
      <c r="E330" s="661"/>
      <c r="F330" s="661"/>
      <c r="G330" s="661"/>
      <c r="H330" s="661"/>
    </row>
    <row r="331" spans="1:8" x14ac:dyDescent="0.2">
      <c r="A331" s="662" t="s">
        <v>651</v>
      </c>
      <c r="B331" s="661"/>
      <c r="C331" s="661"/>
      <c r="D331" s="661"/>
      <c r="E331" s="661"/>
      <c r="F331" s="661"/>
      <c r="G331" s="661"/>
      <c r="H331" s="661"/>
    </row>
    <row r="332" spans="1:8" x14ac:dyDescent="0.2">
      <c r="A332" s="662" t="s">
        <v>652</v>
      </c>
      <c r="B332" s="661"/>
      <c r="C332" s="661"/>
      <c r="D332" s="661"/>
      <c r="E332" s="661"/>
      <c r="F332" s="661"/>
      <c r="G332" s="661"/>
      <c r="H332" s="661"/>
    </row>
    <row r="333" spans="1:8" x14ac:dyDescent="0.2">
      <c r="A333" s="661"/>
      <c r="B333" s="661"/>
      <c r="C333" s="661"/>
      <c r="D333" s="661"/>
      <c r="E333" s="661"/>
      <c r="F333" s="661"/>
      <c r="G333" s="661"/>
      <c r="H333" s="661"/>
    </row>
    <row r="334" spans="1:8" x14ac:dyDescent="0.2">
      <c r="A334" s="662" t="s">
        <v>610</v>
      </c>
      <c r="B334" s="661"/>
      <c r="C334" s="661"/>
      <c r="D334" s="661"/>
      <c r="E334" s="661"/>
      <c r="F334" s="661"/>
      <c r="G334" s="661"/>
      <c r="H334" s="661"/>
    </row>
    <row r="335" spans="1:8" x14ac:dyDescent="0.2">
      <c r="A335" s="662" t="s">
        <v>611</v>
      </c>
      <c r="B335" s="661"/>
      <c r="C335" s="661"/>
      <c r="D335" s="661"/>
      <c r="E335" s="661"/>
      <c r="F335" s="661"/>
      <c r="G335" s="661"/>
      <c r="H335" s="661"/>
    </row>
    <row r="336" spans="1:8" x14ac:dyDescent="0.2">
      <c r="A336" s="662" t="s">
        <v>612</v>
      </c>
      <c r="B336" s="661"/>
      <c r="C336" s="661"/>
      <c r="D336" s="661"/>
      <c r="E336" s="661"/>
      <c r="F336" s="661"/>
      <c r="G336" s="661"/>
      <c r="H336" s="661"/>
    </row>
    <row r="337" spans="1:8" x14ac:dyDescent="0.2">
      <c r="A337" s="662" t="s">
        <v>613</v>
      </c>
      <c r="B337" s="661"/>
      <c r="C337" s="661"/>
      <c r="D337" s="661"/>
      <c r="E337" s="661"/>
      <c r="F337" s="661"/>
      <c r="G337" s="661"/>
      <c r="H337" s="661"/>
    </row>
    <row r="338" spans="1:8" x14ac:dyDescent="0.2">
      <c r="A338" s="662" t="s">
        <v>614</v>
      </c>
      <c r="B338" s="661"/>
      <c r="C338" s="661"/>
      <c r="D338" s="661"/>
      <c r="E338" s="661"/>
      <c r="F338" s="661"/>
      <c r="G338" s="661"/>
      <c r="H338" s="661"/>
    </row>
    <row r="339" spans="1:8" x14ac:dyDescent="0.2">
      <c r="A339" s="662" t="s">
        <v>615</v>
      </c>
      <c r="B339" s="661"/>
      <c r="C339" s="661"/>
      <c r="D339" s="661"/>
      <c r="E339" s="661"/>
      <c r="F339" s="661"/>
      <c r="G339" s="661"/>
      <c r="H339" s="661"/>
    </row>
    <row r="340" spans="1:8" x14ac:dyDescent="0.2">
      <c r="A340" s="662" t="s">
        <v>616</v>
      </c>
      <c r="B340" s="661"/>
      <c r="C340" s="661"/>
      <c r="D340" s="661"/>
      <c r="E340" s="661"/>
      <c r="F340" s="661"/>
      <c r="G340" s="661"/>
      <c r="H340" s="661"/>
    </row>
    <row r="341" spans="1:8" x14ac:dyDescent="0.2">
      <c r="A341" s="662" t="s">
        <v>617</v>
      </c>
      <c r="B341" s="661"/>
      <c r="C341" s="661"/>
      <c r="D341" s="661"/>
      <c r="E341" s="661"/>
      <c r="F341" s="661"/>
      <c r="G341" s="661"/>
      <c r="H341" s="661"/>
    </row>
    <row r="342" spans="1:8" x14ac:dyDescent="0.2">
      <c r="A342" s="662" t="s">
        <v>618</v>
      </c>
      <c r="B342" s="661"/>
      <c r="C342" s="661"/>
      <c r="D342" s="661"/>
      <c r="E342" s="661"/>
      <c r="F342" s="661"/>
      <c r="G342" s="661"/>
      <c r="H342" s="661"/>
    </row>
    <row r="343" spans="1:8" x14ac:dyDescent="0.2">
      <c r="A343" s="662" t="s">
        <v>619</v>
      </c>
      <c r="B343" s="661"/>
      <c r="C343" s="661"/>
      <c r="D343" s="661"/>
      <c r="E343" s="661"/>
      <c r="F343" s="661"/>
      <c r="G343" s="661"/>
      <c r="H343" s="661"/>
    </row>
    <row r="344" spans="1:8" x14ac:dyDescent="0.2">
      <c r="A344" s="662" t="s">
        <v>620</v>
      </c>
      <c r="B344" s="661"/>
      <c r="C344" s="661"/>
      <c r="D344" s="661"/>
      <c r="E344" s="661"/>
      <c r="F344" s="661"/>
      <c r="G344" s="661"/>
      <c r="H344" s="661"/>
    </row>
    <row r="345" spans="1:8" x14ac:dyDescent="0.2">
      <c r="A345" s="662" t="s">
        <v>621</v>
      </c>
      <c r="B345" s="661"/>
      <c r="C345" s="661"/>
      <c r="D345" s="661"/>
      <c r="E345" s="661"/>
      <c r="F345" s="661"/>
      <c r="G345" s="661"/>
      <c r="H345" s="661"/>
    </row>
    <row r="346" spans="1:8" x14ac:dyDescent="0.2">
      <c r="A346" s="662" t="s">
        <v>622</v>
      </c>
      <c r="B346" s="661"/>
      <c r="C346" s="661"/>
      <c r="D346" s="661"/>
      <c r="E346" s="661"/>
      <c r="F346" s="661"/>
      <c r="G346" s="661"/>
      <c r="H346" s="661"/>
    </row>
    <row r="347" spans="1:8" x14ac:dyDescent="0.2">
      <c r="A347" s="662" t="s">
        <v>623</v>
      </c>
      <c r="B347" s="661"/>
      <c r="C347" s="661"/>
      <c r="D347" s="661"/>
      <c r="E347" s="661"/>
      <c r="F347" s="661"/>
      <c r="G347" s="661"/>
      <c r="H347" s="661"/>
    </row>
    <row r="348" spans="1:8" x14ac:dyDescent="0.2">
      <c r="A348" s="662" t="s">
        <v>624</v>
      </c>
      <c r="B348" s="661"/>
      <c r="C348" s="661"/>
      <c r="D348" s="661"/>
      <c r="E348" s="661"/>
      <c r="F348" s="661"/>
      <c r="G348" s="661"/>
      <c r="H348" s="661"/>
    </row>
    <row r="349" spans="1:8" x14ac:dyDescent="0.2">
      <c r="A349" s="662" t="s">
        <v>625</v>
      </c>
      <c r="B349" s="661"/>
      <c r="C349" s="661"/>
      <c r="D349" s="661"/>
      <c r="E349" s="661"/>
      <c r="F349" s="661"/>
      <c r="G349" s="661"/>
      <c r="H349" s="661"/>
    </row>
    <row r="350" spans="1:8" x14ac:dyDescent="0.2">
      <c r="A350" s="662" t="s">
        <v>626</v>
      </c>
      <c r="B350" s="661"/>
      <c r="C350" s="661"/>
      <c r="D350" s="661"/>
      <c r="E350" s="661"/>
      <c r="F350" s="661"/>
      <c r="G350" s="661"/>
      <c r="H350" s="661"/>
    </row>
    <row r="351" spans="1:8" x14ac:dyDescent="0.2">
      <c r="A351" s="662" t="s">
        <v>627</v>
      </c>
      <c r="B351" s="661"/>
      <c r="C351" s="661"/>
      <c r="D351" s="661"/>
      <c r="E351" s="661"/>
      <c r="F351" s="661"/>
      <c r="G351" s="661"/>
      <c r="H351" s="661"/>
    </row>
    <row r="352" spans="1:8" x14ac:dyDescent="0.2">
      <c r="A352" s="662" t="s">
        <v>628</v>
      </c>
      <c r="B352" s="661"/>
      <c r="C352" s="661"/>
      <c r="D352" s="661"/>
      <c r="E352" s="661"/>
      <c r="F352" s="661"/>
      <c r="G352" s="661"/>
      <c r="H352" s="661"/>
    </row>
    <row r="353" spans="1:8" x14ac:dyDescent="0.2">
      <c r="A353" s="662" t="s">
        <v>629</v>
      </c>
      <c r="B353" s="661"/>
      <c r="C353" s="661"/>
      <c r="D353" s="661"/>
      <c r="E353" s="661"/>
      <c r="F353" s="661"/>
      <c r="G353" s="661"/>
      <c r="H353" s="661"/>
    </row>
    <row r="354" spans="1:8" x14ac:dyDescent="0.2">
      <c r="A354" s="662" t="s">
        <v>630</v>
      </c>
      <c r="B354" s="661"/>
      <c r="C354" s="661"/>
      <c r="D354" s="661"/>
      <c r="E354" s="661"/>
      <c r="F354" s="661"/>
      <c r="G354" s="661"/>
      <c r="H354" s="661"/>
    </row>
    <row r="355" spans="1:8" x14ac:dyDescent="0.2">
      <c r="A355" s="662" t="s">
        <v>631</v>
      </c>
      <c r="B355" s="661"/>
      <c r="C355" s="661"/>
      <c r="D355" s="661"/>
      <c r="E355" s="661"/>
      <c r="F355" s="661"/>
      <c r="G355" s="661"/>
      <c r="H355" s="661"/>
    </row>
    <row r="356" spans="1:8" x14ac:dyDescent="0.2">
      <c r="A356" s="662" t="s">
        <v>632</v>
      </c>
      <c r="B356" s="661"/>
      <c r="C356" s="661"/>
      <c r="D356" s="661"/>
      <c r="E356" s="661"/>
      <c r="F356" s="661"/>
      <c r="G356" s="661"/>
      <c r="H356" s="661"/>
    </row>
    <row r="357" spans="1:8" x14ac:dyDescent="0.2">
      <c r="A357" s="662" t="s">
        <v>633</v>
      </c>
      <c r="B357" s="661"/>
      <c r="C357" s="661"/>
      <c r="D357" s="661"/>
      <c r="E357" s="661"/>
      <c r="F357" s="661"/>
      <c r="G357" s="661"/>
      <c r="H357" s="661"/>
    </row>
    <row r="358" spans="1:8" x14ac:dyDescent="0.2">
      <c r="A358" s="662" t="s">
        <v>634</v>
      </c>
      <c r="B358" s="661"/>
      <c r="C358" s="661"/>
      <c r="D358" s="661"/>
      <c r="E358" s="661"/>
      <c r="F358" s="661"/>
      <c r="G358" s="661"/>
      <c r="H358" s="661"/>
    </row>
    <row r="359" spans="1:8" x14ac:dyDescent="0.2">
      <c r="A359" s="662" t="s">
        <v>635</v>
      </c>
      <c r="B359" s="661"/>
      <c r="C359" s="661"/>
      <c r="D359" s="661"/>
      <c r="E359" s="661"/>
      <c r="F359" s="661"/>
      <c r="G359" s="661"/>
      <c r="H359" s="661"/>
    </row>
    <row r="360" spans="1:8" x14ac:dyDescent="0.2">
      <c r="A360" s="662" t="s">
        <v>636</v>
      </c>
      <c r="B360" s="661"/>
      <c r="C360" s="661"/>
      <c r="D360" s="661"/>
      <c r="E360" s="661"/>
      <c r="F360" s="661"/>
      <c r="G360" s="661"/>
      <c r="H360" s="661"/>
    </row>
    <row r="361" spans="1:8" x14ac:dyDescent="0.2">
      <c r="A361" s="662" t="s">
        <v>637</v>
      </c>
      <c r="B361" s="661"/>
      <c r="C361" s="661"/>
      <c r="D361" s="661"/>
      <c r="E361" s="661"/>
      <c r="F361" s="661"/>
      <c r="G361" s="661"/>
      <c r="H361" s="661"/>
    </row>
    <row r="362" spans="1:8" x14ac:dyDescent="0.2">
      <c r="A362" s="662" t="s">
        <v>638</v>
      </c>
      <c r="B362" s="661"/>
      <c r="C362" s="661"/>
      <c r="D362" s="661"/>
      <c r="E362" s="661"/>
      <c r="F362" s="661"/>
      <c r="G362" s="661"/>
      <c r="H362" s="661"/>
    </row>
    <row r="363" spans="1:8" x14ac:dyDescent="0.2">
      <c r="A363" s="662" t="s">
        <v>639</v>
      </c>
      <c r="B363" s="661"/>
      <c r="C363" s="661"/>
      <c r="D363" s="661"/>
      <c r="E363" s="661"/>
      <c r="F363" s="661"/>
      <c r="G363" s="661"/>
      <c r="H363" s="661"/>
    </row>
    <row r="364" spans="1:8" x14ac:dyDescent="0.2">
      <c r="A364" s="662" t="s">
        <v>640</v>
      </c>
      <c r="B364" s="661"/>
      <c r="C364" s="661"/>
      <c r="D364" s="661"/>
      <c r="E364" s="661"/>
      <c r="F364" s="661"/>
      <c r="G364" s="661"/>
      <c r="H364" s="661"/>
    </row>
    <row r="365" spans="1:8" x14ac:dyDescent="0.2">
      <c r="A365" s="662" t="s">
        <v>641</v>
      </c>
      <c r="B365" s="661"/>
      <c r="C365" s="661"/>
      <c r="D365" s="661"/>
      <c r="E365" s="661"/>
      <c r="F365" s="661"/>
      <c r="G365" s="661"/>
      <c r="H365" s="661"/>
    </row>
    <row r="366" spans="1:8" x14ac:dyDescent="0.2">
      <c r="A366" s="662" t="s">
        <v>642</v>
      </c>
      <c r="B366" s="661"/>
      <c r="C366" s="661"/>
      <c r="D366" s="661"/>
      <c r="E366" s="661"/>
      <c r="F366" s="661"/>
      <c r="G366" s="661"/>
      <c r="H366" s="661"/>
    </row>
    <row r="367" spans="1:8" x14ac:dyDescent="0.2">
      <c r="A367" s="662" t="s">
        <v>643</v>
      </c>
      <c r="B367" s="661"/>
      <c r="C367" s="661"/>
      <c r="D367" s="661"/>
      <c r="E367" s="661"/>
      <c r="F367" s="661"/>
      <c r="G367" s="661"/>
      <c r="H367" s="661"/>
    </row>
    <row r="368" spans="1:8" x14ac:dyDescent="0.2">
      <c r="A368" s="662" t="s">
        <v>644</v>
      </c>
      <c r="B368" s="661"/>
      <c r="C368" s="661"/>
      <c r="D368" s="661"/>
      <c r="E368" s="661"/>
      <c r="F368" s="661"/>
      <c r="G368" s="661"/>
      <c r="H368" s="661"/>
    </row>
    <row r="369" spans="1:8" x14ac:dyDescent="0.2">
      <c r="A369" s="661"/>
      <c r="B369" s="661"/>
      <c r="C369" s="661"/>
      <c r="D369" s="661"/>
      <c r="E369" s="661"/>
      <c r="F369" s="661"/>
      <c r="G369" s="661"/>
      <c r="H369" s="661"/>
    </row>
    <row r="370" spans="1:8" x14ac:dyDescent="0.2">
      <c r="A370" s="662" t="s">
        <v>602</v>
      </c>
      <c r="B370" s="661"/>
      <c r="C370" s="661"/>
      <c r="D370" s="661"/>
      <c r="E370" s="661"/>
      <c r="F370" s="661"/>
      <c r="G370" s="661"/>
      <c r="H370" s="661"/>
    </row>
    <row r="371" spans="1:8" x14ac:dyDescent="0.2">
      <c r="A371" s="662" t="s">
        <v>606</v>
      </c>
      <c r="B371" s="661"/>
      <c r="C371" s="661"/>
      <c r="D371" s="661"/>
      <c r="E371" s="661"/>
      <c r="F371" s="661"/>
      <c r="G371" s="661"/>
      <c r="H371" s="661"/>
    </row>
    <row r="372" spans="1:8" x14ac:dyDescent="0.2">
      <c r="A372" s="662" t="s">
        <v>607</v>
      </c>
      <c r="B372" s="661"/>
      <c r="C372" s="661"/>
      <c r="D372" s="661"/>
      <c r="E372" s="661"/>
      <c r="F372" s="661"/>
      <c r="G372" s="661"/>
      <c r="H372" s="661"/>
    </row>
    <row r="373" spans="1:8" x14ac:dyDescent="0.2">
      <c r="A373" s="662" t="s">
        <v>608</v>
      </c>
      <c r="B373" s="661"/>
      <c r="C373" s="661"/>
      <c r="D373" s="661"/>
      <c r="E373" s="661"/>
      <c r="F373" s="661"/>
      <c r="G373" s="661"/>
      <c r="H373" s="661"/>
    </row>
    <row r="374" spans="1:8" x14ac:dyDescent="0.2">
      <c r="A374" s="662" t="s">
        <v>609</v>
      </c>
      <c r="B374" s="661"/>
      <c r="C374" s="661"/>
      <c r="D374" s="661"/>
      <c r="E374" s="661"/>
      <c r="F374" s="661"/>
      <c r="G374" s="661"/>
      <c r="H374" s="661"/>
    </row>
    <row r="375" spans="1:8" x14ac:dyDescent="0.2">
      <c r="A375" s="661"/>
      <c r="B375" s="661"/>
      <c r="C375" s="661"/>
      <c r="D375" s="661"/>
      <c r="E375" s="661"/>
      <c r="F375" s="661"/>
      <c r="G375" s="661"/>
      <c r="H375" s="661"/>
    </row>
    <row r="376" spans="1:8" x14ac:dyDescent="0.2">
      <c r="A376" s="662" t="s">
        <v>602</v>
      </c>
      <c r="B376" s="661"/>
      <c r="C376" s="661"/>
      <c r="D376" s="661"/>
      <c r="E376" s="661"/>
      <c r="F376" s="661"/>
      <c r="G376" s="661"/>
      <c r="H376" s="661"/>
    </row>
    <row r="377" spans="1:8" x14ac:dyDescent="0.2">
      <c r="A377" s="662" t="s">
        <v>603</v>
      </c>
      <c r="B377" s="661"/>
      <c r="C377" s="661"/>
      <c r="D377" s="661"/>
      <c r="E377" s="661"/>
      <c r="F377" s="661"/>
      <c r="G377" s="661"/>
      <c r="H377" s="661"/>
    </row>
    <row r="378" spans="1:8" x14ac:dyDescent="0.2">
      <c r="A378" s="662" t="s">
        <v>604</v>
      </c>
      <c r="B378" s="661"/>
      <c r="C378" s="661"/>
      <c r="D378" s="661"/>
      <c r="E378" s="661"/>
      <c r="F378" s="661"/>
      <c r="G378" s="661"/>
      <c r="H378" s="661"/>
    </row>
    <row r="379" spans="1:8" x14ac:dyDescent="0.2">
      <c r="A379" s="662" t="s">
        <v>605</v>
      </c>
      <c r="B379" s="661"/>
      <c r="C379" s="661"/>
      <c r="D379" s="661"/>
      <c r="E379" s="661"/>
      <c r="F379" s="661"/>
      <c r="G379" s="661"/>
      <c r="H379" s="661"/>
    </row>
    <row r="380" spans="1:8" x14ac:dyDescent="0.2">
      <c r="A380" s="661"/>
      <c r="B380" s="661"/>
      <c r="C380" s="661"/>
      <c r="D380" s="661"/>
      <c r="E380" s="661"/>
      <c r="F380" s="661"/>
      <c r="G380" s="661"/>
      <c r="H380" s="661"/>
    </row>
    <row r="381" spans="1:8" x14ac:dyDescent="0.2">
      <c r="A381" s="662" t="s">
        <v>596</v>
      </c>
      <c r="B381" s="661"/>
      <c r="C381" s="661"/>
      <c r="D381" s="661"/>
      <c r="E381" s="661"/>
      <c r="F381" s="661"/>
      <c r="G381" s="661"/>
      <c r="H381" s="661"/>
    </row>
    <row r="382" spans="1:8" x14ac:dyDescent="0.2">
      <c r="A382" s="662" t="s">
        <v>597</v>
      </c>
      <c r="B382" s="661"/>
      <c r="C382" s="661"/>
      <c r="D382" s="661"/>
      <c r="E382" s="661"/>
      <c r="F382" s="661"/>
      <c r="G382" s="661"/>
      <c r="H382" s="661"/>
    </row>
    <row r="383" spans="1:8" x14ac:dyDescent="0.2">
      <c r="A383" s="662" t="s">
        <v>598</v>
      </c>
      <c r="B383" s="661"/>
      <c r="C383" s="661"/>
      <c r="D383" s="661"/>
      <c r="E383" s="661"/>
      <c r="F383" s="661"/>
      <c r="G383" s="661"/>
      <c r="H383" s="661"/>
    </row>
    <row r="384" spans="1:8" x14ac:dyDescent="0.2">
      <c r="A384" s="662" t="s">
        <v>599</v>
      </c>
      <c r="B384" s="661"/>
      <c r="C384" s="661"/>
      <c r="D384" s="661"/>
      <c r="E384" s="661"/>
      <c r="F384" s="661"/>
      <c r="G384" s="661"/>
      <c r="H384" s="661"/>
    </row>
    <row r="385" spans="1:8" x14ac:dyDescent="0.2">
      <c r="A385" s="662" t="s">
        <v>600</v>
      </c>
      <c r="B385" s="661"/>
      <c r="C385" s="661"/>
      <c r="D385" s="661"/>
      <c r="E385" s="661"/>
      <c r="F385" s="661"/>
      <c r="G385" s="661"/>
      <c r="H385" s="661"/>
    </row>
    <row r="386" spans="1:8" x14ac:dyDescent="0.2">
      <c r="A386" s="662" t="s">
        <v>601</v>
      </c>
      <c r="B386" s="661"/>
      <c r="C386" s="661"/>
      <c r="D386" s="661"/>
      <c r="E386" s="661"/>
      <c r="F386" s="661"/>
      <c r="G386" s="661"/>
      <c r="H386" s="661"/>
    </row>
    <row r="387" spans="1:8" x14ac:dyDescent="0.2">
      <c r="A387" s="661"/>
      <c r="B387" s="661"/>
      <c r="C387" s="661"/>
      <c r="D387" s="661"/>
      <c r="E387" s="661"/>
      <c r="F387" s="661"/>
      <c r="G387" s="661"/>
      <c r="H387" s="661"/>
    </row>
    <row r="388" spans="1:8" x14ac:dyDescent="0.2">
      <c r="A388" s="662" t="s">
        <v>591</v>
      </c>
      <c r="B388" s="661"/>
      <c r="C388" s="661"/>
      <c r="D388" s="661"/>
      <c r="E388" s="661"/>
      <c r="F388" s="661"/>
      <c r="G388" s="661"/>
      <c r="H388" s="661"/>
    </row>
    <row r="389" spans="1:8" x14ac:dyDescent="0.2">
      <c r="A389" s="662" t="s">
        <v>592</v>
      </c>
      <c r="B389" s="661"/>
      <c r="C389" s="661"/>
      <c r="D389" s="661"/>
      <c r="E389" s="661"/>
      <c r="F389" s="661"/>
      <c r="G389" s="661"/>
      <c r="H389" s="661"/>
    </row>
    <row r="390" spans="1:8" x14ac:dyDescent="0.2">
      <c r="A390" s="662" t="s">
        <v>593</v>
      </c>
      <c r="B390" s="661"/>
      <c r="C390" s="661"/>
      <c r="D390" s="661"/>
      <c r="E390" s="661"/>
      <c r="F390" s="661"/>
      <c r="G390" s="661"/>
      <c r="H390" s="661"/>
    </row>
    <row r="391" spans="1:8" x14ac:dyDescent="0.2">
      <c r="A391" s="662" t="s">
        <v>594</v>
      </c>
      <c r="B391" s="661"/>
      <c r="C391" s="661"/>
      <c r="D391" s="661"/>
      <c r="E391" s="661"/>
      <c r="F391" s="661"/>
      <c r="G391" s="661"/>
      <c r="H391" s="661"/>
    </row>
    <row r="392" spans="1:8" x14ac:dyDescent="0.2">
      <c r="A392" s="662" t="s">
        <v>595</v>
      </c>
      <c r="B392" s="661"/>
      <c r="C392" s="661"/>
      <c r="D392" s="661"/>
      <c r="E392" s="661"/>
      <c r="F392" s="661"/>
      <c r="G392" s="661"/>
      <c r="H392" s="661"/>
    </row>
    <row r="393" spans="1:8" x14ac:dyDescent="0.2">
      <c r="A393" s="661"/>
      <c r="B393" s="661"/>
      <c r="C393" s="661"/>
      <c r="D393" s="661"/>
      <c r="E393" s="661"/>
      <c r="F393" s="661"/>
      <c r="G393" s="661"/>
      <c r="H393" s="661"/>
    </row>
    <row r="394" spans="1:8" x14ac:dyDescent="0.2">
      <c r="A394" s="662" t="s">
        <v>589</v>
      </c>
      <c r="B394" s="661"/>
      <c r="C394" s="661"/>
      <c r="D394" s="661"/>
      <c r="E394" s="661"/>
      <c r="F394" s="661"/>
      <c r="G394" s="661"/>
      <c r="H394" s="661"/>
    </row>
    <row r="395" spans="1:8" x14ac:dyDescent="0.2">
      <c r="A395" s="662" t="s">
        <v>590</v>
      </c>
      <c r="B395" s="661"/>
      <c r="C395" s="661"/>
      <c r="D395" s="661"/>
      <c r="E395" s="661"/>
      <c r="F395" s="661"/>
      <c r="G395" s="661"/>
      <c r="H395" s="661"/>
    </row>
    <row r="397" spans="1:8" x14ac:dyDescent="0.2">
      <c r="A397" s="657" t="s">
        <v>849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DD950"/>
  <sheetViews>
    <sheetView showGridLines="0" zoomScaleNormal="100" workbookViewId="0">
      <pane xSplit="1" ySplit="24" topLeftCell="AR25" activePane="bottomRight" state="frozen"/>
      <selection pane="topRight" activeCell="B1" sqref="B1"/>
      <selection pane="bottomLeft" activeCell="A30" sqref="A30"/>
      <selection pane="bottomRight" activeCell="BB16" sqref="BB16"/>
    </sheetView>
  </sheetViews>
  <sheetFormatPr defaultRowHeight="12.75" customHeight="1" outlineLevelRow="2" outlineLevelCol="3" x14ac:dyDescent="0.2"/>
  <cols>
    <col min="1" max="1" width="38.42578125" style="4" customWidth="1"/>
    <col min="2" max="2" width="9.140625" style="32" hidden="1" customWidth="1" outlineLevel="1"/>
    <col min="3" max="3" width="9.140625" style="57" hidden="1" customWidth="1" outlineLevel="1"/>
    <col min="4" max="4" width="9.140625" style="32" hidden="1" customWidth="1" outlineLevel="1" collapsed="1"/>
    <col min="5" max="5" width="9.140625" style="57" hidden="1" customWidth="1" outlineLevel="1"/>
    <col min="6" max="6" width="9.140625" style="32" hidden="1" customWidth="1" outlineLevel="1" collapsed="1"/>
    <col min="7" max="7" width="9.140625" style="57" hidden="1" customWidth="1" outlineLevel="1"/>
    <col min="8" max="8" width="9.140625" style="32" hidden="1" customWidth="1" outlineLevel="1" collapsed="1"/>
    <col min="9" max="9" width="9.140625" style="57" hidden="1" customWidth="1" outlineLevel="1"/>
    <col min="10" max="10" width="9.140625" style="4" hidden="1" customWidth="1" outlineLevel="1" collapsed="1"/>
    <col min="11" max="11" width="9.140625" style="176" hidden="1" customWidth="1" outlineLevel="1"/>
    <col min="12" max="12" width="9.140625" style="4" hidden="1" customWidth="1" outlineLevel="1" collapsed="1"/>
    <col min="13" max="13" width="9.140625" style="176" hidden="1" customWidth="1" outlineLevel="1"/>
    <col min="14" max="14" width="9.140625" style="4" hidden="1" customWidth="1" outlineLevel="1" collapsed="1"/>
    <col min="15" max="15" width="9.140625" style="176" hidden="1" customWidth="1" outlineLevel="1"/>
    <col min="16" max="16" width="9.140625" style="4" hidden="1" customWidth="1" outlineLevel="1" collapsed="1"/>
    <col min="17" max="17" width="9.140625" style="176" hidden="1" customWidth="1" outlineLevel="1"/>
    <col min="18" max="18" width="9.140625" style="4" hidden="1" customWidth="1" outlineLevel="1"/>
    <col min="19" max="19" width="9.140625" style="176" hidden="1" customWidth="1" outlineLevel="1"/>
    <col min="20" max="20" width="9.140625" style="4" hidden="1" customWidth="1" outlineLevel="1" collapsed="1"/>
    <col min="21" max="21" width="9.140625" style="176" hidden="1" customWidth="1" outlineLevel="1"/>
    <col min="22" max="22" width="9.140625" style="4" hidden="1" customWidth="1" outlineLevel="1" collapsed="1"/>
    <col min="23" max="23" width="9.140625" style="176" hidden="1" customWidth="1" outlineLevel="1"/>
    <col min="24" max="24" width="9.140625" style="4" hidden="1" customWidth="1" outlineLevel="1" collapsed="1"/>
    <col min="25" max="25" width="9.140625" style="176" hidden="1" customWidth="1" outlineLevel="1"/>
    <col min="26" max="26" width="9.140625" style="4" hidden="1" customWidth="1" outlineLevel="1"/>
    <col min="27" max="27" width="9.140625" style="176" hidden="1" customWidth="1" outlineLevel="1"/>
    <col min="28" max="28" width="9.140625" style="4" hidden="1" customWidth="1" outlineLevel="1"/>
    <col min="29" max="29" width="9.140625" style="176" hidden="1" customWidth="1" outlineLevel="1"/>
    <col min="30" max="30" width="9.140625" style="4" hidden="1" customWidth="1" outlineLevel="1"/>
    <col min="31" max="31" width="9.140625" style="176" hidden="1" customWidth="1" outlineLevel="1"/>
    <col min="32" max="32" width="9.140625" style="4" hidden="1" customWidth="1" outlineLevel="1"/>
    <col min="33" max="33" width="9.140625" style="176" hidden="1" customWidth="1" outlineLevel="1"/>
    <col min="34" max="34" width="9.5703125" style="4" hidden="1" customWidth="1" outlineLevel="1"/>
    <col min="35" max="35" width="9.140625" style="176" hidden="1" customWidth="1" outlineLevel="1"/>
    <col min="36" max="36" width="9.5703125" style="4" hidden="1" customWidth="1" outlineLevel="1"/>
    <col min="37" max="37" width="9.140625" style="176" hidden="1" customWidth="1" outlineLevel="1"/>
    <col min="38" max="38" width="9.5703125" style="4" hidden="1" customWidth="1" outlineLevel="1"/>
    <col min="39" max="39" width="9.140625" style="176" hidden="1" customWidth="1" outlineLevel="1"/>
    <col min="40" max="40" width="9.5703125" style="408" hidden="1" customWidth="1" outlineLevel="1"/>
    <col min="41" max="41" width="9.140625" style="176" hidden="1" customWidth="1" outlineLevel="1"/>
    <col min="42" max="42" width="9.5703125" style="408" bestFit="1" customWidth="1" collapsed="1"/>
    <col min="43" max="43" width="9.140625" style="176" hidden="1" customWidth="1" outlineLevel="1"/>
    <col min="44" max="44" width="10" style="408" bestFit="1" customWidth="1" collapsed="1"/>
    <col min="45" max="45" width="9.140625" style="176" hidden="1" customWidth="1" outlineLevel="1"/>
    <col min="46" max="46" width="10" style="408" bestFit="1" customWidth="1" collapsed="1"/>
    <col min="47" max="47" width="9.140625" style="176" hidden="1" customWidth="1" outlineLevel="1"/>
    <col min="48" max="48" width="10" style="408" bestFit="1" customWidth="1" collapsed="1"/>
    <col min="49" max="49" width="9.140625" style="176" hidden="1" customWidth="1" outlineLevel="1"/>
    <col min="50" max="50" width="10" style="408" bestFit="1" customWidth="1" collapsed="1"/>
    <col min="51" max="51" width="9.140625" style="176" hidden="1" customWidth="1" outlineLevel="1"/>
    <col min="52" max="52" width="10" style="408" bestFit="1" customWidth="1" collapsed="1"/>
    <col min="53" max="53" width="9.140625" style="176" hidden="1" customWidth="1" outlineLevel="1"/>
    <col min="54" max="54" width="9.5703125" style="408" bestFit="1" customWidth="1" collapsed="1"/>
    <col min="55" max="55" width="9.140625" style="176" hidden="1" customWidth="1" outlineLevel="1"/>
    <col min="56" max="56" width="9.5703125" style="408" bestFit="1" customWidth="1" collapsed="1"/>
    <col min="57" max="57" width="9.140625" style="176" hidden="1" customWidth="1" outlineLevel="1"/>
    <col min="58" max="58" width="9.5703125" style="4" bestFit="1" customWidth="1" collapsed="1"/>
    <col min="59" max="59" width="9.140625" style="176" hidden="1" customWidth="1" outlineLevel="1"/>
    <col min="60" max="60" width="9.5703125" style="4" bestFit="1" customWidth="1" collapsed="1"/>
    <col min="61" max="61" width="9.140625" style="176" hidden="1" customWidth="1" outlineLevel="1"/>
    <col min="62" max="62" width="9.5703125" style="4" bestFit="1" customWidth="1" collapsed="1"/>
    <col min="63" max="63" width="9.140625" style="176" hidden="1" customWidth="1" outlineLevel="1"/>
    <col min="64" max="64" width="9.5703125" style="4" bestFit="1" customWidth="1" collapsed="1"/>
    <col min="65" max="65" width="9.140625" style="176" hidden="1" customWidth="1" outlineLevel="1"/>
    <col min="66" max="66" width="1.28515625" style="4" customWidth="1" collapsed="1"/>
    <col min="67" max="67" width="0.85546875" style="131" customWidth="1"/>
    <col min="68" max="68" width="0.85546875" style="4" customWidth="1"/>
    <col min="69" max="72" width="9.140625" style="4" hidden="1" customWidth="1" outlineLevel="1"/>
    <col min="73" max="73" width="9.140625" style="4" hidden="1" customWidth="1" outlineLevel="1" collapsed="1"/>
    <col min="74" max="74" width="9.140625" style="176" hidden="1" customWidth="1" outlineLevel="1"/>
    <col min="75" max="75" width="9.140625" style="4" hidden="1" customWidth="1" outlineLevel="1" collapsed="1"/>
    <col min="76" max="76" width="9.140625" style="176" hidden="1" customWidth="1" outlineLevel="2"/>
    <col min="77" max="77" width="9.140625" style="4" hidden="1" customWidth="1" outlineLevel="2" collapsed="1"/>
    <col min="78" max="78" width="9.140625" style="176" hidden="1" customWidth="1" outlineLevel="3"/>
    <col min="79" max="79" width="9.140625" style="4" hidden="1" customWidth="1" outlineLevel="1"/>
    <col min="80" max="80" width="9.140625" style="176" hidden="1" customWidth="1" outlineLevel="2"/>
    <col min="81" max="81" width="9.140625" style="4" collapsed="1"/>
    <col min="82" max="82" width="9.140625" style="176" hidden="1" customWidth="1" outlineLevel="1"/>
    <col min="83" max="83" width="9.140625" style="4" collapsed="1"/>
    <col min="84" max="84" width="9.140625" style="176" hidden="1" customWidth="1" outlineLevel="1"/>
    <col min="85" max="85" width="9.140625" style="4" collapsed="1"/>
    <col min="86" max="86" width="9.140625" style="176" hidden="1" customWidth="1" outlineLevel="1"/>
    <col min="87" max="87" width="9.140625" style="4" collapsed="1"/>
    <col min="88" max="88" width="9.140625" style="176" hidden="1" customWidth="1" outlineLevel="1"/>
    <col min="89" max="89" width="9.140625" style="4" collapsed="1"/>
    <col min="90" max="90" width="9.140625" style="176" hidden="1" customWidth="1" outlineLevel="1"/>
    <col min="91" max="91" width="9.140625" style="4" customWidth="1" collapsed="1"/>
    <col min="92" max="92" width="9.140625" style="176" hidden="1" customWidth="1" outlineLevel="1"/>
    <col min="93" max="93" width="9.140625" style="4" customWidth="1" collapsed="1"/>
    <col min="94" max="94" width="9.140625" style="176" hidden="1" customWidth="1" outlineLevel="1"/>
    <col min="95" max="95" width="9.140625" style="4" customWidth="1" collapsed="1"/>
    <col min="96" max="96" width="9.140625" style="176" hidden="1" customWidth="1" outlineLevel="1"/>
    <col min="97" max="97" width="9.140625" style="176" collapsed="1"/>
    <col min="98" max="99" width="9.140625" style="13"/>
    <col min="100" max="105" width="9.140625" hidden="1" customWidth="1" outlineLevel="1"/>
    <col min="106" max="106" width="9.140625" style="13" collapsed="1"/>
    <col min="107" max="16384" width="9.140625" style="13"/>
  </cols>
  <sheetData>
    <row r="1" spans="1:108" s="554" customFormat="1" ht="12.75" customHeight="1" x14ac:dyDescent="0.2">
      <c r="A1" s="561"/>
      <c r="B1" s="562"/>
      <c r="C1" s="563"/>
      <c r="D1" s="562"/>
      <c r="E1" s="563"/>
      <c r="F1" s="562"/>
      <c r="G1" s="563"/>
      <c r="H1" s="562"/>
      <c r="I1" s="563"/>
      <c r="J1" s="562"/>
      <c r="K1" s="564"/>
      <c r="L1" s="562"/>
      <c r="M1" s="564"/>
      <c r="N1" s="562"/>
      <c r="O1" s="564"/>
      <c r="P1" s="562"/>
      <c r="Q1" s="564"/>
      <c r="R1" s="562"/>
      <c r="S1" s="564"/>
      <c r="T1" s="562"/>
      <c r="U1" s="564"/>
      <c r="V1" s="562"/>
      <c r="W1" s="564"/>
      <c r="X1" s="562"/>
      <c r="Y1" s="564"/>
      <c r="Z1" s="562"/>
      <c r="AA1" s="564"/>
      <c r="AB1" s="562"/>
      <c r="AC1" s="564"/>
      <c r="AD1" s="562"/>
      <c r="AE1" s="564"/>
      <c r="AF1" s="562"/>
      <c r="AG1" s="564"/>
      <c r="AH1" s="562"/>
      <c r="AI1" s="564"/>
      <c r="AJ1" s="562"/>
      <c r="AK1" s="564"/>
      <c r="AL1" s="562"/>
      <c r="AM1" s="564"/>
      <c r="AN1" s="562"/>
      <c r="AO1" s="564"/>
      <c r="AP1" s="562"/>
      <c r="AQ1" s="562">
        <v>-15.797451952103748</v>
      </c>
      <c r="AR1" s="562"/>
      <c r="AS1" s="562">
        <v>4.710283991160269</v>
      </c>
      <c r="AT1" s="562"/>
      <c r="AU1" s="562" t="s">
        <v>500</v>
      </c>
      <c r="AV1" s="562"/>
      <c r="AW1" s="564"/>
      <c r="AX1" s="562"/>
      <c r="AY1" s="564"/>
      <c r="AZ1" s="562"/>
      <c r="BA1" s="564"/>
      <c r="BB1" s="562"/>
      <c r="BC1" s="564"/>
      <c r="BD1" s="562"/>
      <c r="BE1" s="564"/>
      <c r="BF1" s="562"/>
      <c r="BG1" s="564">
        <v>70.322476740411147</v>
      </c>
      <c r="BH1" s="562"/>
      <c r="BI1" s="564" t="s">
        <v>500</v>
      </c>
      <c r="BJ1" s="562"/>
      <c r="BK1" s="564" t="s">
        <v>500</v>
      </c>
      <c r="BL1" s="562"/>
      <c r="BM1" s="564"/>
      <c r="BN1" s="565"/>
      <c r="BO1" s="566"/>
      <c r="BP1" s="565"/>
      <c r="BQ1" s="565"/>
      <c r="BR1" s="565"/>
      <c r="BS1" s="565"/>
      <c r="BT1" s="565"/>
      <c r="BU1" s="562"/>
      <c r="BV1" s="564"/>
      <c r="BW1" s="562"/>
      <c r="BX1" s="564"/>
      <c r="BY1" s="562"/>
      <c r="BZ1" s="564"/>
      <c r="CA1" s="562"/>
      <c r="CB1" s="564"/>
      <c r="CC1" s="562"/>
      <c r="CD1" s="562">
        <v>-6.8092374724151972</v>
      </c>
      <c r="CE1" s="562"/>
      <c r="CF1" s="562">
        <v>10.040506731134148</v>
      </c>
      <c r="CG1" s="562"/>
      <c r="CH1" s="562"/>
      <c r="CI1" s="562"/>
      <c r="CJ1" s="562" t="s">
        <v>500</v>
      </c>
      <c r="CK1" s="562"/>
      <c r="CL1" s="562">
        <v>23.498309152927455</v>
      </c>
      <c r="CM1" s="562"/>
      <c r="CN1" s="552">
        <v>10.468620767471348</v>
      </c>
      <c r="CO1" s="562"/>
      <c r="CP1" s="552">
        <v>10.43193225734762</v>
      </c>
      <c r="CQ1" s="562"/>
      <c r="CR1" s="552"/>
      <c r="CS1" s="552"/>
      <c r="CV1"/>
      <c r="CW1"/>
      <c r="CX1"/>
      <c r="CY1"/>
      <c r="CZ1"/>
      <c r="DA1"/>
    </row>
    <row r="2" spans="1:108" customFormat="1" ht="12.75" hidden="1" customHeight="1" outlineLevel="1" x14ac:dyDescent="0.2"/>
    <row r="3" spans="1:108" s="554" customFormat="1" ht="12.75" customHeight="1" collapsed="1" x14ac:dyDescent="0.2">
      <c r="A3" s="653" t="s">
        <v>444</v>
      </c>
      <c r="B3" s="553"/>
      <c r="C3" s="551"/>
      <c r="D3" s="553"/>
      <c r="E3" s="551"/>
      <c r="F3" s="553"/>
      <c r="G3" s="551"/>
      <c r="H3" s="553"/>
      <c r="I3" s="551"/>
      <c r="J3" s="553"/>
      <c r="K3" s="555" t="str">
        <f>J5&amp;"/"</f>
        <v>1Q12/</v>
      </c>
      <c r="L3" s="556"/>
      <c r="M3" s="555" t="str">
        <f>L5&amp;"/"</f>
        <v>2Q12/</v>
      </c>
      <c r="N3" s="556"/>
      <c r="O3" s="555" t="str">
        <f>N5&amp;"/"</f>
        <v>3Q12/</v>
      </c>
      <c r="P3" s="556"/>
      <c r="Q3" s="555" t="str">
        <f>P5&amp;"/"</f>
        <v>4Q12/</v>
      </c>
      <c r="R3" s="557"/>
      <c r="S3" s="555" t="str">
        <f>R5&amp;"/"</f>
        <v>1Q13/</v>
      </c>
      <c r="T3" s="557"/>
      <c r="U3" s="555" t="str">
        <f>T5&amp;"/"</f>
        <v>2Q13/</v>
      </c>
      <c r="V3" s="557"/>
      <c r="W3" s="555" t="str">
        <f>V5&amp;"/"</f>
        <v>3Q13/</v>
      </c>
      <c r="X3" s="557"/>
      <c r="Y3" s="555" t="str">
        <f>X5&amp;"/"</f>
        <v>4Q13/</v>
      </c>
      <c r="Z3" s="557"/>
      <c r="AA3" s="555" t="str">
        <f>Z5&amp;"/"</f>
        <v>1Q14/</v>
      </c>
      <c r="AB3" s="557"/>
      <c r="AC3" s="555" t="str">
        <f>AB5&amp;"/"</f>
        <v>2Q14/</v>
      </c>
      <c r="AD3" s="557"/>
      <c r="AE3" s="555" t="str">
        <f>AD5&amp;"/"</f>
        <v>3Q14/</v>
      </c>
      <c r="AF3" s="557"/>
      <c r="AG3" s="555" t="str">
        <f>AF5&amp;"/"</f>
        <v>4Q14/</v>
      </c>
      <c r="AH3" s="557"/>
      <c r="AI3" s="555" t="str">
        <f>AH5&amp;"/"</f>
        <v>1Q15/</v>
      </c>
      <c r="AJ3" s="557"/>
      <c r="AK3" s="555" t="str">
        <f>AJ5&amp;"/"</f>
        <v>2Q15/</v>
      </c>
      <c r="AL3" s="557"/>
      <c r="AM3" s="558" t="str">
        <f>AL5&amp;"/"</f>
        <v>3Q15/</v>
      </c>
      <c r="AN3" s="559"/>
      <c r="AO3" s="558" t="str">
        <f>AN5&amp;"/"</f>
        <v>4Q15/</v>
      </c>
      <c r="AP3" s="559"/>
      <c r="AQ3" s="558" t="str">
        <f>AP5&amp;"/"</f>
        <v>1Q16/</v>
      </c>
      <c r="AR3" s="559"/>
      <c r="AS3" s="558" t="str">
        <f>AR5&amp;"/"</f>
        <v>2Q16/</v>
      </c>
      <c r="AT3" s="559"/>
      <c r="AU3" s="568" t="str">
        <f>AT5&amp;"/"</f>
        <v>3Q16/</v>
      </c>
      <c r="AV3" s="559"/>
      <c r="AW3" s="569" t="str">
        <f t="shared" ref="AW3" si="0">AV5&amp;"/"</f>
        <v>4Q16/</v>
      </c>
      <c r="AX3" s="559"/>
      <c r="AY3" s="569" t="str">
        <f t="shared" ref="AY3" si="1">AX5&amp;"/"</f>
        <v>1Q17/</v>
      </c>
      <c r="AZ3" s="559"/>
      <c r="BA3" s="569" t="str">
        <f t="shared" ref="BA3" si="2">AZ5&amp;"/"</f>
        <v>2Q17/</v>
      </c>
      <c r="BB3" s="567"/>
      <c r="BC3" s="569" t="str">
        <f t="shared" ref="BC3" si="3">BB5&amp;"/"</f>
        <v>3Q17/</v>
      </c>
      <c r="BD3" s="567"/>
      <c r="BE3" s="569" t="str">
        <f t="shared" ref="BE3" si="4">BD5&amp;"/"</f>
        <v>4Q17/</v>
      </c>
      <c r="BF3" s="567"/>
      <c r="BG3" s="569" t="str">
        <f t="shared" ref="BG3" si="5">BF5&amp;"/"</f>
        <v>1Q18E/</v>
      </c>
      <c r="BH3" s="567"/>
      <c r="BI3" s="569" t="str">
        <f t="shared" ref="BI3" si="6">BH5&amp;"/"</f>
        <v>2Q18E/</v>
      </c>
      <c r="BJ3" s="567"/>
      <c r="BK3" s="569" t="str">
        <f t="shared" ref="BK3" si="7">BJ5&amp;"/"</f>
        <v>3Q18E/</v>
      </c>
      <c r="BL3" s="567"/>
      <c r="BM3" s="569" t="str">
        <f t="shared" ref="BM3" si="8">BL5&amp;"/"</f>
        <v>4Q18E/</v>
      </c>
      <c r="BN3" s="570"/>
      <c r="BO3" s="571"/>
      <c r="BP3" s="570"/>
      <c r="BQ3" s="570"/>
      <c r="BR3" s="572"/>
      <c r="BS3" s="572"/>
      <c r="BT3" s="572"/>
      <c r="BU3" s="573"/>
      <c r="BV3" s="569" t="str">
        <f>BU5&amp;"/"</f>
        <v>2011/</v>
      </c>
      <c r="BW3" s="573"/>
      <c r="BX3" s="569" t="str">
        <f>BW5&amp;"/"</f>
        <v>2012/</v>
      </c>
      <c r="BY3" s="573"/>
      <c r="BZ3" s="569" t="str">
        <f>BY5&amp;"/"</f>
        <v>2013/</v>
      </c>
      <c r="CA3" s="574"/>
      <c r="CB3" s="569" t="str">
        <f>CA5&amp;"/"</f>
        <v>2014/</v>
      </c>
      <c r="CC3" s="567"/>
      <c r="CD3" s="575" t="str">
        <f>CC5&amp;"/"</f>
        <v>2015/</v>
      </c>
      <c r="CE3" s="567"/>
      <c r="CF3" s="575" t="str">
        <f>CE5&amp;"/"</f>
        <v>2016/</v>
      </c>
      <c r="CG3" s="567"/>
      <c r="CH3" s="575" t="str">
        <f>CG5&amp;"/"</f>
        <v>2017/</v>
      </c>
      <c r="CI3" s="567"/>
      <c r="CJ3" s="575" t="str">
        <f>CI5&amp;"/"</f>
        <v>2018E/</v>
      </c>
      <c r="CK3" s="567"/>
      <c r="CL3" s="575" t="str">
        <f>CK5&amp;"/"</f>
        <v>2019E/</v>
      </c>
      <c r="CM3" s="594"/>
      <c r="CN3" s="555" t="str">
        <f>CM5&amp;"/"</f>
        <v>2020E/</v>
      </c>
      <c r="CO3" s="594"/>
      <c r="CP3" s="555" t="str">
        <f>CO5&amp;"/"</f>
        <v>2021E/</v>
      </c>
      <c r="CQ3" s="560"/>
      <c r="CR3" s="555" t="str">
        <f>CQ5&amp;"/"</f>
        <v>2022E/</v>
      </c>
      <c r="CS3" s="25" t="s">
        <v>231</v>
      </c>
      <c r="CV3"/>
      <c r="CW3"/>
      <c r="CX3"/>
      <c r="CY3"/>
      <c r="CZ3"/>
      <c r="DA3"/>
    </row>
    <row r="4" spans="1:108" ht="12.75" customHeight="1" x14ac:dyDescent="0.2">
      <c r="A4" s="653"/>
      <c r="B4" s="227"/>
      <c r="D4" s="227"/>
      <c r="F4" s="227"/>
      <c r="H4" s="227"/>
      <c r="J4" s="227"/>
      <c r="K4" s="25" t="str">
        <f>B5</f>
        <v>1Q11</v>
      </c>
      <c r="L4" s="227"/>
      <c r="M4" s="25" t="str">
        <f>D5</f>
        <v>2Q11</v>
      </c>
      <c r="N4" s="227"/>
      <c r="O4" s="25" t="str">
        <f>F5</f>
        <v>3Q11</v>
      </c>
      <c r="P4" s="227"/>
      <c r="Q4" s="25" t="str">
        <f>H5</f>
        <v>4Q11</v>
      </c>
      <c r="R4" s="227"/>
      <c r="S4" s="25" t="str">
        <f>J5</f>
        <v>1Q12</v>
      </c>
      <c r="T4" s="227"/>
      <c r="U4" s="25" t="str">
        <f>L5</f>
        <v>2Q12</v>
      </c>
      <c r="V4" s="227"/>
      <c r="W4" s="25" t="str">
        <f>N5</f>
        <v>3Q12</v>
      </c>
      <c r="X4" s="227"/>
      <c r="Y4" s="25" t="str">
        <f>P5</f>
        <v>4Q12</v>
      </c>
      <c r="Z4" s="229"/>
      <c r="AA4" s="209" t="str">
        <f>R5</f>
        <v>1Q13</v>
      </c>
      <c r="AB4" s="229"/>
      <c r="AC4" s="209" t="str">
        <f>T5</f>
        <v>2Q13</v>
      </c>
      <c r="AD4" s="229"/>
      <c r="AE4" s="209" t="str">
        <f>V5</f>
        <v>3Q13</v>
      </c>
      <c r="AF4" s="229"/>
      <c r="AG4" s="25" t="str">
        <f>X5</f>
        <v>4Q13</v>
      </c>
      <c r="AH4" s="229"/>
      <c r="AI4" s="25" t="str">
        <f>Z5</f>
        <v>1Q14</v>
      </c>
      <c r="AJ4" s="229"/>
      <c r="AK4" s="25" t="str">
        <f>AB5</f>
        <v>2Q14</v>
      </c>
      <c r="AL4" s="229"/>
      <c r="AM4" s="487" t="str">
        <f>AD5</f>
        <v>3Q14</v>
      </c>
      <c r="AN4" s="503"/>
      <c r="AO4" s="487" t="str">
        <f>AF5</f>
        <v>4Q14</v>
      </c>
      <c r="AP4" s="503"/>
      <c r="AQ4" s="496" t="str">
        <f>AH5</f>
        <v>1Q15</v>
      </c>
      <c r="AR4" s="503"/>
      <c r="AS4" s="496" t="str">
        <f>AJ5</f>
        <v>2Q15</v>
      </c>
      <c r="AT4" s="503"/>
      <c r="AU4" s="496" t="str">
        <f t="shared" ref="AU4:AW4" si="9">AL5</f>
        <v>3Q15</v>
      </c>
      <c r="AV4" s="503"/>
      <c r="AW4" s="25" t="str">
        <f t="shared" si="9"/>
        <v>4Q15</v>
      </c>
      <c r="AX4" s="503"/>
      <c r="AY4" s="25" t="str">
        <f t="shared" ref="AY4" si="10">AP5</f>
        <v>1Q16</v>
      </c>
      <c r="AZ4" s="583"/>
      <c r="BA4" s="25" t="str">
        <f t="shared" ref="BA4" si="11">AR5</f>
        <v>2Q16</v>
      </c>
      <c r="BB4" s="583"/>
      <c r="BC4" s="25" t="str">
        <f t="shared" ref="BC4" si="12">AT5</f>
        <v>3Q16</v>
      </c>
      <c r="BD4" s="583"/>
      <c r="BE4" s="25" t="str">
        <f t="shared" ref="BE4" si="13">AV5</f>
        <v>4Q16</v>
      </c>
      <c r="BF4" s="495"/>
      <c r="BG4" s="25" t="str">
        <f t="shared" ref="BG4" si="14">AX5</f>
        <v>1Q17</v>
      </c>
      <c r="BH4" s="583"/>
      <c r="BI4" s="25" t="str">
        <f t="shared" ref="BI4" si="15">AZ5</f>
        <v>2Q17</v>
      </c>
      <c r="BJ4" s="495"/>
      <c r="BK4" s="25" t="str">
        <f t="shared" ref="BK4" si="16">BB5</f>
        <v>3Q17</v>
      </c>
      <c r="BL4" s="495"/>
      <c r="BM4" s="25" t="str">
        <f t="shared" ref="BM4" si="17">BD5</f>
        <v>4Q17</v>
      </c>
      <c r="BR4" s="43"/>
      <c r="BS4" s="43"/>
      <c r="BT4" s="43"/>
      <c r="BU4" s="227"/>
      <c r="BV4" s="25" t="str">
        <f>BS5</f>
        <v>2010</v>
      </c>
      <c r="BW4" s="227"/>
      <c r="BX4" s="25" t="str">
        <f>BU5</f>
        <v>2011</v>
      </c>
      <c r="BY4" s="227"/>
      <c r="BZ4" s="25" t="str">
        <f>BW5</f>
        <v>2012</v>
      </c>
      <c r="CA4" s="228"/>
      <c r="CB4" s="25" t="str">
        <f>BY5</f>
        <v>2013</v>
      </c>
      <c r="CC4" s="228"/>
      <c r="CD4" s="25" t="str">
        <f>CA5</f>
        <v>2014</v>
      </c>
      <c r="CE4" s="228"/>
      <c r="CF4" s="25" t="str">
        <f>CC5</f>
        <v>2015</v>
      </c>
      <c r="CG4" s="228"/>
      <c r="CH4" s="25">
        <f>CE5</f>
        <v>2016</v>
      </c>
      <c r="CI4" s="228"/>
      <c r="CJ4" s="25">
        <f>CG5</f>
        <v>2017</v>
      </c>
      <c r="CK4" s="228"/>
      <c r="CL4" s="25" t="str">
        <f>CI5</f>
        <v>2018E</v>
      </c>
      <c r="CM4" s="228"/>
      <c r="CN4" s="25" t="str">
        <f>CK5</f>
        <v>2019E</v>
      </c>
      <c r="CO4" s="228"/>
      <c r="CP4" s="25" t="str">
        <f>CM5</f>
        <v>2020E</v>
      </c>
      <c r="CQ4" s="228"/>
      <c r="CR4" s="25" t="str">
        <f>CO5</f>
        <v>2021E</v>
      </c>
      <c r="CS4" s="25" t="s">
        <v>6</v>
      </c>
    </row>
    <row r="5" spans="1:108" s="110" customFormat="1" ht="12.75" customHeight="1" x14ac:dyDescent="0.2">
      <c r="B5" s="257" t="s">
        <v>170</v>
      </c>
      <c r="C5" s="258"/>
      <c r="D5" s="257" t="s">
        <v>169</v>
      </c>
      <c r="E5" s="258"/>
      <c r="F5" s="257" t="s">
        <v>114</v>
      </c>
      <c r="G5" s="258"/>
      <c r="H5" s="257" t="s">
        <v>115</v>
      </c>
      <c r="I5" s="258"/>
      <c r="J5" s="257" t="s">
        <v>116</v>
      </c>
      <c r="K5" s="26" t="s">
        <v>83</v>
      </c>
      <c r="L5" s="257" t="s">
        <v>117</v>
      </c>
      <c r="M5" s="26" t="s">
        <v>83</v>
      </c>
      <c r="N5" s="257" t="s">
        <v>118</v>
      </c>
      <c r="O5" s="26" t="s">
        <v>83</v>
      </c>
      <c r="P5" s="257" t="s">
        <v>160</v>
      </c>
      <c r="Q5" s="26" t="s">
        <v>83</v>
      </c>
      <c r="R5" s="257" t="s">
        <v>285</v>
      </c>
      <c r="S5" s="26" t="s">
        <v>83</v>
      </c>
      <c r="T5" s="257" t="s">
        <v>286</v>
      </c>
      <c r="U5" s="26" t="s">
        <v>83</v>
      </c>
      <c r="V5" s="257" t="s">
        <v>288</v>
      </c>
      <c r="W5" s="26" t="s">
        <v>83</v>
      </c>
      <c r="X5" s="257" t="s">
        <v>287</v>
      </c>
      <c r="Y5" s="26" t="s">
        <v>83</v>
      </c>
      <c r="Z5" s="257" t="s">
        <v>445</v>
      </c>
      <c r="AA5" s="26" t="s">
        <v>83</v>
      </c>
      <c r="AB5" s="257" t="s">
        <v>453</v>
      </c>
      <c r="AC5" s="26" t="s">
        <v>83</v>
      </c>
      <c r="AD5" s="257" t="s">
        <v>454</v>
      </c>
      <c r="AE5" s="26" t="s">
        <v>83</v>
      </c>
      <c r="AF5" s="257" t="s">
        <v>455</v>
      </c>
      <c r="AG5" s="26" t="s">
        <v>83</v>
      </c>
      <c r="AH5" s="257" t="s">
        <v>471</v>
      </c>
      <c r="AI5" s="26" t="s">
        <v>83</v>
      </c>
      <c r="AJ5" s="257" t="s">
        <v>485</v>
      </c>
      <c r="AK5" s="26" t="s">
        <v>83</v>
      </c>
      <c r="AL5" s="257" t="s">
        <v>491</v>
      </c>
      <c r="AM5" s="26" t="s">
        <v>83</v>
      </c>
      <c r="AN5" s="257" t="s">
        <v>499</v>
      </c>
      <c r="AO5" s="26" t="s">
        <v>83</v>
      </c>
      <c r="AP5" s="257" t="s">
        <v>502</v>
      </c>
      <c r="AQ5" s="26" t="s">
        <v>83</v>
      </c>
      <c r="AR5" s="257" t="s">
        <v>511</v>
      </c>
      <c r="AS5" s="26" t="s">
        <v>83</v>
      </c>
      <c r="AT5" s="257" t="s">
        <v>513</v>
      </c>
      <c r="AU5" s="26" t="s">
        <v>83</v>
      </c>
      <c r="AV5" s="257" t="s">
        <v>520</v>
      </c>
      <c r="AW5" s="26" t="s">
        <v>83</v>
      </c>
      <c r="AX5" s="257" t="s">
        <v>523</v>
      </c>
      <c r="AY5" s="26" t="s">
        <v>83</v>
      </c>
      <c r="AZ5" s="257" t="s">
        <v>525</v>
      </c>
      <c r="BA5" s="26" t="s">
        <v>83</v>
      </c>
      <c r="BB5" s="257" t="s">
        <v>533</v>
      </c>
      <c r="BC5" s="26" t="s">
        <v>83</v>
      </c>
      <c r="BD5" s="257" t="s">
        <v>540</v>
      </c>
      <c r="BE5" s="26" t="s">
        <v>83</v>
      </c>
      <c r="BF5" s="257" t="s">
        <v>526</v>
      </c>
      <c r="BG5" s="26" t="s">
        <v>83</v>
      </c>
      <c r="BH5" s="257" t="s">
        <v>527</v>
      </c>
      <c r="BI5" s="26" t="s">
        <v>83</v>
      </c>
      <c r="BJ5" s="257" t="s">
        <v>528</v>
      </c>
      <c r="BK5" s="26" t="s">
        <v>83</v>
      </c>
      <c r="BL5" s="257" t="s">
        <v>529</v>
      </c>
      <c r="BM5" s="26" t="s">
        <v>83</v>
      </c>
      <c r="BN5" s="271"/>
      <c r="BO5" s="133"/>
      <c r="BP5" s="271"/>
      <c r="BQ5" s="271">
        <v>2009</v>
      </c>
      <c r="BR5" s="257"/>
      <c r="BS5" s="272" t="s">
        <v>378</v>
      </c>
      <c r="BT5" s="257"/>
      <c r="BU5" s="273" t="s">
        <v>377</v>
      </c>
      <c r="BV5" s="26" t="s">
        <v>83</v>
      </c>
      <c r="BW5" s="273" t="s">
        <v>376</v>
      </c>
      <c r="BX5" s="26" t="s">
        <v>83</v>
      </c>
      <c r="BY5" s="273" t="s">
        <v>465</v>
      </c>
      <c r="BZ5" s="26" t="s">
        <v>83</v>
      </c>
      <c r="CA5" s="273" t="s">
        <v>470</v>
      </c>
      <c r="CB5" s="26" t="s">
        <v>83</v>
      </c>
      <c r="CC5" s="273" t="s">
        <v>501</v>
      </c>
      <c r="CD5" s="26" t="s">
        <v>83</v>
      </c>
      <c r="CE5" s="274">
        <v>2016</v>
      </c>
      <c r="CF5" s="26" t="s">
        <v>83</v>
      </c>
      <c r="CG5" s="274">
        <v>2017</v>
      </c>
      <c r="CH5" s="26" t="s">
        <v>83</v>
      </c>
      <c r="CI5" s="274" t="s">
        <v>400</v>
      </c>
      <c r="CJ5" s="26" t="s">
        <v>83</v>
      </c>
      <c r="CK5" s="257" t="s">
        <v>464</v>
      </c>
      <c r="CL5" s="26" t="s">
        <v>83</v>
      </c>
      <c r="CM5" s="257" t="s">
        <v>484</v>
      </c>
      <c r="CN5" s="26" t="s">
        <v>83</v>
      </c>
      <c r="CO5" s="257" t="s">
        <v>512</v>
      </c>
      <c r="CP5" s="26" t="s">
        <v>83</v>
      </c>
      <c r="CQ5" s="257" t="s">
        <v>530</v>
      </c>
      <c r="CR5" s="26" t="s">
        <v>83</v>
      </c>
      <c r="CS5" s="26" t="s">
        <v>7</v>
      </c>
      <c r="CV5"/>
      <c r="CW5"/>
      <c r="CX5"/>
      <c r="CY5"/>
      <c r="CZ5"/>
      <c r="DA5"/>
    </row>
    <row r="6" spans="1:108" s="193" customFormat="1" ht="12.75" customHeight="1" x14ac:dyDescent="0.2">
      <c r="A6" s="263" t="s">
        <v>433</v>
      </c>
      <c r="B6" s="275">
        <f>B83</f>
        <v>125.46500000000009</v>
      </c>
      <c r="C6" s="261"/>
      <c r="D6" s="275">
        <f>D83</f>
        <v>148.72800000000001</v>
      </c>
      <c r="E6" s="261"/>
      <c r="F6" s="275">
        <f>F83</f>
        <v>97.669999999999959</v>
      </c>
      <c r="G6" s="261"/>
      <c r="H6" s="275">
        <f>H83</f>
        <v>70.007000000000062</v>
      </c>
      <c r="I6" s="261"/>
      <c r="J6" s="275">
        <f>J83</f>
        <v>124.08499999999992</v>
      </c>
      <c r="K6" s="261">
        <f t="shared" ref="K6:K19" si="18">IF(ISERROR((J6/B6-1)*100),"NA",IF(((J6/B6-1)*100)&gt;100,"NM",IF(((J6/B6-1)*100)&lt;-50,"NM",(J6/B6-1)*100)))</f>
        <v>-1.0999083409717225</v>
      </c>
      <c r="L6" s="275">
        <f>L83</f>
        <v>71.1099999999999</v>
      </c>
      <c r="M6" s="261" t="str">
        <f t="shared" ref="M6:M19" si="19">IF(ISERROR((L6/D6-1)*100),"NA",IF(((L6/D6-1)*100)&gt;100,"NM",IF(((L6/D6-1)*100)&lt;-50,"NM",(L6/D6-1)*100)))</f>
        <v>NM</v>
      </c>
      <c r="N6" s="275">
        <f>N83</f>
        <v>145.29600000000011</v>
      </c>
      <c r="O6" s="261">
        <f t="shared" ref="O6:O19" si="20">IF(ISERROR((N6/F6-1)*100),"NA",IF(((N6/F6-1)*100)&gt;100,"NM",IF(((N6/F6-1)*100)&lt;-50,"NM",(N6/F6-1)*100)))</f>
        <v>48.762158288113213</v>
      </c>
      <c r="P6" s="275">
        <f>P83</f>
        <v>107.80000000000007</v>
      </c>
      <c r="Q6" s="261">
        <f t="shared" ref="Q6:Q19" si="21">IF(ISERROR((P6/H6-1)*100),"NA",IF(((P6/H6-1)*100)&gt;100,"NM",IF(((P6/H6-1)*100)&lt;-50,"NM",(P6/H6-1)*100)))</f>
        <v>53.984601539845968</v>
      </c>
      <c r="R6" s="275">
        <f>R83</f>
        <v>137.80000000000007</v>
      </c>
      <c r="S6" s="261">
        <f t="shared" ref="S6:S19" si="22">IF(ISERROR((R6/J6-1)*100),"NA",IF(((R6/J6-1)*100)&gt;100,"NM",IF(((R6/J6-1)*100)&lt;-50,"NM",(R6/J6-1)*100)))</f>
        <v>11.052907281299241</v>
      </c>
      <c r="T6" s="275">
        <f>T83</f>
        <v>132.2000000000001</v>
      </c>
      <c r="U6" s="261">
        <f t="shared" ref="U6:U19" si="23">IF(ISERROR((T6/L6-1)*100),"NA",IF(((T6/L6-1)*100)&gt;100,"NM",IF(((T6/L6-1)*100)&lt;-50,"NM",(T6/L6-1)*100)))</f>
        <v>85.909154830544637</v>
      </c>
      <c r="V6" s="275">
        <f>V83</f>
        <v>187.29999999999995</v>
      </c>
      <c r="W6" s="261">
        <f t="shared" ref="W6:W19" si="24">IF(ISERROR((V6/N6-1)*100),"NA",IF(((V6/N6-1)*100)&gt;100,"NM",IF(((V6/N6-1)*100)&lt;-50,"NM",(V6/N6-1)*100)))</f>
        <v>28.909261094592974</v>
      </c>
      <c r="X6" s="275">
        <f>X83</f>
        <v>138.59999999999991</v>
      </c>
      <c r="Y6" s="261">
        <f t="shared" ref="Y6:Y19" si="25">IF(ISERROR((X6/P6-1)*100),"NA",IF(((X6/P6-1)*100)&gt;100,"NM",IF(((X6/P6-1)*100)&lt;-50,"NM",(X6/P6-1)*100)))</f>
        <v>28.571428571428402</v>
      </c>
      <c r="Z6" s="275">
        <f>Z83</f>
        <v>114.90000000000003</v>
      </c>
      <c r="AA6" s="261">
        <f t="shared" ref="AA6:AA19" si="26">IF(ISERROR((Z6/R6-1)*100),"NA",IF(((Z6/R6-1)*100)&gt;100,"NM",IF(((Z6/R6-1)*100)&lt;-50,"NM",(Z6/R6-1)*100)))</f>
        <v>-16.618287373004371</v>
      </c>
      <c r="AB6" s="275">
        <f>AB83</f>
        <v>135.7000000000001</v>
      </c>
      <c r="AC6" s="261">
        <f t="shared" ref="AC6:AC19" si="27">IF(ISERROR((AB6/T6-1)*100),"NA",IF(((AB6/T6-1)*100)&gt;100,"NM",IF(((AB6/T6-1)*100)&lt;-50,"NM",(AB6/T6-1)*100)))</f>
        <v>2.6475037821482639</v>
      </c>
      <c r="AD6" s="275">
        <f>AD83</f>
        <v>117.30000000000001</v>
      </c>
      <c r="AE6" s="261">
        <f t="shared" ref="AE6:AE19" si="28">IF(ISERROR((AD6/V6-1)*100),"NA",IF(((AD6/V6-1)*100)&gt;100,"NM",IF(((AD6/V6-1)*100)&lt;-50,"NM",(AD6/V6-1)*100)))</f>
        <v>-37.373198077949787</v>
      </c>
      <c r="AF6" s="275">
        <f>AF83</f>
        <v>149.99999999999983</v>
      </c>
      <c r="AG6" s="261">
        <f t="shared" ref="AG6:AG19" si="29">IF(ISERROR((AF6/X6-1)*100),"NA",IF(((AF6/X6-1)*100)&gt;100,"NM",IF(((AF6/X6-1)*100)&lt;-50,"NM",(AF6/X6-1)*100)))</f>
        <v>8.2251082251081797</v>
      </c>
      <c r="AH6" s="275">
        <f>AH83</f>
        <v>124.60000000000002</v>
      </c>
      <c r="AI6" s="261">
        <f t="shared" ref="AI6:AI16" si="30">IF(ISERROR((AH6/Z6-1)*100),"NA",IF(((AH6/Z6-1)*100)&gt;100,"NM",IF(((AH6/Z6-1)*100)&lt;-50,"NM",(AH6/Z6-1)*100)))</f>
        <v>8.4421235857267121</v>
      </c>
      <c r="AJ6" s="275">
        <f>AJ83</f>
        <v>128.40000000000003</v>
      </c>
      <c r="AK6" s="261">
        <f t="shared" ref="AK6:AK16" si="31">IF(ISERROR((AJ6/AB6-1)*100),"NA",IF(((AJ6/AB6-1)*100)&gt;100,"NM",IF(((AJ6/AB6-1)*100)&lt;-50,"NM",(AJ6/AB6-1)*100)))</f>
        <v>-5.3795136330140441</v>
      </c>
      <c r="AL6" s="275">
        <f>AL83</f>
        <v>80.499999999999886</v>
      </c>
      <c r="AM6" s="261">
        <f t="shared" ref="AM6:AM16" si="32">IF(ISERROR((AL6/AD6-1)*100),"NA",IF(((AL6/AD6-1)*100)&gt;100,"NM",IF(((AL6/AD6-1)*100)&lt;-50,"NM",(AL6/AD6-1)*100)))</f>
        <v>-31.372549019607941</v>
      </c>
      <c r="AN6" s="451">
        <f>AN83</f>
        <v>137.10000000000002</v>
      </c>
      <c r="AO6" s="261">
        <f t="shared" ref="AO6:AO16" si="33">IF(ISERROR((AN6/AF6-1)*100),"NA",IF(((AN6/AF6-1)*100)&gt;100,"NM",IF(((AN6/AF6-1)*100)&lt;-50,"NM",(AN6/AF6-1)*100)))</f>
        <v>-8.599999999999886</v>
      </c>
      <c r="AP6" s="451">
        <f>AP83</f>
        <v>103.69999999999987</v>
      </c>
      <c r="AQ6" s="261">
        <f t="shared" ref="AQ6:AQ16" si="34">IF(ISERROR((AP6/AH6-1)*100),"NA",IF(((AP6/AH6-1)*100)&gt;100,"NM",IF(((AP6/AH6-1)*100)&lt;-50,"NM",(AP6/AH6-1)*100)))</f>
        <v>-16.773675762439922</v>
      </c>
      <c r="AR6" s="451">
        <f t="shared" ref="AR6:AT6" si="35">AR83</f>
        <v>140.49999999999994</v>
      </c>
      <c r="AS6" s="261">
        <f t="shared" ref="AS6:AS16" si="36">IF(ISERROR((AR6/AJ6-1)*100),"NA",IF(((AR6/AJ6-1)*100)&gt;100,"NM",IF(((AR6/AJ6-1)*100)&lt;-50,"NM",(AR6/AJ6-1)*100)))</f>
        <v>9.4236760124609908</v>
      </c>
      <c r="AT6" s="451">
        <f t="shared" si="35"/>
        <v>62.899999999999977</v>
      </c>
      <c r="AU6" s="261">
        <f t="shared" ref="AU6:AU16" si="37">IF(ISERROR((AT6/AL6-1)*100),"NA",IF(((AT6/AL6-1)*100)&gt;100,"NM",IF(((AT6/AL6-1)*100)&lt;-50,"NM",(AT6/AL6-1)*100)))</f>
        <v>-21.863354037267001</v>
      </c>
      <c r="AV6" s="451">
        <f t="shared" ref="AV6:AX6" si="38">AV83</f>
        <v>142.69999999999999</v>
      </c>
      <c r="AW6" s="261">
        <f t="shared" ref="AW6:AW16" si="39">IF(ISERROR((AV6/AN6-1)*100),"NA",IF(((AV6/AN6-1)*100)&gt;100,"NM",IF(((AV6/AN6-1)*100)&lt;-50,"NM",(AV6/AN6-1)*100)))</f>
        <v>4.0846097738876486</v>
      </c>
      <c r="AX6" s="451">
        <f t="shared" si="38"/>
        <v>148.79999999999984</v>
      </c>
      <c r="AY6" s="261">
        <f t="shared" ref="AY6:AY16" si="40">IF(ISERROR((AX6/AP6-1)*100),"NA",IF(((AX6/AP6-1)*100)&gt;100,"NM",IF(((AX6/AP6-1)*100)&lt;-50,"NM",(AX6/AP6-1)*100)))</f>
        <v>43.490838958534248</v>
      </c>
      <c r="AZ6" s="451">
        <f t="shared" ref="AZ6" si="41">AZ83</f>
        <v>33.499999999999886</v>
      </c>
      <c r="BA6" s="261" t="str">
        <f t="shared" ref="BA6:BA16" si="42">IF(ISERROR((AZ6/AR6-1)*100),"NA",IF(((AZ6/AR6-1)*100)&gt;100,"NM",IF(((AZ6/AR6-1)*100)&lt;-50,"NM",(AZ6/AR6-1)*100)))</f>
        <v>NM</v>
      </c>
      <c r="BB6" s="451">
        <f t="shared" ref="BB6:BD6" si="43">BB83</f>
        <v>106.80000000000007</v>
      </c>
      <c r="BC6" s="261">
        <f t="shared" ref="BC6:BC16" si="44">IF(ISERROR((BB6/AT6-1)*100),"NA",IF(((BB6/AT6-1)*100)&gt;100,"NM",IF(((BB6/AT6-1)*100)&lt;-50,"NM",(BB6/AT6-1)*100)))</f>
        <v>69.793322734499384</v>
      </c>
      <c r="BD6" s="451">
        <f t="shared" si="43"/>
        <v>168.19999999999993</v>
      </c>
      <c r="BE6" s="261">
        <f t="shared" ref="BE6:BE16" si="45">IF(ISERROR((BD6/AV6-1)*100),"NA",IF(((BD6/AV6-1)*100)&gt;100,"NM",IF(((BD6/AV6-1)*100)&lt;-50,"NM",(BD6/AV6-1)*100)))</f>
        <v>17.869656622284481</v>
      </c>
      <c r="BF6" s="275">
        <f t="shared" ref="BF6" si="46">BF83</f>
        <v>146.08209365133052</v>
      </c>
      <c r="BG6" s="261">
        <f t="shared" ref="BG6:BG16" si="47">IF(ISERROR((BF6/AX6-1)*100),"NA",IF(((BF6/AX6-1)*100)&gt;100,"NM",IF(((BF6/AX6-1)*100)&lt;-50,"NM",(BF6/AX6-1)*100)))</f>
        <v>-1.8265499655035766</v>
      </c>
      <c r="BH6" s="275">
        <f t="shared" ref="BH6" si="48">BH83</f>
        <v>144.52612268654821</v>
      </c>
      <c r="BI6" s="261" t="str">
        <f t="shared" ref="BI6:BI16" si="49">IF(ISERROR((BH6/AZ6-1)*100),"NA",IF(((BH6/AZ6-1)*100)&gt;100,"NM",IF(((BH6/AZ6-1)*100)&lt;-50,"NM",(BH6/AZ6-1)*100)))</f>
        <v>NM</v>
      </c>
      <c r="BJ6" s="275">
        <f t="shared" ref="BJ6" si="50">BJ83</f>
        <v>147.28583837809941</v>
      </c>
      <c r="BK6" s="261">
        <f t="shared" ref="BK6:BK16" si="51">IF(ISERROR((BJ6/BB6-1)*100),"NA",IF(((BJ6/BB6-1)*100)&gt;100,"NM",IF(((BJ6/BB6-1)*100)&lt;-50,"NM",(BJ6/BB6-1)*100)))</f>
        <v>37.908088369006855</v>
      </c>
      <c r="BL6" s="275">
        <f t="shared" ref="BL6" si="52">BL83</f>
        <v>153.07992156593758</v>
      </c>
      <c r="BM6" s="261">
        <f t="shared" ref="BM6:BM16" si="53">IF(ISERROR((BL6/BD6-1)*100),"NA",IF(((BL6/BD6-1)*100)&gt;100,"NM",IF(((BL6/BD6-1)*100)&lt;-50,"NM",(BL6/BD6-1)*100)))</f>
        <v>-8.9893450856494361</v>
      </c>
      <c r="BN6" s="263"/>
      <c r="BO6" s="134"/>
      <c r="BP6" s="263"/>
      <c r="BQ6" s="263"/>
      <c r="BR6" s="260"/>
      <c r="BS6" s="264"/>
      <c r="BT6" s="260"/>
      <c r="BU6" s="275">
        <f t="shared" ref="BU6:CA6" si="54">BU83</f>
        <v>441.86999999999944</v>
      </c>
      <c r="BV6" s="261" t="str">
        <f t="shared" ref="BV6:BV19" si="55">IF(ISERROR((BU6/BS6-1)*100),"NA",IF(((BU6/BS6-1)*100)&gt;100,"NM",IF(((BU6/BS6-1)*100)&lt;-50,"NM",(BU6/BS6-1)*100)))</f>
        <v>NA</v>
      </c>
      <c r="BW6" s="275">
        <f t="shared" si="54"/>
        <v>448.29100000000062</v>
      </c>
      <c r="BX6" s="261">
        <f t="shared" ref="BX6:BX19" si="56">IF(ISERROR((BW6/BU6-1)*100),"NA",IF(((BW6/BU6-1)*100)&gt;100,"NM",IF(((BW6/BU6-1)*100)&lt;-50,"NM",(BW6/BU6-1)*100)))</f>
        <v>1.4531423269290134</v>
      </c>
      <c r="BY6" s="275">
        <f t="shared" si="54"/>
        <v>595.90000000000009</v>
      </c>
      <c r="BZ6" s="261">
        <f t="shared" ref="BZ6:BZ19" si="57">IF(ISERROR((BY6/BW6-1)*100),"NA",IF(((BY6/BW6-1)*100)&gt;100,"NM",IF(((BY6/BW6-1)*100)&lt;-50,"NM",(BY6/BW6-1)*100)))</f>
        <v>32.927049617324286</v>
      </c>
      <c r="CA6" s="275">
        <f t="shared" si="54"/>
        <v>517.90000000000009</v>
      </c>
      <c r="CB6" s="261">
        <f t="shared" ref="CB6:CR19" si="58">IF(ISERROR((CA6/BY6-1)*100),"NA",IF(((CA6/BY6-1)*100)&gt;100,"NM",IF(((CA6/BY6-1)*100)&lt;-50,"NM",(CA6/BY6-1)*100)))</f>
        <v>-13.089444537674099</v>
      </c>
      <c r="CC6" s="275">
        <f t="shared" ref="CC6" si="59">CC83</f>
        <v>470.59999999999991</v>
      </c>
      <c r="CD6" s="261">
        <f t="shared" si="58"/>
        <v>-9.1330372658814838</v>
      </c>
      <c r="CE6" s="275">
        <f t="shared" ref="CE6" si="60">CE83</f>
        <v>449.80000000000018</v>
      </c>
      <c r="CF6" s="261">
        <f t="shared" si="58"/>
        <v>-4.4198895027623752</v>
      </c>
      <c r="CG6" s="275">
        <f t="shared" ref="CG6" si="61">CG83</f>
        <v>457.30000000000018</v>
      </c>
      <c r="CH6" s="261">
        <f t="shared" si="58"/>
        <v>1.6674077367718976</v>
      </c>
      <c r="CI6" s="275">
        <f t="shared" ref="CI6" si="62">CI83</f>
        <v>590.97397628191584</v>
      </c>
      <c r="CJ6" s="261">
        <f t="shared" si="58"/>
        <v>29.231134109318969</v>
      </c>
      <c r="CK6" s="275">
        <f t="shared" ref="CK6:CM6" si="63">CK83</f>
        <v>617.18412268518705</v>
      </c>
      <c r="CL6" s="261">
        <f t="shared" si="58"/>
        <v>4.4350762394261611</v>
      </c>
      <c r="CM6" s="275">
        <f t="shared" si="63"/>
        <v>646.89799005747</v>
      </c>
      <c r="CN6" s="261">
        <f t="shared" si="58"/>
        <v>4.814425109156506</v>
      </c>
      <c r="CO6" s="275">
        <f t="shared" ref="CO6:CQ6" si="64">CO83</f>
        <v>677.64068580846333</v>
      </c>
      <c r="CP6" s="261">
        <f t="shared" si="58"/>
        <v>4.7523251306225589</v>
      </c>
      <c r="CQ6" s="275">
        <f t="shared" si="64"/>
        <v>707.23859556709749</v>
      </c>
      <c r="CR6" s="261">
        <f t="shared" si="58"/>
        <v>4.3677881771992721</v>
      </c>
      <c r="CS6" s="261">
        <f t="shared" ref="CS6:CS24" si="65">IF(ISERROR(((CQ6/CG6)^0.2-1)*100),"NA",IF((((CQ6/CG6)^0.2-1)*100)&gt;100,"NM",IF((((CQ6/CG6)^0.2-1)*100)&lt;-50,"NM",((CQ6/CG6)^0.2-1)*100)))</f>
        <v>9.1121090284214112</v>
      </c>
      <c r="CT6" s="263"/>
      <c r="CU6" s="263"/>
      <c r="CV6"/>
      <c r="CW6"/>
      <c r="CX6"/>
      <c r="CY6"/>
      <c r="CZ6"/>
      <c r="DA6"/>
      <c r="DD6" s="644"/>
    </row>
    <row r="7" spans="1:108" s="193" customFormat="1" ht="12.75" hidden="1" customHeight="1" outlineLevel="1" x14ac:dyDescent="0.2">
      <c r="A7" s="263" t="s">
        <v>434</v>
      </c>
      <c r="B7" s="275">
        <f>B168</f>
        <v>39.399999999999977</v>
      </c>
      <c r="C7" s="261"/>
      <c r="D7" s="275">
        <f>D168</f>
        <v>63.900000000000034</v>
      </c>
      <c r="E7" s="261"/>
      <c r="F7" s="275">
        <f>F168</f>
        <v>84.5</v>
      </c>
      <c r="G7" s="261"/>
      <c r="H7" s="275">
        <f>H168</f>
        <v>199.9</v>
      </c>
      <c r="I7" s="261"/>
      <c r="J7" s="275">
        <f>J168</f>
        <v>36.39999999999992</v>
      </c>
      <c r="K7" s="261">
        <f t="shared" si="18"/>
        <v>-7.6142131979696881</v>
      </c>
      <c r="L7" s="275">
        <f>L168</f>
        <v>27.100000000000023</v>
      </c>
      <c r="M7" s="261" t="str">
        <f t="shared" si="19"/>
        <v>NM</v>
      </c>
      <c r="N7" s="275">
        <f>N168</f>
        <v>32.600000000000023</v>
      </c>
      <c r="O7" s="261" t="str">
        <f t="shared" si="20"/>
        <v>NM</v>
      </c>
      <c r="P7" s="275">
        <f>P168</f>
        <v>6.3000000000000114</v>
      </c>
      <c r="Q7" s="261" t="str">
        <f t="shared" si="21"/>
        <v>NM</v>
      </c>
      <c r="R7" s="275">
        <f>R168</f>
        <v>54.299999999999955</v>
      </c>
      <c r="S7" s="261">
        <f t="shared" si="22"/>
        <v>49.175824175824381</v>
      </c>
      <c r="T7" s="275">
        <f>T168</f>
        <v>59.499999999999972</v>
      </c>
      <c r="U7" s="261" t="str">
        <f t="shared" si="23"/>
        <v>NM</v>
      </c>
      <c r="V7" s="275">
        <f>V168</f>
        <v>96.9</v>
      </c>
      <c r="W7" s="261" t="str">
        <f t="shared" si="24"/>
        <v>NM</v>
      </c>
      <c r="X7" s="275">
        <f>X168</f>
        <v>83.200000000000045</v>
      </c>
      <c r="Y7" s="261" t="str">
        <f t="shared" si="25"/>
        <v>NM</v>
      </c>
      <c r="Z7" s="275">
        <f>Z168</f>
        <v>54.800000000000068</v>
      </c>
      <c r="AA7" s="261">
        <f t="shared" si="26"/>
        <v>0.92081031307571504</v>
      </c>
      <c r="AB7" s="275">
        <f>AB168</f>
        <v>64.200000000000045</v>
      </c>
      <c r="AC7" s="261">
        <f t="shared" si="27"/>
        <v>7.8991596638656736</v>
      </c>
      <c r="AD7" s="275">
        <f>AD168</f>
        <v>78.299999999999955</v>
      </c>
      <c r="AE7" s="261">
        <f t="shared" si="28"/>
        <v>-19.195046439628538</v>
      </c>
      <c r="AF7" s="275">
        <f>AF168</f>
        <v>64.700000000000017</v>
      </c>
      <c r="AG7" s="261">
        <f t="shared" si="29"/>
        <v>-22.235576923076948</v>
      </c>
      <c r="AH7" s="275">
        <f>AH168</f>
        <v>68.600000000000023</v>
      </c>
      <c r="AI7" s="261">
        <f t="shared" si="30"/>
        <v>25.182481751824692</v>
      </c>
      <c r="AJ7" s="275">
        <f>AJ168</f>
        <v>60.999999999999943</v>
      </c>
      <c r="AK7" s="261">
        <f t="shared" si="31"/>
        <v>-4.984423676012617</v>
      </c>
      <c r="AL7" s="275">
        <f>AL168</f>
        <v>50.599999999999966</v>
      </c>
      <c r="AM7" s="261">
        <f t="shared" si="32"/>
        <v>-35.376756066411239</v>
      </c>
      <c r="AN7" s="451">
        <f>AN168</f>
        <v>62.900000000000034</v>
      </c>
      <c r="AO7" s="261">
        <f t="shared" si="33"/>
        <v>-2.7820710973724627</v>
      </c>
      <c r="AP7" s="451">
        <f>AP168</f>
        <v>0</v>
      </c>
      <c r="AQ7" s="261" t="str">
        <f t="shared" si="34"/>
        <v>NM</v>
      </c>
      <c r="AR7" s="451">
        <f t="shared" ref="AR7:AT7" si="66">AR168</f>
        <v>0</v>
      </c>
      <c r="AS7" s="261" t="str">
        <f t="shared" si="36"/>
        <v>NM</v>
      </c>
      <c r="AT7" s="451">
        <f t="shared" si="66"/>
        <v>0</v>
      </c>
      <c r="AU7" s="261" t="str">
        <f t="shared" si="37"/>
        <v>NM</v>
      </c>
      <c r="AV7" s="451">
        <f t="shared" ref="AV7:AX7" si="67">AV168</f>
        <v>0</v>
      </c>
      <c r="AW7" s="261" t="str">
        <f t="shared" si="39"/>
        <v>NM</v>
      </c>
      <c r="AX7" s="451">
        <f t="shared" si="67"/>
        <v>0</v>
      </c>
      <c r="AY7" s="261" t="str">
        <f t="shared" si="40"/>
        <v>NA</v>
      </c>
      <c r="AZ7" s="451">
        <f t="shared" ref="AZ7" si="68">AZ168</f>
        <v>0</v>
      </c>
      <c r="BA7" s="261" t="str">
        <f t="shared" si="42"/>
        <v>NA</v>
      </c>
      <c r="BB7" s="451">
        <f t="shared" ref="BB7:BD7" si="69">BB168</f>
        <v>0</v>
      </c>
      <c r="BC7" s="261" t="str">
        <f t="shared" si="44"/>
        <v>NA</v>
      </c>
      <c r="BD7" s="451">
        <f t="shared" si="69"/>
        <v>0</v>
      </c>
      <c r="BE7" s="261" t="str">
        <f t="shared" si="45"/>
        <v>NA</v>
      </c>
      <c r="BF7" s="275">
        <f t="shared" ref="BF7" si="70">BF168</f>
        <v>0</v>
      </c>
      <c r="BG7" s="261" t="str">
        <f t="shared" si="47"/>
        <v>NA</v>
      </c>
      <c r="BH7" s="275">
        <f t="shared" ref="BH7" si="71">BH168</f>
        <v>0</v>
      </c>
      <c r="BI7" s="261" t="str">
        <f t="shared" si="49"/>
        <v>NA</v>
      </c>
      <c r="BJ7" s="275">
        <f t="shared" ref="BJ7" si="72">BJ168</f>
        <v>0</v>
      </c>
      <c r="BK7" s="261" t="str">
        <f t="shared" si="51"/>
        <v>NA</v>
      </c>
      <c r="BL7" s="275">
        <f t="shared" ref="BL7" si="73">BL168</f>
        <v>0</v>
      </c>
      <c r="BM7" s="261" t="str">
        <f t="shared" si="53"/>
        <v>NA</v>
      </c>
      <c r="BN7" s="263"/>
      <c r="BO7" s="134"/>
      <c r="BP7" s="263"/>
      <c r="BQ7" s="263"/>
      <c r="BR7" s="260"/>
      <c r="BS7" s="264"/>
      <c r="BT7" s="260"/>
      <c r="BU7" s="275">
        <f t="shared" ref="BU7:CA7" si="74">BU168</f>
        <v>387.70000000000016</v>
      </c>
      <c r="BV7" s="261" t="str">
        <f t="shared" si="55"/>
        <v>NA</v>
      </c>
      <c r="BW7" s="275">
        <f t="shared" si="74"/>
        <v>102.40000000000009</v>
      </c>
      <c r="BX7" s="261" t="str">
        <f t="shared" si="56"/>
        <v>NM</v>
      </c>
      <c r="BY7" s="275">
        <f t="shared" si="74"/>
        <v>293.89999999999998</v>
      </c>
      <c r="BZ7" s="261" t="str">
        <f t="shared" si="57"/>
        <v>NM</v>
      </c>
      <c r="CA7" s="275">
        <f t="shared" si="74"/>
        <v>262.00000000000011</v>
      </c>
      <c r="CB7" s="261">
        <f t="shared" si="58"/>
        <v>-10.854031983667866</v>
      </c>
      <c r="CC7" s="275">
        <f t="shared" ref="CC7" si="75">CC168</f>
        <v>243.10000000000014</v>
      </c>
      <c r="CD7" s="261">
        <f t="shared" si="58"/>
        <v>-7.2137404580152609</v>
      </c>
      <c r="CE7" s="275">
        <f t="shared" ref="CE7" si="76">CE168</f>
        <v>0</v>
      </c>
      <c r="CF7" s="261" t="str">
        <f t="shared" si="58"/>
        <v>NM</v>
      </c>
      <c r="CG7" s="275">
        <f t="shared" ref="CG7" si="77">CG168</f>
        <v>0</v>
      </c>
      <c r="CH7" s="261" t="str">
        <f t="shared" si="58"/>
        <v>NA</v>
      </c>
      <c r="CI7" s="275">
        <f t="shared" ref="CI7" si="78">CI168</f>
        <v>0</v>
      </c>
      <c r="CJ7" s="261" t="str">
        <f t="shared" si="58"/>
        <v>NA</v>
      </c>
      <c r="CK7" s="275">
        <f t="shared" ref="CK7:CM7" si="79">CK168</f>
        <v>0</v>
      </c>
      <c r="CL7" s="261" t="str">
        <f t="shared" si="58"/>
        <v>NA</v>
      </c>
      <c r="CM7" s="275">
        <f t="shared" si="79"/>
        <v>0</v>
      </c>
      <c r="CN7" s="261" t="str">
        <f t="shared" si="58"/>
        <v>NA</v>
      </c>
      <c r="CO7" s="275">
        <f t="shared" ref="CO7:CQ7" si="80">CO168</f>
        <v>0</v>
      </c>
      <c r="CP7" s="261" t="str">
        <f t="shared" si="58"/>
        <v>NA</v>
      </c>
      <c r="CQ7" s="275">
        <f t="shared" si="80"/>
        <v>0</v>
      </c>
      <c r="CR7" s="261" t="str">
        <f t="shared" si="58"/>
        <v>NA</v>
      </c>
      <c r="CS7" s="261" t="str">
        <f t="shared" si="65"/>
        <v>NA</v>
      </c>
      <c r="CT7" s="263"/>
      <c r="CU7" s="263"/>
      <c r="CV7"/>
      <c r="CW7"/>
      <c r="CX7"/>
      <c r="CY7"/>
      <c r="CZ7"/>
      <c r="DA7"/>
      <c r="DD7" s="644"/>
    </row>
    <row r="8" spans="1:108" s="193" customFormat="1" ht="12.75" customHeight="1" collapsed="1" x14ac:dyDescent="0.2">
      <c r="A8" s="263" t="s">
        <v>435</v>
      </c>
      <c r="B8" s="275">
        <f>B273</f>
        <v>25.297999999999988</v>
      </c>
      <c r="C8" s="261"/>
      <c r="D8" s="275">
        <f>D273</f>
        <v>26.352000000000004</v>
      </c>
      <c r="E8" s="261"/>
      <c r="F8" s="275">
        <f>F273</f>
        <v>22.780999999999992</v>
      </c>
      <c r="G8" s="261"/>
      <c r="H8" s="275">
        <f>H273</f>
        <v>13.064999999999998</v>
      </c>
      <c r="I8" s="261"/>
      <c r="J8" s="275">
        <f>J273</f>
        <v>32.994</v>
      </c>
      <c r="K8" s="261">
        <f t="shared" si="18"/>
        <v>30.421377183967181</v>
      </c>
      <c r="L8" s="275">
        <f>L273</f>
        <v>31.294000000000011</v>
      </c>
      <c r="M8" s="261">
        <f t="shared" si="19"/>
        <v>18.753794778384968</v>
      </c>
      <c r="N8" s="275">
        <f>N273</f>
        <v>38.959999999999994</v>
      </c>
      <c r="O8" s="261">
        <f t="shared" si="20"/>
        <v>71.019709406961979</v>
      </c>
      <c r="P8" s="275">
        <f>P273</f>
        <v>31.219000000000008</v>
      </c>
      <c r="Q8" s="261" t="str">
        <f t="shared" si="21"/>
        <v>NM</v>
      </c>
      <c r="R8" s="275">
        <f>R273</f>
        <v>30.100000000000009</v>
      </c>
      <c r="S8" s="261">
        <f t="shared" si="22"/>
        <v>-8.7712917500151306</v>
      </c>
      <c r="T8" s="275">
        <f>T273</f>
        <v>41</v>
      </c>
      <c r="U8" s="261">
        <f t="shared" si="23"/>
        <v>31.015530133571879</v>
      </c>
      <c r="V8" s="275">
        <f>V273</f>
        <v>54.000000000000028</v>
      </c>
      <c r="W8" s="261">
        <f t="shared" si="24"/>
        <v>38.603696098562736</v>
      </c>
      <c r="X8" s="275">
        <f>X273</f>
        <v>52.899999999999991</v>
      </c>
      <c r="Y8" s="261">
        <f t="shared" si="25"/>
        <v>69.448092507767626</v>
      </c>
      <c r="Z8" s="275">
        <f>Z273</f>
        <v>49.8</v>
      </c>
      <c r="AA8" s="261">
        <f t="shared" si="26"/>
        <v>65.448504983388659</v>
      </c>
      <c r="AB8" s="275">
        <f>AB273</f>
        <v>54.899999999999991</v>
      </c>
      <c r="AC8" s="261">
        <f t="shared" si="27"/>
        <v>33.902439024390233</v>
      </c>
      <c r="AD8" s="275">
        <f>AD273</f>
        <v>58.600000000000009</v>
      </c>
      <c r="AE8" s="261">
        <f t="shared" si="28"/>
        <v>8.51851851851848</v>
      </c>
      <c r="AF8" s="275">
        <f>AF273</f>
        <v>47</v>
      </c>
      <c r="AG8" s="261">
        <f t="shared" si="29"/>
        <v>-11.153119092627584</v>
      </c>
      <c r="AH8" s="275">
        <f>AH273</f>
        <v>46.899999999999991</v>
      </c>
      <c r="AI8" s="261">
        <f t="shared" si="30"/>
        <v>-5.8232931726907804</v>
      </c>
      <c r="AJ8" s="275">
        <f>AJ273</f>
        <v>47</v>
      </c>
      <c r="AK8" s="261">
        <f t="shared" si="31"/>
        <v>-14.389799635701262</v>
      </c>
      <c r="AL8" s="275">
        <f>AL273</f>
        <v>45.599999999999994</v>
      </c>
      <c r="AM8" s="261">
        <f t="shared" si="32"/>
        <v>-22.184300341296947</v>
      </c>
      <c r="AN8" s="451">
        <f>AN273</f>
        <v>42.400000000000006</v>
      </c>
      <c r="AO8" s="261">
        <f t="shared" si="33"/>
        <v>-9.7872340425531839</v>
      </c>
      <c r="AP8" s="451">
        <f>AP273</f>
        <v>22.700000000000017</v>
      </c>
      <c r="AQ8" s="261" t="str">
        <f t="shared" si="34"/>
        <v>NM</v>
      </c>
      <c r="AR8" s="451">
        <f t="shared" ref="AR8:AT8" si="81">AR273</f>
        <v>31.700000000000017</v>
      </c>
      <c r="AS8" s="261">
        <f t="shared" si="36"/>
        <v>-32.553191489361666</v>
      </c>
      <c r="AT8" s="451">
        <f t="shared" si="81"/>
        <v>51.399999999999977</v>
      </c>
      <c r="AU8" s="261">
        <f t="shared" si="37"/>
        <v>12.719298245613997</v>
      </c>
      <c r="AV8" s="451">
        <f t="shared" ref="AV8:AX8" si="82">AV273</f>
        <v>64.899999999999991</v>
      </c>
      <c r="AW8" s="261">
        <f t="shared" si="39"/>
        <v>53.066037735849015</v>
      </c>
      <c r="AX8" s="451">
        <f t="shared" si="82"/>
        <v>49.400000000000006</v>
      </c>
      <c r="AY8" s="261" t="str">
        <f t="shared" si="40"/>
        <v>NM</v>
      </c>
      <c r="AZ8" s="451">
        <f t="shared" ref="AZ8" si="83">AZ273</f>
        <v>84.700000000000017</v>
      </c>
      <c r="BA8" s="261" t="str">
        <f t="shared" si="42"/>
        <v>NM</v>
      </c>
      <c r="BB8" s="451">
        <f t="shared" ref="BB8:BD8" si="84">BB273</f>
        <v>53.599999999999994</v>
      </c>
      <c r="BC8" s="261">
        <f t="shared" si="44"/>
        <v>4.2801556420233755</v>
      </c>
      <c r="BD8" s="451">
        <f t="shared" si="84"/>
        <v>61</v>
      </c>
      <c r="BE8" s="261">
        <f t="shared" si="45"/>
        <v>-6.0092449922958258</v>
      </c>
      <c r="BF8" s="275">
        <f t="shared" ref="BF8" si="85">BF273</f>
        <v>49.016247705139676</v>
      </c>
      <c r="BG8" s="261">
        <f t="shared" si="47"/>
        <v>-0.77682650781443208</v>
      </c>
      <c r="BH8" s="275">
        <f t="shared" ref="BH8" si="86">BH273</f>
        <v>60.328951767677012</v>
      </c>
      <c r="BI8" s="261">
        <f t="shared" si="49"/>
        <v>-28.773374536390794</v>
      </c>
      <c r="BJ8" s="275">
        <f t="shared" ref="BJ8" si="87">BJ273</f>
        <v>52.798766754802131</v>
      </c>
      <c r="BK8" s="261">
        <f t="shared" si="51"/>
        <v>-1.4948381440258673</v>
      </c>
      <c r="BL8" s="275">
        <f t="shared" ref="BL8" si="88">BL273</f>
        <v>55.339618962435878</v>
      </c>
      <c r="BM8" s="261">
        <f t="shared" si="53"/>
        <v>-9.2793131763346253</v>
      </c>
      <c r="BN8" s="263"/>
      <c r="BO8" s="134"/>
      <c r="BP8" s="263"/>
      <c r="BQ8" s="263"/>
      <c r="BR8" s="260"/>
      <c r="BS8" s="264"/>
      <c r="BT8" s="260"/>
      <c r="BU8" s="275">
        <f t="shared" ref="BU8:CA8" si="89">BU273</f>
        <v>87.496000000000038</v>
      </c>
      <c r="BV8" s="261" t="str">
        <f t="shared" si="55"/>
        <v>NA</v>
      </c>
      <c r="BW8" s="275">
        <f t="shared" si="89"/>
        <v>134.46699999999998</v>
      </c>
      <c r="BX8" s="261">
        <f t="shared" si="56"/>
        <v>53.683596964432567</v>
      </c>
      <c r="BY8" s="275">
        <f t="shared" si="89"/>
        <v>178.00000000000017</v>
      </c>
      <c r="BZ8" s="261">
        <f t="shared" si="57"/>
        <v>32.374485933351814</v>
      </c>
      <c r="CA8" s="275">
        <f t="shared" si="89"/>
        <v>210.29999999999995</v>
      </c>
      <c r="CB8" s="261">
        <f t="shared" si="58"/>
        <v>18.146067415730194</v>
      </c>
      <c r="CC8" s="275">
        <f t="shared" ref="CC8" si="90">CC273</f>
        <v>181.89999999999992</v>
      </c>
      <c r="CD8" s="261">
        <f t="shared" si="58"/>
        <v>-13.504517356157885</v>
      </c>
      <c r="CE8" s="275">
        <f t="shared" ref="CE8" si="91">CE273</f>
        <v>170.69999999999987</v>
      </c>
      <c r="CF8" s="261">
        <f t="shared" si="58"/>
        <v>-6.1572292468389467</v>
      </c>
      <c r="CG8" s="275">
        <f t="shared" ref="CG8" si="92">CG273</f>
        <v>248.69999999999993</v>
      </c>
      <c r="CH8" s="261">
        <f t="shared" si="58"/>
        <v>45.694200351493919</v>
      </c>
      <c r="CI8" s="275">
        <f t="shared" ref="CI8" si="93">CI273</f>
        <v>217.48358519005455</v>
      </c>
      <c r="CJ8" s="261">
        <f t="shared" si="58"/>
        <v>-12.551835468413907</v>
      </c>
      <c r="CK8" s="275">
        <f t="shared" ref="CK8:CM8" si="94">CK273</f>
        <v>228.82649070227592</v>
      </c>
      <c r="CL8" s="261">
        <f t="shared" si="58"/>
        <v>5.2155225886629575</v>
      </c>
      <c r="CM8" s="275">
        <f t="shared" si="94"/>
        <v>238.92389714011205</v>
      </c>
      <c r="CN8" s="261">
        <f t="shared" si="58"/>
        <v>4.4126912084553105</v>
      </c>
      <c r="CO8" s="275">
        <f t="shared" ref="CO8:CQ8" si="95">CO273</f>
        <v>246.91519455282821</v>
      </c>
      <c r="CP8" s="261">
        <f t="shared" si="58"/>
        <v>3.3447041122177223</v>
      </c>
      <c r="CQ8" s="275">
        <f t="shared" si="95"/>
        <v>255.60776598641326</v>
      </c>
      <c r="CR8" s="261">
        <f t="shared" si="58"/>
        <v>3.5204684139943598</v>
      </c>
      <c r="CS8" s="261">
        <f t="shared" si="65"/>
        <v>0.54943900170381088</v>
      </c>
      <c r="CT8" s="263"/>
      <c r="CU8" s="263"/>
      <c r="CV8"/>
      <c r="CW8"/>
      <c r="CX8"/>
      <c r="CY8"/>
      <c r="CZ8"/>
      <c r="DA8"/>
      <c r="DD8" s="644"/>
    </row>
    <row r="9" spans="1:108" s="193" customFormat="1" ht="12.75" customHeight="1" x14ac:dyDescent="0.2">
      <c r="A9" s="263" t="s">
        <v>436</v>
      </c>
      <c r="B9" s="275">
        <f>B342</f>
        <v>75.637999999999977</v>
      </c>
      <c r="C9" s="261"/>
      <c r="D9" s="275">
        <f>D342</f>
        <v>80.930000000000064</v>
      </c>
      <c r="E9" s="261"/>
      <c r="F9" s="275">
        <f>F342</f>
        <v>83.863</v>
      </c>
      <c r="G9" s="261"/>
      <c r="H9" s="275">
        <f>H342</f>
        <v>39.012999999999977</v>
      </c>
      <c r="I9" s="261"/>
      <c r="J9" s="275">
        <f>J342</f>
        <v>55.078999999999951</v>
      </c>
      <c r="K9" s="261">
        <f t="shared" si="18"/>
        <v>-27.180782146540139</v>
      </c>
      <c r="L9" s="275">
        <f>L342</f>
        <v>33.371000000000095</v>
      </c>
      <c r="M9" s="261" t="str">
        <f t="shared" si="19"/>
        <v>NM</v>
      </c>
      <c r="N9" s="275">
        <f>N342</f>
        <v>53.100999999999942</v>
      </c>
      <c r="O9" s="261">
        <f t="shared" si="20"/>
        <v>-36.68125394989454</v>
      </c>
      <c r="P9" s="275">
        <f>P342</f>
        <v>54.479000000000042</v>
      </c>
      <c r="Q9" s="261">
        <f t="shared" si="21"/>
        <v>39.643195857791191</v>
      </c>
      <c r="R9" s="275">
        <f>R342</f>
        <v>50.699999999999989</v>
      </c>
      <c r="S9" s="261">
        <f t="shared" si="22"/>
        <v>-7.9503985184915642</v>
      </c>
      <c r="T9" s="275">
        <f>T342</f>
        <v>40</v>
      </c>
      <c r="U9" s="261">
        <f t="shared" si="23"/>
        <v>19.864553055047462</v>
      </c>
      <c r="V9" s="275">
        <f>V342</f>
        <v>117.09999999999997</v>
      </c>
      <c r="W9" s="261" t="str">
        <f t="shared" si="24"/>
        <v>NM</v>
      </c>
      <c r="X9" s="275">
        <f>X342</f>
        <v>47</v>
      </c>
      <c r="Y9" s="261">
        <f t="shared" si="25"/>
        <v>-13.728225554801</v>
      </c>
      <c r="Z9" s="275">
        <f>Z342</f>
        <v>31.10000000000008</v>
      </c>
      <c r="AA9" s="261">
        <f t="shared" si="26"/>
        <v>-38.658777120315413</v>
      </c>
      <c r="AB9" s="275">
        <f>AB342</f>
        <v>63.39999999999992</v>
      </c>
      <c r="AC9" s="261">
        <f t="shared" si="27"/>
        <v>58.499999999999794</v>
      </c>
      <c r="AD9" s="275">
        <f>AD342</f>
        <v>39.800000000000011</v>
      </c>
      <c r="AE9" s="261" t="str">
        <f t="shared" si="28"/>
        <v>NM</v>
      </c>
      <c r="AF9" s="275">
        <f>AF342</f>
        <v>103.00000000000006</v>
      </c>
      <c r="AG9" s="261" t="str">
        <f t="shared" si="29"/>
        <v>NM</v>
      </c>
      <c r="AH9" s="275">
        <f>AH342</f>
        <v>43.399999999999977</v>
      </c>
      <c r="AI9" s="261">
        <f t="shared" si="30"/>
        <v>39.549839228295383</v>
      </c>
      <c r="AJ9" s="275">
        <f>AJ342</f>
        <v>37.700000000000045</v>
      </c>
      <c r="AK9" s="261">
        <f t="shared" si="31"/>
        <v>-40.536277602523519</v>
      </c>
      <c r="AL9" s="275">
        <f>AL342</f>
        <v>-10.799999999999955</v>
      </c>
      <c r="AM9" s="261" t="str">
        <f t="shared" si="32"/>
        <v>NM</v>
      </c>
      <c r="AN9" s="451">
        <f>AN342</f>
        <v>102.39999999999998</v>
      </c>
      <c r="AO9" s="261">
        <f t="shared" si="33"/>
        <v>-0.58252427184474209</v>
      </c>
      <c r="AP9" s="451">
        <f>AP342</f>
        <v>41.099999999999966</v>
      </c>
      <c r="AQ9" s="261">
        <f t="shared" si="34"/>
        <v>-5.2995391705069395</v>
      </c>
      <c r="AR9" s="451">
        <f t="shared" ref="AR9:AT9" si="96">AR342</f>
        <v>50.299999999999983</v>
      </c>
      <c r="AS9" s="261">
        <f t="shared" si="36"/>
        <v>33.421750663129757</v>
      </c>
      <c r="AT9" s="451">
        <f t="shared" si="96"/>
        <v>-76.200000000000045</v>
      </c>
      <c r="AU9" s="261" t="str">
        <f t="shared" si="37"/>
        <v>NM</v>
      </c>
      <c r="AV9" s="451">
        <f t="shared" ref="AV9:AX9" si="97">AV342</f>
        <v>43.399999999999977</v>
      </c>
      <c r="AW9" s="261" t="str">
        <f t="shared" si="39"/>
        <v>NM</v>
      </c>
      <c r="AX9" s="451">
        <f t="shared" si="97"/>
        <v>31.699999999999989</v>
      </c>
      <c r="AY9" s="261">
        <f t="shared" si="40"/>
        <v>-22.871046228710423</v>
      </c>
      <c r="AZ9" s="451">
        <f t="shared" ref="AZ9" si="98">AZ342</f>
        <v>62.299999999999955</v>
      </c>
      <c r="BA9" s="261">
        <f t="shared" si="42"/>
        <v>23.856858846918438</v>
      </c>
      <c r="BB9" s="451">
        <f t="shared" ref="BB9:BD9" si="99">BB342</f>
        <v>-66.200000000000045</v>
      </c>
      <c r="BC9" s="261">
        <f t="shared" si="44"/>
        <v>-13.123359580052485</v>
      </c>
      <c r="BD9" s="451">
        <f t="shared" si="99"/>
        <v>63</v>
      </c>
      <c r="BE9" s="261">
        <f t="shared" si="45"/>
        <v>45.161290322580719</v>
      </c>
      <c r="BF9" s="275">
        <f t="shared" ref="BF9" si="100">BF342</f>
        <v>48.933121618771906</v>
      </c>
      <c r="BG9" s="261">
        <f t="shared" si="47"/>
        <v>54.363159680668538</v>
      </c>
      <c r="BH9" s="275">
        <f t="shared" ref="BH9" si="101">BH342</f>
        <v>56.043941810855813</v>
      </c>
      <c r="BI9" s="261">
        <f t="shared" si="49"/>
        <v>-10.041826948867005</v>
      </c>
      <c r="BJ9" s="275">
        <f t="shared" ref="BJ9" si="102">BJ342</f>
        <v>59.296178110277367</v>
      </c>
      <c r="BK9" s="261" t="str">
        <f t="shared" si="51"/>
        <v>NM</v>
      </c>
      <c r="BL9" s="275">
        <f t="shared" ref="BL9" si="103">BL342</f>
        <v>60.63713400486904</v>
      </c>
      <c r="BM9" s="261">
        <f t="shared" si="53"/>
        <v>-3.7505809446523153</v>
      </c>
      <c r="BN9" s="263"/>
      <c r="BO9" s="134"/>
      <c r="BP9" s="263"/>
      <c r="BQ9" s="263"/>
      <c r="BR9" s="260"/>
      <c r="BS9" s="264"/>
      <c r="BT9" s="260"/>
      <c r="BU9" s="275">
        <f t="shared" ref="BU9:CA9" si="104">BU342</f>
        <v>279.44399999999973</v>
      </c>
      <c r="BV9" s="261" t="str">
        <f t="shared" si="55"/>
        <v>NA</v>
      </c>
      <c r="BW9" s="275">
        <f t="shared" si="104"/>
        <v>196.02999999999975</v>
      </c>
      <c r="BX9" s="261">
        <f t="shared" si="56"/>
        <v>-29.849987832982659</v>
      </c>
      <c r="BY9" s="275">
        <f t="shared" si="104"/>
        <v>254.79999999999995</v>
      </c>
      <c r="BZ9" s="261">
        <f t="shared" si="57"/>
        <v>29.980105085956389</v>
      </c>
      <c r="CA9" s="275">
        <f t="shared" si="104"/>
        <v>237.30000000000018</v>
      </c>
      <c r="CB9" s="261">
        <f t="shared" si="58"/>
        <v>-6.8681318681317771</v>
      </c>
      <c r="CC9" s="275">
        <f t="shared" ref="CC9" si="105">CC342</f>
        <v>172.70000000000005</v>
      </c>
      <c r="CD9" s="261">
        <f t="shared" si="58"/>
        <v>-27.222924568057351</v>
      </c>
      <c r="CE9" s="275">
        <f t="shared" ref="CE9" si="106">CE342</f>
        <v>58.599999999999909</v>
      </c>
      <c r="CF9" s="261" t="str">
        <f t="shared" si="58"/>
        <v>NM</v>
      </c>
      <c r="CG9" s="275">
        <f t="shared" ref="CG9" si="107">CG342</f>
        <v>90.799999999999955</v>
      </c>
      <c r="CH9" s="261">
        <f t="shared" si="58"/>
        <v>54.948805460751025</v>
      </c>
      <c r="CI9" s="275">
        <f t="shared" ref="CI9" si="108">CI342</f>
        <v>224.91037554477407</v>
      </c>
      <c r="CJ9" s="261" t="str">
        <f t="shared" si="58"/>
        <v>NM</v>
      </c>
      <c r="CK9" s="275">
        <f t="shared" ref="CK9:CM9" si="109">CK342</f>
        <v>227.57663464966186</v>
      </c>
      <c r="CL9" s="261">
        <f t="shared" si="58"/>
        <v>1.1854762584561085</v>
      </c>
      <c r="CM9" s="275">
        <f t="shared" si="109"/>
        <v>231.32052167082247</v>
      </c>
      <c r="CN9" s="261">
        <f t="shared" si="58"/>
        <v>1.6451104600101241</v>
      </c>
      <c r="CO9" s="275">
        <f t="shared" ref="CO9:CQ9" si="110">CO342</f>
        <v>235.11407968444178</v>
      </c>
      <c r="CP9" s="261">
        <f t="shared" si="58"/>
        <v>1.6399574003285622</v>
      </c>
      <c r="CQ9" s="275">
        <f t="shared" si="110"/>
        <v>238.95766936922246</v>
      </c>
      <c r="CR9" s="261">
        <f t="shared" si="58"/>
        <v>1.6347764837985723</v>
      </c>
      <c r="CS9" s="261">
        <f t="shared" si="65"/>
        <v>21.352024234508793</v>
      </c>
      <c r="CT9" s="263"/>
      <c r="CU9" s="263"/>
      <c r="CV9"/>
      <c r="CW9"/>
      <c r="CX9"/>
      <c r="CY9"/>
      <c r="CZ9"/>
      <c r="DA9"/>
      <c r="DD9" s="644"/>
    </row>
    <row r="10" spans="1:108" s="193" customFormat="1" ht="12.75" customHeight="1" x14ac:dyDescent="0.2">
      <c r="A10" s="263" t="s">
        <v>437</v>
      </c>
      <c r="B10" s="275">
        <f>B417</f>
        <v>13.335955239999976</v>
      </c>
      <c r="C10" s="261"/>
      <c r="D10" s="275">
        <f>D417</f>
        <v>30.890866800000012</v>
      </c>
      <c r="E10" s="261"/>
      <c r="F10" s="275">
        <f>F417</f>
        <v>17.992191009999985</v>
      </c>
      <c r="G10" s="261"/>
      <c r="H10" s="275">
        <f>H417</f>
        <v>21.099437460000019</v>
      </c>
      <c r="I10" s="261"/>
      <c r="J10" s="275">
        <f>J417</f>
        <v>15.496000000000009</v>
      </c>
      <c r="K10" s="261">
        <f t="shared" si="18"/>
        <v>16.197150643706259</v>
      </c>
      <c r="L10" s="275">
        <f>L417</f>
        <v>29.004999999999995</v>
      </c>
      <c r="M10" s="261">
        <f t="shared" si="19"/>
        <v>-6.104933254899847</v>
      </c>
      <c r="N10" s="275">
        <f>N417</f>
        <v>36.029999999999987</v>
      </c>
      <c r="O10" s="261" t="str">
        <f t="shared" si="20"/>
        <v>NM</v>
      </c>
      <c r="P10" s="275">
        <f>P417</f>
        <v>28.621000000000038</v>
      </c>
      <c r="Q10" s="261">
        <f t="shared" si="21"/>
        <v>35.64816623314853</v>
      </c>
      <c r="R10" s="275">
        <f>R417</f>
        <v>12.399999999999991</v>
      </c>
      <c r="S10" s="261">
        <f t="shared" si="22"/>
        <v>-19.979349509550957</v>
      </c>
      <c r="T10" s="275">
        <f>T417</f>
        <v>34.09999999999998</v>
      </c>
      <c r="U10" s="261">
        <f t="shared" si="23"/>
        <v>17.565936907429712</v>
      </c>
      <c r="V10" s="275">
        <f>V417</f>
        <v>29.09999999999998</v>
      </c>
      <c r="W10" s="261">
        <f t="shared" si="24"/>
        <v>-19.233971690258144</v>
      </c>
      <c r="X10" s="275">
        <f>X417</f>
        <v>30.499999999999986</v>
      </c>
      <c r="Y10" s="261">
        <f t="shared" si="25"/>
        <v>6.5651095349566591</v>
      </c>
      <c r="Z10" s="275">
        <f>Z417</f>
        <v>16.899999999999991</v>
      </c>
      <c r="AA10" s="261">
        <f t="shared" si="26"/>
        <v>36.290322580645196</v>
      </c>
      <c r="AB10" s="275">
        <f>AB417</f>
        <v>37.800000000000011</v>
      </c>
      <c r="AC10" s="261">
        <f t="shared" si="27"/>
        <v>10.850439882698048</v>
      </c>
      <c r="AD10" s="275">
        <f>AD417</f>
        <v>37</v>
      </c>
      <c r="AE10" s="261">
        <f t="shared" si="28"/>
        <v>27.147766323024136</v>
      </c>
      <c r="AF10" s="275">
        <f>AF417</f>
        <v>57.2</v>
      </c>
      <c r="AG10" s="261">
        <f t="shared" si="29"/>
        <v>87.540983606557461</v>
      </c>
      <c r="AH10" s="275">
        <f>AH417</f>
        <v>40.599999999999994</v>
      </c>
      <c r="AI10" s="261" t="str">
        <f t="shared" si="30"/>
        <v>NM</v>
      </c>
      <c r="AJ10" s="275">
        <f>AJ417</f>
        <v>37.699999999999989</v>
      </c>
      <c r="AK10" s="261">
        <f t="shared" si="31"/>
        <v>-0.26455026455032282</v>
      </c>
      <c r="AL10" s="275">
        <f>AL417</f>
        <v>44.199999999999989</v>
      </c>
      <c r="AM10" s="261">
        <f t="shared" si="32"/>
        <v>19.459459459459438</v>
      </c>
      <c r="AN10" s="451">
        <f>AN417</f>
        <v>23.599999999999994</v>
      </c>
      <c r="AO10" s="261" t="str">
        <f t="shared" si="33"/>
        <v>NM</v>
      </c>
      <c r="AP10" s="451">
        <f>AP417</f>
        <v>20.799999999999997</v>
      </c>
      <c r="AQ10" s="261">
        <f t="shared" si="34"/>
        <v>-48.768472906403936</v>
      </c>
      <c r="AR10" s="451">
        <f t="shared" ref="AR10:AT10" si="111">AR417</f>
        <v>32.300000000000011</v>
      </c>
      <c r="AS10" s="261">
        <f t="shared" si="36"/>
        <v>-14.323607427055652</v>
      </c>
      <c r="AT10" s="451">
        <f t="shared" si="111"/>
        <v>41.300000000000011</v>
      </c>
      <c r="AU10" s="261">
        <f t="shared" si="37"/>
        <v>-6.5610859728506332</v>
      </c>
      <c r="AV10" s="451">
        <f t="shared" ref="AV10:AX10" si="112">AV417</f>
        <v>31.899999999999991</v>
      </c>
      <c r="AW10" s="261">
        <f t="shared" si="39"/>
        <v>35.169491525423723</v>
      </c>
      <c r="AX10" s="451">
        <f t="shared" si="112"/>
        <v>10.600000000000009</v>
      </c>
      <c r="AY10" s="261">
        <f t="shared" si="40"/>
        <v>-49.038461538461483</v>
      </c>
      <c r="AZ10" s="451">
        <f t="shared" ref="AZ10" si="113">AZ417</f>
        <v>27</v>
      </c>
      <c r="BA10" s="261">
        <f t="shared" si="42"/>
        <v>-16.408668730650188</v>
      </c>
      <c r="BB10" s="451">
        <f t="shared" ref="BB10:BD10" si="114">BB417</f>
        <v>58.000000000000014</v>
      </c>
      <c r="BC10" s="261">
        <f t="shared" si="44"/>
        <v>40.435835351089587</v>
      </c>
      <c r="BD10" s="451">
        <f t="shared" si="114"/>
        <v>30</v>
      </c>
      <c r="BE10" s="261">
        <f t="shared" si="45"/>
        <v>-5.9561128526645524</v>
      </c>
      <c r="BF10" s="275">
        <f t="shared" ref="BF10" si="115">BF417</f>
        <v>16.884465653513402</v>
      </c>
      <c r="BG10" s="261">
        <f t="shared" si="47"/>
        <v>59.287411825597999</v>
      </c>
      <c r="BH10" s="275">
        <f t="shared" ref="BH10" si="116">BH417</f>
        <v>33.501306462761917</v>
      </c>
      <c r="BI10" s="261">
        <f t="shared" si="49"/>
        <v>24.078912825044128</v>
      </c>
      <c r="BJ10" s="275">
        <f t="shared" ref="BJ10" si="117">BJ417</f>
        <v>36.909836447959435</v>
      </c>
      <c r="BK10" s="261">
        <f t="shared" si="51"/>
        <v>-36.362350951794099</v>
      </c>
      <c r="BL10" s="275">
        <f t="shared" ref="BL10" si="118">BL417</f>
        <v>32.247343876921292</v>
      </c>
      <c r="BM10" s="261">
        <f t="shared" si="53"/>
        <v>7.4911462564043019</v>
      </c>
      <c r="BN10" s="263"/>
      <c r="BO10" s="134"/>
      <c r="BP10" s="263"/>
      <c r="BQ10" s="263"/>
      <c r="BR10" s="260"/>
      <c r="BS10" s="264"/>
      <c r="BT10" s="260"/>
      <c r="BU10" s="275">
        <f t="shared" ref="BU10:CA10" si="119">BU417</f>
        <v>83.318450509999991</v>
      </c>
      <c r="BV10" s="261" t="str">
        <f t="shared" si="55"/>
        <v>NA</v>
      </c>
      <c r="BW10" s="275">
        <f t="shared" si="119"/>
        <v>109.15199999999987</v>
      </c>
      <c r="BX10" s="261">
        <f t="shared" si="56"/>
        <v>31.005796833558861</v>
      </c>
      <c r="BY10" s="275">
        <f t="shared" si="119"/>
        <v>106.10000000000008</v>
      </c>
      <c r="BZ10" s="261">
        <f t="shared" si="57"/>
        <v>-2.796100850190375</v>
      </c>
      <c r="CA10" s="275">
        <f t="shared" si="119"/>
        <v>148.89999999999986</v>
      </c>
      <c r="CB10" s="261">
        <f t="shared" si="58"/>
        <v>40.339302544768849</v>
      </c>
      <c r="CC10" s="275">
        <f t="shared" ref="CC10" si="120">CC417</f>
        <v>146.09999999999991</v>
      </c>
      <c r="CD10" s="261">
        <f t="shared" si="58"/>
        <v>-1.8804566823371061</v>
      </c>
      <c r="CE10" s="275">
        <f t="shared" ref="CE10" si="121">CE417</f>
        <v>126.30000000000001</v>
      </c>
      <c r="CF10" s="261">
        <f t="shared" si="58"/>
        <v>-13.552361396303835</v>
      </c>
      <c r="CG10" s="275">
        <f t="shared" ref="CG10" si="122">CG417</f>
        <v>125.60000000000008</v>
      </c>
      <c r="CH10" s="261">
        <f t="shared" si="58"/>
        <v>-0.55423594615988669</v>
      </c>
      <c r="CI10" s="275">
        <f t="shared" ref="CI10" si="123">CI417</f>
        <v>119.54295244115605</v>
      </c>
      <c r="CJ10" s="261">
        <f t="shared" si="58"/>
        <v>-4.8224900946210454</v>
      </c>
      <c r="CK10" s="275">
        <f t="shared" ref="CK10:CM10" si="124">CK417</f>
        <v>127.59095869892695</v>
      </c>
      <c r="CL10" s="261">
        <f t="shared" si="58"/>
        <v>6.7323134433478815</v>
      </c>
      <c r="CM10" s="275">
        <f t="shared" si="124"/>
        <v>130.03756043703845</v>
      </c>
      <c r="CN10" s="261">
        <f t="shared" si="58"/>
        <v>1.917535351297639</v>
      </c>
      <c r="CO10" s="275">
        <f t="shared" ref="CO10:CQ10" si="125">CO417</f>
        <v>132.45070490350696</v>
      </c>
      <c r="CP10" s="261">
        <f t="shared" si="58"/>
        <v>1.8557288050915943</v>
      </c>
      <c r="CQ10" s="275">
        <f t="shared" si="125"/>
        <v>134.82208720827538</v>
      </c>
      <c r="CR10" s="261">
        <f t="shared" si="58"/>
        <v>1.7903885875851122</v>
      </c>
      <c r="CS10" s="261">
        <f t="shared" si="65"/>
        <v>1.4271637670947745</v>
      </c>
      <c r="CT10" s="263"/>
      <c r="CU10" s="263"/>
      <c r="CV10"/>
      <c r="CW10"/>
      <c r="CX10"/>
      <c r="CY10"/>
      <c r="CZ10"/>
      <c r="DA10"/>
    </row>
    <row r="11" spans="1:108" s="204" customFormat="1" ht="12.75" customHeight="1" x14ac:dyDescent="0.2">
      <c r="A11" s="265" t="s">
        <v>441</v>
      </c>
      <c r="B11" s="276">
        <f>B6+B7+B8+B9+B10</f>
        <v>279.13695524000002</v>
      </c>
      <c r="C11" s="277"/>
      <c r="D11" s="276">
        <f>D6+D7+D8+D9+D10</f>
        <v>350.80086680000011</v>
      </c>
      <c r="E11" s="277"/>
      <c r="F11" s="276">
        <f>F6+F7+F8+F9+F10</f>
        <v>306.80619100999996</v>
      </c>
      <c r="G11" s="277"/>
      <c r="H11" s="276">
        <f>H6+H7+H8+H9+H10</f>
        <v>343.08443746</v>
      </c>
      <c r="I11" s="277"/>
      <c r="J11" s="276">
        <f>J6+J7+J8+J9+J10</f>
        <v>264.0539999999998</v>
      </c>
      <c r="K11" s="277">
        <f t="shared" si="18"/>
        <v>-5.4034247192500935</v>
      </c>
      <c r="L11" s="276">
        <f>L6+L7+L8+L9+L10</f>
        <v>191.88000000000002</v>
      </c>
      <c r="M11" s="277">
        <f t="shared" si="19"/>
        <v>-45.302301630458807</v>
      </c>
      <c r="N11" s="276">
        <f>N6+N7+N8+N9+N10</f>
        <v>305.98700000000002</v>
      </c>
      <c r="O11" s="277">
        <f t="shared" si="20"/>
        <v>-0.26700602334757129</v>
      </c>
      <c r="P11" s="276">
        <f>P6+P7+P8+P9+P10</f>
        <v>228.41900000000015</v>
      </c>
      <c r="Q11" s="277">
        <f t="shared" si="21"/>
        <v>-33.421929105533565</v>
      </c>
      <c r="R11" s="276">
        <f>R6+R7+R8+R9+R10</f>
        <v>285.3</v>
      </c>
      <c r="S11" s="277">
        <f t="shared" si="22"/>
        <v>8.0460814833330332</v>
      </c>
      <c r="T11" s="276">
        <f>T6+T7+T8+T9+T10</f>
        <v>306.8</v>
      </c>
      <c r="U11" s="277">
        <f t="shared" si="23"/>
        <v>59.891598915989142</v>
      </c>
      <c r="V11" s="276">
        <f>V6+V7+V8+V9+V10</f>
        <v>484.39999999999986</v>
      </c>
      <c r="W11" s="277">
        <f t="shared" si="24"/>
        <v>58.307379071659859</v>
      </c>
      <c r="X11" s="276">
        <f>X6+X7+X8+X9+X10</f>
        <v>352.19999999999993</v>
      </c>
      <c r="Y11" s="277">
        <f t="shared" si="25"/>
        <v>54.190325673433335</v>
      </c>
      <c r="Z11" s="276">
        <f>Z6+Z7+Z8+Z9+Z10</f>
        <v>267.50000000000017</v>
      </c>
      <c r="AA11" s="277">
        <f t="shared" si="26"/>
        <v>-6.2390466175954558</v>
      </c>
      <c r="AB11" s="276">
        <f>AB6+AB7+AB8+AB9+AB10</f>
        <v>356.00000000000006</v>
      </c>
      <c r="AC11" s="277">
        <f t="shared" si="27"/>
        <v>16.036505867014348</v>
      </c>
      <c r="AD11" s="276">
        <f>AD6+AD7+AD8+AD9+AD10</f>
        <v>331</v>
      </c>
      <c r="AE11" s="277">
        <f t="shared" si="28"/>
        <v>-31.668042939719221</v>
      </c>
      <c r="AF11" s="276">
        <f>AF6+AF7+AF8+AF9+AF10</f>
        <v>421.89999999999986</v>
      </c>
      <c r="AG11" s="277">
        <f t="shared" si="29"/>
        <v>19.789892106757499</v>
      </c>
      <c r="AH11" s="276">
        <f>AH6+AH7+AH8+AH9+AH10</f>
        <v>324.10000000000002</v>
      </c>
      <c r="AI11" s="277">
        <f t="shared" si="30"/>
        <v>21.158878504672817</v>
      </c>
      <c r="AJ11" s="276">
        <f>AJ6+AJ7+AJ8+AJ9+AJ10</f>
        <v>311.8</v>
      </c>
      <c r="AK11" s="277">
        <f t="shared" si="31"/>
        <v>-12.415730337078667</v>
      </c>
      <c r="AL11" s="276">
        <f>AL6+AL7+AL8+AL9+AL10</f>
        <v>210.09999999999988</v>
      </c>
      <c r="AM11" s="277">
        <f t="shared" si="32"/>
        <v>-36.525679758308193</v>
      </c>
      <c r="AN11" s="276">
        <f>AN6+AN7+AN8+AN9+AN10</f>
        <v>368.40000000000009</v>
      </c>
      <c r="AO11" s="277">
        <f t="shared" si="33"/>
        <v>-12.680730030812937</v>
      </c>
      <c r="AP11" s="276">
        <f>AP6+AP7+AP8+AP9+AP10</f>
        <v>188.29999999999984</v>
      </c>
      <c r="AQ11" s="277">
        <f t="shared" si="34"/>
        <v>-41.900647948164206</v>
      </c>
      <c r="AR11" s="276">
        <f t="shared" ref="AR11:AT11" si="126">AR6+AR7+AR8+AR9+AR10</f>
        <v>254.79999999999995</v>
      </c>
      <c r="AS11" s="277">
        <f t="shared" si="36"/>
        <v>-18.28094932649136</v>
      </c>
      <c r="AT11" s="276">
        <f t="shared" si="126"/>
        <v>79.39999999999992</v>
      </c>
      <c r="AU11" s="277" t="str">
        <f t="shared" si="37"/>
        <v>NM</v>
      </c>
      <c r="AV11" s="276">
        <f t="shared" ref="AV11:AX11" si="127">AV6+AV7+AV8+AV9+AV10</f>
        <v>282.89999999999992</v>
      </c>
      <c r="AW11" s="277">
        <f t="shared" si="39"/>
        <v>-23.208469055374636</v>
      </c>
      <c r="AX11" s="276">
        <f t="shared" si="127"/>
        <v>240.49999999999983</v>
      </c>
      <c r="AY11" s="277">
        <f t="shared" si="40"/>
        <v>27.721720658523651</v>
      </c>
      <c r="AZ11" s="276">
        <f t="shared" ref="AZ11" si="128">AZ6+AZ7+AZ8+AZ9+AZ10</f>
        <v>207.49999999999986</v>
      </c>
      <c r="BA11" s="277">
        <f t="shared" si="42"/>
        <v>-18.563579277865038</v>
      </c>
      <c r="BB11" s="276">
        <f t="shared" ref="BB11:BD11" si="129">BB6+BB7+BB8+BB9+BB10</f>
        <v>152.20000000000005</v>
      </c>
      <c r="BC11" s="277">
        <f t="shared" si="44"/>
        <v>91.687657430730724</v>
      </c>
      <c r="BD11" s="276">
        <f t="shared" si="129"/>
        <v>322.19999999999993</v>
      </c>
      <c r="BE11" s="277">
        <f t="shared" si="45"/>
        <v>13.891834570519634</v>
      </c>
      <c r="BF11" s="276">
        <f t="shared" ref="BF11" si="130">BF6+BF7+BF8+BF9+BF10</f>
        <v>260.91592862875552</v>
      </c>
      <c r="BG11" s="277">
        <f t="shared" si="47"/>
        <v>8.4889516127882416</v>
      </c>
      <c r="BH11" s="276">
        <f t="shared" ref="BH11" si="131">BH6+BH7+BH8+BH9+BH10</f>
        <v>294.40032272784299</v>
      </c>
      <c r="BI11" s="277">
        <f t="shared" si="49"/>
        <v>41.879673603779842</v>
      </c>
      <c r="BJ11" s="276">
        <f t="shared" ref="BJ11" si="132">BJ6+BJ7+BJ8+BJ9+BJ10</f>
        <v>296.29061969113837</v>
      </c>
      <c r="BK11" s="277">
        <f t="shared" si="51"/>
        <v>94.671892044111885</v>
      </c>
      <c r="BL11" s="276">
        <f t="shared" ref="BL11" si="133">BL6+BL7+BL8+BL9+BL10</f>
        <v>301.30401841016374</v>
      </c>
      <c r="BM11" s="277">
        <f t="shared" si="53"/>
        <v>-6.4854070731955922</v>
      </c>
      <c r="BN11" s="265"/>
      <c r="BO11" s="279"/>
      <c r="BP11" s="265"/>
      <c r="BQ11" s="265"/>
      <c r="BR11" s="278"/>
      <c r="BS11" s="280"/>
      <c r="BT11" s="278"/>
      <c r="BU11" s="276">
        <f>BU6+BU7+BU8+BU9+BU10</f>
        <v>1279.8284505099994</v>
      </c>
      <c r="BV11" s="277" t="str">
        <f t="shared" si="55"/>
        <v>NA</v>
      </c>
      <c r="BW11" s="276">
        <f>BW6+BW7+BW8+BW9+BW10</f>
        <v>990.34000000000037</v>
      </c>
      <c r="BX11" s="277">
        <f t="shared" si="56"/>
        <v>-22.619316705660086</v>
      </c>
      <c r="BY11" s="276">
        <f>BY6+BY7+BY8+BY9+BY10</f>
        <v>1428.7000000000003</v>
      </c>
      <c r="BZ11" s="277">
        <f t="shared" si="57"/>
        <v>44.263586243108399</v>
      </c>
      <c r="CA11" s="276">
        <f>CA6+CA7+CA8+CA9+CA10</f>
        <v>1376.4000000000003</v>
      </c>
      <c r="CB11" s="277">
        <f t="shared" si="58"/>
        <v>-3.6606705396514228</v>
      </c>
      <c r="CC11" s="276">
        <f>CC6+CC7+CC8+CC9+CC10</f>
        <v>1214.3999999999999</v>
      </c>
      <c r="CD11" s="277">
        <f t="shared" si="58"/>
        <v>-11.769834350479547</v>
      </c>
      <c r="CE11" s="276">
        <f>CE6+CE7+CE8+CE9+CE10</f>
        <v>805.39999999999986</v>
      </c>
      <c r="CF11" s="277">
        <f t="shared" si="58"/>
        <v>-33.679183135704882</v>
      </c>
      <c r="CG11" s="276">
        <f>CG6+CG7+CG8+CG9+CG10</f>
        <v>922.40000000000009</v>
      </c>
      <c r="CH11" s="277">
        <f t="shared" si="58"/>
        <v>14.52694313384657</v>
      </c>
      <c r="CI11" s="276">
        <f>CI6+CI7+CI8+CI9+CI10</f>
        <v>1152.9108894579006</v>
      </c>
      <c r="CJ11" s="277">
        <f t="shared" si="58"/>
        <v>24.99033927340637</v>
      </c>
      <c r="CK11" s="276">
        <f>CK6+CK7+CK8+CK9+CK10</f>
        <v>1201.1782067360518</v>
      </c>
      <c r="CL11" s="277">
        <f t="shared" si="58"/>
        <v>4.186560966636943</v>
      </c>
      <c r="CM11" s="276">
        <f>CM6+CM7+CM8+CM9+CM10</f>
        <v>1247.1799693054431</v>
      </c>
      <c r="CN11" s="277">
        <f t="shared" si="58"/>
        <v>3.8297200458199621</v>
      </c>
      <c r="CO11" s="276">
        <f>CO6+CO7+CO8+CO9+CO10</f>
        <v>1292.1206649492401</v>
      </c>
      <c r="CP11" s="277">
        <f t="shared" si="58"/>
        <v>3.6033849764941728</v>
      </c>
      <c r="CQ11" s="276">
        <f>CQ6+CQ7+CQ8+CQ9+CQ10</f>
        <v>1336.6261181310085</v>
      </c>
      <c r="CR11" s="277">
        <f t="shared" si="58"/>
        <v>3.4443728352194336</v>
      </c>
      <c r="CS11" s="277">
        <f t="shared" si="65"/>
        <v>7.7006017384560588</v>
      </c>
      <c r="CT11" s="265"/>
      <c r="CU11" s="265"/>
      <c r="CV11"/>
      <c r="CW11"/>
      <c r="CX11"/>
      <c r="CY11"/>
      <c r="CZ11"/>
      <c r="DA11"/>
    </row>
    <row r="12" spans="1:108" s="193" customFormat="1" ht="12.75" hidden="1" customHeight="1" outlineLevel="1" x14ac:dyDescent="0.2">
      <c r="A12" s="263" t="s">
        <v>438</v>
      </c>
      <c r="B12" s="275">
        <f>B440</f>
        <v>-44.3</v>
      </c>
      <c r="C12" s="261"/>
      <c r="D12" s="275">
        <f>D440</f>
        <v>-69.099999999999994</v>
      </c>
      <c r="E12" s="261"/>
      <c r="F12" s="275">
        <f>F440</f>
        <v>-20.800000000000004</v>
      </c>
      <c r="G12" s="261"/>
      <c r="H12" s="275">
        <f>H440</f>
        <v>-96</v>
      </c>
      <c r="I12" s="261"/>
      <c r="J12" s="275">
        <f>J440</f>
        <v>-48.4</v>
      </c>
      <c r="K12" s="261">
        <f t="shared" si="18"/>
        <v>9.2550790067720037</v>
      </c>
      <c r="L12" s="275">
        <f>L440</f>
        <v>-32.700000000000003</v>
      </c>
      <c r="M12" s="261" t="str">
        <f t="shared" si="19"/>
        <v>NM</v>
      </c>
      <c r="N12" s="275">
        <f>N440</f>
        <v>-57.6</v>
      </c>
      <c r="O12" s="261" t="str">
        <f t="shared" si="20"/>
        <v>NM</v>
      </c>
      <c r="P12" s="275">
        <f>P440</f>
        <v>-43.600000000000009</v>
      </c>
      <c r="Q12" s="261" t="str">
        <f t="shared" si="21"/>
        <v>NM</v>
      </c>
      <c r="R12" s="275">
        <f>R440</f>
        <v>-50.1</v>
      </c>
      <c r="S12" s="261">
        <f t="shared" si="22"/>
        <v>3.512396694214881</v>
      </c>
      <c r="T12" s="275">
        <f>T440</f>
        <v>-52.800000000000011</v>
      </c>
      <c r="U12" s="261">
        <f t="shared" si="23"/>
        <v>61.467889908256915</v>
      </c>
      <c r="V12" s="275">
        <f>V440</f>
        <v>-63.699999999999996</v>
      </c>
      <c r="W12" s="261">
        <f t="shared" si="24"/>
        <v>10.590277777777768</v>
      </c>
      <c r="X12" s="275">
        <f>X440</f>
        <v>-44</v>
      </c>
      <c r="Y12" s="261">
        <f t="shared" si="25"/>
        <v>0.91743119266052275</v>
      </c>
      <c r="Z12" s="275">
        <f>Z440</f>
        <v>-37.299999999999997</v>
      </c>
      <c r="AA12" s="261">
        <f t="shared" si="26"/>
        <v>-25.54890219560879</v>
      </c>
      <c r="AB12" s="275">
        <f>AB440</f>
        <v>-38.300000000000004</v>
      </c>
      <c r="AC12" s="261">
        <f t="shared" si="27"/>
        <v>-27.462121212121215</v>
      </c>
      <c r="AD12" s="275">
        <f>AD440</f>
        <v>-47.1</v>
      </c>
      <c r="AE12" s="261">
        <f t="shared" si="28"/>
        <v>-26.059654631083195</v>
      </c>
      <c r="AF12" s="275">
        <f>AF440</f>
        <v>-47.7</v>
      </c>
      <c r="AG12" s="261">
        <f t="shared" si="29"/>
        <v>8.4090909090909207</v>
      </c>
      <c r="AH12" s="275">
        <f>AH440</f>
        <v>-48.2</v>
      </c>
      <c r="AI12" s="261">
        <f t="shared" si="30"/>
        <v>29.222520107238626</v>
      </c>
      <c r="AJ12" s="275">
        <f>AJ440</f>
        <v>-53.29999999999999</v>
      </c>
      <c r="AK12" s="261">
        <f t="shared" si="31"/>
        <v>39.164490861618752</v>
      </c>
      <c r="AL12" s="275">
        <f>AL440</f>
        <v>-75.600000000000009</v>
      </c>
      <c r="AM12" s="261">
        <f t="shared" si="32"/>
        <v>60.509554140127399</v>
      </c>
      <c r="AN12" s="451">
        <f>AN440</f>
        <v>-82.100000000000009</v>
      </c>
      <c r="AO12" s="261">
        <f t="shared" si="33"/>
        <v>72.117400419287222</v>
      </c>
      <c r="AP12" s="451">
        <f>AP440</f>
        <v>-104.89999999999999</v>
      </c>
      <c r="AQ12" s="261" t="str">
        <f t="shared" si="34"/>
        <v>NM</v>
      </c>
      <c r="AR12" s="451">
        <f t="shared" ref="AR12:AT12" si="134">AR440</f>
        <v>-126.2</v>
      </c>
      <c r="AS12" s="261" t="str">
        <f t="shared" si="36"/>
        <v>NM</v>
      </c>
      <c r="AT12" s="451">
        <f t="shared" si="134"/>
        <v>-109.4</v>
      </c>
      <c r="AU12" s="261">
        <f t="shared" si="37"/>
        <v>44.708994708994695</v>
      </c>
      <c r="AV12" s="451">
        <f t="shared" ref="AV12:AX12" si="135">AV440</f>
        <v>-133.30000000000001</v>
      </c>
      <c r="AW12" s="261">
        <f t="shared" si="39"/>
        <v>62.362971985383673</v>
      </c>
      <c r="AX12" s="451">
        <f t="shared" si="135"/>
        <v>-95.1</v>
      </c>
      <c r="AY12" s="261">
        <f t="shared" si="40"/>
        <v>-9.3422306959008559</v>
      </c>
      <c r="AZ12" s="451">
        <f t="shared" ref="AZ12" si="136">AZ440</f>
        <v>-100.5</v>
      </c>
      <c r="BA12" s="261">
        <f t="shared" si="42"/>
        <v>-20.364500792393024</v>
      </c>
      <c r="BB12" s="451">
        <f t="shared" ref="BB12:BD12" si="137">BB440</f>
        <v>-110</v>
      </c>
      <c r="BC12" s="261">
        <f t="shared" si="44"/>
        <v>0.54844606946982122</v>
      </c>
      <c r="BD12" s="451">
        <f t="shared" si="137"/>
        <v>-88.699999999999989</v>
      </c>
      <c r="BE12" s="261">
        <f t="shared" si="45"/>
        <v>-33.458364591147806</v>
      </c>
      <c r="BF12" s="275">
        <f t="shared" ref="BF12" si="138">BF440</f>
        <v>-78.5</v>
      </c>
      <c r="BG12" s="261">
        <f t="shared" si="47"/>
        <v>-17.455310199789686</v>
      </c>
      <c r="BH12" s="275">
        <f t="shared" ref="BH12" si="139">BH440</f>
        <v>-81.5</v>
      </c>
      <c r="BI12" s="261">
        <f t="shared" si="49"/>
        <v>-18.905472636815922</v>
      </c>
      <c r="BJ12" s="275">
        <f t="shared" ref="BJ12" si="140">BJ440</f>
        <v>-70.352499999999992</v>
      </c>
      <c r="BK12" s="261">
        <f t="shared" si="51"/>
        <v>-36.043181818181822</v>
      </c>
      <c r="BL12" s="275">
        <f t="shared" ref="BL12" si="141">BL440</f>
        <v>-65.352499999999992</v>
      </c>
      <c r="BM12" s="261">
        <f t="shared" si="53"/>
        <v>-26.321871476888393</v>
      </c>
      <c r="BN12" s="263"/>
      <c r="BO12" s="134"/>
      <c r="BP12" s="263"/>
      <c r="BQ12" s="263"/>
      <c r="BR12" s="260"/>
      <c r="BS12" s="264"/>
      <c r="BT12" s="260"/>
      <c r="BU12" s="275">
        <f t="shared" ref="BU12:CA12" si="142">BU440</f>
        <v>-230.19999999999996</v>
      </c>
      <c r="BV12" s="261" t="str">
        <f t="shared" si="55"/>
        <v>NA</v>
      </c>
      <c r="BW12" s="275">
        <f t="shared" si="142"/>
        <v>-182.3</v>
      </c>
      <c r="BX12" s="261">
        <f t="shared" si="56"/>
        <v>-20.807993049522132</v>
      </c>
      <c r="BY12" s="275">
        <f t="shared" si="142"/>
        <v>-210.6</v>
      </c>
      <c r="BZ12" s="261">
        <f t="shared" si="57"/>
        <v>15.523861766319236</v>
      </c>
      <c r="CA12" s="275">
        <f t="shared" si="142"/>
        <v>-170.4</v>
      </c>
      <c r="CB12" s="261">
        <f t="shared" si="58"/>
        <v>-19.088319088319082</v>
      </c>
      <c r="CC12" s="275">
        <f t="shared" ref="CC12" si="143">CC440</f>
        <v>-259.20000000000005</v>
      </c>
      <c r="CD12" s="261">
        <f t="shared" si="58"/>
        <v>52.112676056338046</v>
      </c>
      <c r="CE12" s="275">
        <f t="shared" ref="CE12" si="144">CE440</f>
        <v>-473.80000000000007</v>
      </c>
      <c r="CF12" s="261">
        <f t="shared" si="58"/>
        <v>82.793209876543187</v>
      </c>
      <c r="CG12" s="275">
        <f t="shared" ref="CG12" si="145">CG440</f>
        <v>-394.29999999999995</v>
      </c>
      <c r="CH12" s="261">
        <f t="shared" si="58"/>
        <v>-16.779231743351641</v>
      </c>
      <c r="CI12" s="275">
        <f t="shared" ref="CI12" si="146">CI440</f>
        <v>-295.70500000000004</v>
      </c>
      <c r="CJ12" s="261">
        <f t="shared" si="58"/>
        <v>-25.005072279989836</v>
      </c>
      <c r="CK12" s="275">
        <f t="shared" ref="CK12:CM12" si="147">CK440</f>
        <v>-232.40999999999997</v>
      </c>
      <c r="CL12" s="261">
        <f t="shared" si="58"/>
        <v>-21.404778410916304</v>
      </c>
      <c r="CM12" s="275">
        <f t="shared" si="147"/>
        <v>-232.72999999999996</v>
      </c>
      <c r="CN12" s="261">
        <f t="shared" si="58"/>
        <v>0.13768770706938938</v>
      </c>
      <c r="CO12" s="275">
        <f t="shared" ref="CO12:CQ12" si="148">CO440</f>
        <v>-233.05319999999998</v>
      </c>
      <c r="CP12" s="261">
        <f t="shared" si="58"/>
        <v>0.13887337257767474</v>
      </c>
      <c r="CQ12" s="275">
        <f t="shared" si="148"/>
        <v>-233.37963199999996</v>
      </c>
      <c r="CR12" s="261">
        <f t="shared" si="58"/>
        <v>0.14006758971769617</v>
      </c>
      <c r="CS12" s="261">
        <f t="shared" si="65"/>
        <v>-9.9575642335450567</v>
      </c>
      <c r="CT12" s="263"/>
      <c r="CU12" s="263"/>
      <c r="CV12"/>
      <c r="CW12"/>
      <c r="CX12"/>
      <c r="CY12"/>
      <c r="CZ12"/>
      <c r="DA12"/>
    </row>
    <row r="13" spans="1:108" s="193" customFormat="1" ht="12.75" hidden="1" customHeight="1" outlineLevel="1" x14ac:dyDescent="0.2">
      <c r="A13" s="263" t="s">
        <v>439</v>
      </c>
      <c r="B13" s="275">
        <f>B610</f>
        <v>15.6</v>
      </c>
      <c r="C13" s="261"/>
      <c r="D13" s="275">
        <f>D610</f>
        <v>18.8</v>
      </c>
      <c r="E13" s="261"/>
      <c r="F13" s="275">
        <f>F610</f>
        <v>20.900000000000002</v>
      </c>
      <c r="G13" s="261"/>
      <c r="H13" s="275">
        <f>H610</f>
        <v>15</v>
      </c>
      <c r="I13" s="261"/>
      <c r="J13" s="275">
        <f>J610</f>
        <v>24.29999999999999</v>
      </c>
      <c r="K13" s="261">
        <f t="shared" si="18"/>
        <v>55.769230769230703</v>
      </c>
      <c r="L13" s="275">
        <f>L610</f>
        <v>39.800000000000004</v>
      </c>
      <c r="M13" s="261" t="str">
        <f t="shared" si="19"/>
        <v>NM</v>
      </c>
      <c r="N13" s="275">
        <f>N610</f>
        <v>21.800000000000004</v>
      </c>
      <c r="O13" s="261">
        <f t="shared" si="20"/>
        <v>4.3062200956937913</v>
      </c>
      <c r="P13" s="275">
        <f>P610</f>
        <v>23.800000000000004</v>
      </c>
      <c r="Q13" s="261">
        <f t="shared" si="21"/>
        <v>58.666666666666686</v>
      </c>
      <c r="R13" s="275">
        <f>R610</f>
        <v>21.4</v>
      </c>
      <c r="S13" s="261">
        <f t="shared" si="22"/>
        <v>-11.934156378600791</v>
      </c>
      <c r="T13" s="275">
        <f>T610</f>
        <v>18</v>
      </c>
      <c r="U13" s="261" t="str">
        <f t="shared" si="23"/>
        <v>NM</v>
      </c>
      <c r="V13" s="275">
        <f>V610</f>
        <v>14.499999999999993</v>
      </c>
      <c r="W13" s="261">
        <f t="shared" si="24"/>
        <v>-33.486238532110136</v>
      </c>
      <c r="X13" s="275">
        <f>X610</f>
        <v>-3.3000000000000043</v>
      </c>
      <c r="Y13" s="261" t="str">
        <f t="shared" si="25"/>
        <v>NM</v>
      </c>
      <c r="Z13" s="275">
        <f>Z610</f>
        <v>0.89999999999999858</v>
      </c>
      <c r="AA13" s="261" t="str">
        <f t="shared" si="26"/>
        <v>NM</v>
      </c>
      <c r="AB13" s="275">
        <f>AB610</f>
        <v>10.5</v>
      </c>
      <c r="AC13" s="261">
        <f t="shared" si="27"/>
        <v>-41.666666666666664</v>
      </c>
      <c r="AD13" s="275">
        <f>AD610</f>
        <v>10.499999999999998</v>
      </c>
      <c r="AE13" s="261">
        <f t="shared" si="28"/>
        <v>-27.586206896551701</v>
      </c>
      <c r="AF13" s="275">
        <f>AF610</f>
        <v>2.8000000000000007</v>
      </c>
      <c r="AG13" s="261" t="str">
        <f t="shared" si="29"/>
        <v>NM</v>
      </c>
      <c r="AH13" s="275">
        <f>AH610</f>
        <v>13.799999999999999</v>
      </c>
      <c r="AI13" s="261" t="str">
        <f t="shared" si="30"/>
        <v>NM</v>
      </c>
      <c r="AJ13" s="275">
        <f>AJ610</f>
        <v>4</v>
      </c>
      <c r="AK13" s="261" t="str">
        <f t="shared" si="31"/>
        <v>NM</v>
      </c>
      <c r="AL13" s="275">
        <f>AL610</f>
        <v>2.5999999999999996</v>
      </c>
      <c r="AM13" s="261" t="str">
        <f t="shared" si="32"/>
        <v>NM</v>
      </c>
      <c r="AN13" s="451">
        <f>AN610</f>
        <v>2</v>
      </c>
      <c r="AO13" s="261">
        <f t="shared" si="33"/>
        <v>-28.571428571428591</v>
      </c>
      <c r="AP13" s="451">
        <f>AP610</f>
        <v>3.7999999999999989</v>
      </c>
      <c r="AQ13" s="261" t="str">
        <f t="shared" si="34"/>
        <v>NM</v>
      </c>
      <c r="AR13" s="451">
        <f t="shared" ref="AR13:AT13" si="149">AR610</f>
        <v>1.9000000000000004</v>
      </c>
      <c r="AS13" s="261" t="str">
        <f t="shared" si="36"/>
        <v>NM</v>
      </c>
      <c r="AT13" s="451">
        <f t="shared" si="149"/>
        <v>-6.9</v>
      </c>
      <c r="AU13" s="261" t="str">
        <f t="shared" si="37"/>
        <v>NM</v>
      </c>
      <c r="AV13" s="451">
        <f t="shared" ref="AV13:AX13" si="150">AV610</f>
        <v>0</v>
      </c>
      <c r="AW13" s="261" t="str">
        <f t="shared" si="39"/>
        <v>NM</v>
      </c>
      <c r="AX13" s="451">
        <f t="shared" si="150"/>
        <v>0</v>
      </c>
      <c r="AY13" s="261" t="str">
        <f t="shared" si="40"/>
        <v>NM</v>
      </c>
      <c r="AZ13" s="451">
        <f t="shared" ref="AZ13" si="151">AZ610</f>
        <v>0</v>
      </c>
      <c r="BA13" s="261" t="str">
        <f t="shared" si="42"/>
        <v>NM</v>
      </c>
      <c r="BB13" s="451">
        <f t="shared" ref="BB13:BD13" si="152">BB610</f>
        <v>0</v>
      </c>
      <c r="BC13" s="261" t="str">
        <f t="shared" si="44"/>
        <v>NM</v>
      </c>
      <c r="BD13" s="451">
        <f t="shared" si="152"/>
        <v>0</v>
      </c>
      <c r="BE13" s="261" t="str">
        <f t="shared" si="45"/>
        <v>NA</v>
      </c>
      <c r="BF13" s="275">
        <f t="shared" ref="BF13" si="153">BF610</f>
        <v>0</v>
      </c>
      <c r="BG13" s="261" t="str">
        <f t="shared" si="47"/>
        <v>NA</v>
      </c>
      <c r="BH13" s="275">
        <f t="shared" ref="BH13" si="154">BH610</f>
        <v>0</v>
      </c>
      <c r="BI13" s="261" t="str">
        <f t="shared" si="49"/>
        <v>NA</v>
      </c>
      <c r="BJ13" s="275">
        <f t="shared" ref="BJ13" si="155">BJ610</f>
        <v>0</v>
      </c>
      <c r="BK13" s="261" t="str">
        <f t="shared" si="51"/>
        <v>NA</v>
      </c>
      <c r="BL13" s="275">
        <f t="shared" ref="BL13" si="156">BL610</f>
        <v>0</v>
      </c>
      <c r="BM13" s="261" t="str">
        <f t="shared" si="53"/>
        <v>NA</v>
      </c>
      <c r="BN13" s="263"/>
      <c r="BO13" s="134"/>
      <c r="BP13" s="263"/>
      <c r="BQ13" s="263"/>
      <c r="BR13" s="260"/>
      <c r="BS13" s="264"/>
      <c r="BT13" s="260"/>
      <c r="BU13" s="275">
        <f t="shared" ref="BU13:CA13" si="157">BU610</f>
        <v>70.300000000000011</v>
      </c>
      <c r="BV13" s="261" t="str">
        <f t="shared" si="55"/>
        <v>NA</v>
      </c>
      <c r="BW13" s="275">
        <f t="shared" si="157"/>
        <v>109.69999999999999</v>
      </c>
      <c r="BX13" s="261">
        <f t="shared" si="56"/>
        <v>56.045519203413896</v>
      </c>
      <c r="BY13" s="275">
        <f t="shared" si="157"/>
        <v>50.600000000000009</v>
      </c>
      <c r="BZ13" s="261" t="str">
        <f t="shared" si="57"/>
        <v>NM</v>
      </c>
      <c r="CA13" s="275">
        <f t="shared" si="157"/>
        <v>24.700000000000017</v>
      </c>
      <c r="CB13" s="261" t="str">
        <f t="shared" si="58"/>
        <v>NM</v>
      </c>
      <c r="CC13" s="275">
        <f t="shared" ref="CC13" si="158">CC610</f>
        <v>22.399999999999991</v>
      </c>
      <c r="CD13" s="261">
        <f t="shared" si="58"/>
        <v>-9.311740890688359</v>
      </c>
      <c r="CE13" s="275">
        <f t="shared" ref="CE13" si="159">CE610</f>
        <v>-1.1999999999999957</v>
      </c>
      <c r="CF13" s="261" t="str">
        <f t="shared" si="58"/>
        <v>NM</v>
      </c>
      <c r="CG13" s="275">
        <f t="shared" ref="CG13" si="160">CG610</f>
        <v>0</v>
      </c>
      <c r="CH13" s="261" t="str">
        <f t="shared" si="58"/>
        <v>NM</v>
      </c>
      <c r="CI13" s="275">
        <f t="shared" ref="CI13" si="161">CI610</f>
        <v>0</v>
      </c>
      <c r="CJ13" s="261" t="str">
        <f t="shared" si="58"/>
        <v>NA</v>
      </c>
      <c r="CK13" s="275">
        <f t="shared" ref="CK13:CM13" si="162">CK610</f>
        <v>0</v>
      </c>
      <c r="CL13" s="261" t="str">
        <f t="shared" si="58"/>
        <v>NA</v>
      </c>
      <c r="CM13" s="275">
        <f t="shared" si="162"/>
        <v>0</v>
      </c>
      <c r="CN13" s="261" t="str">
        <f t="shared" si="58"/>
        <v>NA</v>
      </c>
      <c r="CO13" s="275">
        <f t="shared" ref="CO13:CQ13" si="163">CO610</f>
        <v>0</v>
      </c>
      <c r="CP13" s="261" t="str">
        <f t="shared" si="58"/>
        <v>NA</v>
      </c>
      <c r="CQ13" s="275">
        <f t="shared" si="163"/>
        <v>0</v>
      </c>
      <c r="CR13" s="261" t="str">
        <f t="shared" si="58"/>
        <v>NA</v>
      </c>
      <c r="CS13" s="261" t="str">
        <f t="shared" si="65"/>
        <v>NA</v>
      </c>
      <c r="CT13" s="263"/>
      <c r="CU13" s="263"/>
      <c r="CV13"/>
      <c r="CW13"/>
      <c r="CX13"/>
      <c r="CY13"/>
      <c r="CZ13"/>
      <c r="DA13"/>
    </row>
    <row r="14" spans="1:108" s="193" customFormat="1" ht="12.75" customHeight="1" collapsed="1" x14ac:dyDescent="0.2">
      <c r="A14" s="259" t="s">
        <v>440</v>
      </c>
      <c r="B14" s="276">
        <f>B11+B12+B13</f>
        <v>250.43695524</v>
      </c>
      <c r="C14" s="261"/>
      <c r="D14" s="276">
        <f>D11+D12+D13</f>
        <v>300.5008668000001</v>
      </c>
      <c r="E14" s="261"/>
      <c r="F14" s="276">
        <f>F11+F12+F13</f>
        <v>306.90619100999993</v>
      </c>
      <c r="G14" s="261"/>
      <c r="H14" s="276">
        <f>H11+H12+H13</f>
        <v>262.08443746</v>
      </c>
      <c r="I14" s="261"/>
      <c r="J14" s="276">
        <f>J11+J12+J13</f>
        <v>239.95399999999978</v>
      </c>
      <c r="K14" s="261">
        <f t="shared" si="18"/>
        <v>-4.1858659517538648</v>
      </c>
      <c r="L14" s="276">
        <f>L11+L12+L13</f>
        <v>198.98000000000002</v>
      </c>
      <c r="M14" s="261">
        <f t="shared" si="19"/>
        <v>-33.783884845685932</v>
      </c>
      <c r="N14" s="276">
        <f>N11+N12+N13</f>
        <v>270.18700000000001</v>
      </c>
      <c r="O14" s="261">
        <f t="shared" si="20"/>
        <v>-11.964304430992566</v>
      </c>
      <c r="P14" s="276">
        <f>P11+P12+P13</f>
        <v>208.61900000000014</v>
      </c>
      <c r="Q14" s="261">
        <f t="shared" si="21"/>
        <v>-20.400080973201582</v>
      </c>
      <c r="R14" s="276">
        <f>R11+R12+R13</f>
        <v>256.60000000000002</v>
      </c>
      <c r="S14" s="261">
        <f t="shared" si="22"/>
        <v>6.9371629562333892</v>
      </c>
      <c r="T14" s="276">
        <f>T11+T12+T13</f>
        <v>272</v>
      </c>
      <c r="U14" s="261">
        <f t="shared" si="23"/>
        <v>36.697155493014357</v>
      </c>
      <c r="V14" s="276">
        <f>V11+V12+V13</f>
        <v>435.19999999999987</v>
      </c>
      <c r="W14" s="261">
        <f t="shared" si="24"/>
        <v>61.073626784412212</v>
      </c>
      <c r="X14" s="276">
        <f>X11+X12+X13</f>
        <v>304.89999999999992</v>
      </c>
      <c r="Y14" s="261">
        <f t="shared" si="25"/>
        <v>46.151596930289053</v>
      </c>
      <c r="Z14" s="276">
        <f>Z11+Z12+Z13</f>
        <v>231.10000000000016</v>
      </c>
      <c r="AA14" s="261">
        <f t="shared" si="26"/>
        <v>-9.9376461418549731</v>
      </c>
      <c r="AB14" s="276">
        <f>AB11+AB12+AB13</f>
        <v>328.20000000000005</v>
      </c>
      <c r="AC14" s="261">
        <f t="shared" si="27"/>
        <v>20.661764705882369</v>
      </c>
      <c r="AD14" s="276">
        <f>AD11+AD12+AD13</f>
        <v>294.39999999999998</v>
      </c>
      <c r="AE14" s="261">
        <f t="shared" si="28"/>
        <v>-32.352941176470573</v>
      </c>
      <c r="AF14" s="276">
        <f>AF11+AF12+AF13</f>
        <v>376.99999999999989</v>
      </c>
      <c r="AG14" s="261">
        <f t="shared" si="29"/>
        <v>23.647097408986539</v>
      </c>
      <c r="AH14" s="276">
        <f>AH11+AH12+AH13</f>
        <v>289.70000000000005</v>
      </c>
      <c r="AI14" s="261">
        <f t="shared" si="30"/>
        <v>25.356988316745934</v>
      </c>
      <c r="AJ14" s="276">
        <f>AJ11+AJ12+AJ13</f>
        <v>262.5</v>
      </c>
      <c r="AK14" s="261">
        <f t="shared" si="31"/>
        <v>-20.018281535649006</v>
      </c>
      <c r="AL14" s="276">
        <f>AL11+AL12+AL13</f>
        <v>137.09999999999988</v>
      </c>
      <c r="AM14" s="261" t="str">
        <f t="shared" si="32"/>
        <v>NM</v>
      </c>
      <c r="AN14" s="276">
        <f>AN11+AN12+AN13</f>
        <v>288.30000000000007</v>
      </c>
      <c r="AO14" s="261">
        <f t="shared" si="33"/>
        <v>-23.527851458885895</v>
      </c>
      <c r="AP14" s="276">
        <f>AP11+AP12+AP13</f>
        <v>87.199999999999847</v>
      </c>
      <c r="AQ14" s="261" t="str">
        <f t="shared" si="34"/>
        <v>NM</v>
      </c>
      <c r="AR14" s="276">
        <f t="shared" ref="AR14:AT14" si="164">AR11+AR12+AR13</f>
        <v>130.49999999999997</v>
      </c>
      <c r="AS14" s="261" t="str">
        <f t="shared" si="36"/>
        <v>NM</v>
      </c>
      <c r="AT14" s="276">
        <f t="shared" si="164"/>
        <v>-36.900000000000084</v>
      </c>
      <c r="AU14" s="261" t="str">
        <f t="shared" si="37"/>
        <v>NM</v>
      </c>
      <c r="AV14" s="276">
        <f t="shared" ref="AV14:AX14" si="165">AV11+AV12+AV13</f>
        <v>149.59999999999991</v>
      </c>
      <c r="AW14" s="261">
        <f t="shared" si="39"/>
        <v>-48.109608047173126</v>
      </c>
      <c r="AX14" s="276">
        <f t="shared" si="165"/>
        <v>145.39999999999984</v>
      </c>
      <c r="AY14" s="261">
        <f t="shared" si="40"/>
        <v>66.743119266055146</v>
      </c>
      <c r="AZ14" s="276">
        <f t="shared" ref="AZ14" si="166">AZ11+AZ12+AZ13</f>
        <v>106.99999999999986</v>
      </c>
      <c r="BA14" s="261">
        <f t="shared" si="42"/>
        <v>-18.007662835249139</v>
      </c>
      <c r="BB14" s="276">
        <f t="shared" ref="BB14:BD14" si="167">BB11+BB12+BB13</f>
        <v>42.200000000000045</v>
      </c>
      <c r="BC14" s="261" t="str">
        <f t="shared" si="44"/>
        <v>NM</v>
      </c>
      <c r="BD14" s="276">
        <f t="shared" si="167"/>
        <v>233.49999999999994</v>
      </c>
      <c r="BE14" s="261">
        <f t="shared" si="45"/>
        <v>56.082887700534826</v>
      </c>
      <c r="BF14" s="276">
        <f t="shared" ref="BF14" si="168">BF11+BF12+BF13</f>
        <v>182.41592862875552</v>
      </c>
      <c r="BG14" s="261">
        <f t="shared" si="47"/>
        <v>25.457997681400091</v>
      </c>
      <c r="BH14" s="276">
        <f t="shared" ref="BH14" si="169">BH11+BH12+BH13</f>
        <v>212.90032272784299</v>
      </c>
      <c r="BI14" s="261">
        <f t="shared" si="49"/>
        <v>98.972264231629239</v>
      </c>
      <c r="BJ14" s="276">
        <f t="shared" ref="BJ14" si="170">BJ11+BJ12+BJ13</f>
        <v>225.93811969113838</v>
      </c>
      <c r="BK14" s="261" t="str">
        <f t="shared" si="51"/>
        <v>NM</v>
      </c>
      <c r="BL14" s="276">
        <f t="shared" ref="BL14" si="171">BL11+BL12+BL13</f>
        <v>235.95151841016374</v>
      </c>
      <c r="BM14" s="261">
        <f t="shared" si="53"/>
        <v>1.0499008180572922</v>
      </c>
      <c r="BN14" s="263"/>
      <c r="BO14" s="134"/>
      <c r="BP14" s="263"/>
      <c r="BQ14" s="263"/>
      <c r="BR14" s="260"/>
      <c r="BS14" s="264"/>
      <c r="BT14" s="260"/>
      <c r="BU14" s="276">
        <f>BU11+BU12+BU13</f>
        <v>1119.9284505099993</v>
      </c>
      <c r="BV14" s="261" t="str">
        <f t="shared" si="55"/>
        <v>NA</v>
      </c>
      <c r="BW14" s="276">
        <f>BW11+BW12+BW13</f>
        <v>917.74000000000046</v>
      </c>
      <c r="BX14" s="261">
        <f t="shared" si="56"/>
        <v>-18.0536935567558</v>
      </c>
      <c r="BY14" s="276">
        <f>BY11+BY12+BY13</f>
        <v>1268.7000000000003</v>
      </c>
      <c r="BZ14" s="261">
        <f t="shared" si="57"/>
        <v>38.241767820951431</v>
      </c>
      <c r="CA14" s="276">
        <f>CA11+CA12+CA13</f>
        <v>1230.7000000000003</v>
      </c>
      <c r="CB14" s="261">
        <f t="shared" si="58"/>
        <v>-2.995191928745955</v>
      </c>
      <c r="CC14" s="276">
        <f>CC11+CC12+CC13</f>
        <v>977.5999999999998</v>
      </c>
      <c r="CD14" s="261">
        <f t="shared" si="58"/>
        <v>-20.565531811164416</v>
      </c>
      <c r="CE14" s="276">
        <f>CE11+CE12+CE13</f>
        <v>330.39999999999981</v>
      </c>
      <c r="CF14" s="261" t="str">
        <f t="shared" si="58"/>
        <v>NM</v>
      </c>
      <c r="CG14" s="276">
        <f>CG11+CG12+CG13</f>
        <v>528.10000000000014</v>
      </c>
      <c r="CH14" s="261">
        <f t="shared" si="58"/>
        <v>59.836561743341534</v>
      </c>
      <c r="CI14" s="276">
        <f>CI11+CI12+CI13</f>
        <v>857.20588945790053</v>
      </c>
      <c r="CJ14" s="261">
        <f t="shared" si="58"/>
        <v>62.318858068150028</v>
      </c>
      <c r="CK14" s="276">
        <f>CK11+CK12+CK13</f>
        <v>968.76820673605187</v>
      </c>
      <c r="CL14" s="261">
        <f t="shared" si="58"/>
        <v>13.014646615261082</v>
      </c>
      <c r="CM14" s="276">
        <f>CM11+CM12+CM13</f>
        <v>1014.4499693054431</v>
      </c>
      <c r="CN14" s="261">
        <f t="shared" si="58"/>
        <v>4.7154481589874786</v>
      </c>
      <c r="CO14" s="276">
        <f>CO11+CO12+CO13</f>
        <v>1059.06746494924</v>
      </c>
      <c r="CP14" s="261">
        <f t="shared" si="58"/>
        <v>4.3981957704966934</v>
      </c>
      <c r="CQ14" s="276">
        <f>CQ11+CQ12+CQ13</f>
        <v>1103.2464861310086</v>
      </c>
      <c r="CR14" s="261">
        <f t="shared" si="58"/>
        <v>4.1715020661017066</v>
      </c>
      <c r="CS14" s="261">
        <f t="shared" si="65"/>
        <v>15.8754082034535</v>
      </c>
      <c r="CT14" s="263"/>
      <c r="CU14" s="263"/>
      <c r="CV14"/>
      <c r="CW14"/>
      <c r="CX14"/>
      <c r="CY14"/>
      <c r="CZ14"/>
      <c r="DA14"/>
    </row>
    <row r="15" spans="1:108" s="193" customFormat="1" ht="12.75" hidden="1" customHeight="1" outlineLevel="1" x14ac:dyDescent="0.2">
      <c r="A15" s="270" t="s">
        <v>22</v>
      </c>
      <c r="B15" s="275">
        <f>B636</f>
        <v>87.63</v>
      </c>
      <c r="C15" s="261"/>
      <c r="D15" s="275">
        <f>D636</f>
        <v>105.095</v>
      </c>
      <c r="E15" s="261"/>
      <c r="F15" s="275">
        <f>F636</f>
        <v>107.462</v>
      </c>
      <c r="G15" s="261"/>
      <c r="H15" s="275">
        <f>H636</f>
        <v>91.796999999999997</v>
      </c>
      <c r="I15" s="261"/>
      <c r="J15" s="275">
        <f>J636</f>
        <v>83.947999999999993</v>
      </c>
      <c r="K15" s="261">
        <f t="shared" si="18"/>
        <v>-4.2017573890220312</v>
      </c>
      <c r="L15" s="275">
        <f>L636</f>
        <v>69.600999999999999</v>
      </c>
      <c r="M15" s="261">
        <f t="shared" si="19"/>
        <v>-33.773252771302154</v>
      </c>
      <c r="N15" s="275">
        <f>N636</f>
        <v>94.643000000000001</v>
      </c>
      <c r="O15" s="261">
        <f t="shared" si="20"/>
        <v>-11.928867878878114</v>
      </c>
      <c r="P15" s="275">
        <f>P636</f>
        <v>73.064999999999998</v>
      </c>
      <c r="Q15" s="261">
        <f t="shared" si="21"/>
        <v>-20.405895617503845</v>
      </c>
      <c r="R15" s="275">
        <f>R636</f>
        <v>89.9</v>
      </c>
      <c r="S15" s="261">
        <f t="shared" si="22"/>
        <v>7.0901033973412186</v>
      </c>
      <c r="T15" s="275">
        <f>T636</f>
        <v>95.200000000000074</v>
      </c>
      <c r="U15" s="261">
        <f t="shared" si="23"/>
        <v>36.779643970632712</v>
      </c>
      <c r="V15" s="275">
        <f>V636</f>
        <v>152.32000000000008</v>
      </c>
      <c r="W15" s="261">
        <f t="shared" si="24"/>
        <v>60.941643861669718</v>
      </c>
      <c r="X15" s="275">
        <f>X636</f>
        <v>106.71500000000003</v>
      </c>
      <c r="Y15" s="261">
        <f t="shared" si="25"/>
        <v>46.054882638746378</v>
      </c>
      <c r="Z15" s="275">
        <f>Z636</f>
        <v>80.885000000000048</v>
      </c>
      <c r="AA15" s="261">
        <f t="shared" si="26"/>
        <v>-10.027808676306959</v>
      </c>
      <c r="AB15" s="275">
        <f>AB636</f>
        <v>114.87000000000009</v>
      </c>
      <c r="AC15" s="261">
        <f t="shared" si="27"/>
        <v>20.661764705882348</v>
      </c>
      <c r="AD15" s="275">
        <f>AD636</f>
        <v>103.03999999999995</v>
      </c>
      <c r="AE15" s="261">
        <f t="shared" si="28"/>
        <v>-32.352941176470651</v>
      </c>
      <c r="AF15" s="275">
        <f>AF636</f>
        <v>131.94999999999999</v>
      </c>
      <c r="AG15" s="261">
        <f t="shared" si="29"/>
        <v>23.647097408986497</v>
      </c>
      <c r="AH15" s="275">
        <f>AH636</f>
        <v>92.704000000000008</v>
      </c>
      <c r="AI15" s="261">
        <f t="shared" si="30"/>
        <v>14.612103603881987</v>
      </c>
      <c r="AJ15" s="275">
        <f>AJ636</f>
        <v>83.999999999999929</v>
      </c>
      <c r="AK15" s="261">
        <f t="shared" si="31"/>
        <v>-26.873857404022061</v>
      </c>
      <c r="AL15" s="275">
        <f>AL636</f>
        <v>43.872000000000114</v>
      </c>
      <c r="AM15" s="261" t="str">
        <f t="shared" si="32"/>
        <v>NM</v>
      </c>
      <c r="AN15" s="451">
        <f>AN636</f>
        <v>92.256000000000057</v>
      </c>
      <c r="AO15" s="261">
        <f t="shared" si="33"/>
        <v>-30.082607048124245</v>
      </c>
      <c r="AP15" s="451">
        <f>AP636</f>
        <v>27.904000000000014</v>
      </c>
      <c r="AQ15" s="261" t="str">
        <f t="shared" si="34"/>
        <v>NM</v>
      </c>
      <c r="AR15" s="451">
        <f t="shared" ref="AR15:AT15" si="172">AR636</f>
        <v>41.759999999999927</v>
      </c>
      <c r="AS15" s="261" t="str">
        <f t="shared" si="36"/>
        <v>NM</v>
      </c>
      <c r="AT15" s="451">
        <f t="shared" si="172"/>
        <v>-11.808000000000028</v>
      </c>
      <c r="AU15" s="261" t="str">
        <f t="shared" si="37"/>
        <v>NM</v>
      </c>
      <c r="AV15" s="451">
        <f t="shared" ref="AV15:AX15" si="173">AV636</f>
        <v>47.872000000000043</v>
      </c>
      <c r="AW15" s="261">
        <f t="shared" si="39"/>
        <v>-48.109608047173069</v>
      </c>
      <c r="AX15" s="451">
        <f t="shared" si="173"/>
        <v>46.528000000000027</v>
      </c>
      <c r="AY15" s="261">
        <f t="shared" si="40"/>
        <v>66.743119266055047</v>
      </c>
      <c r="AZ15" s="451">
        <f t="shared" ref="AZ15" si="174">AZ636</f>
        <v>34.239999999999924</v>
      </c>
      <c r="BA15" s="261">
        <f t="shared" si="42"/>
        <v>-18.007662835249082</v>
      </c>
      <c r="BB15" s="451">
        <f t="shared" ref="BB15:BD15" si="175">BB636</f>
        <v>13.504000000000014</v>
      </c>
      <c r="BC15" s="261" t="str">
        <f t="shared" si="44"/>
        <v>NM</v>
      </c>
      <c r="BD15" s="451">
        <f t="shared" si="175"/>
        <v>74.72</v>
      </c>
      <c r="BE15" s="261">
        <f t="shared" si="45"/>
        <v>56.08288770053462</v>
      </c>
      <c r="BF15" s="275">
        <f t="shared" ref="BF15" si="176">BF636</f>
        <v>33.746946796319754</v>
      </c>
      <c r="BG15" s="261">
        <f t="shared" si="47"/>
        <v>-27.469595090440734</v>
      </c>
      <c r="BH15" s="275">
        <f t="shared" ref="BH15" si="177">BH636</f>
        <v>39.386559704650928</v>
      </c>
      <c r="BI15" s="261">
        <f t="shared" si="49"/>
        <v>15.030840258910683</v>
      </c>
      <c r="BJ15" s="275">
        <f t="shared" ref="BJ15" si="178">BJ636</f>
        <v>41.798552142860601</v>
      </c>
      <c r="BK15" s="261" t="str">
        <f t="shared" si="51"/>
        <v>NM</v>
      </c>
      <c r="BL15" s="275">
        <f t="shared" ref="BL15" si="179">BL636</f>
        <v>43.651030905880297</v>
      </c>
      <c r="BM15" s="261">
        <f t="shared" si="53"/>
        <v>-41.580526089560635</v>
      </c>
      <c r="BN15" s="263"/>
      <c r="BO15" s="134"/>
      <c r="BP15" s="263"/>
      <c r="BQ15" s="263"/>
      <c r="BR15" s="260"/>
      <c r="BS15" s="264"/>
      <c r="BT15" s="260"/>
      <c r="BU15" s="275">
        <f t="shared" ref="BU15:CA15" si="180">BU636</f>
        <v>391.98400000000004</v>
      </c>
      <c r="BV15" s="261" t="str">
        <f t="shared" si="55"/>
        <v>NA</v>
      </c>
      <c r="BW15" s="275">
        <f t="shared" si="180"/>
        <v>321.25699999999995</v>
      </c>
      <c r="BX15" s="261">
        <f t="shared" si="56"/>
        <v>-18.043338503612418</v>
      </c>
      <c r="BY15" s="275">
        <f t="shared" si="180"/>
        <v>444.13500000000022</v>
      </c>
      <c r="BZ15" s="261">
        <f t="shared" si="57"/>
        <v>38.24912764546773</v>
      </c>
      <c r="CA15" s="275">
        <f t="shared" si="180"/>
        <v>430.74500000000006</v>
      </c>
      <c r="CB15" s="261">
        <f t="shared" si="58"/>
        <v>-3.0148490886780288</v>
      </c>
      <c r="CC15" s="275">
        <f t="shared" ref="CC15" si="181">CC636</f>
        <v>312.83200000000011</v>
      </c>
      <c r="CD15" s="261">
        <f t="shared" si="58"/>
        <v>-27.374200513064562</v>
      </c>
      <c r="CE15" s="275">
        <f t="shared" ref="CE15" si="182">CE636</f>
        <v>105.72799999999995</v>
      </c>
      <c r="CF15" s="261" t="str">
        <f t="shared" si="58"/>
        <v>NM</v>
      </c>
      <c r="CG15" s="275">
        <f t="shared" ref="CG15" si="183">CG636</f>
        <v>168.99199999999996</v>
      </c>
      <c r="CH15" s="261">
        <f t="shared" si="58"/>
        <v>59.836561743341441</v>
      </c>
      <c r="CI15" s="275">
        <f t="shared" ref="CI15" si="184">CI636</f>
        <v>158.58308954971159</v>
      </c>
      <c r="CJ15" s="261">
        <f t="shared" si="58"/>
        <v>-6.1594101793507221</v>
      </c>
      <c r="CK15" s="275">
        <f t="shared" ref="CK15:CM15" si="185">CK636</f>
        <v>179.22211824616949</v>
      </c>
      <c r="CL15" s="261">
        <f t="shared" si="58"/>
        <v>13.014646615261016</v>
      </c>
      <c r="CM15" s="275">
        <f t="shared" si="185"/>
        <v>187.67324432150701</v>
      </c>
      <c r="CN15" s="261">
        <f t="shared" si="58"/>
        <v>4.7154481589875674</v>
      </c>
      <c r="CO15" s="275">
        <f t="shared" ref="CO15:CQ15" si="186">CO636</f>
        <v>195.92748101560949</v>
      </c>
      <c r="CP15" s="261">
        <f t="shared" si="58"/>
        <v>4.3981957704967156</v>
      </c>
      <c r="CQ15" s="275">
        <f t="shared" si="186"/>
        <v>204.1005999342367</v>
      </c>
      <c r="CR15" s="261">
        <f t="shared" si="58"/>
        <v>4.1715020661017288</v>
      </c>
      <c r="CS15" s="261">
        <f t="shared" si="65"/>
        <v>3.8473998576445512</v>
      </c>
      <c r="CT15" s="263"/>
      <c r="CU15" s="263"/>
      <c r="CV15"/>
      <c r="CW15"/>
      <c r="CX15"/>
      <c r="CY15"/>
      <c r="CZ15"/>
      <c r="DA15"/>
    </row>
    <row r="16" spans="1:108" s="193" customFormat="1" ht="12.75" customHeight="1" collapsed="1" x14ac:dyDescent="0.2">
      <c r="A16" s="259" t="s">
        <v>442</v>
      </c>
      <c r="B16" s="276">
        <f>B14-B15</f>
        <v>162.80695524000001</v>
      </c>
      <c r="C16" s="261"/>
      <c r="D16" s="276">
        <f>D14-D15</f>
        <v>195.4058668000001</v>
      </c>
      <c r="E16" s="261"/>
      <c r="F16" s="276">
        <f>F14-F15</f>
        <v>199.44419100999994</v>
      </c>
      <c r="G16" s="261"/>
      <c r="H16" s="276">
        <f>H14-H15</f>
        <v>170.28743746000001</v>
      </c>
      <c r="I16" s="261"/>
      <c r="J16" s="276">
        <f>J14-J15</f>
        <v>156.0059999999998</v>
      </c>
      <c r="K16" s="261">
        <f t="shared" si="18"/>
        <v>-4.1773124679929445</v>
      </c>
      <c r="L16" s="276">
        <f>L14-L15</f>
        <v>129.37900000000002</v>
      </c>
      <c r="M16" s="261">
        <f t="shared" si="19"/>
        <v>-33.789603086778996</v>
      </c>
      <c r="N16" s="276">
        <f>N14-N15</f>
        <v>175.54400000000001</v>
      </c>
      <c r="O16" s="261">
        <f t="shared" si="20"/>
        <v>-11.983397906435689</v>
      </c>
      <c r="P16" s="276">
        <f>P14-P15</f>
        <v>135.55400000000014</v>
      </c>
      <c r="Q16" s="261">
        <f t="shared" si="21"/>
        <v>-20.396946467738488</v>
      </c>
      <c r="R16" s="276">
        <f>R14-R15</f>
        <v>166.70000000000002</v>
      </c>
      <c r="S16" s="261">
        <f t="shared" si="22"/>
        <v>6.8548645564915578</v>
      </c>
      <c r="T16" s="276">
        <f>T14-T15</f>
        <v>176.79999999999993</v>
      </c>
      <c r="U16" s="261">
        <f t="shared" si="23"/>
        <v>36.652779817435508</v>
      </c>
      <c r="V16" s="276">
        <f>V14-V15</f>
        <v>282.87999999999977</v>
      </c>
      <c r="W16" s="261">
        <f t="shared" si="24"/>
        <v>61.144784213644307</v>
      </c>
      <c r="X16" s="276">
        <f>X14-X15</f>
        <v>198.18499999999989</v>
      </c>
      <c r="Y16" s="261">
        <f t="shared" si="25"/>
        <v>46.203726928013687</v>
      </c>
      <c r="Z16" s="276">
        <f>Z14-Z15</f>
        <v>150.21500000000012</v>
      </c>
      <c r="AA16" s="261">
        <f t="shared" si="26"/>
        <v>-9.8890221955608268</v>
      </c>
      <c r="AB16" s="276">
        <f>AB14-AB15</f>
        <v>213.32999999999996</v>
      </c>
      <c r="AC16" s="261">
        <f t="shared" si="27"/>
        <v>20.661764705882369</v>
      </c>
      <c r="AD16" s="276">
        <f>AD14-AD15</f>
        <v>191.36</v>
      </c>
      <c r="AE16" s="261">
        <f t="shared" si="28"/>
        <v>-32.35294117647053</v>
      </c>
      <c r="AF16" s="276">
        <f>AF14-AF15</f>
        <v>245.0499999999999</v>
      </c>
      <c r="AG16" s="261">
        <f t="shared" si="29"/>
        <v>23.647097408986561</v>
      </c>
      <c r="AH16" s="276">
        <f>AH14-AH15</f>
        <v>196.99600000000004</v>
      </c>
      <c r="AI16" s="261">
        <f t="shared" si="30"/>
        <v>31.14269546982651</v>
      </c>
      <c r="AJ16" s="276">
        <f>AJ14-AJ15</f>
        <v>178.50000000000006</v>
      </c>
      <c r="AK16" s="261">
        <f t="shared" si="31"/>
        <v>-16.326817606525058</v>
      </c>
      <c r="AL16" s="276">
        <f>AL14-AL15</f>
        <v>93.227999999999767</v>
      </c>
      <c r="AM16" s="261" t="str">
        <f t="shared" si="32"/>
        <v>NM</v>
      </c>
      <c r="AN16" s="276">
        <f>AN14-AN15</f>
        <v>196.04400000000001</v>
      </c>
      <c r="AO16" s="261">
        <f t="shared" si="33"/>
        <v>-19.998367680065254</v>
      </c>
      <c r="AP16" s="276">
        <f>AP14-AP15</f>
        <v>59.295999999999836</v>
      </c>
      <c r="AQ16" s="261" t="str">
        <f t="shared" si="34"/>
        <v>NM</v>
      </c>
      <c r="AR16" s="276">
        <f t="shared" ref="AR16:AT16" si="187">AR14-AR15</f>
        <v>88.740000000000038</v>
      </c>
      <c r="AS16" s="261" t="str">
        <f t="shared" si="36"/>
        <v>NM</v>
      </c>
      <c r="AT16" s="276">
        <f t="shared" si="187"/>
        <v>-25.092000000000056</v>
      </c>
      <c r="AU16" s="261" t="str">
        <f t="shared" si="37"/>
        <v>NM</v>
      </c>
      <c r="AV16" s="276">
        <f t="shared" ref="AV16:AX16" si="188">AV14-AV15</f>
        <v>101.72799999999987</v>
      </c>
      <c r="AW16" s="261">
        <f t="shared" si="39"/>
        <v>-48.109608047173161</v>
      </c>
      <c r="AX16" s="276">
        <f t="shared" si="188"/>
        <v>98.871999999999815</v>
      </c>
      <c r="AY16" s="261">
        <f t="shared" si="40"/>
        <v>66.743119266055203</v>
      </c>
      <c r="AZ16" s="276">
        <f t="shared" ref="AZ16" si="189">AZ14-AZ15</f>
        <v>72.759999999999934</v>
      </c>
      <c r="BA16" s="261">
        <f t="shared" si="42"/>
        <v>-18.00766283524915</v>
      </c>
      <c r="BB16" s="276">
        <f t="shared" ref="BB16:BD16" si="190">BB14-BB15</f>
        <v>28.696000000000033</v>
      </c>
      <c r="BC16" s="261" t="str">
        <f t="shared" si="44"/>
        <v>NM</v>
      </c>
      <c r="BD16" s="276">
        <f t="shared" si="190"/>
        <v>158.77999999999994</v>
      </c>
      <c r="BE16" s="261">
        <f t="shared" si="45"/>
        <v>56.082887700534911</v>
      </c>
      <c r="BF16" s="276">
        <f t="shared" ref="BF16" si="191">BF14-BF15</f>
        <v>148.66898183243578</v>
      </c>
      <c r="BG16" s="261">
        <f t="shared" si="47"/>
        <v>50.36510016226643</v>
      </c>
      <c r="BH16" s="276">
        <f t="shared" ref="BH16" si="192">BH14-BH15</f>
        <v>173.51376302319207</v>
      </c>
      <c r="BI16" s="261" t="str">
        <f t="shared" si="49"/>
        <v>NM</v>
      </c>
      <c r="BJ16" s="276">
        <f t="shared" ref="BJ16" si="193">BJ14-BJ15</f>
        <v>184.1395675482778</v>
      </c>
      <c r="BK16" s="261" t="str">
        <f t="shared" si="51"/>
        <v>NM</v>
      </c>
      <c r="BL16" s="276">
        <f t="shared" ref="BL16" si="194">BL14-BL15</f>
        <v>192.30048750428344</v>
      </c>
      <c r="BM16" s="261">
        <f t="shared" si="53"/>
        <v>21.111278186348102</v>
      </c>
      <c r="BN16" s="263"/>
      <c r="BO16" s="134"/>
      <c r="BP16" s="263"/>
      <c r="BQ16" s="263"/>
      <c r="BR16" s="260"/>
      <c r="BS16" s="264"/>
      <c r="BT16" s="260"/>
      <c r="BU16" s="276">
        <f>BU14-BU15</f>
        <v>727.94445050999923</v>
      </c>
      <c r="BV16" s="261" t="str">
        <f t="shared" si="55"/>
        <v>NA</v>
      </c>
      <c r="BW16" s="276">
        <f>BW14-BW15</f>
        <v>596.48300000000052</v>
      </c>
      <c r="BX16" s="261">
        <f t="shared" si="56"/>
        <v>-18.059269552490797</v>
      </c>
      <c r="BY16" s="276">
        <f>BY14-BY15</f>
        <v>824.56500000000005</v>
      </c>
      <c r="BZ16" s="261">
        <f t="shared" si="57"/>
        <v>38.237803927354072</v>
      </c>
      <c r="CA16" s="276">
        <f>CA14-CA15</f>
        <v>799.95500000000015</v>
      </c>
      <c r="CB16" s="261">
        <f t="shared" si="58"/>
        <v>-2.9846040033229548</v>
      </c>
      <c r="CC16" s="276">
        <f>CC14-CC15</f>
        <v>664.76799999999969</v>
      </c>
      <c r="CD16" s="261">
        <f t="shared" si="58"/>
        <v>-16.899325587064329</v>
      </c>
      <c r="CE16" s="276">
        <f>CE14-CE15</f>
        <v>224.67199999999985</v>
      </c>
      <c r="CF16" s="261" t="str">
        <f t="shared" si="58"/>
        <v>NM</v>
      </c>
      <c r="CG16" s="276">
        <f>CG14-CG15</f>
        <v>359.10800000000017</v>
      </c>
      <c r="CH16" s="261">
        <f t="shared" si="58"/>
        <v>59.836561743341576</v>
      </c>
      <c r="CI16" s="276">
        <f>CI14-CI15</f>
        <v>698.62279990818888</v>
      </c>
      <c r="CJ16" s="261">
        <f t="shared" si="58"/>
        <v>94.543925478738572</v>
      </c>
      <c r="CK16" s="276">
        <f>CK14-CK15</f>
        <v>789.54608848988232</v>
      </c>
      <c r="CL16" s="261">
        <f t="shared" si="58"/>
        <v>13.014646615261105</v>
      </c>
      <c r="CM16" s="276">
        <f>CM14-CM15</f>
        <v>826.77672498393611</v>
      </c>
      <c r="CN16" s="261">
        <f t="shared" si="58"/>
        <v>4.7154481589874786</v>
      </c>
      <c r="CO16" s="276">
        <f>CO14-CO15</f>
        <v>863.13998393363056</v>
      </c>
      <c r="CP16" s="261">
        <f t="shared" si="58"/>
        <v>4.3981957704966712</v>
      </c>
      <c r="CQ16" s="276">
        <f>CQ14-CQ15</f>
        <v>899.14588619677193</v>
      </c>
      <c r="CR16" s="261">
        <f t="shared" si="58"/>
        <v>4.1715020661017066</v>
      </c>
      <c r="CS16" s="261">
        <f t="shared" si="65"/>
        <v>20.149236749895149</v>
      </c>
      <c r="CT16" s="263"/>
      <c r="CU16" s="263"/>
      <c r="CV16"/>
      <c r="CW16"/>
      <c r="CX16"/>
      <c r="CY16"/>
      <c r="CZ16"/>
      <c r="DA16"/>
    </row>
    <row r="17" spans="1:105" s="193" customFormat="1" ht="12.75" hidden="1" customHeight="1" outlineLevel="1" x14ac:dyDescent="0.2">
      <c r="A17" s="285" t="s">
        <v>249</v>
      </c>
      <c r="B17" s="286">
        <f>B16-B677</f>
        <v>0</v>
      </c>
      <c r="C17" s="261"/>
      <c r="D17" s="286">
        <f>D16-D677</f>
        <v>0</v>
      </c>
      <c r="E17" s="261"/>
      <c r="F17" s="286">
        <f>F16-F677</f>
        <v>0</v>
      </c>
      <c r="G17" s="261"/>
      <c r="H17" s="286">
        <f>H16-H677</f>
        <v>0</v>
      </c>
      <c r="I17" s="261"/>
      <c r="J17" s="286">
        <f>J16-J677</f>
        <v>0</v>
      </c>
      <c r="K17" s="261"/>
      <c r="L17" s="286">
        <f>L16-L677</f>
        <v>0</v>
      </c>
      <c r="M17" s="261"/>
      <c r="N17" s="286">
        <f>N16-N677</f>
        <v>0</v>
      </c>
      <c r="O17" s="261"/>
      <c r="P17" s="286">
        <f>P16-P677</f>
        <v>0</v>
      </c>
      <c r="Q17" s="261"/>
      <c r="R17" s="286">
        <f>R16-R677</f>
        <v>0</v>
      </c>
      <c r="S17" s="261"/>
      <c r="T17" s="286">
        <f>T16-T677</f>
        <v>0</v>
      </c>
      <c r="U17" s="261"/>
      <c r="V17" s="286">
        <f>V16-V677</f>
        <v>0</v>
      </c>
      <c r="W17" s="261"/>
      <c r="X17" s="286">
        <f>X16-X677</f>
        <v>0</v>
      </c>
      <c r="Y17" s="261"/>
      <c r="Z17" s="286">
        <f>Z16-Z677</f>
        <v>0</v>
      </c>
      <c r="AA17" s="261"/>
      <c r="AB17" s="286">
        <f>AB16-AB677</f>
        <v>0</v>
      </c>
      <c r="AC17" s="261"/>
      <c r="AD17" s="286">
        <f>AD16-AD677</f>
        <v>0</v>
      </c>
      <c r="AE17" s="261"/>
      <c r="AF17" s="286">
        <f>AF16-AF677</f>
        <v>0</v>
      </c>
      <c r="AG17" s="261"/>
      <c r="AH17" s="286">
        <f>AH16-AH677</f>
        <v>0</v>
      </c>
      <c r="AI17" s="261"/>
      <c r="AJ17" s="286">
        <f>AJ16-AJ677</f>
        <v>0</v>
      </c>
      <c r="AK17" s="261"/>
      <c r="AL17" s="286">
        <f>AL16-AL677</f>
        <v>0</v>
      </c>
      <c r="AM17" s="261"/>
      <c r="AN17" s="286">
        <f>AN16-AN677</f>
        <v>0</v>
      </c>
      <c r="AO17" s="261"/>
      <c r="AP17" s="286">
        <f>AP16-AP677</f>
        <v>0</v>
      </c>
      <c r="AQ17" s="261"/>
      <c r="AR17" s="286">
        <f>AR16-AR677</f>
        <v>0</v>
      </c>
      <c r="AS17" s="261"/>
      <c r="AT17" s="286">
        <f>AT16-AT677</f>
        <v>0</v>
      </c>
      <c r="AU17" s="261"/>
      <c r="AV17" s="286">
        <f>AV16-AV677</f>
        <v>0</v>
      </c>
      <c r="AW17" s="261"/>
      <c r="AX17" s="286">
        <f>AX16-AX677</f>
        <v>0</v>
      </c>
      <c r="AY17" s="261"/>
      <c r="AZ17" s="286">
        <f>AZ16-AZ677</f>
        <v>0</v>
      </c>
      <c r="BA17" s="261"/>
      <c r="BB17" s="286">
        <f>BB16-BB677</f>
        <v>0</v>
      </c>
      <c r="BC17" s="261"/>
      <c r="BD17" s="286">
        <f>BD16-BD677</f>
        <v>0</v>
      </c>
      <c r="BE17" s="261"/>
      <c r="BF17" s="286">
        <f>BF16-BF677</f>
        <v>0</v>
      </c>
      <c r="BG17" s="261"/>
      <c r="BH17" s="286">
        <f>BH16-BH677</f>
        <v>0</v>
      </c>
      <c r="BI17" s="261"/>
      <c r="BJ17" s="286">
        <f>BJ16-BJ677</f>
        <v>0</v>
      </c>
      <c r="BK17" s="261"/>
      <c r="BL17" s="286">
        <f>BL16-BL677</f>
        <v>0</v>
      </c>
      <c r="BM17" s="261"/>
      <c r="BN17" s="263"/>
      <c r="BO17" s="134"/>
      <c r="BP17" s="263"/>
      <c r="BQ17" s="263"/>
      <c r="BR17" s="260"/>
      <c r="BS17" s="264"/>
      <c r="BT17" s="260"/>
      <c r="BU17" s="286">
        <f>BU16-BU677</f>
        <v>0</v>
      </c>
      <c r="BV17" s="261"/>
      <c r="BW17" s="286">
        <f>BW16-BW677</f>
        <v>0</v>
      </c>
      <c r="BX17" s="261"/>
      <c r="BY17" s="286">
        <f>BY16-BY677</f>
        <v>0</v>
      </c>
      <c r="BZ17" s="261"/>
      <c r="CA17" s="286">
        <f>CA16-CA677</f>
        <v>0</v>
      </c>
      <c r="CB17" s="261"/>
      <c r="CC17" s="286">
        <f>CC16-CC677</f>
        <v>0</v>
      </c>
      <c r="CD17" s="261"/>
      <c r="CE17" s="286">
        <f>CE16-CE677</f>
        <v>0</v>
      </c>
      <c r="CF17" s="261"/>
      <c r="CG17" s="286">
        <f>CG16-CG677</f>
        <v>0</v>
      </c>
      <c r="CH17" s="261"/>
      <c r="CI17" s="286">
        <f>CI16-CI677</f>
        <v>0</v>
      </c>
      <c r="CJ17" s="261"/>
      <c r="CK17" s="286">
        <f>CK16-CK677</f>
        <v>0</v>
      </c>
      <c r="CL17" s="261"/>
      <c r="CM17" s="286">
        <f>CM16-CM677</f>
        <v>0</v>
      </c>
      <c r="CN17" s="261"/>
      <c r="CO17" s="286">
        <f>CO16-CO677</f>
        <v>0</v>
      </c>
      <c r="CP17" s="261"/>
      <c r="CQ17" s="286">
        <f>CQ16-CQ677</f>
        <v>0</v>
      </c>
      <c r="CR17" s="261"/>
      <c r="CS17" s="261" t="str">
        <f t="shared" si="65"/>
        <v>NA</v>
      </c>
      <c r="CT17" s="263"/>
      <c r="CU17" s="263"/>
      <c r="CV17"/>
      <c r="CW17"/>
      <c r="CX17"/>
      <c r="CY17"/>
      <c r="CZ17"/>
      <c r="DA17"/>
    </row>
    <row r="18" spans="1:105" s="193" customFormat="1" ht="12.75" customHeight="1" collapsed="1" x14ac:dyDescent="0.2">
      <c r="A18" s="259" t="s">
        <v>443</v>
      </c>
      <c r="B18" s="281">
        <f>B758</f>
        <v>0.70785632713043478</v>
      </c>
      <c r="C18" s="261"/>
      <c r="D18" s="281">
        <f>D758</f>
        <v>0.84959072521739176</v>
      </c>
      <c r="E18" s="261"/>
      <c r="F18" s="281">
        <f>F758</f>
        <v>0.86714865656521711</v>
      </c>
      <c r="G18" s="261"/>
      <c r="H18" s="281">
        <f>H758</f>
        <v>0.74038016286956521</v>
      </c>
      <c r="I18" s="261"/>
      <c r="J18" s="281">
        <f>J758</f>
        <v>0.67828695652173832</v>
      </c>
      <c r="K18" s="261">
        <f t="shared" si="18"/>
        <v>-4.177312467992933</v>
      </c>
      <c r="L18" s="281">
        <f>L758</f>
        <v>0.56251739130434786</v>
      </c>
      <c r="M18" s="261">
        <f t="shared" si="19"/>
        <v>-33.789603086778996</v>
      </c>
      <c r="N18" s="281">
        <f>N758</f>
        <v>0.76323478260869571</v>
      </c>
      <c r="O18" s="261">
        <f t="shared" si="20"/>
        <v>-11.983397906435689</v>
      </c>
      <c r="P18" s="281">
        <f>P758</f>
        <v>0.58936521739130499</v>
      </c>
      <c r="Q18" s="261">
        <f t="shared" si="21"/>
        <v>-20.396946467738488</v>
      </c>
      <c r="R18" s="281">
        <f>R758</f>
        <v>0.72478260869565225</v>
      </c>
      <c r="S18" s="261">
        <f t="shared" si="22"/>
        <v>6.8548645564915578</v>
      </c>
      <c r="T18" s="281">
        <f>T758</f>
        <v>0.70635237714742272</v>
      </c>
      <c r="U18" s="261">
        <f t="shared" si="23"/>
        <v>25.56987358374019</v>
      </c>
      <c r="V18" s="281">
        <f>V758</f>
        <v>1.078459778879145</v>
      </c>
      <c r="W18" s="261">
        <f t="shared" si="24"/>
        <v>41.301183260153195</v>
      </c>
      <c r="X18" s="281">
        <f>X758</f>
        <v>0.75269654386631168</v>
      </c>
      <c r="Y18" s="261">
        <f t="shared" si="25"/>
        <v>27.713092265260709</v>
      </c>
      <c r="Z18" s="281">
        <f>Z758</f>
        <v>0.57007590132827368</v>
      </c>
      <c r="AA18" s="261">
        <f t="shared" si="26"/>
        <v>-21.345256565385164</v>
      </c>
      <c r="AB18" s="281">
        <f>AB758</f>
        <v>0.83266978922716617</v>
      </c>
      <c r="AC18" s="261">
        <f t="shared" si="27"/>
        <v>17.883058961289478</v>
      </c>
      <c r="AD18" s="281">
        <f>AD758</f>
        <v>0.75220125786163528</v>
      </c>
      <c r="AE18" s="261">
        <f t="shared" si="28"/>
        <v>-30.252266000739848</v>
      </c>
      <c r="AF18" s="281">
        <f>AF758</f>
        <v>0.99452110389610349</v>
      </c>
      <c r="AG18" s="261">
        <f t="shared" si="29"/>
        <v>32.127762775106206</v>
      </c>
      <c r="AH18" s="281">
        <f>AH758</f>
        <v>0.81842958039052782</v>
      </c>
      <c r="AI18" s="261">
        <f>IF(ISERROR((AH18/Z18-1)*100),"NA",IF(((AH18/Z18-1)*100)&gt;100,"NM",IF(((AH18/Z18-1)*100)&lt;-50,"NM",(AH18/Z18-1)*100)))</f>
        <v>43.565019760279533</v>
      </c>
      <c r="AJ18" s="281">
        <f>AJ758</f>
        <v>0.77676240208877301</v>
      </c>
      <c r="AK18" s="261">
        <f>IF(ISERROR((AJ18/AB18-1)*100),"NA",IF(((AJ18/AB18-1)*100)&gt;100,"NM",IF(((AJ18/AB18-1)*100)&lt;-50,"NM",(AJ18/AB18-1)*100)))</f>
        <v>-6.7142326840370909</v>
      </c>
      <c r="AL18" s="281">
        <f>AL758</f>
        <v>0.41694096601073244</v>
      </c>
      <c r="AM18" s="261">
        <f>IF(ISERROR((AL18/AD18-1)*100),"NA",IF(((AL18/AD18-1)*100)&gt;100,"NM",IF(((AL18/AD18-1)*100)&lt;-50,"NM",(AL18/AD18-1)*100)))</f>
        <v>-44.570557194225366</v>
      </c>
      <c r="AN18" s="281">
        <f>AN758</f>
        <v>0.90761111111111115</v>
      </c>
      <c r="AO18" s="261">
        <f>IF(ISERROR((AN18/AF18-1)*100),"NA",IF(((AN18/AF18-1)*100)&gt;100,"NM",IF(((AN18/AF18-1)*100)&lt;-50,"NM",(AN18/AF18-1)*100)))</f>
        <v>-8.738878686889251</v>
      </c>
      <c r="AP18" s="281">
        <f>AP758</f>
        <v>0.28357723577235694</v>
      </c>
      <c r="AQ18" s="261" t="str">
        <f t="shared" ref="AQ18:AQ20" si="195">IF(ISERROR((AP18/AH18-1)*100),"NA",IF(((AP18/AH18-1)*100)&gt;100,"NM",IF(((AP18/AH18-1)*100)&lt;-50,"NM",(AP18/AH18-1)*100)))</f>
        <v>NM</v>
      </c>
      <c r="AR18" s="281">
        <f t="shared" ref="AR18:AT18" si="196">AR758</f>
        <v>0.43606879606879623</v>
      </c>
      <c r="AS18" s="261">
        <f t="shared" ref="AS18:AS20" si="197">IF(ISERROR((AR18/AJ18-1)*100),"NA",IF(((AR18/AJ18-1)*100)&gt;100,"NM",IF(((AR18/AJ18-1)*100)&lt;-50,"NM",(AR18/AJ18-1)*100)))</f>
        <v>-43.860723060723053</v>
      </c>
      <c r="AT18" s="281">
        <f t="shared" si="196"/>
        <v>-0.12452605459057099</v>
      </c>
      <c r="AU18" s="261" t="str">
        <f t="shared" ref="AU18:AU20" si="198">IF(ISERROR((AT18/AL18-1)*100),"NA",IF(((AT18/AL18-1)*100)&gt;100,"NM",IF(((AT18/AL18-1)*100)&lt;-50,"NM",(AT18/AL18-1)*100)))</f>
        <v>NM</v>
      </c>
      <c r="AV18" s="281">
        <f t="shared" ref="AV18:AX18" si="199">AV758</f>
        <v>0.51612379502790395</v>
      </c>
      <c r="AW18" s="261">
        <f t="shared" ref="AW18:AW20" si="200">IF(ISERROR((AV18/AN18-1)*100),"NA",IF(((AV18/AN18-1)*100)&gt;100,"NM",IF(((AV18/AN18-1)*100)&lt;-50,"NM",(AV18/AN18-1)*100)))</f>
        <v>-43.133817037997979</v>
      </c>
      <c r="AX18" s="281">
        <f t="shared" si="199"/>
        <v>0.50860082304526655</v>
      </c>
      <c r="AY18" s="261">
        <f t="shared" ref="AY18:AY20" si="201">IF(ISERROR((AX18/AP18-1)*100),"NA",IF(((AX18/AP18-1)*100)&gt;100,"NM",IF(((AX18/AP18-1)*100)&lt;-50,"NM",(AX18/AP18-1)*100)))</f>
        <v>79.351781062408151</v>
      </c>
      <c r="AZ18" s="281">
        <f t="shared" ref="AZ18" si="202">AZ758</f>
        <v>0.3876398508257855</v>
      </c>
      <c r="BA18" s="261">
        <f t="shared" ref="BA18:BA20" si="203">IF(ISERROR((AZ18/AR18-1)*100),"NA",IF(((AZ18/AR18-1)*100)&gt;100,"NM",IF(((AZ18/AR18-1)*100)&lt;-50,"NM",(AZ18/AR18-1)*100)))</f>
        <v>-11.10580387305914</v>
      </c>
      <c r="BB18" s="281">
        <f t="shared" ref="BB18:BD18" si="204">BB758</f>
        <v>0.15732456140350895</v>
      </c>
      <c r="BC18" s="261" t="str">
        <f t="shared" ref="BC18:BC20" si="205">IF(ISERROR((BB18/AT18-1)*100),"NA",IF(((BB18/AT18-1)*100)&gt;100,"NM",IF(((BB18/AT18-1)*100)&lt;-50,"NM",(BB18/AT18-1)*100)))</f>
        <v>NM</v>
      </c>
      <c r="BD18" s="281">
        <f t="shared" si="204"/>
        <v>0.86765027322404342</v>
      </c>
      <c r="BE18" s="261">
        <f t="shared" ref="BE18:BE20" si="206">IF(ISERROR((BD18/AV18-1)*100),"NA",IF(((BD18/AV18-1)*100)&gt;100,"NM",IF(((BD18/AV18-1)*100)&lt;-50,"NM",(BD18/AV18-1)*100)))</f>
        <v>68.108946261067913</v>
      </c>
      <c r="BF18" s="281">
        <f t="shared" ref="BF18" si="207">BF758</f>
        <v>0.86626151853281397</v>
      </c>
      <c r="BG18" s="261">
        <f t="shared" ref="BG18:BG20" si="208">IF(ISERROR((BF18/AX18-1)*100),"NA",IF(((BF18/AX18-1)*100)&gt;100,"NM",IF(((BF18/AX18-1)*100)&lt;-50,"NM",(BF18/AX18-1)*100)))</f>
        <v>70.32247674041119</v>
      </c>
      <c r="BH18" s="281">
        <f t="shared" ref="BH18" si="209">BH758</f>
        <v>1.0460129775333231</v>
      </c>
      <c r="BI18" s="261" t="str">
        <f t="shared" ref="BI18:BI20" si="210">IF(ISERROR((BH18/AZ18-1)*100),"NA",IF(((BH18/AZ18-1)*100)&gt;100,"NM",IF(((BH18/AZ18-1)*100)&lt;-50,"NM",(BH18/AZ18-1)*100)))</f>
        <v>NM</v>
      </c>
      <c r="BJ18" s="281">
        <f t="shared" ref="BJ18" si="211">BJ758</f>
        <v>1.1421989433528013</v>
      </c>
      <c r="BK18" s="261" t="str">
        <f t="shared" ref="BK18:BK20" si="212">IF(ISERROR((BJ18/BB18-1)*100),"NA",IF(((BJ18/BB18-1)*100)&gt;100,"NM",IF(((BJ18/BB18-1)*100)&lt;-50,"NM",(BJ18/BB18-1)*100)))</f>
        <v>NM</v>
      </c>
      <c r="BL18" s="281">
        <f t="shared" ref="BL18" si="213">BL758</f>
        <v>1.2098112978370306</v>
      </c>
      <c r="BM18" s="261">
        <f t="shared" ref="BM18:BM20" si="214">IF(ISERROR((BL18/BD18-1)*100),"NA",IF(((BL18/BD18-1)*100)&gt;100,"NM",IF(((BL18/BD18-1)*100)&lt;-50,"NM",(BL18/BD18-1)*100)))</f>
        <v>39.435361824018564</v>
      </c>
      <c r="BN18" s="263"/>
      <c r="BO18" s="134"/>
      <c r="BP18" s="263"/>
      <c r="BQ18" s="263"/>
      <c r="BR18" s="260"/>
      <c r="BS18" s="264"/>
      <c r="BT18" s="260"/>
      <c r="BU18" s="281">
        <f t="shared" ref="BU18:CA18" si="215">BU758</f>
        <v>3.1649758717826053</v>
      </c>
      <c r="BV18" s="261" t="str">
        <f t="shared" si="55"/>
        <v>NA</v>
      </c>
      <c r="BW18" s="281">
        <f t="shared" si="215"/>
        <v>2.5934043478260893</v>
      </c>
      <c r="BX18" s="261">
        <f t="shared" si="56"/>
        <v>-18.059269552490786</v>
      </c>
      <c r="BY18" s="281">
        <f t="shared" si="215"/>
        <v>3.2746822875297856</v>
      </c>
      <c r="BZ18" s="261">
        <f t="shared" si="57"/>
        <v>26.26963821799615</v>
      </c>
      <c r="CA18" s="281">
        <f t="shared" si="215"/>
        <v>3.135541401273886</v>
      </c>
      <c r="CB18" s="261">
        <f t="shared" si="58"/>
        <v>-4.2489888801047204</v>
      </c>
      <c r="CC18" s="281">
        <f t="shared" ref="CC18" si="216">CC758</f>
        <v>2.9217360729590141</v>
      </c>
      <c r="CD18" s="261">
        <f t="shared" si="58"/>
        <v>-6.8187691040535681</v>
      </c>
      <c r="CE18" s="281">
        <f t="shared" ref="CE18" si="217">CE758</f>
        <v>1.1078500986193287</v>
      </c>
      <c r="CF18" s="261" t="str">
        <f t="shared" si="58"/>
        <v>NM</v>
      </c>
      <c r="CG18" s="281">
        <f t="shared" ref="CG18" si="218">CG758</f>
        <v>1.9216481605351179</v>
      </c>
      <c r="CH18" s="261">
        <f t="shared" si="58"/>
        <v>73.457416570165464</v>
      </c>
      <c r="CI18" s="281">
        <f t="shared" ref="CI18" si="219">CI758</f>
        <v>4.2490895860792328</v>
      </c>
      <c r="CJ18" s="261" t="str">
        <f t="shared" si="58"/>
        <v>NM</v>
      </c>
      <c r="CK18" s="281">
        <f t="shared" ref="CK18:CM18" si="220">CK758</f>
        <v>5.2475537932009786</v>
      </c>
      <c r="CL18" s="261">
        <f t="shared" si="58"/>
        <v>23.498309152927497</v>
      </c>
      <c r="CM18" s="281">
        <f t="shared" si="220"/>
        <v>5.7969002993802468</v>
      </c>
      <c r="CN18" s="261">
        <f t="shared" si="58"/>
        <v>10.468620767471348</v>
      </c>
      <c r="CO18" s="281">
        <f t="shared" ref="CO18:CQ18" si="221">CO758</f>
        <v>6.401629011637576</v>
      </c>
      <c r="CP18" s="261">
        <f t="shared" si="58"/>
        <v>10.43193225734762</v>
      </c>
      <c r="CQ18" s="281">
        <f t="shared" si="221"/>
        <v>7.0955875461529843</v>
      </c>
      <c r="CR18" s="261">
        <f t="shared" si="58"/>
        <v>10.84034287606881</v>
      </c>
      <c r="CS18" s="261">
        <f t="shared" si="65"/>
        <v>29.856262118449607</v>
      </c>
      <c r="CT18" s="263"/>
      <c r="CU18" s="263"/>
      <c r="CV18"/>
      <c r="CW18"/>
      <c r="CX18"/>
      <c r="CY18"/>
      <c r="CZ18"/>
      <c r="DA18"/>
    </row>
    <row r="19" spans="1:105" s="193" customFormat="1" ht="12.75" customHeight="1" x14ac:dyDescent="0.2">
      <c r="A19" s="259" t="s">
        <v>47</v>
      </c>
      <c r="B19" s="281">
        <f>B761</f>
        <v>0.62896912747063405</v>
      </c>
      <c r="C19" s="261"/>
      <c r="D19" s="281">
        <f>D761</f>
        <v>0.75420500406251245</v>
      </c>
      <c r="E19" s="261"/>
      <c r="F19" s="281">
        <f>F761</f>
        <v>0.71230542036541289</v>
      </c>
      <c r="G19" s="261"/>
      <c r="H19" s="281">
        <f>H761</f>
        <v>0.40535590165697749</v>
      </c>
      <c r="I19" s="261"/>
      <c r="J19" s="281">
        <f>J761</f>
        <v>0.61464578971839079</v>
      </c>
      <c r="K19" s="261">
        <f t="shared" si="18"/>
        <v>-2.277271987870666</v>
      </c>
      <c r="L19" s="281">
        <f>L761</f>
        <v>0.80885409813964293</v>
      </c>
      <c r="M19" s="261">
        <f t="shared" si="19"/>
        <v>7.2459203774522862</v>
      </c>
      <c r="N19" s="281">
        <f>N761</f>
        <v>0.73230844492405511</v>
      </c>
      <c r="O19" s="261">
        <f t="shared" si="20"/>
        <v>2.8082089489618989</v>
      </c>
      <c r="P19" s="281">
        <f>P761</f>
        <v>0.72692962856982757</v>
      </c>
      <c r="Q19" s="261">
        <f t="shared" si="21"/>
        <v>79.331206378974599</v>
      </c>
      <c r="R19" s="281">
        <f>R761</f>
        <v>0.66744400013555194</v>
      </c>
      <c r="S19" s="261">
        <f t="shared" si="22"/>
        <v>8.5900223023331002</v>
      </c>
      <c r="T19" s="281">
        <f>T761</f>
        <v>0.66683300039952031</v>
      </c>
      <c r="U19" s="261">
        <f t="shared" si="23"/>
        <v>-17.558308484406503</v>
      </c>
      <c r="V19" s="281">
        <f>V761</f>
        <v>0.63810522302706774</v>
      </c>
      <c r="W19" s="261">
        <f t="shared" si="24"/>
        <v>-12.863872122457476</v>
      </c>
      <c r="X19" s="281">
        <f>X761</f>
        <v>0.67419293581465978</v>
      </c>
      <c r="Y19" s="261">
        <f t="shared" si="25"/>
        <v>-7.254717744676709</v>
      </c>
      <c r="Z19" s="281">
        <f>Z761</f>
        <v>0.62335863377609146</v>
      </c>
      <c r="AA19" s="261">
        <f t="shared" si="26"/>
        <v>-6.6051034020093269</v>
      </c>
      <c r="AB19" s="281">
        <f>AB761</f>
        <v>0.79207650273224051</v>
      </c>
      <c r="AC19" s="261">
        <f t="shared" si="27"/>
        <v>18.781839269754631</v>
      </c>
      <c r="AD19" s="281">
        <f>AD761</f>
        <v>0.73352397798742153</v>
      </c>
      <c r="AE19" s="261">
        <f t="shared" si="28"/>
        <v>14.953451486841418</v>
      </c>
      <c r="AF19" s="281">
        <f>AF761</f>
        <v>0.92171266233766191</v>
      </c>
      <c r="AG19" s="261">
        <f t="shared" si="29"/>
        <v>36.713485617275431</v>
      </c>
      <c r="AH19" s="281">
        <f>AH761</f>
        <v>0.80450186954715441</v>
      </c>
      <c r="AI19" s="261">
        <f>IF(ISERROR((AH19/Z19-1)*100),"NA",IF(((AH19/Z19-1)*100)&gt;100,"NM",IF(((AH19/Z19-1)*100)&lt;-50,"NM",(AH19/Z19-1)*100)))</f>
        <v>29.059232672171365</v>
      </c>
      <c r="AJ19" s="281">
        <f>AJ761</f>
        <v>0.80161879895561394</v>
      </c>
      <c r="AK19" s="261">
        <f>IF(ISERROR((AJ19/AB19-1)*100),"NA",IF(((AJ19/AB19-1)*100)&gt;100,"NM",IF(((AJ19/AB19-1)*100)&lt;-50,"NM",(AJ19/AB19-1)*100)))</f>
        <v>1.2047190126784013</v>
      </c>
      <c r="AL19" s="281">
        <f>AL761</f>
        <v>0.70067978533094677</v>
      </c>
      <c r="AM19" s="261">
        <f>IF(ISERROR((AL19/AD19-1)*100),"NA",IF(((AL19/AD19-1)*100)&gt;100,"NM",IF(((AL19/AD19-1)*100)&lt;-50,"NM",(AL19/AD19-1)*100)))</f>
        <v>-4.4775895051978765</v>
      </c>
      <c r="AN19" s="281">
        <f>AN761</f>
        <v>0.76027777777777794</v>
      </c>
      <c r="AO19" s="261">
        <f>IF(ISERROR((AN19/AF19-1)*100),"NA",IF(((AN19/AF19-1)*100)&gt;100,"NM",IF(((AN19/AF19-1)*100)&lt;-50,"NM",(AN19/AF19-1)*100)))</f>
        <v>-17.514664944544677</v>
      </c>
      <c r="AP19" s="281">
        <f>AP761</f>
        <v>0.31869918699186905</v>
      </c>
      <c r="AQ19" s="261" t="str">
        <f t="shared" si="195"/>
        <v>NM</v>
      </c>
      <c r="AR19" s="281">
        <f t="shared" ref="AR19:AT19" si="222">AR761</f>
        <v>0.51884029484029504</v>
      </c>
      <c r="AS19" s="261">
        <f t="shared" si="197"/>
        <v>-35.275932211636729</v>
      </c>
      <c r="AT19" s="281">
        <f t="shared" si="222"/>
        <v>0.44782133995037188</v>
      </c>
      <c r="AU19" s="261">
        <f t="shared" si="198"/>
        <v>-36.087589605734692</v>
      </c>
      <c r="AV19" s="281">
        <f t="shared" ref="AV19:AX19" si="223">AV761</f>
        <v>0.51336377473363715</v>
      </c>
      <c r="AW19" s="261">
        <f t="shared" si="200"/>
        <v>-32.476814430358303</v>
      </c>
      <c r="AX19" s="281">
        <f t="shared" si="223"/>
        <v>0.46487654320987559</v>
      </c>
      <c r="AY19" s="261">
        <f t="shared" si="201"/>
        <v>45.866874527588905</v>
      </c>
      <c r="AZ19" s="281">
        <f t="shared" ref="AZ19" si="224">AZ761</f>
        <v>0.65935002663825237</v>
      </c>
      <c r="BA19" s="261">
        <f t="shared" si="203"/>
        <v>27.081499489396421</v>
      </c>
      <c r="BB19" s="281">
        <f t="shared" ref="BB19:BD19" si="225">BB761</f>
        <v>0.64942982456140363</v>
      </c>
      <c r="BC19" s="261">
        <f t="shared" si="205"/>
        <v>45.019847565409506</v>
      </c>
      <c r="BD19" s="281">
        <f t="shared" si="225"/>
        <v>0.79704918032786864</v>
      </c>
      <c r="BE19" s="261">
        <f t="shared" si="206"/>
        <v>55.260113696457047</v>
      </c>
      <c r="BF19" s="281">
        <f t="shared" ref="BF19" si="226">BF761</f>
        <v>0.86626151853281375</v>
      </c>
      <c r="BG19" s="261">
        <f t="shared" si="208"/>
        <v>86.342273273557453</v>
      </c>
      <c r="BH19" s="281">
        <f t="shared" ref="BH19" si="227">BH761</f>
        <v>1.0460129775333231</v>
      </c>
      <c r="BI19" s="261">
        <f t="shared" si="210"/>
        <v>58.643047739984475</v>
      </c>
      <c r="BJ19" s="281">
        <f t="shared" ref="BJ19" si="228">BJ761</f>
        <v>1.1421989433528013</v>
      </c>
      <c r="BK19" s="261">
        <f t="shared" si="212"/>
        <v>75.877192601093157</v>
      </c>
      <c r="BL19" s="281">
        <f t="shared" ref="BL19" si="229">BL761</f>
        <v>1.2098112978370306</v>
      </c>
      <c r="BM19" s="261">
        <f t="shared" si="214"/>
        <v>51.786279654584291</v>
      </c>
      <c r="BN19" s="263"/>
      <c r="BO19" s="134"/>
      <c r="BP19" s="263"/>
      <c r="BQ19" s="263"/>
      <c r="BR19" s="260"/>
      <c r="BS19" s="264"/>
      <c r="BT19" s="260"/>
      <c r="BU19" s="281">
        <f>BU761</f>
        <v>2.5007265142058999</v>
      </c>
      <c r="BV19" s="261" t="str">
        <f t="shared" si="55"/>
        <v>NA</v>
      </c>
      <c r="BW19" s="281">
        <f>BW761</f>
        <v>2.8826847645918496</v>
      </c>
      <c r="BX19" s="261">
        <f t="shared" si="56"/>
        <v>15.273891335824041</v>
      </c>
      <c r="BY19" s="281">
        <f>BY761</f>
        <v>2.6422584641468165</v>
      </c>
      <c r="BZ19" s="261">
        <f t="shared" si="57"/>
        <v>-8.3403604652926511</v>
      </c>
      <c r="CA19" s="281">
        <f>CA761</f>
        <v>3.0608662420382173</v>
      </c>
      <c r="CB19" s="261">
        <f t="shared" si="58"/>
        <v>15.842802041191263</v>
      </c>
      <c r="CC19" s="281">
        <f>CC761</f>
        <v>3.0710805405999335</v>
      </c>
      <c r="CD19" s="261">
        <f t="shared" si="58"/>
        <v>0.33370613917824699</v>
      </c>
      <c r="CE19" s="281">
        <f>CE761</f>
        <v>1.7931163708086781</v>
      </c>
      <c r="CF19" s="261">
        <f t="shared" si="58"/>
        <v>-41.612851011116945</v>
      </c>
      <c r="CG19" s="281">
        <f>CG761</f>
        <v>2.560256856187292</v>
      </c>
      <c r="CH19" s="261">
        <f t="shared" si="58"/>
        <v>42.782526436510146</v>
      </c>
      <c r="CI19" s="281">
        <f>CI761</f>
        <v>4.2490895860792328</v>
      </c>
      <c r="CJ19" s="261">
        <f t="shared" si="58"/>
        <v>65.963410109051821</v>
      </c>
      <c r="CK19" s="281">
        <f>CK761</f>
        <v>5.2475537932009786</v>
      </c>
      <c r="CL19" s="261">
        <f t="shared" si="58"/>
        <v>23.498309152927497</v>
      </c>
      <c r="CM19" s="281">
        <f>CM761</f>
        <v>5.7969002993802468</v>
      </c>
      <c r="CN19" s="261">
        <f t="shared" si="58"/>
        <v>10.468620767471348</v>
      </c>
      <c r="CO19" s="281">
        <f>CO761</f>
        <v>6.401629011637576</v>
      </c>
      <c r="CP19" s="261">
        <f t="shared" si="58"/>
        <v>10.43193225734762</v>
      </c>
      <c r="CQ19" s="281">
        <f>CQ761</f>
        <v>7.0955875461529843</v>
      </c>
      <c r="CR19" s="261">
        <f t="shared" si="58"/>
        <v>10.84034287606881</v>
      </c>
      <c r="CS19" s="261">
        <f t="shared" si="65"/>
        <v>22.61425535916446</v>
      </c>
      <c r="CT19" s="263"/>
      <c r="CU19" s="263"/>
      <c r="CV19"/>
      <c r="CW19"/>
      <c r="CX19"/>
      <c r="CY19"/>
      <c r="CZ19"/>
      <c r="DA19"/>
    </row>
    <row r="20" spans="1:105" s="193" customFormat="1" ht="12.75" customHeight="1" x14ac:dyDescent="0.2">
      <c r="A20" s="259" t="s">
        <v>403</v>
      </c>
      <c r="B20" s="281">
        <f>B763</f>
        <v>0.70785632713043478</v>
      </c>
      <c r="C20" s="261"/>
      <c r="D20" s="281">
        <f>D763</f>
        <v>0.84959072521739176</v>
      </c>
      <c r="E20" s="261"/>
      <c r="F20" s="281">
        <f>F763</f>
        <v>0.86714865656521711</v>
      </c>
      <c r="G20" s="261"/>
      <c r="H20" s="281">
        <f>H763</f>
        <v>0.74038016286956521</v>
      </c>
      <c r="I20" s="261"/>
      <c r="J20" s="281">
        <f>J763</f>
        <v>0.67828695652173832</v>
      </c>
      <c r="K20" s="261">
        <f>IF(ISERROR((J20/B20-1)*100),"NA",IF(((J20/B20-1)*100)&gt;100,"NM",IF(((J20/B20-1)*100)&lt;-50,"NM",(J20/B20-1)*100)))</f>
        <v>-4.177312467992933</v>
      </c>
      <c r="L20" s="281">
        <f>L763</f>
        <v>0.56251739130434786</v>
      </c>
      <c r="M20" s="261">
        <f>IF(ISERROR((L20/D20-1)*100),"NA",IF(((L20/D20-1)*100)&gt;100,"NM",IF(((L20/D20-1)*100)&lt;-50,"NM",(L20/D20-1)*100)))</f>
        <v>-33.789603086778996</v>
      </c>
      <c r="N20" s="281">
        <f>N763</f>
        <v>0.76323478260869571</v>
      </c>
      <c r="O20" s="261">
        <f>IF(ISERROR((N20/F20-1)*100),"NA",IF(((N20/F20-1)*100)&gt;100,"NM",IF(((N20/F20-1)*100)&lt;-50,"NM",(N20/F20-1)*100)))</f>
        <v>-11.983397906435689</v>
      </c>
      <c r="P20" s="281">
        <f>P763</f>
        <v>0.58936521739130499</v>
      </c>
      <c r="Q20" s="261">
        <f>IF(ISERROR((P20/H20-1)*100),"NA",IF(((P20/H20-1)*100)&gt;100,"NM",IF(((P20/H20-1)*100)&lt;-50,"NM",(P20/H20-1)*100)))</f>
        <v>-20.396946467738488</v>
      </c>
      <c r="R20" s="281">
        <f>R763</f>
        <v>0.72478260869565225</v>
      </c>
      <c r="S20" s="261">
        <f>IF(ISERROR((R20/J20-1)*100),"NA",IF(((R20/J20-1)*100)&gt;100,"NM",IF(((R20/J20-1)*100)&lt;-50,"NM",(R20/J20-1)*100)))</f>
        <v>6.8548645564915578</v>
      </c>
      <c r="T20" s="281">
        <f>T763</f>
        <v>0.70635237714742272</v>
      </c>
      <c r="U20" s="261">
        <f>IF(ISERROR((T20/L20-1)*100),"NA",IF(((T20/L20-1)*100)&gt;100,"NM",IF(((T20/L20-1)*100)&lt;-50,"NM",(T20/L20-1)*100)))</f>
        <v>25.56987358374019</v>
      </c>
      <c r="V20" s="281">
        <f>V763</f>
        <v>1.078459778879145</v>
      </c>
      <c r="W20" s="261">
        <f>IF(ISERROR((V20/N20-1)*100),"NA",IF(((V20/N20-1)*100)&gt;100,"NM",IF(((V20/N20-1)*100)&lt;-50,"NM",(V20/N20-1)*100)))</f>
        <v>41.301183260153195</v>
      </c>
      <c r="X20" s="281">
        <f>X763</f>
        <v>0.75269654386631168</v>
      </c>
      <c r="Y20" s="261">
        <f>IF(ISERROR((X20/P20-1)*100),"NA",IF(((X20/P20-1)*100)&gt;100,"NM",IF(((X20/P20-1)*100)&lt;-50,"NM",(X20/P20-1)*100)))</f>
        <v>27.713092265260709</v>
      </c>
      <c r="Z20" s="281">
        <f>Z763</f>
        <v>0.57007590132827368</v>
      </c>
      <c r="AA20" s="261">
        <f>IF(ISERROR((Z20/R20-1)*100),"NA",IF(((Z20/R20-1)*100)&gt;100,"NM",IF(((Z20/R20-1)*100)&lt;-50,"NM",(Z20/R20-1)*100)))</f>
        <v>-21.345256565385164</v>
      </c>
      <c r="AB20" s="281">
        <f>AB763</f>
        <v>0.83266978922716617</v>
      </c>
      <c r="AC20" s="261">
        <f>IF(ISERROR((AB20/T20-1)*100),"NA",IF(((AB20/T20-1)*100)&gt;100,"NM",IF(((AB20/T20-1)*100)&lt;-50,"NM",(AB20/T20-1)*100)))</f>
        <v>17.883058961289478</v>
      </c>
      <c r="AD20" s="281">
        <f>AD763</f>
        <v>0.75220125786163528</v>
      </c>
      <c r="AE20" s="261">
        <f>IF(ISERROR((AD20/V20-1)*100),"NA",IF(((AD20/V20-1)*100)&gt;100,"NM",IF(((AD20/V20-1)*100)&lt;-50,"NM",(AD20/V20-1)*100)))</f>
        <v>-30.252266000739848</v>
      </c>
      <c r="AF20" s="281">
        <f>AF763</f>
        <v>0.99452110389610349</v>
      </c>
      <c r="AG20" s="261">
        <f>IF(ISERROR((AF20/X20-1)*100),"NA",IF(((AF20/X20-1)*100)&gt;100,"NM",IF(((AF20/X20-1)*100)&lt;-50,"NM",(AF20/X20-1)*100)))</f>
        <v>32.127762775106206</v>
      </c>
      <c r="AH20" s="281">
        <f>AH763</f>
        <v>0.81842958039052782</v>
      </c>
      <c r="AI20" s="261">
        <f>IF(ISERROR((AH20/Z20-1)*100),"NA",IF(((AH20/Z20-1)*100)&gt;100,"NM",IF(((AH20/Z20-1)*100)&lt;-50,"NM",(AH20/Z20-1)*100)))</f>
        <v>43.565019760279533</v>
      </c>
      <c r="AJ20" s="281">
        <f>AJ763</f>
        <v>0.77676240208877301</v>
      </c>
      <c r="AK20" s="261">
        <f>IF(ISERROR((AJ20/AB20-1)*100),"NA",IF(((AJ20/AB20-1)*100)&gt;100,"NM",IF(((AJ20/AB20-1)*100)&lt;-50,"NM",(AJ20/AB20-1)*100)))</f>
        <v>-6.7142326840370909</v>
      </c>
      <c r="AL20" s="281">
        <f>AL763</f>
        <v>0.41694096601073244</v>
      </c>
      <c r="AM20" s="261">
        <f>IF(ISERROR((AL20/AD20-1)*100),"NA",IF(((AL20/AD20-1)*100)&gt;100,"NM",IF(((AL20/AD20-1)*100)&lt;-50,"NM",(AL20/AD20-1)*100)))</f>
        <v>-44.570557194225366</v>
      </c>
      <c r="AN20" s="281">
        <f>AN763</f>
        <v>0.90761111111111115</v>
      </c>
      <c r="AO20" s="261">
        <f>IF(ISERROR((AN20/AF20-1)*100),"NA",IF(((AN20/AF20-1)*100)&gt;100,"NM",IF(((AN20/AF20-1)*100)&lt;-50,"NM",(AN20/AF20-1)*100)))</f>
        <v>-8.738878686889251</v>
      </c>
      <c r="AP20" s="281">
        <f>AP763</f>
        <v>0.28357723577235694</v>
      </c>
      <c r="AQ20" s="261" t="str">
        <f t="shared" si="195"/>
        <v>NM</v>
      </c>
      <c r="AR20" s="281">
        <f t="shared" ref="AR20:AT20" si="230">AR763</f>
        <v>0.43606879606879623</v>
      </c>
      <c r="AS20" s="261">
        <f t="shared" si="197"/>
        <v>-43.860723060723053</v>
      </c>
      <c r="AT20" s="281">
        <f t="shared" si="230"/>
        <v>-0.12452605459057099</v>
      </c>
      <c r="AU20" s="261" t="str">
        <f t="shared" si="198"/>
        <v>NM</v>
      </c>
      <c r="AV20" s="281">
        <f t="shared" ref="AV20:AX20" si="231">AV763</f>
        <v>0.51612379502790395</v>
      </c>
      <c r="AW20" s="261">
        <f t="shared" si="200"/>
        <v>-43.133817037997979</v>
      </c>
      <c r="AX20" s="281">
        <f t="shared" si="231"/>
        <v>0.50860082304526655</v>
      </c>
      <c r="AY20" s="261">
        <f t="shared" si="201"/>
        <v>79.351781062408151</v>
      </c>
      <c r="AZ20" s="281">
        <f t="shared" ref="AZ20" si="232">AZ763</f>
        <v>0.3876398508257855</v>
      </c>
      <c r="BA20" s="261">
        <f t="shared" si="203"/>
        <v>-11.10580387305914</v>
      </c>
      <c r="BB20" s="281">
        <f t="shared" ref="BB20:BD20" si="233">BB763</f>
        <v>0.15732456140350895</v>
      </c>
      <c r="BC20" s="261" t="str">
        <f t="shared" si="205"/>
        <v>NM</v>
      </c>
      <c r="BD20" s="281">
        <f t="shared" si="233"/>
        <v>0.86765027322404342</v>
      </c>
      <c r="BE20" s="261">
        <f t="shared" si="206"/>
        <v>68.108946261067913</v>
      </c>
      <c r="BF20" s="281">
        <f t="shared" ref="BF20" si="234">BF763</f>
        <v>0.86626151853281375</v>
      </c>
      <c r="BG20" s="261">
        <f t="shared" si="208"/>
        <v>70.322476740411147</v>
      </c>
      <c r="BH20" s="281">
        <f t="shared" ref="BH20" si="235">BH763</f>
        <v>1.0460129775333231</v>
      </c>
      <c r="BI20" s="261" t="str">
        <f t="shared" si="210"/>
        <v>NM</v>
      </c>
      <c r="BJ20" s="281">
        <f t="shared" ref="BJ20" si="236">BJ763</f>
        <v>1.1421989433528013</v>
      </c>
      <c r="BK20" s="261" t="str">
        <f t="shared" si="212"/>
        <v>NM</v>
      </c>
      <c r="BL20" s="281">
        <f t="shared" ref="BL20" si="237">BL763</f>
        <v>1.2098112978370306</v>
      </c>
      <c r="BM20" s="261">
        <f t="shared" si="214"/>
        <v>39.435361824018564</v>
      </c>
      <c r="BN20" s="263"/>
      <c r="BO20" s="134"/>
      <c r="BP20" s="263"/>
      <c r="BQ20" s="263"/>
      <c r="BR20" s="260"/>
      <c r="BS20" s="264"/>
      <c r="BT20" s="260"/>
      <c r="BU20" s="281">
        <f>BU763</f>
        <v>3.1649758717826089</v>
      </c>
      <c r="BV20" s="261" t="str">
        <f>IF(ISERROR((BU20/BS20-1)*100),"NA",IF(((BU20/BS20-1)*100)&gt;100,"NM",IF(((BU20/BS20-1)*100)&lt;-50,"NM",(BU20/BS20-1)*100)))</f>
        <v>NA</v>
      </c>
      <c r="BW20" s="281">
        <f>BW763</f>
        <v>2.5934043478260866</v>
      </c>
      <c r="BX20" s="261">
        <f>IF(ISERROR((BW20/BU20-1)*100),"NA",IF(((BW20/BU20-1)*100)&gt;100,"NM",IF(((BW20/BU20-1)*100)&lt;-50,"NM",(BW20/BU20-1)*100)))</f>
        <v>-18.059269552490964</v>
      </c>
      <c r="BY20" s="281">
        <f>BY763</f>
        <v>3.2746822875297839</v>
      </c>
      <c r="BZ20" s="261">
        <f>IF(ISERROR((BY20/BW20-1)*100),"NA",IF(((BY20/BW20-1)*100)&gt;100,"NM",IF(((BY20/BW20-1)*100)&lt;-50,"NM",(BY20/BW20-1)*100)))</f>
        <v>26.269638217996217</v>
      </c>
      <c r="CA20" s="281">
        <f>CA763</f>
        <v>3.1355414012738851</v>
      </c>
      <c r="CB20" s="261">
        <f>IF(ISERROR((CA20/BY20-1)*100),"NA",IF(((CA20/BY20-1)*100)&gt;100,"NM",IF(((CA20/BY20-1)*100)&lt;-50,"NM",(CA20/BY20-1)*100)))</f>
        <v>-4.2489888801046982</v>
      </c>
      <c r="CC20" s="281">
        <f>CC763</f>
        <v>2.9217360729590149</v>
      </c>
      <c r="CD20" s="261">
        <f>IF(ISERROR((CC20/CA20-1)*100),"NA",IF(((CC20/CA20-1)*100)&gt;100,"NM",IF(((CC20/CA20-1)*100)&lt;-50,"NM",(CC20/CA20-1)*100)))</f>
        <v>-6.8187691040535121</v>
      </c>
      <c r="CE20" s="281">
        <f>CE763</f>
        <v>1.1078500986193278</v>
      </c>
      <c r="CF20" s="261" t="str">
        <f>IF(ISERROR((CE20/CC20-1)*100),"NA",IF(((CE20/CC20-1)*100)&gt;100,"NM",IF(((CE20/CC20-1)*100)&lt;-50,"NM",(CE20/CC20-1)*100)))</f>
        <v>NM</v>
      </c>
      <c r="CG20" s="281">
        <f>CG763</f>
        <v>1.9216481605351157</v>
      </c>
      <c r="CH20" s="261">
        <f>IF(ISERROR((CG20/CE20-1)*100),"NA",IF(((CG20/CE20-1)*100)&gt;100,"NM",IF(((CG20/CE20-1)*100)&lt;-50,"NM",(CG20/CE20-1)*100)))</f>
        <v>73.457416570165407</v>
      </c>
      <c r="CI20" s="281">
        <f>CI763</f>
        <v>4.2490895860792346</v>
      </c>
      <c r="CJ20" s="261" t="str">
        <f>IF(ISERROR((CI20/CG20-1)*100),"NA",IF(((CI20/CG20-1)*100)&gt;100,"NM",IF(((CI20/CG20-1)*100)&lt;-50,"NM",(CI20/CG20-1)*100)))</f>
        <v>NM</v>
      </c>
      <c r="CK20" s="281">
        <f>CK763</f>
        <v>5.2475537932009786</v>
      </c>
      <c r="CL20" s="261">
        <f>IF(ISERROR((CK20/CI20-1)*100),"NA",IF(((CK20/CI20-1)*100)&gt;100,"NM",IF(((CK20/CI20-1)*100)&lt;-50,"NM",(CK20/CI20-1)*100)))</f>
        <v>23.498309152927455</v>
      </c>
      <c r="CM20" s="281">
        <f>CM763</f>
        <v>5.7969002993802468</v>
      </c>
      <c r="CN20" s="261">
        <f>IF(ISERROR((CM20/CK20-1)*100),"NA",IF(((CM20/CK20-1)*100)&gt;100,"NM",IF(((CM20/CK20-1)*100)&lt;-50,"NM",(CM20/CK20-1)*100)))</f>
        <v>10.468620767471348</v>
      </c>
      <c r="CO20" s="281">
        <f>CO763</f>
        <v>6.401629011637576</v>
      </c>
      <c r="CP20" s="261">
        <f>IF(ISERROR((CO20/CM20-1)*100),"NA",IF(((CO20/CM20-1)*100)&gt;100,"NM",IF(((CO20/CM20-1)*100)&lt;-50,"NM",(CO20/CM20-1)*100)))</f>
        <v>10.43193225734762</v>
      </c>
      <c r="CQ20" s="281">
        <f>CQ763</f>
        <v>7.0955875461529843</v>
      </c>
      <c r="CR20" s="261">
        <f>IF(ISERROR((CQ20/CO20-1)*100),"NA",IF(((CQ20/CO20-1)*100)&gt;100,"NM",IF(((CQ20/CO20-1)*100)&lt;-50,"NM",(CQ20/CO20-1)*100)))</f>
        <v>10.84034287606881</v>
      </c>
      <c r="CS20" s="261">
        <f t="shared" si="65"/>
        <v>29.856262118449649</v>
      </c>
      <c r="CT20" s="263"/>
      <c r="CU20" s="263"/>
      <c r="CV20"/>
      <c r="CW20"/>
      <c r="CX20"/>
      <c r="CY20"/>
      <c r="CZ20"/>
      <c r="DA20"/>
    </row>
    <row r="21" spans="1:105" s="193" customFormat="1" ht="12.75" hidden="1" customHeight="1" outlineLevel="1" x14ac:dyDescent="0.2">
      <c r="A21" s="263"/>
      <c r="B21" s="266"/>
      <c r="C21" s="266"/>
      <c r="D21" s="266"/>
      <c r="E21" s="266"/>
      <c r="F21" s="266"/>
      <c r="G21" s="266"/>
      <c r="H21" s="266"/>
      <c r="I21" s="266"/>
      <c r="J21" s="266"/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  <c r="AA21" s="266"/>
      <c r="AB21" s="266"/>
      <c r="AC21" s="266"/>
      <c r="AD21" s="266"/>
      <c r="AE21" s="266"/>
      <c r="AF21" s="266"/>
      <c r="AG21" s="266"/>
      <c r="AH21" s="266"/>
      <c r="AI21" s="266"/>
      <c r="AJ21" s="266"/>
      <c r="AK21" s="266"/>
      <c r="AL21" s="266"/>
      <c r="AM21" s="266"/>
      <c r="AN21" s="452"/>
      <c r="AO21" s="266"/>
      <c r="AP21" s="452"/>
      <c r="AQ21" s="266"/>
      <c r="AR21" s="452"/>
      <c r="AS21" s="266"/>
      <c r="AT21" s="452"/>
      <c r="AU21" s="266"/>
      <c r="AV21" s="452"/>
      <c r="AW21" s="266"/>
      <c r="AX21" s="452"/>
      <c r="AY21" s="266"/>
      <c r="AZ21" s="452"/>
      <c r="BA21" s="266"/>
      <c r="BB21" s="452"/>
      <c r="BC21" s="266"/>
      <c r="BD21" s="452"/>
      <c r="BE21" s="266"/>
      <c r="BF21" s="266"/>
      <c r="BG21" s="266"/>
      <c r="BH21" s="266"/>
      <c r="BI21" s="266"/>
      <c r="BJ21" s="266"/>
      <c r="BK21" s="266"/>
      <c r="BL21" s="266"/>
      <c r="BM21" s="266"/>
      <c r="BN21" s="263"/>
      <c r="BO21" s="134"/>
      <c r="BP21" s="263"/>
      <c r="BQ21" s="263"/>
      <c r="BR21" s="260"/>
      <c r="BS21" s="260"/>
      <c r="BT21" s="260"/>
      <c r="BU21" s="266"/>
      <c r="BV21" s="266"/>
      <c r="BW21" s="266"/>
      <c r="BX21" s="266"/>
      <c r="BY21" s="266"/>
      <c r="BZ21" s="266"/>
      <c r="CA21" s="266"/>
      <c r="CB21" s="266"/>
      <c r="CC21" s="266"/>
      <c r="CD21" s="266"/>
      <c r="CE21" s="266"/>
      <c r="CF21" s="266"/>
      <c r="CG21" s="266"/>
      <c r="CH21" s="266"/>
      <c r="CI21" s="266"/>
      <c r="CJ21" s="266"/>
      <c r="CK21" s="266"/>
      <c r="CL21" s="266"/>
      <c r="CM21" s="266"/>
      <c r="CN21" s="266"/>
      <c r="CO21" s="266"/>
      <c r="CP21" s="266"/>
      <c r="CQ21" s="266"/>
      <c r="CR21" s="266"/>
      <c r="CS21" s="266" t="str">
        <f t="shared" si="65"/>
        <v>NA</v>
      </c>
      <c r="CT21" s="263"/>
      <c r="CU21" s="263"/>
      <c r="CV21"/>
      <c r="CW21"/>
      <c r="CX21"/>
      <c r="CY21"/>
      <c r="CZ21"/>
      <c r="DA21"/>
    </row>
    <row r="22" spans="1:105" s="193" customFormat="1" ht="12.75" hidden="1" customHeight="1" outlineLevel="1" x14ac:dyDescent="0.2">
      <c r="A22" s="265" t="s">
        <v>167</v>
      </c>
      <c r="B22" s="266"/>
      <c r="C22" s="261"/>
      <c r="D22" s="266"/>
      <c r="E22" s="261"/>
      <c r="F22" s="266"/>
      <c r="G22" s="261"/>
      <c r="H22" s="266"/>
      <c r="I22" s="261"/>
      <c r="J22" s="260"/>
      <c r="K22" s="262"/>
      <c r="L22" s="260"/>
      <c r="M22" s="262"/>
      <c r="N22" s="260"/>
      <c r="O22" s="262"/>
      <c r="P22" s="260"/>
      <c r="Q22" s="262"/>
      <c r="R22" s="261"/>
      <c r="S22" s="262"/>
      <c r="T22" s="261"/>
      <c r="U22" s="262"/>
      <c r="V22" s="261"/>
      <c r="W22" s="262"/>
      <c r="X22" s="261"/>
      <c r="Y22" s="262"/>
      <c r="Z22" s="261"/>
      <c r="AA22" s="262"/>
      <c r="AB22" s="261"/>
      <c r="AC22" s="262"/>
      <c r="AD22" s="261"/>
      <c r="AE22" s="262"/>
      <c r="AF22" s="261"/>
      <c r="AG22" s="262"/>
      <c r="AH22" s="261"/>
      <c r="AI22" s="262"/>
      <c r="AJ22" s="261"/>
      <c r="AK22" s="262"/>
      <c r="AL22" s="261"/>
      <c r="AM22" s="262"/>
      <c r="AN22" s="261"/>
      <c r="AO22" s="262"/>
      <c r="AP22" s="261"/>
      <c r="AQ22" s="262"/>
      <c r="AR22" s="261"/>
      <c r="AS22" s="262"/>
      <c r="AT22" s="261"/>
      <c r="AU22" s="262"/>
      <c r="AV22" s="261"/>
      <c r="AW22" s="262"/>
      <c r="AX22" s="261"/>
      <c r="AY22" s="262"/>
      <c r="AZ22" s="261"/>
      <c r="BA22" s="262"/>
      <c r="BB22" s="261"/>
      <c r="BC22" s="262"/>
      <c r="BD22" s="261"/>
      <c r="BE22" s="262"/>
      <c r="BF22" s="261"/>
      <c r="BG22" s="262"/>
      <c r="BH22" s="261"/>
      <c r="BI22" s="262"/>
      <c r="BJ22" s="261"/>
      <c r="BK22" s="262"/>
      <c r="BL22" s="261"/>
      <c r="BM22" s="262"/>
      <c r="BN22" s="263"/>
      <c r="BO22" s="134"/>
      <c r="BP22" s="263"/>
      <c r="BQ22" s="263"/>
      <c r="BR22" s="260"/>
      <c r="BS22" s="260"/>
      <c r="BT22" s="260"/>
      <c r="BU22" s="260"/>
      <c r="BV22" s="262"/>
      <c r="BW22" s="260"/>
      <c r="BX22" s="262"/>
      <c r="BY22" s="260"/>
      <c r="BZ22" s="262"/>
      <c r="CA22" s="260"/>
      <c r="CB22" s="262"/>
      <c r="CC22" s="260"/>
      <c r="CD22" s="262"/>
      <c r="CE22" s="260"/>
      <c r="CF22" s="262"/>
      <c r="CG22" s="260"/>
      <c r="CH22" s="262"/>
      <c r="CI22" s="260"/>
      <c r="CJ22" s="262"/>
      <c r="CK22" s="260"/>
      <c r="CL22" s="262"/>
      <c r="CM22" s="260"/>
      <c r="CN22" s="262"/>
      <c r="CO22" s="260"/>
      <c r="CP22" s="262"/>
      <c r="CQ22" s="260"/>
      <c r="CR22" s="262"/>
      <c r="CS22" s="262" t="str">
        <f t="shared" si="65"/>
        <v>NA</v>
      </c>
      <c r="CT22" s="263"/>
      <c r="CU22" s="263"/>
      <c r="CV22"/>
      <c r="CW22"/>
      <c r="CX22"/>
      <c r="CY22"/>
      <c r="CZ22"/>
      <c r="DA22"/>
    </row>
    <row r="23" spans="1:105" s="193" customFormat="1" ht="12.75" hidden="1" customHeight="1" outlineLevel="1" x14ac:dyDescent="0.2">
      <c r="A23" s="263" t="s">
        <v>168</v>
      </c>
      <c r="B23" s="266"/>
      <c r="C23" s="261"/>
      <c r="D23" s="266"/>
      <c r="E23" s="261"/>
      <c r="F23" s="266"/>
      <c r="G23" s="261"/>
      <c r="H23" s="267"/>
      <c r="I23" s="261"/>
      <c r="J23" s="260"/>
      <c r="K23" s="262"/>
      <c r="L23" s="260"/>
      <c r="M23" s="262"/>
      <c r="N23" s="260"/>
      <c r="O23" s="262"/>
      <c r="P23" s="260"/>
      <c r="Q23" s="262"/>
      <c r="R23" s="261"/>
      <c r="S23" s="262"/>
      <c r="T23" s="261"/>
      <c r="U23" s="262"/>
      <c r="V23" s="261"/>
      <c r="W23" s="262"/>
      <c r="X23" s="261"/>
      <c r="Y23" s="262"/>
      <c r="Z23" s="268"/>
      <c r="AA23" s="268"/>
      <c r="AB23" s="268"/>
      <c r="AC23" s="262"/>
      <c r="AD23" s="268"/>
      <c r="AE23" s="262"/>
      <c r="AF23" s="268"/>
      <c r="AG23" s="262"/>
      <c r="AH23" s="261"/>
      <c r="AI23" s="262"/>
      <c r="AJ23" s="261"/>
      <c r="AK23" s="262"/>
      <c r="AL23" s="261"/>
      <c r="AM23" s="262"/>
      <c r="AN23" s="261"/>
      <c r="AO23" s="262"/>
      <c r="AP23" s="261"/>
      <c r="AQ23" s="262"/>
      <c r="AR23" s="261"/>
      <c r="AS23" s="262"/>
      <c r="AT23" s="261"/>
      <c r="AU23" s="262"/>
      <c r="AV23" s="261"/>
      <c r="AW23" s="262"/>
      <c r="AX23" s="261"/>
      <c r="AY23" s="262"/>
      <c r="AZ23" s="261"/>
      <c r="BA23" s="262"/>
      <c r="BB23" s="261"/>
      <c r="BC23" s="262"/>
      <c r="BD23" s="261"/>
      <c r="BE23" s="262"/>
      <c r="BF23" s="261"/>
      <c r="BG23" s="262"/>
      <c r="BH23" s="261"/>
      <c r="BI23" s="262"/>
      <c r="BJ23" s="261"/>
      <c r="BK23" s="262"/>
      <c r="BL23" s="261"/>
      <c r="BM23" s="262"/>
      <c r="BN23" s="263"/>
      <c r="BO23" s="134"/>
      <c r="BP23" s="263"/>
      <c r="BQ23" s="263"/>
      <c r="BR23" s="260"/>
      <c r="BS23" s="260"/>
      <c r="BT23" s="260"/>
      <c r="BU23" s="260"/>
      <c r="BV23" s="262"/>
      <c r="BW23" s="260"/>
      <c r="BX23" s="262"/>
      <c r="BY23" s="260"/>
      <c r="BZ23" s="262"/>
      <c r="CA23" s="260"/>
      <c r="CB23" s="262"/>
      <c r="CC23" s="260"/>
      <c r="CD23" s="262"/>
      <c r="CE23" s="260"/>
      <c r="CF23" s="262"/>
      <c r="CG23" s="260"/>
      <c r="CH23" s="262"/>
      <c r="CI23" s="260"/>
      <c r="CJ23" s="262"/>
      <c r="CK23" s="260"/>
      <c r="CL23" s="262"/>
      <c r="CM23" s="260"/>
      <c r="CN23" s="262"/>
      <c r="CO23" s="260"/>
      <c r="CP23" s="262"/>
      <c r="CQ23" s="260"/>
      <c r="CR23" s="262"/>
      <c r="CS23" s="262" t="str">
        <f t="shared" si="65"/>
        <v>NA</v>
      </c>
      <c r="CT23" s="263"/>
      <c r="CU23" s="263"/>
      <c r="CV23"/>
      <c r="CW23"/>
      <c r="CX23"/>
      <c r="CY23"/>
      <c r="CZ23"/>
      <c r="DA23"/>
    </row>
    <row r="24" spans="1:105" s="193" customFormat="1" ht="12.75" hidden="1" customHeight="1" outlineLevel="1" x14ac:dyDescent="0.2">
      <c r="A24" s="263" t="s">
        <v>171</v>
      </c>
      <c r="B24" s="268">
        <v>5.4220607981664726</v>
      </c>
      <c r="C24" s="269"/>
      <c r="D24" s="268">
        <v>-0.88336923319399796</v>
      </c>
      <c r="E24" s="269"/>
      <c r="F24" s="268">
        <v>-15.544872991109749</v>
      </c>
      <c r="G24" s="269"/>
      <c r="H24" s="268">
        <v>11.152348376376576</v>
      </c>
      <c r="I24" s="269"/>
      <c r="J24" s="268">
        <v>11.996669210931078</v>
      </c>
      <c r="K24" s="262"/>
      <c r="L24" s="268">
        <v>-3.2879649548801182</v>
      </c>
      <c r="M24" s="262"/>
      <c r="N24" s="268">
        <v>5.7636401010160432</v>
      </c>
      <c r="O24" s="262"/>
      <c r="P24" s="268">
        <v>-1.4</v>
      </c>
      <c r="Q24" s="262"/>
      <c r="R24" s="268">
        <v>10</v>
      </c>
      <c r="S24" s="262"/>
      <c r="T24" s="268">
        <v>2.4</v>
      </c>
      <c r="U24" s="262"/>
      <c r="V24" s="268">
        <v>4.0999999999999996</v>
      </c>
      <c r="W24" s="262"/>
      <c r="X24" s="268">
        <v>9.5</v>
      </c>
      <c r="Y24" s="262"/>
      <c r="Z24" s="268">
        <v>1.2973663841116645</v>
      </c>
      <c r="AA24" s="268"/>
      <c r="AB24" s="268">
        <v>3.9623132040299991</v>
      </c>
      <c r="AC24" s="262"/>
      <c r="AD24" s="268">
        <v>0.6</v>
      </c>
      <c r="AE24" s="262"/>
      <c r="AF24" s="268">
        <v>4.4000000000000004</v>
      </c>
      <c r="AG24" s="262"/>
      <c r="AH24" s="268">
        <v>0.4</v>
      </c>
      <c r="AI24" s="262"/>
      <c r="AJ24" s="268">
        <v>0.4</v>
      </c>
      <c r="AK24" s="262"/>
      <c r="AL24" s="268">
        <v>-7.5762339825360296</v>
      </c>
      <c r="AM24" s="262"/>
      <c r="AN24" s="453">
        <v>6.2438329076438093</v>
      </c>
      <c r="AO24" s="262"/>
      <c r="AP24" s="453">
        <v>0.7730168204546084</v>
      </c>
      <c r="AQ24" s="262"/>
      <c r="AR24" s="453">
        <v>1.2582185526894829</v>
      </c>
      <c r="AS24" s="262"/>
      <c r="AT24" s="453">
        <v>3.1061033310349817</v>
      </c>
      <c r="AU24" s="262"/>
      <c r="AV24" s="453">
        <v>3.2542121833731175</v>
      </c>
      <c r="AW24" s="262"/>
      <c r="AX24" s="453">
        <v>5.5336986521396625</v>
      </c>
      <c r="AY24" s="262"/>
      <c r="AZ24" s="453">
        <v>2.5686496918805535</v>
      </c>
      <c r="BA24" s="262"/>
      <c r="BB24" s="453">
        <v>3.6</v>
      </c>
      <c r="BC24" s="262"/>
      <c r="BD24" s="453">
        <v>6.4</v>
      </c>
      <c r="BE24" s="262"/>
      <c r="BF24" s="268">
        <v>-1.2</v>
      </c>
      <c r="BG24" s="262"/>
      <c r="BH24" s="268">
        <v>2</v>
      </c>
      <c r="BI24" s="262"/>
      <c r="BJ24" s="268">
        <v>2</v>
      </c>
      <c r="BK24" s="262"/>
      <c r="BL24" s="268">
        <v>2</v>
      </c>
      <c r="BM24" s="262"/>
      <c r="BN24" s="263"/>
      <c r="BO24" s="134"/>
      <c r="BP24" s="263"/>
      <c r="BQ24" s="263"/>
      <c r="BR24" s="260"/>
      <c r="BS24" s="260"/>
      <c r="BT24" s="260"/>
      <c r="BU24" s="260"/>
      <c r="BV24" s="262"/>
      <c r="BW24" s="260"/>
      <c r="BX24" s="262"/>
      <c r="BY24" s="268">
        <v>8</v>
      </c>
      <c r="BZ24" s="262"/>
      <c r="CA24" s="268">
        <v>8</v>
      </c>
      <c r="CB24" s="262"/>
      <c r="CC24" s="268">
        <v>8</v>
      </c>
      <c r="CD24" s="262"/>
      <c r="CE24" s="268">
        <v>8</v>
      </c>
      <c r="CF24" s="262"/>
      <c r="CG24" s="268">
        <v>8</v>
      </c>
      <c r="CH24" s="262"/>
      <c r="CI24" s="268">
        <v>8</v>
      </c>
      <c r="CJ24" s="262"/>
      <c r="CK24" s="268">
        <v>8</v>
      </c>
      <c r="CL24" s="262"/>
      <c r="CM24" s="268">
        <v>8</v>
      </c>
      <c r="CN24" s="262"/>
      <c r="CO24" s="268">
        <v>8</v>
      </c>
      <c r="CP24" s="262"/>
      <c r="CQ24" s="268">
        <v>8</v>
      </c>
      <c r="CR24" s="262"/>
      <c r="CS24" s="262">
        <f t="shared" si="65"/>
        <v>0</v>
      </c>
      <c r="CT24" s="263"/>
      <c r="CU24" s="263"/>
      <c r="CV24"/>
      <c r="CW24"/>
      <c r="CX24"/>
      <c r="CY24"/>
      <c r="CZ24"/>
      <c r="DA24"/>
    </row>
    <row r="25" spans="1:105" s="129" customFormat="1" ht="12.75" customHeight="1" collapsed="1" x14ac:dyDescent="0.2">
      <c r="A25" s="126" t="s">
        <v>95</v>
      </c>
      <c r="B25" s="127"/>
      <c r="C25" s="128"/>
      <c r="D25" s="127"/>
      <c r="E25" s="128"/>
      <c r="F25" s="127"/>
      <c r="G25" s="128"/>
      <c r="H25" s="127"/>
      <c r="I25" s="128"/>
      <c r="K25" s="130"/>
      <c r="M25" s="130"/>
      <c r="O25" s="130"/>
      <c r="Q25" s="130"/>
      <c r="S25" s="130"/>
      <c r="U25" s="130"/>
      <c r="W25" s="130"/>
      <c r="Y25" s="130"/>
      <c r="AA25" s="130"/>
      <c r="AC25" s="130"/>
      <c r="AE25" s="130"/>
      <c r="AG25" s="130"/>
      <c r="AI25" s="130"/>
      <c r="AK25" s="130"/>
      <c r="AM25" s="130"/>
      <c r="AO25" s="130"/>
      <c r="AQ25" s="130"/>
      <c r="AS25" s="130"/>
      <c r="AU25" s="130"/>
      <c r="AW25" s="130"/>
      <c r="AY25" s="130"/>
      <c r="BA25" s="130"/>
      <c r="BC25" s="130"/>
      <c r="BE25" s="130"/>
      <c r="BG25" s="130"/>
      <c r="BI25" s="130"/>
      <c r="BK25" s="130"/>
      <c r="BM25" s="130"/>
      <c r="BO25" s="135"/>
      <c r="BV25" s="130"/>
      <c r="BX25" s="130"/>
      <c r="BZ25" s="130"/>
      <c r="CB25" s="130"/>
      <c r="CD25" s="130"/>
      <c r="CF25" s="130"/>
      <c r="CH25" s="130"/>
      <c r="CJ25" s="130"/>
      <c r="CL25" s="130"/>
      <c r="CN25" s="130"/>
      <c r="CP25" s="130"/>
      <c r="CR25" s="130"/>
      <c r="CS25" s="130"/>
      <c r="CV25"/>
      <c r="CW25"/>
      <c r="CX25"/>
      <c r="CY25"/>
      <c r="CZ25"/>
      <c r="DA25"/>
    </row>
    <row r="26" spans="1:105" ht="12.75" customHeight="1" x14ac:dyDescent="0.2">
      <c r="A26" s="3"/>
      <c r="J26" s="5"/>
      <c r="L26" s="5"/>
      <c r="N26" s="5"/>
      <c r="P26" s="5"/>
      <c r="R26" s="5"/>
      <c r="T26" s="5"/>
      <c r="V26" s="5"/>
      <c r="X26" s="5"/>
      <c r="Z26" s="5"/>
      <c r="AB26" s="5"/>
      <c r="AD26" s="5"/>
      <c r="AF26" s="5"/>
      <c r="AH26" s="5"/>
      <c r="AJ26" s="5"/>
      <c r="AL26" s="5"/>
      <c r="AN26" s="475"/>
      <c r="AP26" s="475"/>
      <c r="AR26" s="475"/>
      <c r="AT26" s="475"/>
      <c r="AV26" s="475"/>
      <c r="AX26" s="475"/>
      <c r="AZ26" s="475"/>
      <c r="BB26" s="475"/>
      <c r="BD26" s="475"/>
      <c r="BF26" s="5"/>
      <c r="BH26" s="5"/>
      <c r="BJ26" s="5"/>
      <c r="BL26" s="5"/>
      <c r="BN26" s="5"/>
      <c r="BO26" s="136"/>
      <c r="BP26" s="5"/>
      <c r="BQ26" s="5"/>
      <c r="BR26" s="5"/>
      <c r="BS26" s="5"/>
      <c r="BT26" s="5"/>
      <c r="BU26" s="5"/>
      <c r="BW26" s="5"/>
      <c r="CE26" s="227"/>
      <c r="CG26" s="227"/>
      <c r="CI26" s="227"/>
    </row>
    <row r="27" spans="1:105" ht="12.75" customHeight="1" x14ac:dyDescent="0.2">
      <c r="A27" s="9" t="s">
        <v>399</v>
      </c>
      <c r="J27" s="32"/>
      <c r="L27" s="32"/>
      <c r="N27" s="32"/>
      <c r="P27" s="32"/>
      <c r="R27" s="5"/>
      <c r="T27" s="5"/>
      <c r="V27" s="5"/>
      <c r="X27" s="5"/>
      <c r="Z27" s="5"/>
      <c r="AB27" s="5"/>
      <c r="AD27" s="5"/>
      <c r="AF27" s="5"/>
      <c r="AH27" s="5"/>
      <c r="AJ27" s="5"/>
      <c r="AL27" s="5"/>
      <c r="AN27" s="475"/>
      <c r="AP27" s="475"/>
      <c r="AR27" s="475"/>
      <c r="AT27" s="475"/>
      <c r="AV27" s="475"/>
      <c r="AX27" s="475"/>
      <c r="AZ27" s="475"/>
      <c r="BB27" s="475"/>
      <c r="BD27" s="475"/>
      <c r="BF27" s="5"/>
      <c r="BH27" s="5"/>
      <c r="BJ27" s="5"/>
      <c r="BL27" s="5"/>
      <c r="BN27" s="5"/>
      <c r="BO27" s="136"/>
      <c r="BP27" s="5"/>
      <c r="BQ27" s="5"/>
      <c r="BR27" s="5"/>
      <c r="BS27" s="5"/>
      <c r="BT27" s="5"/>
      <c r="BU27" s="5"/>
      <c r="BW27" s="5"/>
    </row>
    <row r="28" spans="1:105" ht="12.75" customHeight="1" x14ac:dyDescent="0.2">
      <c r="A28" s="4" t="s">
        <v>184</v>
      </c>
      <c r="B28" s="49">
        <v>76537.8</v>
      </c>
      <c r="C28" s="59"/>
      <c r="D28" s="56">
        <f>B35</f>
        <v>79219.199999999997</v>
      </c>
      <c r="E28" s="59"/>
      <c r="F28" s="56">
        <f>D35</f>
        <v>79896.199999999983</v>
      </c>
      <c r="G28" s="59"/>
      <c r="H28" s="56">
        <f>F35</f>
        <v>74514.599999999977</v>
      </c>
      <c r="I28" s="59"/>
      <c r="J28" s="56">
        <f>H35</f>
        <v>79477.699999999983</v>
      </c>
      <c r="K28" s="23">
        <f t="shared" ref="K28:K36" si="238">IF(ISERROR((J28/B28-1)*100),"NA",IF(((J28/B28-1)*100)&gt;100,"NM",IF(((J28/B28-1)*100)&lt;-50,"NM",(J28/B28-1)*100)))</f>
        <v>3.8411085764158193</v>
      </c>
      <c r="L28" s="56">
        <f>J35</f>
        <v>85079.799999999988</v>
      </c>
      <c r="M28" s="23">
        <f t="shared" ref="M28:M36" si="239">IF(ISERROR((L28/D28-1)*100),"NA",IF(((L28/D28-1)*100)&gt;100,"NM",IF(((L28/D28-1)*100)&lt;-50,"NM",(L28/D28-1)*100)))</f>
        <v>7.3979540313459324</v>
      </c>
      <c r="N28" s="56">
        <f>L35</f>
        <v>84214.299999999988</v>
      </c>
      <c r="O28" s="23">
        <f t="shared" ref="O28:O36" si="240">IF(ISERROR((N28/F28-1)*100),"NA",IF(((N28/F28-1)*100)&gt;100,"NM",IF(((N28/F28-1)*100)&lt;-50,"NM",(N28/F28-1)*100)))</f>
        <v>5.4046375171785455</v>
      </c>
      <c r="P28" s="56">
        <f>N35</f>
        <v>87668.299999999988</v>
      </c>
      <c r="Q28" s="23">
        <f t="shared" ref="Q28:Q36" si="241">IF(ISERROR((P28/H28-1)*100),"NA",IF(((P28/H28-1)*100)&gt;100,"NM",IF(((P28/H28-1)*100)&lt;-50,"NM",(P28/H28-1)*100)))</f>
        <v>17.652513735563247</v>
      </c>
      <c r="R28" s="56">
        <f>P35</f>
        <v>90471</v>
      </c>
      <c r="S28" s="23">
        <f t="shared" ref="S28:S36" si="242">IF(ISERROR((R28/J28-1)*100),"NA",IF(((R28/J28-1)*100)&gt;100,"NM",IF(((R28/J28-1)*100)&lt;-50,"NM",(R28/J28-1)*100)))</f>
        <v>13.831930214387199</v>
      </c>
      <c r="T28" s="56">
        <f>R35</f>
        <v>95602.1</v>
      </c>
      <c r="U28" s="23">
        <f t="shared" ref="U28:U36" si="243">IF(ISERROR((T28/L28-1)*100),"NA",IF(((T28/L28-1)*100)&gt;100,"NM",IF(((T28/L28-1)*100)&lt;-50,"NM",(T28/L28-1)*100)))</f>
        <v>12.367565509086775</v>
      </c>
      <c r="V28" s="56">
        <f>T35</f>
        <v>96476.9</v>
      </c>
      <c r="W28" s="23">
        <f t="shared" ref="W28:W36" si="244">IF(ISERROR((V28/N28-1)*100),"NA",IF(((V28/N28-1)*100)&gt;100,"NM",IF(((V28/N28-1)*100)&lt;-50,"NM",(V28/N28-1)*100)))</f>
        <v>14.561184976898222</v>
      </c>
      <c r="X28" s="56">
        <f>V35</f>
        <v>100416.9</v>
      </c>
      <c r="Y28" s="23">
        <f t="shared" ref="Y28:Y36" si="245">IF(ISERROR((X28/P28-1)*100),"NA",IF(((X28/P28-1)*100)&gt;100,"NM",IF(((X28/P28-1)*100)&lt;-50,"NM",(X28/P28-1)*100)))</f>
        <v>14.541858345604975</v>
      </c>
      <c r="Z28" s="56">
        <f>X35</f>
        <v>105236.7</v>
      </c>
      <c r="AA28" s="23">
        <f t="shared" ref="AA28:AA36" si="246">IF(ISERROR((Z28/R28-1)*100),"NA",IF(((Z28/R28-1)*100)&gt;100,"NM",IF(((Z28/R28-1)*100)&lt;-50,"NM",(Z28/R28-1)*100)))</f>
        <v>16.320920515966431</v>
      </c>
      <c r="AB28" s="56">
        <f>Z35</f>
        <v>106514.90000000001</v>
      </c>
      <c r="AC28" s="23">
        <f t="shared" ref="AC28:AC36" si="247">IF(ISERROR((AB28/T28-1)*100),"NA",IF(((AB28/T28-1)*100)&gt;100,"NM",IF(((AB28/T28-1)*100)&lt;-50,"NM",(AB28/T28-1)*100)))</f>
        <v>11.414812017727648</v>
      </c>
      <c r="AD28" s="56">
        <f>AB35</f>
        <v>108428.00000000001</v>
      </c>
      <c r="AE28" s="23">
        <f t="shared" ref="AE28:AE36" si="248">IF(ISERROR((AD28/V28-1)*100),"NA",IF(((AD28/V28-1)*100)&gt;100,"NM",IF(((AD28/V28-1)*100)&lt;-50,"NM",(AD28/V28-1)*100)))</f>
        <v>12.387524889377687</v>
      </c>
      <c r="AF28" s="56">
        <f>AD35</f>
        <v>107654.5</v>
      </c>
      <c r="AG28" s="23">
        <f t="shared" ref="AG28:AG36" si="249">IF(ISERROR((AF28/X28-1)*100),"NA",IF(((AF28/X28-1)*100)&gt;100,"NM",IF(((AF28/X28-1)*100)&lt;-50,"NM",(AF28/X28-1)*100)))</f>
        <v>7.2075517168922909</v>
      </c>
      <c r="AH28" s="56">
        <f>AF35</f>
        <v>109693.1</v>
      </c>
      <c r="AI28" s="23">
        <f t="shared" ref="AI28:AI36" si="250">IF(ISERROR((AH28/Z28-1)*100),"NA",IF(((AH28/Z28-1)*100)&gt;100,"NM",IF(((AH28/Z28-1)*100)&lt;-50,"NM",(AH28/Z28-1)*100)))</f>
        <v>4.2346443778643827</v>
      </c>
      <c r="AJ28" s="56">
        <f>AH35</f>
        <v>112502.09999999999</v>
      </c>
      <c r="AK28" s="23">
        <f t="shared" ref="AK28:AK36" si="251">IF(ISERROR((AJ28/AB28-1)*100),"NA",IF(((AJ28/AB28-1)*100)&gt;100,"NM",IF(((AJ28/AB28-1)*100)&lt;-50,"NM",(AJ28/AB28-1)*100)))</f>
        <v>5.6209976256842875</v>
      </c>
      <c r="AL28" s="56">
        <f>AJ35</f>
        <v>112983.29999999999</v>
      </c>
      <c r="AM28" s="23">
        <f t="shared" ref="AM28:AM36" si="252">IF(ISERROR((AL28/AD28-1)*100),"NA",IF(((AL28/AD28-1)*100)&gt;100,"NM",IF(((AL28/AD28-1)*100)&lt;-50,"NM",(AL28/AD28-1)*100)))</f>
        <v>4.2012210868041189</v>
      </c>
      <c r="AN28" s="413">
        <f t="shared" ref="AN28:AP28" si="253">AL35</f>
        <v>107292.59999999999</v>
      </c>
      <c r="AO28" s="23">
        <f t="shared" ref="AO28:AO36" si="254">IF(ISERROR((AN28/AF28-1)*100),"NA",IF(((AN28/AF28-1)*100)&gt;100,"NM",IF(((AN28/AF28-1)*100)&lt;-50,"NM",(AN28/AF28-1)*100)))</f>
        <v>-0.33616801898667115</v>
      </c>
      <c r="AP28" s="413">
        <f t="shared" si="253"/>
        <v>110806.9</v>
      </c>
      <c r="AQ28" s="23">
        <f t="shared" ref="AQ28:AQ36" si="255">IF(ISERROR((AP28/AH28-1)*100),"NA",IF(((AP28/AH28-1)*100)&gt;100,"NM",IF(((AP28/AH28-1)*100)&lt;-50,"NM",(AP28/AH28-1)*100)))</f>
        <v>1.0153783601703159</v>
      </c>
      <c r="AR28" s="413">
        <f t="shared" ref="AR28:AT28" si="256">AP35</f>
        <v>112427</v>
      </c>
      <c r="AS28" s="23">
        <f t="shared" ref="AS28:AS36" si="257">IF(ISERROR((AR28/AJ28-1)*100),"NA",IF(((AR28/AJ28-1)*100)&gt;100,"NM",IF(((AR28/AJ28-1)*100)&lt;-50,"NM",(AR28/AJ28-1)*100)))</f>
        <v>-6.6754309475103302E-2</v>
      </c>
      <c r="AT28" s="413">
        <f t="shared" si="256"/>
        <v>114911.9</v>
      </c>
      <c r="AU28" s="23">
        <f t="shared" ref="AU28:AU36" si="258">IF(ISERROR((AT28/AL28-1)*100),"NA",IF(((AT28/AL28-1)*100)&gt;100,"NM",IF(((AT28/AL28-1)*100)&lt;-50,"NM",(AT28/AL28-1)*100)))</f>
        <v>1.7069779339070612</v>
      </c>
      <c r="AV28" s="413">
        <f t="shared" ref="AV28:AX28" si="259">AT35</f>
        <v>119568.29999999999</v>
      </c>
      <c r="AW28" s="23">
        <f t="shared" ref="AW28:AW36" si="260">IF(ISERROR((AV28/AN28-1)*100),"NA",IF(((AV28/AN28-1)*100)&gt;100,"NM",IF(((AV28/AN28-1)*100)&lt;-50,"NM",(AV28/AN28-1)*100)))</f>
        <v>11.441329597754169</v>
      </c>
      <c r="AX28" s="413">
        <f t="shared" si="259"/>
        <v>121408.2</v>
      </c>
      <c r="AY28" s="23">
        <f t="shared" ref="AY28:AY36" si="261">IF(ISERROR((AX28/AP28-1)*100),"NA",IF(((AX28/AP28-1)*100)&gt;100,"NM",IF(((AX28/AP28-1)*100)&lt;-50,"NM",(AX28/AP28-1)*100)))</f>
        <v>9.5673644872295895</v>
      </c>
      <c r="AZ28" s="413">
        <f t="shared" ref="AZ28" si="262">AX35</f>
        <v>126442.7</v>
      </c>
      <c r="BA28" s="23">
        <f t="shared" ref="BA28:BA36" si="263">IF(ISERROR((AZ28/AR28-1)*100),"NA",IF(((AZ28/AR28-1)*100)&gt;100,"NM",IF(((AZ28/AR28-1)*100)&lt;-50,"NM",(AZ28/AR28-1)*100)))</f>
        <v>12.466489366433331</v>
      </c>
      <c r="BB28" s="413">
        <f t="shared" ref="BB28:BD28" si="264">AZ35</f>
        <v>129734.79999999999</v>
      </c>
      <c r="BC28" s="23">
        <f t="shared" ref="BC28:BC36" si="265">IF(ISERROR((BB28/AT28-1)*100),"NA",IF(((BB28/AT28-1)*100)&gt;100,"NM",IF(((BB28/AT28-1)*100)&lt;-50,"NM",(BB28/AT28-1)*100)))</f>
        <v>12.899360292537153</v>
      </c>
      <c r="BD28" s="413">
        <f t="shared" si="264"/>
        <v>134584.6</v>
      </c>
      <c r="BE28" s="23">
        <f t="shared" ref="BE28:BE36" si="266">IF(ISERROR((BD28/AV28-1)*100),"NA",IF(((BD28/AV28-1)*100)&gt;100,"NM",IF(((BD28/AV28-1)*100)&lt;-50,"NM",(BD28/AV28-1)*100)))</f>
        <v>12.558763484970537</v>
      </c>
      <c r="BF28" s="36">
        <f t="shared" ref="BF28:BJ28" si="267">BD35</f>
        <v>138190.6</v>
      </c>
      <c r="BG28" s="23">
        <f t="shared" ref="BG28:BG36" si="268">IF(ISERROR((BF28/AX28-1)*100),"NA",IF(((BF28/AX28-1)*100)&gt;100,"NM",IF(((BF28/AX28-1)*100)&lt;-50,"NM",(BF28/AX28-1)*100)))</f>
        <v>13.82311903149871</v>
      </c>
      <c r="BH28" s="36">
        <f t="shared" si="267"/>
        <v>136725.08868699998</v>
      </c>
      <c r="BI28" s="23">
        <f t="shared" ref="BI28:BI36" si="269">IF(ISERROR((BH28/AZ28-1)*100),"NA",IF(((BH28/AZ28-1)*100)&gt;100,"NM",IF(((BH28/AZ28-1)*100)&lt;-50,"NM",(BH28/AZ28-1)*100)))</f>
        <v>8.1320540347524783</v>
      </c>
      <c r="BJ28" s="36">
        <f t="shared" si="267"/>
        <v>138646.07618305236</v>
      </c>
      <c r="BK28" s="23">
        <f t="shared" ref="BK28:BK36" si="270">IF(ISERROR((BJ28/BB28-1)*100),"NA",IF(((BJ28/BB28-1)*100)&gt;100,"NM",IF(((BJ28/BB28-1)*100)&lt;-50,"NM",(BJ28/BB28-1)*100)))</f>
        <v>6.8688402672624216</v>
      </c>
      <c r="BL28" s="36">
        <f t="shared" ref="BL28" si="271">BJ35</f>
        <v>140558.35218880707</v>
      </c>
      <c r="BM28" s="23">
        <f t="shared" ref="BM28:BM36" si="272">IF(ISERROR((BL28/BD28-1)*100),"NA",IF(((BL28/BD28-1)*100)&gt;100,"NM",IF(((BL28/BD28-1)*100)&lt;-50,"NM",(BL28/BD28-1)*100)))</f>
        <v>4.4386595411414653</v>
      </c>
      <c r="BN28" s="36"/>
      <c r="BO28" s="137"/>
      <c r="BP28" s="36"/>
      <c r="BQ28" s="48">
        <v>58273.5</v>
      </c>
      <c r="BR28" s="36"/>
      <c r="BS28" s="56">
        <f>BQ35</f>
        <v>68885.100000000006</v>
      </c>
      <c r="BT28" s="36"/>
      <c r="BU28" s="56">
        <f>BS35</f>
        <v>76537.8</v>
      </c>
      <c r="BV28" s="23">
        <f t="shared" ref="BV28:BV36" si="273">IF(ISERROR((BU28/BS28-1)*100),"NA",IF(((BU28/BS28-1)*100)&gt;100,"NM",IF(((BU28/BS28-1)*100)&lt;-50,"NM",(BU28/BS28-1)*100)))</f>
        <v>11.109369079815522</v>
      </c>
      <c r="BW28" s="56">
        <f>BU35</f>
        <v>79477.7</v>
      </c>
      <c r="BX28" s="23">
        <f t="shared" ref="BX28:BX36" si="274">IF(ISERROR((BW28/BU28-1)*100),"NA",IF(((BW28/BU28-1)*100)&gt;100,"NM",IF(((BW28/BU28-1)*100)&lt;-50,"NM",(BW28/BU28-1)*100)))</f>
        <v>3.8411085764158193</v>
      </c>
      <c r="BY28" s="56">
        <f>BW35</f>
        <v>90470.999999999985</v>
      </c>
      <c r="BZ28" s="23">
        <f>IF(ISERROR((BY28/BW28-1)*100),"NA",IF(((BY28/BW28-1)*100)&gt;100,"NM",IF(((BY28/BW28-1)*100)&lt;-50,"NM",(BY28/BW28-1)*100)))</f>
        <v>13.831930214387157</v>
      </c>
      <c r="CA28" s="56">
        <f>BY35</f>
        <v>105236.69999999998</v>
      </c>
      <c r="CB28" s="23">
        <f>IF(ISERROR((CA28/BY28-1)*100),"NA",IF(((CA28/BY28-1)*100)&gt;100,"NM",IF(((CA28/BY28-1)*100)&lt;-50,"NM",(CA28/BY28-1)*100)))</f>
        <v>16.320920515966453</v>
      </c>
      <c r="CC28" s="56">
        <f>CA35</f>
        <v>109693.09999999998</v>
      </c>
      <c r="CD28" s="23">
        <f>IF(ISERROR((CC28/CA28-1)*100),"NA",IF(((CC28/CA28-1)*100)&gt;100,"NM",IF(((CC28/CA28-1)*100)&lt;-50,"NM",(CC28/CA28-1)*100)))</f>
        <v>4.2346443778643605</v>
      </c>
      <c r="CE28" s="56">
        <f>CC35</f>
        <v>110806.89999999998</v>
      </c>
      <c r="CF28" s="23">
        <f>IF(ISERROR((CE28/CC28-1)*100),"NA",IF(((CE28/CC28-1)*100)&gt;100,"NM",IF(((CE28/CC28-1)*100)&lt;-50,"NM",(CE28/CC28-1)*100)))</f>
        <v>1.0153783601703381</v>
      </c>
      <c r="CG28" s="56">
        <f>CE35</f>
        <v>121408.19999999998</v>
      </c>
      <c r="CH28" s="23">
        <f>IF(ISERROR((CG28/CE28-1)*100),"NA",IF(((CG28/CE28-1)*100)&gt;100,"NM",IF(((CG28/CE28-1)*100)&lt;-50,"NM",(CG28/CE28-1)*100)))</f>
        <v>9.5673644872295895</v>
      </c>
      <c r="CI28" s="56">
        <f>CG35</f>
        <v>138190.59999999998</v>
      </c>
      <c r="CJ28" s="23">
        <f t="shared" ref="CJ28:CJ36" si="275">IF(ISERROR((CI28/CG28-1)*100),"NA",IF(((CI28/CG28-1)*100)&gt;100,"NM",IF(((CI28/CG28-1)*100)&lt;-50,"NM",(CI28/CG28-1)*100)))</f>
        <v>13.823119031498688</v>
      </c>
      <c r="CK28" s="56">
        <f>CI35</f>
        <v>142476.97369618429</v>
      </c>
      <c r="CL28" s="23">
        <f>IF(ISERROR((CK28/CI28-1)*100),"NA",IF(((CK28/CI28-1)*100)&gt;100,"NM",IF(((CK28/CI28-1)*100)&lt;-50,"NM",(CK28/CI28-1)*100)))</f>
        <v>3.1017838378184281</v>
      </c>
      <c r="CM28" s="56">
        <f>CK35</f>
        <v>149966.68035149437</v>
      </c>
      <c r="CN28" s="23">
        <f>IF(ISERROR((CM28/CK28-1)*100),"NA",IF(((CM28/CK28-1)*100)&gt;100,"NM",IF(((CM28/CK28-1)*100)&lt;-50,"NM",(CM28/CK28-1)*100)))</f>
        <v>5.256783928665576</v>
      </c>
      <c r="CO28" s="56">
        <f>CM35</f>
        <v>157700.1380222135</v>
      </c>
      <c r="CP28" s="23">
        <f>IF(ISERROR((CO28/CM28-1)*100),"NA",IF(((CO28/CM28-1)*100)&gt;100,"NM",IF(((CO28/CM28-1)*100)&lt;-50,"NM",(CO28/CM28-1)*100)))</f>
        <v>5.1567839286655648</v>
      </c>
      <c r="CQ28" s="56">
        <f>CO35</f>
        <v>165832.39339522642</v>
      </c>
      <c r="CR28" s="23">
        <f>IF(ISERROR((CQ28/CO28-1)*100),"NA",IF(((CQ28/CO28-1)*100)&gt;100,"NM",IF(((CQ28/CO28-1)*100)&lt;-50,"NM",(CQ28/CO28-1)*100)))</f>
        <v>5.1567839286655648</v>
      </c>
      <c r="CS28" s="23">
        <f t="shared" ref="CS28:CS33" si="276">IF(ISERROR(((CQ28/CG28)^0.2-1)*100),"NA",IF((((CQ28/CG28)^0.2-1)*100)&gt;100,"NM",IF((((CQ28/CG28)^0.2-1)*100)&lt;-50,"NM",((CQ28/CG28)^0.2-1)*100)))</f>
        <v>6.4349522599569609</v>
      </c>
    </row>
    <row r="29" spans="1:105" ht="12.75" customHeight="1" x14ac:dyDescent="0.2">
      <c r="A29" s="12" t="s">
        <v>120</v>
      </c>
      <c r="B29" s="49">
        <v>1006.5</v>
      </c>
      <c r="C29" s="59"/>
      <c r="D29" s="49">
        <v>1087.8</v>
      </c>
      <c r="E29" s="59"/>
      <c r="F29" s="49">
        <v>1025.9000000000001</v>
      </c>
      <c r="G29" s="59"/>
      <c r="H29" s="49">
        <v>1351.7</v>
      </c>
      <c r="I29" s="59"/>
      <c r="J29" s="49">
        <v>1200.0999999999999</v>
      </c>
      <c r="K29" s="23">
        <f t="shared" si="238"/>
        <v>19.234972677595618</v>
      </c>
      <c r="L29" s="49">
        <v>1248.0999999999999</v>
      </c>
      <c r="M29" s="23">
        <f t="shared" si="239"/>
        <v>14.736164736164724</v>
      </c>
      <c r="N29" s="49">
        <v>1312.7</v>
      </c>
      <c r="O29" s="23">
        <f t="shared" si="240"/>
        <v>27.955941124865969</v>
      </c>
      <c r="P29" s="48">
        <v>3151.7</v>
      </c>
      <c r="Q29" s="23" t="str">
        <f t="shared" si="241"/>
        <v>NM</v>
      </c>
      <c r="R29" s="48">
        <v>2601.3000000000002</v>
      </c>
      <c r="S29" s="23" t="str">
        <f t="shared" si="242"/>
        <v>NM</v>
      </c>
      <c r="T29" s="48">
        <v>1681.8</v>
      </c>
      <c r="U29" s="23">
        <f t="shared" si="243"/>
        <v>34.748818203669572</v>
      </c>
      <c r="V29" s="48">
        <v>1640.4</v>
      </c>
      <c r="W29" s="23">
        <f t="shared" si="244"/>
        <v>24.963815037708549</v>
      </c>
      <c r="X29" s="48">
        <v>2015.1</v>
      </c>
      <c r="Y29" s="23">
        <f t="shared" si="245"/>
        <v>-36.063077069518037</v>
      </c>
      <c r="Z29" s="48">
        <v>1587.1</v>
      </c>
      <c r="AA29" s="23">
        <f t="shared" si="246"/>
        <v>-38.988198208588024</v>
      </c>
      <c r="AB29" s="48">
        <v>1444.1</v>
      </c>
      <c r="AC29" s="23">
        <f t="shared" si="247"/>
        <v>-14.133666309906056</v>
      </c>
      <c r="AD29" s="48">
        <v>1494.6</v>
      </c>
      <c r="AE29" s="23">
        <f t="shared" si="248"/>
        <v>-8.8880760790051365</v>
      </c>
      <c r="AF29" s="48">
        <v>2653</v>
      </c>
      <c r="AG29" s="23">
        <f t="shared" si="249"/>
        <v>31.655997220981604</v>
      </c>
      <c r="AH29" s="48">
        <v>2207.4</v>
      </c>
      <c r="AI29" s="23">
        <f t="shared" si="250"/>
        <v>39.083863650683661</v>
      </c>
      <c r="AJ29" s="48">
        <v>1637.9</v>
      </c>
      <c r="AK29" s="23">
        <f t="shared" si="251"/>
        <v>13.420123260162043</v>
      </c>
      <c r="AL29" s="48">
        <v>2114.1</v>
      </c>
      <c r="AM29" s="23">
        <f t="shared" si="252"/>
        <v>41.449217181854678</v>
      </c>
      <c r="AN29" s="287">
        <v>2333.1</v>
      </c>
      <c r="AO29" s="23">
        <f t="shared" si="254"/>
        <v>-12.0580474934037</v>
      </c>
      <c r="AP29" s="287">
        <v>1926.1</v>
      </c>
      <c r="AQ29" s="23">
        <f t="shared" si="255"/>
        <v>-12.743499139258862</v>
      </c>
      <c r="AR29" s="287">
        <v>1702.6</v>
      </c>
      <c r="AS29" s="23">
        <f t="shared" si="257"/>
        <v>3.9501801086757382</v>
      </c>
      <c r="AT29" s="287">
        <v>2612.6999999999998</v>
      </c>
      <c r="AU29" s="23">
        <f t="shared" si="258"/>
        <v>23.584504044274148</v>
      </c>
      <c r="AV29" s="287">
        <v>2577.6</v>
      </c>
      <c r="AW29" s="23">
        <f t="shared" si="260"/>
        <v>10.479619390510475</v>
      </c>
      <c r="AX29" s="287">
        <v>2490.8000000000002</v>
      </c>
      <c r="AY29" s="23">
        <f t="shared" si="261"/>
        <v>29.31831161414258</v>
      </c>
      <c r="AZ29" s="287">
        <v>1909.3</v>
      </c>
      <c r="BA29" s="23">
        <f t="shared" si="263"/>
        <v>12.140256078938094</v>
      </c>
      <c r="BB29" s="287">
        <v>2565.1999999999998</v>
      </c>
      <c r="BC29" s="23">
        <f t="shared" si="265"/>
        <v>-1.8180426378841763</v>
      </c>
      <c r="BD29" s="287">
        <v>2186</v>
      </c>
      <c r="BE29" s="23">
        <f t="shared" si="266"/>
        <v>-15.192427063935444</v>
      </c>
      <c r="BF29" s="36">
        <f t="shared" ref="BF29" si="277">BF$28*BF43/400</f>
        <v>2625.6214</v>
      </c>
      <c r="BG29" s="23">
        <f t="shared" si="268"/>
        <v>5.412775012044313</v>
      </c>
      <c r="BH29" s="36">
        <f t="shared" ref="BH29" si="278">BH$28*BH43/400</f>
        <v>2563.59541288125</v>
      </c>
      <c r="BI29" s="23">
        <f t="shared" si="269"/>
        <v>34.268863608717858</v>
      </c>
      <c r="BJ29" s="36">
        <f t="shared" ref="BJ29" si="279">BJ$28*BJ43/400</f>
        <v>2601.34700438452</v>
      </c>
      <c r="BK29" s="23">
        <f t="shared" si="270"/>
        <v>1.4091300633291892</v>
      </c>
      <c r="BL29" s="36">
        <f t="shared" ref="BL29" si="280">BL$28*BL43/400</f>
        <v>2646.0109799542929</v>
      </c>
      <c r="BM29" s="23">
        <f t="shared" si="272"/>
        <v>21.043503200104887</v>
      </c>
      <c r="BN29" s="36"/>
      <c r="BO29" s="137"/>
      <c r="BP29" s="36"/>
      <c r="BQ29" s="112"/>
      <c r="BR29" s="112"/>
      <c r="BS29" s="112"/>
      <c r="BT29" s="36"/>
      <c r="BU29" s="56">
        <f>B29+D29+F29+H29</f>
        <v>4471.9000000000005</v>
      </c>
      <c r="BV29" s="23" t="str">
        <f t="shared" si="273"/>
        <v>NA</v>
      </c>
      <c r="BW29" s="56">
        <f>J29+L29+N29+P29</f>
        <v>6912.5999999999995</v>
      </c>
      <c r="BX29" s="23">
        <f t="shared" si="274"/>
        <v>54.578590755607202</v>
      </c>
      <c r="BY29" s="56">
        <f>R29+T29+V29+X29</f>
        <v>7938.6</v>
      </c>
      <c r="BZ29" s="23">
        <f>IF(ISERROR((BY29/BW29-1)*100),"NA",IF(((BY29/BW29-1)*100)&gt;100,"NM",IF(((BY29/BW29-1)*100)&lt;-50,"NM",(BY29/BW29-1)*100)))</f>
        <v>14.842461591875722</v>
      </c>
      <c r="CA29" s="56">
        <f>Z29+AB29+AD29+AF29</f>
        <v>7178.7999999999993</v>
      </c>
      <c r="CB29" s="23">
        <f>IF(ISERROR((CA29/BY29-1)*100),"NA",IF(((CA29/BY29-1)*100)&gt;100,"NM",IF(((CA29/BY29-1)*100)&lt;-50,"NM",(CA29/BY29-1)*100)))</f>
        <v>-9.5709570957095877</v>
      </c>
      <c r="CC29" s="56">
        <f>AH29+AJ29+AL29+AN29</f>
        <v>8292.5</v>
      </c>
      <c r="CD29" s="23">
        <f>IF(ISERROR((CC29/CA29-1)*100),"NA",IF(((CC29/CA29-1)*100)&gt;100,"NM",IF(((CC29/CA29-1)*100)&lt;-50,"NM",(CC29/CA29-1)*100)))</f>
        <v>15.513734886053388</v>
      </c>
      <c r="CE29" s="56">
        <f>AP29+AR29+AT29+AV29</f>
        <v>8819</v>
      </c>
      <c r="CF29" s="23">
        <f>IF(ISERROR((CE29/CC29-1)*100),"NA",IF(((CE29/CC29-1)*100)&gt;100,"NM",IF(((CE29/CC29-1)*100)&lt;-50,"NM",(CE29/CC29-1)*100)))</f>
        <v>6.349110642146516</v>
      </c>
      <c r="CG29" s="56">
        <f>AX29+AZ29+BB29+BD29</f>
        <v>9151.2999999999993</v>
      </c>
      <c r="CH29" s="23">
        <f>IF(ISERROR((CG29/CE29-1)*100),"NA",IF(((CG29/CE29-1)*100)&gt;100,"NM",IF(((CG29/CE29-1)*100)&lt;-50,"NM",(CG29/CE29-1)*100)))</f>
        <v>3.7680009071323184</v>
      </c>
      <c r="CI29" s="56">
        <f>BF29+BH29+BJ29+BL29</f>
        <v>10436.574797220062</v>
      </c>
      <c r="CJ29" s="23">
        <f t="shared" si="275"/>
        <v>14.044723670080362</v>
      </c>
      <c r="CK29" s="56">
        <f>CK$28*CK43/100</f>
        <v>10617.817813805885</v>
      </c>
      <c r="CL29" s="23">
        <f>IF(ISERROR((CK29/CI29-1)*100),"NA",IF(((CK29/CI29-1)*100)&gt;100,"NM",IF(((CK29/CI29-1)*100)&lt;-50,"NM",(CK29/CI29-1)*100)))</f>
        <v>1.7366139763986377</v>
      </c>
      <c r="CM29" s="56">
        <f>CM$28*CM43/100</f>
        <v>11026.006873865528</v>
      </c>
      <c r="CN29" s="23">
        <f>IF(ISERROR((CM29/CK29-1)*100),"NA",IF(((CM29/CK29-1)*100)&gt;100,"NM",IF(((CM29/CK29-1)*100)&lt;-50,"NM",(CM29/CK29-1)*100)))</f>
        <v>3.8443780748327772</v>
      </c>
      <c r="CO29" s="56">
        <f>CO$28*CO43/100</f>
        <v>11594.594224310586</v>
      </c>
      <c r="CP29" s="23">
        <f>IF(ISERROR((CO29/CM29-1)*100),"NA",IF(((CO29/CM29-1)*100)&gt;100,"NM",IF(((CO29/CM29-1)*100)&lt;-50,"NM",(CO29/CM29-1)*100)))</f>
        <v>5.1567839286655648</v>
      </c>
      <c r="CQ29" s="56">
        <f>CQ$28*CQ43/100</f>
        <v>12192.502395863819</v>
      </c>
      <c r="CR29" s="23">
        <f>IF(ISERROR((CQ29/CO29-1)*100),"NA",IF(((CQ29/CO29-1)*100)&gt;100,"NM",IF(((CQ29/CO29-1)*100)&lt;-50,"NM",(CQ29/CO29-1)*100)))</f>
        <v>5.1567839286655648</v>
      </c>
      <c r="CS29" s="23">
        <f t="shared" si="276"/>
        <v>5.9063526297872926</v>
      </c>
    </row>
    <row r="30" spans="1:105" ht="12.75" customHeight="1" x14ac:dyDescent="0.2">
      <c r="A30" s="12" t="s">
        <v>121</v>
      </c>
      <c r="B30" s="49">
        <v>1960.7</v>
      </c>
      <c r="C30" s="59"/>
      <c r="D30" s="49">
        <v>1657.6</v>
      </c>
      <c r="E30" s="59"/>
      <c r="F30" s="49">
        <v>1943.9</v>
      </c>
      <c r="G30" s="59"/>
      <c r="H30" s="49">
        <v>1893.4</v>
      </c>
      <c r="I30" s="59"/>
      <c r="J30" s="49">
        <v>1942</v>
      </c>
      <c r="K30" s="23">
        <f t="shared" si="238"/>
        <v>-0.95374101086347363</v>
      </c>
      <c r="L30" s="49">
        <v>1704.4</v>
      </c>
      <c r="M30" s="23">
        <f t="shared" si="239"/>
        <v>2.8233590733590885</v>
      </c>
      <c r="N30" s="49">
        <v>1568.5</v>
      </c>
      <c r="O30" s="23">
        <f t="shared" si="240"/>
        <v>-19.311692988322449</v>
      </c>
      <c r="P30" s="48">
        <v>1583.4</v>
      </c>
      <c r="Q30" s="23">
        <f t="shared" si="241"/>
        <v>-16.372662934403714</v>
      </c>
      <c r="R30" s="48">
        <v>1843</v>
      </c>
      <c r="S30" s="23">
        <f t="shared" si="242"/>
        <v>-5.09783728115345</v>
      </c>
      <c r="T30" s="48">
        <v>1774.4</v>
      </c>
      <c r="U30" s="23">
        <f t="shared" si="243"/>
        <v>4.1070171321285986</v>
      </c>
      <c r="V30" s="48">
        <v>1638.1</v>
      </c>
      <c r="W30" s="23">
        <f t="shared" si="244"/>
        <v>4.4373605355435108</v>
      </c>
      <c r="X30" s="48">
        <v>1661.9</v>
      </c>
      <c r="Y30" s="23">
        <f t="shared" si="245"/>
        <v>4.9576859921687477</v>
      </c>
      <c r="Z30" s="48">
        <v>1936</v>
      </c>
      <c r="AA30" s="23">
        <f t="shared" si="246"/>
        <v>5.0461204557786132</v>
      </c>
      <c r="AB30" s="48">
        <v>1753.9</v>
      </c>
      <c r="AC30" s="23">
        <f t="shared" si="247"/>
        <v>-1.1553201082055931</v>
      </c>
      <c r="AD30" s="48">
        <v>1671.3</v>
      </c>
      <c r="AE30" s="23">
        <f t="shared" si="248"/>
        <v>2.0267382943654155</v>
      </c>
      <c r="AF30" s="48">
        <v>1711.1</v>
      </c>
      <c r="AG30" s="23">
        <f t="shared" si="249"/>
        <v>2.9604669354353241</v>
      </c>
      <c r="AH30" s="48">
        <v>2060.8000000000002</v>
      </c>
      <c r="AI30" s="23">
        <f t="shared" si="250"/>
        <v>6.4462809917355424</v>
      </c>
      <c r="AJ30" s="48">
        <v>1911.7</v>
      </c>
      <c r="AK30" s="23">
        <f t="shared" si="251"/>
        <v>8.9970921945378812</v>
      </c>
      <c r="AL30" s="48">
        <v>1820.3</v>
      </c>
      <c r="AM30" s="23">
        <f t="shared" si="252"/>
        <v>8.9152157003530306</v>
      </c>
      <c r="AN30" s="287">
        <v>1836.6</v>
      </c>
      <c r="AO30" s="23">
        <f t="shared" si="254"/>
        <v>7.3344632108000685</v>
      </c>
      <c r="AP30" s="287">
        <v>2256.5</v>
      </c>
      <c r="AQ30" s="23">
        <f t="shared" si="255"/>
        <v>9.4963121118012417</v>
      </c>
      <c r="AR30" s="287">
        <v>2031.8</v>
      </c>
      <c r="AS30" s="23">
        <f t="shared" si="257"/>
        <v>6.2823664800962353</v>
      </c>
      <c r="AT30" s="287">
        <v>1996.7</v>
      </c>
      <c r="AU30" s="23">
        <f t="shared" si="258"/>
        <v>9.6907103224743274</v>
      </c>
      <c r="AV30" s="287">
        <v>1967.5</v>
      </c>
      <c r="AW30" s="23">
        <f t="shared" si="260"/>
        <v>7.1273004464771805</v>
      </c>
      <c r="AX30" s="287">
        <v>2504.9</v>
      </c>
      <c r="AY30" s="23">
        <f t="shared" si="261"/>
        <v>11.008198537558167</v>
      </c>
      <c r="AZ30" s="287">
        <v>2170.5</v>
      </c>
      <c r="BA30" s="23">
        <f t="shared" si="263"/>
        <v>6.8264592971749138</v>
      </c>
      <c r="BB30" s="287">
        <v>2125.5</v>
      </c>
      <c r="BC30" s="23">
        <f t="shared" si="265"/>
        <v>6.4506435618771008</v>
      </c>
      <c r="BD30" s="287">
        <v>2062</v>
      </c>
      <c r="BE30" s="23">
        <f t="shared" si="266"/>
        <v>4.8030495552731978</v>
      </c>
      <c r="BF30" s="36">
        <f t="shared" ref="BF30" si="281">BF$28*BF44/400</f>
        <v>2418.3355000000001</v>
      </c>
      <c r="BG30" s="23">
        <f t="shared" si="268"/>
        <v>-3.4558066190267023</v>
      </c>
      <c r="BH30" s="36">
        <f t="shared" ref="BH30" si="282">BH$28*BH44/400</f>
        <v>2392.6890520224997</v>
      </c>
      <c r="BI30" s="23">
        <f t="shared" si="269"/>
        <v>10.236768118981798</v>
      </c>
      <c r="BJ30" s="36">
        <f t="shared" ref="BJ30" si="283">BJ$28*BJ44/400</f>
        <v>2426.3063332034162</v>
      </c>
      <c r="BK30" s="23">
        <f t="shared" si="270"/>
        <v>14.15226220670036</v>
      </c>
      <c r="BL30" s="36">
        <f t="shared" ref="BL30" si="284">BL$28*BL44/400</f>
        <v>2442.2013692805231</v>
      </c>
      <c r="BM30" s="23">
        <f t="shared" si="272"/>
        <v>18.438475716805193</v>
      </c>
      <c r="BN30" s="36"/>
      <c r="BO30" s="137"/>
      <c r="BP30" s="36"/>
      <c r="BQ30" s="112"/>
      <c r="BR30" s="112"/>
      <c r="BS30" s="112"/>
      <c r="BT30" s="36"/>
      <c r="BU30" s="56">
        <f>B30+D30+F30+H30</f>
        <v>7455.6</v>
      </c>
      <c r="BV30" s="23" t="str">
        <f t="shared" si="273"/>
        <v>NA</v>
      </c>
      <c r="BW30" s="56">
        <f>J30+L30+N30+P30</f>
        <v>6798.2999999999993</v>
      </c>
      <c r="BX30" s="23">
        <f t="shared" si="274"/>
        <v>-8.8161918557862702</v>
      </c>
      <c r="BY30" s="56">
        <f>R30+T30+V30+X30</f>
        <v>6917.4</v>
      </c>
      <c r="BZ30" s="23">
        <f>IF(ISERROR((BY30/BW30-1)*100),"NA",IF(((BY30/BW30-1)*100)&gt;100,"NM",IF(((BY30/BW30-1)*100)&lt;-50,"NM",(BY30/BW30-1)*100)))</f>
        <v>1.7519085653766364</v>
      </c>
      <c r="CA30" s="56">
        <f>Z30+AB30+AD30+AF30</f>
        <v>7072.2999999999993</v>
      </c>
      <c r="CB30" s="23">
        <f>IF(ISERROR((CA30/BY30-1)*100),"NA",IF(((CA30/BY30-1)*100)&gt;100,"NM",IF(((CA30/BY30-1)*100)&lt;-50,"NM",(CA30/BY30-1)*100)))</f>
        <v>2.2392806545811883</v>
      </c>
      <c r="CC30" s="56">
        <f>AH30+AJ30+AL30+AN30</f>
        <v>7629.4</v>
      </c>
      <c r="CD30" s="23">
        <f>IF(ISERROR((CC30/CA30-1)*100),"NA",IF(((CC30/CA30-1)*100)&gt;100,"NM",IF(((CC30/CA30-1)*100)&lt;-50,"NM",(CC30/CA30-1)*100)))</f>
        <v>7.8772110911584647</v>
      </c>
      <c r="CE30" s="56">
        <f>AP30+AR30+AT30+AV30</f>
        <v>8252.5</v>
      </c>
      <c r="CF30" s="23">
        <f>IF(ISERROR((CE30/CC30-1)*100),"NA",IF(((CE30/CC30-1)*100)&gt;100,"NM",IF(((CE30/CC30-1)*100)&lt;-50,"NM",(CE30/CC30-1)*100)))</f>
        <v>8.1670904658295527</v>
      </c>
      <c r="CG30" s="56">
        <f>AX30+AZ30+BB30+BD30</f>
        <v>8862.9</v>
      </c>
      <c r="CH30" s="23">
        <f>IF(ISERROR((CG30/CE30-1)*100),"NA",IF(((CG30/CE30-1)*100)&gt;100,"NM",IF(((CG30/CE30-1)*100)&lt;-50,"NM",(CG30/CE30-1)*100)))</f>
        <v>7.3965465010602749</v>
      </c>
      <c r="CI30" s="56">
        <f>BF30+BH30+BJ30+BL30</f>
        <v>9679.5322545064391</v>
      </c>
      <c r="CJ30" s="23">
        <f t="shared" si="275"/>
        <v>9.2140524490453402</v>
      </c>
      <c r="CK30" s="56">
        <f>CK$28*CK44/100</f>
        <v>9837.2934478569587</v>
      </c>
      <c r="CL30" s="23">
        <f>IF(ISERROR((CK30/CI30-1)*100),"NA",IF(((CK30/CI30-1)*100)&gt;100,"NM",IF(((CK30/CI30-1)*100)&lt;-50,"NM",(CK30/CI30-1)*100)))</f>
        <v>1.6298431494669696</v>
      </c>
      <c r="CM30" s="56">
        <f>CM$28*CM44/100</f>
        <v>10354.418708839574</v>
      </c>
      <c r="CN30" s="23">
        <f>IF(ISERROR((CM30/CK30-1)*100),"NA",IF(((CM30/CK30-1)*100)&gt;100,"NM",IF(((CM30/CK30-1)*100)&lt;-50,"NM",(CM30/CK30-1)*100)))</f>
        <v>5.2567839286655538</v>
      </c>
      <c r="CO30" s="56">
        <f>CO$28*CO44/100</f>
        <v>10888.373708723753</v>
      </c>
      <c r="CP30" s="23">
        <f>IF(ISERROR((CO30/CM30-1)*100),"NA",IF(((CO30/CM30-1)*100)&gt;100,"NM",IF(((CO30/CM30-1)*100)&lt;-50,"NM",(CO30/CM30-1)*100)))</f>
        <v>5.1567839286655648</v>
      </c>
      <c r="CQ30" s="56">
        <f>CQ$28*CQ44/100</f>
        <v>11449.863614228268</v>
      </c>
      <c r="CR30" s="23">
        <f>IF(ISERROR((CQ30/CO30-1)*100),"NA",IF(((CQ30/CO30-1)*100)&gt;100,"NM",IF(((CQ30/CO30-1)*100)&lt;-50,"NM",(CQ30/CO30-1)*100)))</f>
        <v>5.156783928665587</v>
      </c>
      <c r="CS30" s="23">
        <f t="shared" si="276"/>
        <v>5.2555228398400322</v>
      </c>
    </row>
    <row r="31" spans="1:105" ht="12.75" customHeight="1" x14ac:dyDescent="0.2">
      <c r="A31" s="4" t="s">
        <v>138</v>
      </c>
      <c r="B31" s="56">
        <f>B29+B30</f>
        <v>2967.2</v>
      </c>
      <c r="C31" s="59"/>
      <c r="D31" s="56">
        <f>D29+D30</f>
        <v>2745.3999999999996</v>
      </c>
      <c r="E31" s="59"/>
      <c r="F31" s="56">
        <f>F29+F30</f>
        <v>2969.8</v>
      </c>
      <c r="G31" s="59"/>
      <c r="H31" s="56">
        <f>H29+H30</f>
        <v>3245.1000000000004</v>
      </c>
      <c r="I31" s="59"/>
      <c r="J31" s="56">
        <f>J29+J30</f>
        <v>3142.1</v>
      </c>
      <c r="K31" s="23">
        <f t="shared" si="238"/>
        <v>5.8944459423025064</v>
      </c>
      <c r="L31" s="56">
        <f>L29+L30</f>
        <v>2952.5</v>
      </c>
      <c r="M31" s="23">
        <f t="shared" si="239"/>
        <v>7.5435273548481341</v>
      </c>
      <c r="N31" s="56">
        <f>N29+N30</f>
        <v>2881.2</v>
      </c>
      <c r="O31" s="23">
        <f t="shared" si="240"/>
        <v>-2.9833658832244758</v>
      </c>
      <c r="P31" s="56">
        <f>P29+P30</f>
        <v>4735.1000000000004</v>
      </c>
      <c r="Q31" s="23">
        <f t="shared" si="241"/>
        <v>45.915380111552807</v>
      </c>
      <c r="R31" s="56">
        <f>R29+R30</f>
        <v>4444.3</v>
      </c>
      <c r="S31" s="23">
        <f t="shared" si="242"/>
        <v>41.443620508577084</v>
      </c>
      <c r="T31" s="56">
        <f>T29+T30</f>
        <v>3456.2</v>
      </c>
      <c r="U31" s="23">
        <f t="shared" si="243"/>
        <v>17.060118543607118</v>
      </c>
      <c r="V31" s="56">
        <f>V29+V30</f>
        <v>3278.5</v>
      </c>
      <c r="W31" s="23">
        <f t="shared" si="244"/>
        <v>13.789393308343744</v>
      </c>
      <c r="X31" s="56">
        <f>X29+X30</f>
        <v>3677</v>
      </c>
      <c r="Y31" s="23">
        <f t="shared" si="245"/>
        <v>-22.345884986589514</v>
      </c>
      <c r="Z31" s="56">
        <f>Z29+Z30</f>
        <v>3523.1</v>
      </c>
      <c r="AA31" s="23">
        <f t="shared" si="246"/>
        <v>-20.727673649393608</v>
      </c>
      <c r="AB31" s="56">
        <f>AB29+AB30</f>
        <v>3198</v>
      </c>
      <c r="AC31" s="23">
        <f t="shared" si="247"/>
        <v>-7.4706324865459139</v>
      </c>
      <c r="AD31" s="56">
        <f>AD29+AD30</f>
        <v>3165.8999999999996</v>
      </c>
      <c r="AE31" s="23">
        <f t="shared" si="248"/>
        <v>-3.4344974836053144</v>
      </c>
      <c r="AF31" s="56">
        <f>AF29+AF30</f>
        <v>4364.1000000000004</v>
      </c>
      <c r="AG31" s="23">
        <f t="shared" si="249"/>
        <v>18.6864291542018</v>
      </c>
      <c r="AH31" s="56">
        <f>AH29+AH30</f>
        <v>4268.2000000000007</v>
      </c>
      <c r="AI31" s="23">
        <f t="shared" si="250"/>
        <v>21.148988107064824</v>
      </c>
      <c r="AJ31" s="56">
        <f>AJ29+AJ30</f>
        <v>3549.6000000000004</v>
      </c>
      <c r="AK31" s="23">
        <f t="shared" si="251"/>
        <v>10.994371482176369</v>
      </c>
      <c r="AL31" s="56">
        <f>AL29+AL30</f>
        <v>3934.3999999999996</v>
      </c>
      <c r="AM31" s="23">
        <f t="shared" si="252"/>
        <v>24.274297987933924</v>
      </c>
      <c r="AN31" s="413">
        <f t="shared" ref="AN31:AP31" si="285">AN29+AN30</f>
        <v>4169.7</v>
      </c>
      <c r="AO31" s="23">
        <f t="shared" si="254"/>
        <v>-4.4545267065374432</v>
      </c>
      <c r="AP31" s="413">
        <f t="shared" si="285"/>
        <v>4182.6000000000004</v>
      </c>
      <c r="AQ31" s="23">
        <f t="shared" si="255"/>
        <v>-2.0055292629211463</v>
      </c>
      <c r="AR31" s="413">
        <f t="shared" ref="AR31:AT31" si="286">AR29+AR30</f>
        <v>3734.3999999999996</v>
      </c>
      <c r="AS31" s="23">
        <f t="shared" si="257"/>
        <v>5.2062204192021344</v>
      </c>
      <c r="AT31" s="413">
        <f t="shared" si="286"/>
        <v>4609.3999999999996</v>
      </c>
      <c r="AU31" s="23">
        <f t="shared" si="258"/>
        <v>17.156364375762511</v>
      </c>
      <c r="AV31" s="413">
        <f t="shared" ref="AV31:AX31" si="287">AV29+AV30</f>
        <v>4545.1000000000004</v>
      </c>
      <c r="AW31" s="23">
        <f t="shared" si="260"/>
        <v>9.0030457826702381</v>
      </c>
      <c r="AX31" s="413">
        <f t="shared" si="287"/>
        <v>4995.7000000000007</v>
      </c>
      <c r="AY31" s="23">
        <f t="shared" si="261"/>
        <v>19.440061205948457</v>
      </c>
      <c r="AZ31" s="413">
        <f t="shared" ref="AZ31" si="288">AZ29+AZ30</f>
        <v>4079.8</v>
      </c>
      <c r="BA31" s="23">
        <f t="shared" si="263"/>
        <v>9.2491431019708905</v>
      </c>
      <c r="BB31" s="413">
        <f t="shared" ref="BB31:BD31" si="289">BB29+BB30</f>
        <v>4690.7</v>
      </c>
      <c r="BC31" s="23">
        <f t="shared" si="265"/>
        <v>1.7637870438668823</v>
      </c>
      <c r="BD31" s="413">
        <f t="shared" si="289"/>
        <v>4248</v>
      </c>
      <c r="BE31" s="23">
        <f t="shared" si="266"/>
        <v>-6.5367098633693494</v>
      </c>
      <c r="BF31" s="56">
        <f t="shared" ref="BF31" si="290">BF29+BF30</f>
        <v>5043.9569000000001</v>
      </c>
      <c r="BG31" s="23">
        <f t="shared" si="268"/>
        <v>0.96596873311045606</v>
      </c>
      <c r="BH31" s="56">
        <f t="shared" ref="BH31" si="291">BH29+BH30</f>
        <v>4956.2844649037497</v>
      </c>
      <c r="BI31" s="23">
        <f t="shared" si="269"/>
        <v>21.48351548859624</v>
      </c>
      <c r="BJ31" s="56">
        <f t="shared" ref="BJ31" si="292">BJ29+BJ30</f>
        <v>5027.6533375879362</v>
      </c>
      <c r="BK31" s="23">
        <f t="shared" si="270"/>
        <v>7.1834339776139178</v>
      </c>
      <c r="BL31" s="56">
        <f t="shared" ref="BL31" si="293">BL29+BL30</f>
        <v>5088.2123492348164</v>
      </c>
      <c r="BM31" s="23">
        <f t="shared" si="272"/>
        <v>19.779010104397756</v>
      </c>
      <c r="BN31" s="36"/>
      <c r="BO31" s="137"/>
      <c r="BP31" s="36"/>
      <c r="BQ31" s="48">
        <v>9597.6</v>
      </c>
      <c r="BR31" s="36"/>
      <c r="BS31" s="48">
        <v>11210.9</v>
      </c>
      <c r="BT31" s="36"/>
      <c r="BU31" s="56">
        <f>BU29+BU30</f>
        <v>11927.5</v>
      </c>
      <c r="BV31" s="23"/>
      <c r="BW31" s="56">
        <f>BW29+BW30</f>
        <v>13710.899999999998</v>
      </c>
      <c r="BX31" s="23"/>
      <c r="BY31" s="56">
        <f>BY29+BY30</f>
        <v>14856</v>
      </c>
      <c r="BZ31" s="23"/>
      <c r="CA31" s="56">
        <f>CA29+CA30</f>
        <v>14251.099999999999</v>
      </c>
      <c r="CB31" s="23"/>
      <c r="CC31" s="56">
        <f>CC29+CC30</f>
        <v>15921.9</v>
      </c>
      <c r="CD31" s="23"/>
      <c r="CE31" s="56">
        <f>CE29+CE30</f>
        <v>17071.5</v>
      </c>
      <c r="CF31" s="23"/>
      <c r="CG31" s="56">
        <f>CG29+CG30</f>
        <v>18014.199999999997</v>
      </c>
      <c r="CH31" s="23"/>
      <c r="CI31" s="56">
        <f>CI29+CI30</f>
        <v>20116.107051726503</v>
      </c>
      <c r="CJ31" s="23">
        <f t="shared" si="275"/>
        <v>11.668056598275278</v>
      </c>
      <c r="CK31" s="56">
        <f>CK29+CK30</f>
        <v>20455.111261662845</v>
      </c>
      <c r="CL31" s="23"/>
      <c r="CM31" s="56">
        <f>CM29+CM30</f>
        <v>21380.425582705102</v>
      </c>
      <c r="CN31" s="23"/>
      <c r="CO31" s="56">
        <f>CO29+CO30</f>
        <v>22482.967933034339</v>
      </c>
      <c r="CP31" s="23"/>
      <c r="CQ31" s="56">
        <f>CQ29+CQ30</f>
        <v>23642.36601009209</v>
      </c>
      <c r="CR31" s="23"/>
      <c r="CS31" s="23">
        <f t="shared" si="276"/>
        <v>5.5881525635053997</v>
      </c>
    </row>
    <row r="32" spans="1:105" ht="12.75" customHeight="1" x14ac:dyDescent="0.2">
      <c r="A32" s="4" t="s">
        <v>96</v>
      </c>
      <c r="B32" s="49">
        <v>-2674.5</v>
      </c>
      <c r="C32" s="59"/>
      <c r="D32" s="49">
        <v>-2321.1</v>
      </c>
      <c r="E32" s="59"/>
      <c r="F32" s="49">
        <v>-1969.3</v>
      </c>
      <c r="G32" s="59"/>
      <c r="H32" s="49">
        <v>-1961.5</v>
      </c>
      <c r="I32" s="59"/>
      <c r="J32" s="49">
        <v>-2522.5</v>
      </c>
      <c r="K32" s="23">
        <f t="shared" si="238"/>
        <v>-5.6833052907085406</v>
      </c>
      <c r="L32" s="49">
        <v>-2395.8000000000002</v>
      </c>
      <c r="M32" s="23">
        <f t="shared" si="239"/>
        <v>3.2183016673129172</v>
      </c>
      <c r="N32" s="49">
        <v>-2373.3000000000002</v>
      </c>
      <c r="O32" s="23">
        <f t="shared" si="240"/>
        <v>20.514903772914252</v>
      </c>
      <c r="P32" s="48">
        <v>-2953.9</v>
      </c>
      <c r="Q32" s="23">
        <f t="shared" si="241"/>
        <v>50.593933214376754</v>
      </c>
      <c r="R32" s="48">
        <v>-3024.9</v>
      </c>
      <c r="S32" s="23">
        <f t="shared" si="242"/>
        <v>19.916749256689805</v>
      </c>
      <c r="T32" s="48">
        <v>-3014.6</v>
      </c>
      <c r="U32" s="23">
        <f t="shared" si="243"/>
        <v>25.82853326654979</v>
      </c>
      <c r="V32" s="48">
        <v>-3044.2</v>
      </c>
      <c r="W32" s="23">
        <f t="shared" si="244"/>
        <v>28.268655458644055</v>
      </c>
      <c r="X32" s="48">
        <v>-3313.8</v>
      </c>
      <c r="Y32" s="23">
        <f t="shared" si="245"/>
        <v>12.183892481126657</v>
      </c>
      <c r="Z32" s="48">
        <v>-3478.7</v>
      </c>
      <c r="AA32" s="23">
        <f t="shared" si="246"/>
        <v>15.002148831366323</v>
      </c>
      <c r="AB32" s="48">
        <v>-3220.4</v>
      </c>
      <c r="AC32" s="23">
        <f t="shared" si="247"/>
        <v>6.826776355071984</v>
      </c>
      <c r="AD32" s="48">
        <v>-3232.3</v>
      </c>
      <c r="AE32" s="23">
        <f t="shared" si="248"/>
        <v>6.1789632744235101</v>
      </c>
      <c r="AF32" s="48">
        <v>-4566.3999999999996</v>
      </c>
      <c r="AG32" s="23">
        <f t="shared" si="249"/>
        <v>37.799505099885302</v>
      </c>
      <c r="AH32" s="48">
        <v>-3607.6</v>
      </c>
      <c r="AI32" s="23">
        <f t="shared" si="250"/>
        <v>3.7054071923419807</v>
      </c>
      <c r="AJ32" s="48">
        <v>-3074.3</v>
      </c>
      <c r="AK32" s="23">
        <f t="shared" si="251"/>
        <v>-4.5367035150912898</v>
      </c>
      <c r="AL32" s="48">
        <v>-5063.3999999999996</v>
      </c>
      <c r="AM32" s="23">
        <f t="shared" si="252"/>
        <v>56.650063422330831</v>
      </c>
      <c r="AN32" s="287">
        <v>-3612.9</v>
      </c>
      <c r="AO32" s="23">
        <f t="shared" si="254"/>
        <v>-20.880781359495437</v>
      </c>
      <c r="AP32" s="287">
        <v>-3100.3</v>
      </c>
      <c r="AQ32" s="23">
        <f t="shared" si="255"/>
        <v>-14.061980263887342</v>
      </c>
      <c r="AR32" s="287">
        <v>-3041.9</v>
      </c>
      <c r="AS32" s="23">
        <f t="shared" si="257"/>
        <v>-1.0538984484272818</v>
      </c>
      <c r="AT32" s="287">
        <v>-3252.6</v>
      </c>
      <c r="AU32" s="23">
        <f t="shared" si="258"/>
        <v>-35.762531105581232</v>
      </c>
      <c r="AV32" s="287">
        <v>-3742</v>
      </c>
      <c r="AW32" s="23">
        <f t="shared" si="260"/>
        <v>3.5733067618810344</v>
      </c>
      <c r="AX32" s="287">
        <v>-4385.5</v>
      </c>
      <c r="AY32" s="23">
        <f t="shared" si="261"/>
        <v>41.454052833596734</v>
      </c>
      <c r="AZ32" s="287">
        <v>-3799.6</v>
      </c>
      <c r="BA32" s="23">
        <f t="shared" si="263"/>
        <v>24.908774121437261</v>
      </c>
      <c r="BB32" s="287">
        <v>-3600.2</v>
      </c>
      <c r="BC32" s="23">
        <f t="shared" si="265"/>
        <v>10.686835147266805</v>
      </c>
      <c r="BD32" s="287">
        <v>-4724</v>
      </c>
      <c r="BE32" s="23">
        <f t="shared" si="266"/>
        <v>26.242650988776049</v>
      </c>
      <c r="BF32" s="36">
        <f t="shared" ref="BF32" si="294">BF$28*BF45/400</f>
        <v>-5613.993125</v>
      </c>
      <c r="BG32" s="23">
        <f t="shared" si="268"/>
        <v>28.012612586934218</v>
      </c>
      <c r="BH32" s="36">
        <f t="shared" ref="BH32" si="295">BH$28*BH45/400</f>
        <v>-4511.9279266709991</v>
      </c>
      <c r="BI32" s="23">
        <f t="shared" si="269"/>
        <v>18.747445169781017</v>
      </c>
      <c r="BJ32" s="36">
        <f t="shared" ref="BJ32" si="296">BJ$28*BJ45/400</f>
        <v>-4609.9820330864914</v>
      </c>
      <c r="BK32" s="23">
        <f t="shared" si="270"/>
        <v>28.047942700030326</v>
      </c>
      <c r="BL32" s="36">
        <f t="shared" ref="BL32" si="297">BL$28*BL45/400</f>
        <v>-4673.5652102778349</v>
      </c>
      <c r="BM32" s="23">
        <f t="shared" si="272"/>
        <v>-1.067628910291385</v>
      </c>
      <c r="BN32" s="36"/>
      <c r="BO32" s="137"/>
      <c r="BP32" s="36"/>
      <c r="BQ32" s="48">
        <v>-8740</v>
      </c>
      <c r="BR32" s="36"/>
      <c r="BS32" s="48">
        <v>-9765.5</v>
      </c>
      <c r="BT32" s="36"/>
      <c r="BU32" s="56">
        <f>B32+D32+F32+H32</f>
        <v>-8926.4000000000015</v>
      </c>
      <c r="BV32" s="23">
        <f t="shared" si="273"/>
        <v>-8.5924939839229779</v>
      </c>
      <c r="BW32" s="56">
        <f>J32+L32+N32+P32</f>
        <v>-10245.5</v>
      </c>
      <c r="BX32" s="23">
        <f t="shared" si="274"/>
        <v>14.777513891378359</v>
      </c>
      <c r="BY32" s="56">
        <f>R32+T32+V32+X32</f>
        <v>-12397.5</v>
      </c>
      <c r="BZ32" s="23">
        <f>IF(ISERROR((BY32/BW32-1)*100),"NA",IF(((BY32/BW32-1)*100)&gt;100,"NM",IF(((BY32/BW32-1)*100)&lt;-50,"NM",(BY32/BW32-1)*100)))</f>
        <v>21.004343370260116</v>
      </c>
      <c r="CA32" s="56">
        <f>Z32+AB32+AD32+AF32</f>
        <v>-14497.800000000001</v>
      </c>
      <c r="CB32" s="23">
        <f>IF(ISERROR((CA32/BY32-1)*100),"NA",IF(((CA32/BY32-1)*100)&gt;100,"NM",IF(((CA32/BY32-1)*100)&lt;-50,"NM",(CA32/BY32-1)*100)))</f>
        <v>16.941318814277075</v>
      </c>
      <c r="CC32" s="56">
        <f>AH32+AJ32+AL32+AN32</f>
        <v>-15358.199999999999</v>
      </c>
      <c r="CD32" s="23">
        <f>IF(ISERROR((CC32/CA32-1)*100),"NA",IF(((CC32/CA32-1)*100)&gt;100,"NM",IF(((CC32/CA32-1)*100)&lt;-50,"NM",(CC32/CA32-1)*100)))</f>
        <v>5.9346935397094569</v>
      </c>
      <c r="CE32" s="56">
        <f>AP32+AR32+AT32+AV32</f>
        <v>-13136.800000000001</v>
      </c>
      <c r="CF32" s="23">
        <f>IF(ISERROR((CE32/CC32-1)*100),"NA",IF(((CE32/CC32-1)*100)&gt;100,"NM",IF(((CE32/CC32-1)*100)&lt;-50,"NM",(CE32/CC32-1)*100)))</f>
        <v>-14.463934575666404</v>
      </c>
      <c r="CG32" s="56">
        <f>AX32+AZ32+BB32+BD32</f>
        <v>-16509.3</v>
      </c>
      <c r="CH32" s="23">
        <f>IF(ISERROR((CG32/CE32-1)*100),"NA",IF(((CG32/CE32-1)*100)&gt;100,"NM",IF(((CG32/CE32-1)*100)&lt;-50,"NM",(CG32/CE32-1)*100)))</f>
        <v>25.672157603069223</v>
      </c>
      <c r="CI32" s="56">
        <f>BF32+BH32+BJ32+BL32</f>
        <v>-19409.468295035324</v>
      </c>
      <c r="CJ32" s="23">
        <f t="shared" si="275"/>
        <v>17.566876215438111</v>
      </c>
      <c r="CK32" s="56">
        <f>CK$28*CK45/100</f>
        <v>-19234.391448984879</v>
      </c>
      <c r="CL32" s="23">
        <f>IF(ISERROR((CK32/CI32-1)*100),"NA",IF(((CK32/CI32-1)*100)&gt;100,"NM",IF(((CK32/CI32-1)*100)&lt;-50,"NM",(CK32/CI32-1)*100)))</f>
        <v>-0.90201773376361594</v>
      </c>
      <c r="CM32" s="56">
        <f>CM$28*CM45/100</f>
        <v>-20245.501847451742</v>
      </c>
      <c r="CN32" s="23">
        <f>IF(ISERROR((CM32/CK32-1)*100),"NA",IF(((CM32/CK32-1)*100)&gt;100,"NM",IF(((CM32/CK32-1)*100)&lt;-50,"NM",(CM32/CK32-1)*100)))</f>
        <v>5.256783928665576</v>
      </c>
      <c r="CO32" s="56">
        <f>CO$28*CO45/100</f>
        <v>-21289.518632998825</v>
      </c>
      <c r="CP32" s="23">
        <f>IF(ISERROR((CO32/CM32-1)*100),"NA",IF(((CO32/CM32-1)*100)&gt;100,"NM",IF(((CO32/CM32-1)*100)&lt;-50,"NM",(CO32/CM32-1)*100)))</f>
        <v>5.1567839286655648</v>
      </c>
      <c r="CQ32" s="56">
        <f>CQ$28*CQ45/100</f>
        <v>-22387.373108355565</v>
      </c>
      <c r="CR32" s="23">
        <f>IF(ISERROR((CQ32/CO32-1)*100),"NA",IF(((CQ32/CO32-1)*100)&gt;100,"NM",IF(((CQ32/CO32-1)*100)&lt;-50,"NM",(CQ32/CO32-1)*100)))</f>
        <v>5.1567839286655426</v>
      </c>
      <c r="CS32" s="23">
        <f t="shared" si="276"/>
        <v>6.2808197705136015</v>
      </c>
    </row>
    <row r="33" spans="1:97" ht="12.75" customHeight="1" x14ac:dyDescent="0.2">
      <c r="A33" s="4" t="s">
        <v>97</v>
      </c>
      <c r="B33" s="49">
        <v>2388.6999999999998</v>
      </c>
      <c r="C33" s="59"/>
      <c r="D33" s="49">
        <v>252.7</v>
      </c>
      <c r="E33" s="59"/>
      <c r="F33" s="49">
        <v>-6382.1</v>
      </c>
      <c r="G33" s="59"/>
      <c r="H33" s="49">
        <v>3679.5</v>
      </c>
      <c r="I33" s="59"/>
      <c r="J33" s="49">
        <v>4982.5</v>
      </c>
      <c r="K33" s="23" t="str">
        <f t="shared" si="238"/>
        <v>NM</v>
      </c>
      <c r="L33" s="49">
        <v>-1422.2</v>
      </c>
      <c r="M33" s="23" t="str">
        <f t="shared" si="239"/>
        <v>NM</v>
      </c>
      <c r="N33" s="49">
        <v>2946.1</v>
      </c>
      <c r="O33" s="23" t="str">
        <f t="shared" si="240"/>
        <v>NM</v>
      </c>
      <c r="P33" s="48">
        <v>1021.5</v>
      </c>
      <c r="Q33" s="23" t="str">
        <f t="shared" si="241"/>
        <v>NM</v>
      </c>
      <c r="R33" s="48">
        <v>3711.7</v>
      </c>
      <c r="S33" s="23">
        <f t="shared" si="242"/>
        <v>-25.505268439538387</v>
      </c>
      <c r="T33" s="48">
        <v>433.2</v>
      </c>
      <c r="U33" s="23" t="str">
        <f t="shared" si="243"/>
        <v>NM</v>
      </c>
      <c r="V33" s="48">
        <v>3705.7</v>
      </c>
      <c r="W33" s="23">
        <f t="shared" si="244"/>
        <v>25.783238858151456</v>
      </c>
      <c r="X33" s="48">
        <v>4456.6000000000004</v>
      </c>
      <c r="Y33" s="23" t="str">
        <f t="shared" si="245"/>
        <v>NM</v>
      </c>
      <c r="Z33" s="48">
        <v>1233.8</v>
      </c>
      <c r="AA33" s="23" t="str">
        <f t="shared" si="246"/>
        <v>NM</v>
      </c>
      <c r="AB33" s="48">
        <v>2844.3</v>
      </c>
      <c r="AC33" s="23" t="str">
        <f t="shared" si="247"/>
        <v>NM</v>
      </c>
      <c r="AD33" s="48">
        <v>-707.1</v>
      </c>
      <c r="AE33" s="23" t="str">
        <f t="shared" si="248"/>
        <v>NM</v>
      </c>
      <c r="AF33" s="48">
        <v>2240.9</v>
      </c>
      <c r="AG33" s="23">
        <f t="shared" si="249"/>
        <v>-49.717273257640358</v>
      </c>
      <c r="AH33" s="48">
        <v>2148.4</v>
      </c>
      <c r="AI33" s="23">
        <f t="shared" si="250"/>
        <v>74.128708056411099</v>
      </c>
      <c r="AJ33" s="48">
        <v>5.9</v>
      </c>
      <c r="AK33" s="23" t="str">
        <f t="shared" si="251"/>
        <v>NM</v>
      </c>
      <c r="AL33" s="48">
        <v>-4561.7</v>
      </c>
      <c r="AM33" s="23" t="str">
        <f t="shared" si="252"/>
        <v>NM</v>
      </c>
      <c r="AN33" s="287">
        <v>2957.5</v>
      </c>
      <c r="AO33" s="23">
        <f t="shared" si="254"/>
        <v>31.978223035387554</v>
      </c>
      <c r="AP33" s="287">
        <v>537.79999999999995</v>
      </c>
      <c r="AQ33" s="23" t="str">
        <f t="shared" si="255"/>
        <v>NM</v>
      </c>
      <c r="AR33" s="287">
        <v>1792.4</v>
      </c>
      <c r="AS33" s="23" t="str">
        <f t="shared" si="257"/>
        <v>NM</v>
      </c>
      <c r="AT33" s="287">
        <v>3299.6</v>
      </c>
      <c r="AU33" s="23" t="str">
        <f t="shared" si="258"/>
        <v>NM</v>
      </c>
      <c r="AV33" s="287">
        <v>1036.8</v>
      </c>
      <c r="AW33" s="23" t="str">
        <f t="shared" si="260"/>
        <v>NM</v>
      </c>
      <c r="AX33" s="287">
        <v>4424.3</v>
      </c>
      <c r="AY33" s="23" t="str">
        <f t="shared" si="261"/>
        <v>NM</v>
      </c>
      <c r="AZ33" s="287">
        <v>3011.9</v>
      </c>
      <c r="BA33" s="23">
        <f t="shared" si="263"/>
        <v>68.03726846686007</v>
      </c>
      <c r="BB33" s="287">
        <v>3759.3</v>
      </c>
      <c r="BC33" s="23">
        <f t="shared" si="265"/>
        <v>13.931991756576556</v>
      </c>
      <c r="BD33" s="287">
        <v>4082</v>
      </c>
      <c r="BE33" s="23" t="str">
        <f t="shared" si="266"/>
        <v>NM</v>
      </c>
      <c r="BF33" s="36">
        <f t="shared" ref="BF33" si="298">BF28*(BF47/100*BF24/100)</f>
        <v>-895.47508800000014</v>
      </c>
      <c r="BG33" s="23" t="str">
        <f t="shared" si="268"/>
        <v>NM</v>
      </c>
      <c r="BH33" s="36">
        <f t="shared" ref="BH33" si="299">BH28*(BH47/100*BH24/100)</f>
        <v>1476.6309578195999</v>
      </c>
      <c r="BI33" s="23" t="str">
        <f t="shared" si="269"/>
        <v>NM</v>
      </c>
      <c r="BJ33" s="36">
        <f t="shared" ref="BJ33" si="300">BJ28*(BJ47/100*BJ24/100)</f>
        <v>1494.6047012533045</v>
      </c>
      <c r="BK33" s="23" t="str">
        <f t="shared" si="270"/>
        <v>NM</v>
      </c>
      <c r="BL33" s="36">
        <f t="shared" ref="BL33" si="301">BL28*(BL47/100*BL24/100)</f>
        <v>1503.9743684202358</v>
      </c>
      <c r="BM33" s="23" t="str">
        <f t="shared" si="272"/>
        <v>NM</v>
      </c>
      <c r="BN33" s="36"/>
      <c r="BO33" s="137"/>
      <c r="BP33" s="36"/>
      <c r="BQ33" s="48">
        <v>9754</v>
      </c>
      <c r="BR33" s="36"/>
      <c r="BS33" s="48">
        <v>6207.3</v>
      </c>
      <c r="BT33" s="36"/>
      <c r="BU33" s="56">
        <f>B33+D33+F33+H33</f>
        <v>-61.200000000000728</v>
      </c>
      <c r="BV33" s="23" t="str">
        <f t="shared" si="273"/>
        <v>NM</v>
      </c>
      <c r="BW33" s="56">
        <f>J33+L33+N33+P33</f>
        <v>7527.9</v>
      </c>
      <c r="BX33" s="23" t="str">
        <f t="shared" si="274"/>
        <v>NM</v>
      </c>
      <c r="BY33" s="56">
        <f>R33+T33+V33+X33</f>
        <v>12307.2</v>
      </c>
      <c r="BZ33" s="23">
        <f>IF(ISERROR((BY33/BW33-1)*100),"NA",IF(((BY33/BW33-1)*100)&gt;100,"NM",IF(((BY33/BW33-1)*100)&lt;-50,"NM",(BY33/BW33-1)*100)))</f>
        <v>63.487825289921517</v>
      </c>
      <c r="CA33" s="56">
        <f>Z33+AB33+AD33+AF33</f>
        <v>5611.9000000000005</v>
      </c>
      <c r="CB33" s="23" t="str">
        <f>IF(ISERROR((CA33/BY33-1)*100),"NA",IF(((CA33/BY33-1)*100)&gt;100,"NM",IF(((CA33/BY33-1)*100)&lt;-50,"NM",(CA33/BY33-1)*100)))</f>
        <v>NM</v>
      </c>
      <c r="CC33" s="56">
        <f>AH33+AJ33+AL33+AN33</f>
        <v>550.10000000000036</v>
      </c>
      <c r="CD33" s="23" t="str">
        <f>IF(ISERROR((CC33/CA33-1)*100),"NA",IF(((CC33/CA33-1)*100)&gt;100,"NM",IF(((CC33/CA33-1)*100)&lt;-50,"NM",(CC33/CA33-1)*100)))</f>
        <v>NM</v>
      </c>
      <c r="CE33" s="56">
        <f>AP33+AR33+AT33+AV33</f>
        <v>6666.5999999999995</v>
      </c>
      <c r="CF33" s="23" t="str">
        <f>IF(ISERROR((CE33/CC33-1)*100),"NA",IF(((CE33/CC33-1)*100)&gt;100,"NM",IF(((CE33/CC33-1)*100)&lt;-50,"NM",(CE33/CC33-1)*100)))</f>
        <v>NM</v>
      </c>
      <c r="CG33" s="56">
        <f>AX33+AZ33+BB33+BD33</f>
        <v>15277.5</v>
      </c>
      <c r="CH33" s="23" t="str">
        <f>IF(ISERROR((CG33/CE33-1)*100),"NA",IF(((CG33/CE33-1)*100)&gt;100,"NM",IF(((CG33/CE33-1)*100)&lt;-50,"NM",(CG33/CE33-1)*100)))</f>
        <v>NM</v>
      </c>
      <c r="CI33" s="56">
        <f>BF33+BH33+BJ33+BL33</f>
        <v>3579.7349394931398</v>
      </c>
      <c r="CJ33" s="23" t="str">
        <f t="shared" si="275"/>
        <v>NM</v>
      </c>
      <c r="CK33" s="56">
        <f>CK28*(CK47/100*CK24/100)</f>
        <v>6268.9868426321091</v>
      </c>
      <c r="CL33" s="23">
        <f>IF(ISERROR((CK33/CI33-1)*100),"NA",IF(((CK33/CI33-1)*100)&gt;100,"NM",IF(((CK33/CI33-1)*100)&lt;-50,"NM",(CK33/CI33-1)*100)))</f>
        <v>75.124330393013537</v>
      </c>
      <c r="CM33" s="56">
        <f>CM28*(CM47/100*CM24/100)</f>
        <v>6598.5339354657535</v>
      </c>
      <c r="CN33" s="23">
        <f>IF(ISERROR((CM33/CK33-1)*100),"NA",IF(((CM33/CK33-1)*100)&gt;100,"NM",IF(((CM33/CK33-1)*100)&lt;-50,"NM",(CM33/CK33-1)*100)))</f>
        <v>5.256783928665576</v>
      </c>
      <c r="CO33" s="56">
        <f>CO28*(CO47/100*CO24/100)</f>
        <v>6938.8060729773952</v>
      </c>
      <c r="CP33" s="23">
        <f>IF(ISERROR((CO33/CM33-1)*100),"NA",IF(((CO33/CM33-1)*100)&gt;100,"NM",IF(((CO33/CM33-1)*100)&lt;-50,"NM",(CO33/CM33-1)*100)))</f>
        <v>5.1567839286655648</v>
      </c>
      <c r="CQ33" s="56">
        <f>CQ28*(CQ47/100*CQ24/100)</f>
        <v>7296.6253093899631</v>
      </c>
      <c r="CR33" s="23">
        <f>IF(ISERROR((CQ33/CO33-1)*100),"NA",IF(((CQ33/CO33-1)*100)&gt;100,"NM",IF(((CQ33/CO33-1)*100)&lt;-50,"NM",(CQ33/CO33-1)*100)))</f>
        <v>5.1567839286655648</v>
      </c>
      <c r="CS33" s="23">
        <f t="shared" si="276"/>
        <v>-13.739106843168292</v>
      </c>
    </row>
    <row r="34" spans="1:97" ht="12.75" customHeight="1" x14ac:dyDescent="0.2">
      <c r="A34" s="4" t="s">
        <v>14</v>
      </c>
      <c r="B34" s="49">
        <v>0</v>
      </c>
      <c r="C34" s="59"/>
      <c r="D34" s="49">
        <v>0</v>
      </c>
      <c r="E34" s="59"/>
      <c r="F34" s="49">
        <v>0</v>
      </c>
      <c r="G34" s="59"/>
      <c r="H34" s="49">
        <v>0</v>
      </c>
      <c r="I34" s="59"/>
      <c r="J34" s="49">
        <v>0</v>
      </c>
      <c r="K34" s="23" t="str">
        <f t="shared" si="238"/>
        <v>NA</v>
      </c>
      <c r="L34" s="49">
        <v>0</v>
      </c>
      <c r="M34" s="23" t="str">
        <f t="shared" si="239"/>
        <v>NA</v>
      </c>
      <c r="N34" s="49">
        <v>0</v>
      </c>
      <c r="O34" s="23" t="str">
        <f t="shared" si="240"/>
        <v>NA</v>
      </c>
      <c r="P34" s="48">
        <v>0</v>
      </c>
      <c r="Q34" s="23" t="str">
        <f t="shared" si="241"/>
        <v>NA</v>
      </c>
      <c r="R34" s="48">
        <v>0</v>
      </c>
      <c r="S34" s="23" t="str">
        <f t="shared" si="242"/>
        <v>NA</v>
      </c>
      <c r="T34" s="48">
        <v>0</v>
      </c>
      <c r="U34" s="23" t="str">
        <f t="shared" si="243"/>
        <v>NA</v>
      </c>
      <c r="V34" s="48">
        <v>0</v>
      </c>
      <c r="W34" s="23" t="str">
        <f t="shared" si="244"/>
        <v>NA</v>
      </c>
      <c r="X34" s="48">
        <v>0</v>
      </c>
      <c r="Y34" s="23" t="str">
        <f t="shared" si="245"/>
        <v>NA</v>
      </c>
      <c r="Z34" s="48">
        <v>0</v>
      </c>
      <c r="AA34" s="23" t="str">
        <f t="shared" si="246"/>
        <v>NA</v>
      </c>
      <c r="AB34" s="48">
        <v>-908.8</v>
      </c>
      <c r="AC34" s="23" t="str">
        <f t="shared" si="247"/>
        <v>NA</v>
      </c>
      <c r="AD34" s="48">
        <v>0</v>
      </c>
      <c r="AE34" s="23" t="str">
        <f t="shared" si="248"/>
        <v>NA</v>
      </c>
      <c r="AF34" s="48">
        <v>0</v>
      </c>
      <c r="AG34" s="23" t="str">
        <f t="shared" si="249"/>
        <v>NA</v>
      </c>
      <c r="AH34" s="48">
        <v>0</v>
      </c>
      <c r="AI34" s="23" t="str">
        <f t="shared" si="250"/>
        <v>NA</v>
      </c>
      <c r="AJ34" s="48">
        <v>0</v>
      </c>
      <c r="AK34" s="23" t="str">
        <f t="shared" si="251"/>
        <v>NM</v>
      </c>
      <c r="AL34" s="48">
        <v>0</v>
      </c>
      <c r="AM34" s="23" t="str">
        <f t="shared" si="252"/>
        <v>NA</v>
      </c>
      <c r="AN34" s="287">
        <v>0</v>
      </c>
      <c r="AO34" s="23" t="str">
        <f t="shared" si="254"/>
        <v>NA</v>
      </c>
      <c r="AP34" s="287">
        <v>0</v>
      </c>
      <c r="AQ34" s="23" t="str">
        <f t="shared" si="255"/>
        <v>NA</v>
      </c>
      <c r="AR34" s="287">
        <v>0</v>
      </c>
      <c r="AS34" s="23" t="str">
        <f t="shared" si="257"/>
        <v>NA</v>
      </c>
      <c r="AT34" s="287">
        <v>0</v>
      </c>
      <c r="AU34" s="23" t="str">
        <f t="shared" si="258"/>
        <v>NA</v>
      </c>
      <c r="AV34" s="287">
        <v>0</v>
      </c>
      <c r="AW34" s="23" t="str">
        <f t="shared" si="260"/>
        <v>NA</v>
      </c>
      <c r="AX34" s="287">
        <v>0</v>
      </c>
      <c r="AY34" s="23" t="str">
        <f t="shared" si="261"/>
        <v>NA</v>
      </c>
      <c r="AZ34" s="287">
        <v>0</v>
      </c>
      <c r="BA34" s="23" t="str">
        <f t="shared" si="263"/>
        <v>NA</v>
      </c>
      <c r="BB34" s="287">
        <v>0</v>
      </c>
      <c r="BC34" s="23" t="str">
        <f t="shared" si="265"/>
        <v>NA</v>
      </c>
      <c r="BD34" s="287">
        <v>0</v>
      </c>
      <c r="BE34" s="23" t="str">
        <f t="shared" si="266"/>
        <v>NA</v>
      </c>
      <c r="BF34" s="48">
        <v>0</v>
      </c>
      <c r="BG34" s="23" t="str">
        <f t="shared" si="268"/>
        <v>NA</v>
      </c>
      <c r="BH34" s="48">
        <v>0</v>
      </c>
      <c r="BI34" s="23" t="str">
        <f t="shared" si="269"/>
        <v>NA</v>
      </c>
      <c r="BJ34" s="48">
        <v>0</v>
      </c>
      <c r="BK34" s="23" t="str">
        <f t="shared" si="270"/>
        <v>NA</v>
      </c>
      <c r="BL34" s="48">
        <v>0</v>
      </c>
      <c r="BM34" s="23" t="str">
        <f t="shared" si="272"/>
        <v>NA</v>
      </c>
      <c r="BN34" s="36"/>
      <c r="BO34" s="137"/>
      <c r="BP34" s="36"/>
      <c r="BQ34" s="48">
        <v>0</v>
      </c>
      <c r="BR34" s="36"/>
      <c r="BS34" s="48">
        <v>0</v>
      </c>
      <c r="BT34" s="36"/>
      <c r="BU34" s="56">
        <f>B34+D34+F34+H34</f>
        <v>0</v>
      </c>
      <c r="BV34" s="23" t="str">
        <f t="shared" si="273"/>
        <v>NA</v>
      </c>
      <c r="BW34" s="56">
        <f>J34+L34+N34+P34</f>
        <v>0</v>
      </c>
      <c r="BX34" s="23" t="str">
        <f t="shared" si="274"/>
        <v>NA</v>
      </c>
      <c r="BY34" s="56">
        <f>R34+T34+V34+X34</f>
        <v>0</v>
      </c>
      <c r="BZ34" s="23" t="str">
        <f>IF(ISERROR((BY34/BW34-1)*100),"NA",IF(((BY34/BW34-1)*100)&gt;100,"NM",IF(((BY34/BW34-1)*100)&lt;-50,"NM",(BY34/BW34-1)*100)))</f>
        <v>NA</v>
      </c>
      <c r="CA34" s="56">
        <f>Z34+AB34+AD34+AF34</f>
        <v>-908.8</v>
      </c>
      <c r="CB34" s="23" t="str">
        <f>IF(ISERROR((CA34/BY34-1)*100),"NA",IF(((CA34/BY34-1)*100)&gt;100,"NM",IF(((CA34/BY34-1)*100)&lt;-50,"NM",(CA34/BY34-1)*100)))</f>
        <v>NA</v>
      </c>
      <c r="CC34" s="56">
        <f>AH34+AJ34+AL34+AN34</f>
        <v>0</v>
      </c>
      <c r="CD34" s="23" t="str">
        <f>IF(ISERROR((CC34/CA34-1)*100),"NA",IF(((CC34/CA34-1)*100)&gt;100,"NM",IF(((CC34/CA34-1)*100)&lt;-50,"NM",(CC34/CA34-1)*100)))</f>
        <v>NM</v>
      </c>
      <c r="CE34" s="56">
        <f>AP34+AR34+AT34+AV34</f>
        <v>0</v>
      </c>
      <c r="CF34" s="23" t="str">
        <f>IF(ISERROR((CE34/CC34-1)*100),"NA",IF(((CE34/CC34-1)*100)&gt;100,"NM",IF(((CE34/CC34-1)*100)&lt;-50,"NM",(CE34/CC34-1)*100)))</f>
        <v>NA</v>
      </c>
      <c r="CG34" s="56">
        <f>AX34+AZ34+BB34+BD34</f>
        <v>0</v>
      </c>
      <c r="CH34" s="23" t="str">
        <f>IF(ISERROR((CG34/CE34-1)*100),"NA",IF(((CG34/CE34-1)*100)&gt;100,"NM",IF(((CG34/CE34-1)*100)&lt;-50,"NM",(CG34/CE34-1)*100)))</f>
        <v>NA</v>
      </c>
      <c r="CI34" s="56">
        <f>BF34+BH34+BJ34+BL34</f>
        <v>0</v>
      </c>
      <c r="CJ34" s="23" t="str">
        <f t="shared" si="275"/>
        <v>NA</v>
      </c>
      <c r="CK34" s="36">
        <v>0</v>
      </c>
      <c r="CL34" s="23" t="str">
        <f>IF(ISERROR((CK34/CI34-1)*100),"NA",IF(((CK34/CI34-1)*100)&gt;100,"NM",IF(((CK34/CI34-1)*100)&lt;-50,"NM",(CK34/CI34-1)*100)))</f>
        <v>NA</v>
      </c>
      <c r="CM34" s="36">
        <v>0</v>
      </c>
      <c r="CN34" s="23" t="str">
        <f>IF(ISERROR((CM34/CK34-1)*100),"NA",IF(((CM34/CK34-1)*100)&gt;100,"NM",IF(((CM34/CK34-1)*100)&lt;-50,"NM",(CM34/CK34-1)*100)))</f>
        <v>NA</v>
      </c>
      <c r="CO34" s="36">
        <v>0</v>
      </c>
      <c r="CP34" s="23" t="str">
        <f>IF(ISERROR((CO34/CM34-1)*100),"NA",IF(((CO34/CM34-1)*100)&gt;100,"NM",IF(((CO34/CM34-1)*100)&lt;-50,"NM",(CO34/CM34-1)*100)))</f>
        <v>NA</v>
      </c>
      <c r="CQ34" s="36">
        <v>0</v>
      </c>
      <c r="CR34" s="23" t="str">
        <f>IF(ISERROR((CQ34/CO34-1)*100),"NA",IF(((CQ34/CO34-1)*100)&gt;100,"NM",IF(((CQ34/CO34-1)*100)&lt;-50,"NM",(CQ34/CO34-1)*100)))</f>
        <v>NA</v>
      </c>
      <c r="CS34" s="23"/>
    </row>
    <row r="35" spans="1:97" ht="12.75" customHeight="1" x14ac:dyDescent="0.2">
      <c r="A35" s="4" t="s">
        <v>183</v>
      </c>
      <c r="B35" s="36">
        <f>B28+B31+B32+B33+B34</f>
        <v>79219.199999999997</v>
      </c>
      <c r="C35" s="59"/>
      <c r="D35" s="36">
        <f>D28+D31+D32+D33+D34</f>
        <v>79896.199999999983</v>
      </c>
      <c r="E35" s="59"/>
      <c r="F35" s="36">
        <f>F28+F31+F32+F33+F34</f>
        <v>74514.599999999977</v>
      </c>
      <c r="G35" s="59"/>
      <c r="H35" s="36">
        <f>H28+H31+H32+H33+H34</f>
        <v>79477.699999999983</v>
      </c>
      <c r="I35" s="59"/>
      <c r="J35" s="36">
        <f>J28+J31+J32+J33+J34</f>
        <v>85079.799999999988</v>
      </c>
      <c r="K35" s="23">
        <f t="shared" si="238"/>
        <v>7.3979540313459324</v>
      </c>
      <c r="L35" s="36">
        <f>L28+L31+L32+L33+L34</f>
        <v>84214.299999999988</v>
      </c>
      <c r="M35" s="23">
        <f t="shared" si="239"/>
        <v>5.4046375171785455</v>
      </c>
      <c r="N35" s="36">
        <f>N28+N31+N32+N33+N34</f>
        <v>87668.299999999988</v>
      </c>
      <c r="O35" s="23">
        <f t="shared" si="240"/>
        <v>17.652513735563247</v>
      </c>
      <c r="P35" s="36">
        <f>P28+P31+P32+P33+P34</f>
        <v>90471</v>
      </c>
      <c r="Q35" s="23">
        <f t="shared" si="241"/>
        <v>13.831930214387199</v>
      </c>
      <c r="R35" s="36">
        <f>R28+R31+R32+R33+R34</f>
        <v>95602.1</v>
      </c>
      <c r="S35" s="23">
        <f t="shared" si="242"/>
        <v>12.367565509086775</v>
      </c>
      <c r="T35" s="36">
        <f>T28+T31+T32+T33+T34</f>
        <v>96476.9</v>
      </c>
      <c r="U35" s="23">
        <f t="shared" si="243"/>
        <v>14.561184976898222</v>
      </c>
      <c r="V35" s="36">
        <f>V28+V31+V32+V33+V34</f>
        <v>100416.9</v>
      </c>
      <c r="W35" s="23">
        <f t="shared" si="244"/>
        <v>14.541858345604975</v>
      </c>
      <c r="X35" s="36">
        <f>X28+X31+X32+X33+X34</f>
        <v>105236.7</v>
      </c>
      <c r="Y35" s="23">
        <f t="shared" si="245"/>
        <v>16.320920515966431</v>
      </c>
      <c r="Z35" s="36">
        <f>Z28+Z31+Z32+Z33+Z34</f>
        <v>106514.90000000001</v>
      </c>
      <c r="AA35" s="23">
        <f t="shared" si="246"/>
        <v>11.414812017727648</v>
      </c>
      <c r="AB35" s="36">
        <f>AB28+AB31+AB32+AB33+AB34</f>
        <v>108428.00000000001</v>
      </c>
      <c r="AC35" s="23">
        <f t="shared" si="247"/>
        <v>12.387524889377687</v>
      </c>
      <c r="AD35" s="36">
        <f>AD28+AD31+AD32+AD33+AD34</f>
        <v>107654.5</v>
      </c>
      <c r="AE35" s="23">
        <f t="shared" si="248"/>
        <v>7.2075517168922909</v>
      </c>
      <c r="AF35" s="36">
        <f>AF28+AF31+AF32+AF33+AF34</f>
        <v>109693.1</v>
      </c>
      <c r="AG35" s="23">
        <f t="shared" si="249"/>
        <v>4.2346443778643827</v>
      </c>
      <c r="AH35" s="36">
        <f>AH28+AH31+AH32+AH33+AH34</f>
        <v>112502.09999999999</v>
      </c>
      <c r="AI35" s="23">
        <f t="shared" si="250"/>
        <v>5.6209976256842875</v>
      </c>
      <c r="AJ35" s="36">
        <f>AJ28+AJ31+AJ32+AJ33+AJ34</f>
        <v>112983.29999999999</v>
      </c>
      <c r="AK35" s="23">
        <f t="shared" si="251"/>
        <v>4.2012210868041189</v>
      </c>
      <c r="AL35" s="36">
        <f>AL28+AL31+AL32+AL33+AL34</f>
        <v>107292.59999999999</v>
      </c>
      <c r="AM35" s="23">
        <f t="shared" si="252"/>
        <v>-0.33616801898667115</v>
      </c>
      <c r="AN35" s="410">
        <f t="shared" ref="AN35:AP35" si="302">AN28+AN31+AN32+AN33+AN34</f>
        <v>110806.9</v>
      </c>
      <c r="AO35" s="23">
        <f t="shared" si="254"/>
        <v>1.0153783601703159</v>
      </c>
      <c r="AP35" s="410">
        <f t="shared" si="302"/>
        <v>112427</v>
      </c>
      <c r="AQ35" s="23">
        <f t="shared" si="255"/>
        <v>-6.6754309475103302E-2</v>
      </c>
      <c r="AR35" s="410">
        <f t="shared" ref="AR35:AT35" si="303">AR28+AR31+AR32+AR33+AR34</f>
        <v>114911.9</v>
      </c>
      <c r="AS35" s="23">
        <f t="shared" si="257"/>
        <v>1.7069779339070612</v>
      </c>
      <c r="AT35" s="410">
        <f t="shared" si="303"/>
        <v>119568.29999999999</v>
      </c>
      <c r="AU35" s="23">
        <f t="shared" si="258"/>
        <v>11.441329597754169</v>
      </c>
      <c r="AV35" s="410">
        <f t="shared" ref="AV35:AX35" si="304">AV28+AV31+AV32+AV33+AV34</f>
        <v>121408.2</v>
      </c>
      <c r="AW35" s="23">
        <f t="shared" si="260"/>
        <v>9.5673644872295895</v>
      </c>
      <c r="AX35" s="410">
        <f t="shared" si="304"/>
        <v>126442.7</v>
      </c>
      <c r="AY35" s="23">
        <f t="shared" si="261"/>
        <v>12.466489366433331</v>
      </c>
      <c r="AZ35" s="410">
        <f t="shared" ref="AZ35" si="305">AZ28+AZ31+AZ32+AZ33+AZ34</f>
        <v>129734.79999999999</v>
      </c>
      <c r="BA35" s="23">
        <f t="shared" si="263"/>
        <v>12.899360292537153</v>
      </c>
      <c r="BB35" s="410">
        <f t="shared" ref="BB35:BD35" si="306">BB28+BB31+BB32+BB33+BB34</f>
        <v>134584.6</v>
      </c>
      <c r="BC35" s="23">
        <f t="shared" si="265"/>
        <v>12.558763484970537</v>
      </c>
      <c r="BD35" s="410">
        <f t="shared" si="306"/>
        <v>138190.6</v>
      </c>
      <c r="BE35" s="23">
        <f t="shared" si="266"/>
        <v>13.82311903149871</v>
      </c>
      <c r="BF35" s="36">
        <f t="shared" ref="BF35" si="307">BF28+BF31+BF32+BF33+BF34</f>
        <v>136725.08868699998</v>
      </c>
      <c r="BG35" s="23">
        <f t="shared" si="268"/>
        <v>8.1320540347524783</v>
      </c>
      <c r="BH35" s="36">
        <f t="shared" ref="BH35" si="308">BH28+BH31+BH32+BH33+BH34</f>
        <v>138646.07618305236</v>
      </c>
      <c r="BI35" s="23">
        <f t="shared" si="269"/>
        <v>6.8688402672624216</v>
      </c>
      <c r="BJ35" s="36">
        <f t="shared" ref="BJ35" si="309">BJ28+BJ31+BJ32+BJ33+BJ34</f>
        <v>140558.35218880707</v>
      </c>
      <c r="BK35" s="23">
        <f t="shared" si="270"/>
        <v>4.4386595411414653</v>
      </c>
      <c r="BL35" s="36">
        <f t="shared" ref="BL35" si="310">BL28+BL31+BL32+BL33+BL34</f>
        <v>142476.97369618429</v>
      </c>
      <c r="BM35" s="23">
        <f t="shared" si="272"/>
        <v>3.1017838378184059</v>
      </c>
      <c r="BN35" s="36"/>
      <c r="BO35" s="137"/>
      <c r="BP35" s="36"/>
      <c r="BQ35" s="36">
        <f>BQ28+BQ31+BQ32+BQ33+BQ34</f>
        <v>68885.100000000006</v>
      </c>
      <c r="BR35" s="36"/>
      <c r="BS35" s="36">
        <f>BS28+BS31+BS32+BS33+BS34</f>
        <v>76537.8</v>
      </c>
      <c r="BT35" s="36"/>
      <c r="BU35" s="36">
        <f>BU28+BU31+BU32+BU33+BU34</f>
        <v>79477.7</v>
      </c>
      <c r="BV35" s="23">
        <f t="shared" si="273"/>
        <v>3.8411085764158193</v>
      </c>
      <c r="BW35" s="36">
        <f>BW28+BW31+BW32+BW33+BW34</f>
        <v>90470.999999999985</v>
      </c>
      <c r="BX35" s="23">
        <f t="shared" si="274"/>
        <v>13.831930214387157</v>
      </c>
      <c r="BY35" s="36">
        <f>BY28+BY31+BY32+BY33+BY34</f>
        <v>105236.69999999998</v>
      </c>
      <c r="BZ35" s="23">
        <f>IF(ISERROR((BY35/BW35-1)*100),"NA",IF(((BY35/BW35-1)*100)&gt;100,"NM",IF(((BY35/BW35-1)*100)&lt;-50,"NM",(BY35/BW35-1)*100)))</f>
        <v>16.320920515966453</v>
      </c>
      <c r="CA35" s="36">
        <f>CA28+CA31+CA32+CA33+CA34</f>
        <v>109693.09999999998</v>
      </c>
      <c r="CB35" s="23">
        <f>IF(ISERROR((CA35/BY35-1)*100),"NA",IF(((CA35/BY35-1)*100)&gt;100,"NM",IF(((CA35/BY35-1)*100)&lt;-50,"NM",(CA35/BY35-1)*100)))</f>
        <v>4.2346443778643605</v>
      </c>
      <c r="CC35" s="36">
        <f>CC28+CC31+CC32+CC33+CC34</f>
        <v>110806.89999999998</v>
      </c>
      <c r="CD35" s="23">
        <f>IF(ISERROR((CC35/CA35-1)*100),"NA",IF(((CC35/CA35-1)*100)&gt;100,"NM",IF(((CC35/CA35-1)*100)&lt;-50,"NM",(CC35/CA35-1)*100)))</f>
        <v>1.0153783601703381</v>
      </c>
      <c r="CE35" s="36">
        <f>CE28+CE31+CE32+CE33+CE34</f>
        <v>121408.19999999998</v>
      </c>
      <c r="CF35" s="23">
        <f>IF(ISERROR((CE35/CC35-1)*100),"NA",IF(((CE35/CC35-1)*100)&gt;100,"NM",IF(((CE35/CC35-1)*100)&lt;-50,"NM",(CE35/CC35-1)*100)))</f>
        <v>9.5673644872295895</v>
      </c>
      <c r="CG35" s="36">
        <f>CG28+CG31+CG32+CG33+CG34</f>
        <v>138190.59999999998</v>
      </c>
      <c r="CH35" s="23">
        <f>IF(ISERROR((CG35/CE35-1)*100),"NA",IF(((CG35/CE35-1)*100)&gt;100,"NM",IF(((CG35/CE35-1)*100)&lt;-50,"NM",(CG35/CE35-1)*100)))</f>
        <v>13.823119031498688</v>
      </c>
      <c r="CI35" s="36">
        <f>CI28+CI31+CI32+CI33+CI34</f>
        <v>142476.97369618429</v>
      </c>
      <c r="CJ35" s="23">
        <f t="shared" si="275"/>
        <v>3.1017838378184281</v>
      </c>
      <c r="CK35" s="36">
        <f>CK28+CK31+CK32+CK33+CK34</f>
        <v>149966.68035149437</v>
      </c>
      <c r="CL35" s="23">
        <f>IF(ISERROR((CK35/CI35-1)*100),"NA",IF(((CK35/CI35-1)*100)&gt;100,"NM",IF(((CK35/CI35-1)*100)&lt;-50,"NM",(CK35/CI35-1)*100)))</f>
        <v>5.256783928665576</v>
      </c>
      <c r="CM35" s="36">
        <f>CM28+CM31+CM32+CM33+CM34</f>
        <v>157700.1380222135</v>
      </c>
      <c r="CN35" s="23">
        <f>IF(ISERROR((CM35/CK35-1)*100),"NA",IF(((CM35/CK35-1)*100)&gt;100,"NM",IF(((CM35/CK35-1)*100)&lt;-50,"NM",(CM35/CK35-1)*100)))</f>
        <v>5.1567839286655648</v>
      </c>
      <c r="CO35" s="36">
        <f>CO28+CO31+CO32+CO33+CO34</f>
        <v>165832.39339522642</v>
      </c>
      <c r="CP35" s="23">
        <f>IF(ISERROR((CO35/CM35-1)*100),"NA",IF(((CO35/CM35-1)*100)&gt;100,"NM",IF(((CO35/CM35-1)*100)&lt;-50,"NM",(CO35/CM35-1)*100)))</f>
        <v>5.1567839286655648</v>
      </c>
      <c r="CQ35" s="36">
        <f>CQ28+CQ31+CQ32+CQ33+CQ34</f>
        <v>174384.0116063529</v>
      </c>
      <c r="CR35" s="23">
        <f>IF(ISERROR((CQ35/CO35-1)*100),"NA",IF(((CQ35/CO35-1)*100)&gt;100,"NM",IF(((CQ35/CO35-1)*100)&lt;-50,"NM",(CQ35/CO35-1)*100)))</f>
        <v>5.1567839286655648</v>
      </c>
      <c r="CS35" s="23">
        <f>IF(ISERROR(((CQ35/CG35)^0.2-1)*100),"NA",IF((((CQ35/CG35)^0.2-1)*100)&gt;100,"NM",IF((((CQ35/CG35)^0.2-1)*100)&lt;-50,"NM",((CQ35/CG35)^0.2-1)*100)))</f>
        <v>4.7624466102031748</v>
      </c>
    </row>
    <row r="36" spans="1:97" ht="12.75" customHeight="1" x14ac:dyDescent="0.2">
      <c r="A36" s="4" t="s">
        <v>98</v>
      </c>
      <c r="B36" s="36">
        <f t="shared" ref="B36:N36" si="311">AVERAGE(B35,B28)</f>
        <v>77878.5</v>
      </c>
      <c r="C36" s="59"/>
      <c r="D36" s="36">
        <f t="shared" si="311"/>
        <v>79557.699999999983</v>
      </c>
      <c r="E36" s="59"/>
      <c r="F36" s="36">
        <f t="shared" si="311"/>
        <v>77205.39999999998</v>
      </c>
      <c r="G36" s="59"/>
      <c r="H36" s="36">
        <f t="shared" si="311"/>
        <v>76996.14999999998</v>
      </c>
      <c r="I36" s="59"/>
      <c r="J36" s="36">
        <f t="shared" si="311"/>
        <v>82278.749999999985</v>
      </c>
      <c r="K36" s="23">
        <f t="shared" si="238"/>
        <v>5.6501473449026118</v>
      </c>
      <c r="L36" s="36">
        <f t="shared" si="311"/>
        <v>84647.049999999988</v>
      </c>
      <c r="M36" s="23">
        <f t="shared" si="239"/>
        <v>6.3970552190422802</v>
      </c>
      <c r="N36" s="36">
        <f t="shared" si="311"/>
        <v>85941.299999999988</v>
      </c>
      <c r="O36" s="23">
        <f t="shared" si="240"/>
        <v>11.315141168881993</v>
      </c>
      <c r="P36" s="36">
        <f>AVERAGE(P35,P28)</f>
        <v>89069.65</v>
      </c>
      <c r="Q36" s="23">
        <f t="shared" si="241"/>
        <v>15.680654162578289</v>
      </c>
      <c r="R36" s="36">
        <f>AVERAGE(R35,R28)</f>
        <v>93036.55</v>
      </c>
      <c r="S36" s="23">
        <f t="shared" si="242"/>
        <v>13.074821870774667</v>
      </c>
      <c r="T36" s="36">
        <f>AVERAGE(T35,T28)</f>
        <v>96039.5</v>
      </c>
      <c r="U36" s="23">
        <f t="shared" si="243"/>
        <v>13.45876790744629</v>
      </c>
      <c r="V36" s="36">
        <f>AVERAGE(V35,V28)</f>
        <v>98446.9</v>
      </c>
      <c r="W36" s="23">
        <f t="shared" si="244"/>
        <v>14.551327475846886</v>
      </c>
      <c r="X36" s="36">
        <f>AVERAGE(X35,X28)</f>
        <v>102826.79999999999</v>
      </c>
      <c r="Y36" s="23">
        <f t="shared" si="245"/>
        <v>15.445384595089351</v>
      </c>
      <c r="Z36" s="36">
        <f>AVERAGE(Z35,Z28)</f>
        <v>105875.8</v>
      </c>
      <c r="AA36" s="23">
        <f t="shared" si="246"/>
        <v>13.800221525841195</v>
      </c>
      <c r="AB36" s="36">
        <f>AVERAGE(AB35,AB28)</f>
        <v>107471.45000000001</v>
      </c>
      <c r="AC36" s="23">
        <f t="shared" si="247"/>
        <v>11.903383503662557</v>
      </c>
      <c r="AD36" s="36">
        <f>AVERAGE(AD35,AD28)</f>
        <v>108041.25</v>
      </c>
      <c r="AE36" s="23">
        <f t="shared" si="248"/>
        <v>9.7457106318228561</v>
      </c>
      <c r="AF36" s="36">
        <f>AVERAGE(AF35,AF28)</f>
        <v>108673.8</v>
      </c>
      <c r="AG36" s="23">
        <f t="shared" si="249"/>
        <v>5.6862607802635301</v>
      </c>
      <c r="AH36" s="36">
        <f>AVERAGE(AH35,AH28)</f>
        <v>111097.60000000001</v>
      </c>
      <c r="AI36" s="23">
        <f t="shared" si="250"/>
        <v>4.9320052363240663</v>
      </c>
      <c r="AJ36" s="36">
        <f>AVERAGE(AJ35,AJ28)</f>
        <v>112742.69999999998</v>
      </c>
      <c r="AK36" s="23">
        <f t="shared" si="251"/>
        <v>4.9047909933289002</v>
      </c>
      <c r="AL36" s="36">
        <f>AVERAGE(AL35,AL28)</f>
        <v>110137.94999999998</v>
      </c>
      <c r="AM36" s="23">
        <f t="shared" si="252"/>
        <v>1.9406476692929608</v>
      </c>
      <c r="AN36" s="410">
        <f t="shared" ref="AN36:AP36" si="312">AVERAGE(AN35,AN28)</f>
        <v>109049.75</v>
      </c>
      <c r="AO36" s="23">
        <f t="shared" si="254"/>
        <v>0.34594354849097897</v>
      </c>
      <c r="AP36" s="410">
        <f t="shared" si="312"/>
        <v>111616.95</v>
      </c>
      <c r="AQ36" s="23">
        <f t="shared" si="255"/>
        <v>0.46747184457629487</v>
      </c>
      <c r="AR36" s="410">
        <f t="shared" ref="AR36:AT36" si="313">AVERAGE(AR35,AR28)</f>
        <v>113669.45</v>
      </c>
      <c r="AS36" s="23">
        <f t="shared" si="257"/>
        <v>0.82200444019879804</v>
      </c>
      <c r="AT36" s="410">
        <f t="shared" si="313"/>
        <v>117240.09999999999</v>
      </c>
      <c r="AU36" s="23">
        <f t="shared" si="258"/>
        <v>6.4484131037485293</v>
      </c>
      <c r="AV36" s="410">
        <f t="shared" ref="AV36:AX36" si="314">AVERAGE(AV35,AV28)</f>
        <v>120488.25</v>
      </c>
      <c r="AW36" s="23">
        <f t="shared" si="260"/>
        <v>10.489249172969227</v>
      </c>
      <c r="AX36" s="410">
        <f t="shared" si="314"/>
        <v>123925.45</v>
      </c>
      <c r="AY36" s="23">
        <f t="shared" si="261"/>
        <v>11.027446996177549</v>
      </c>
      <c r="AZ36" s="410">
        <f t="shared" ref="AZ36" si="315">AVERAGE(AZ35,AZ28)</f>
        <v>128088.75</v>
      </c>
      <c r="BA36" s="23">
        <f t="shared" si="263"/>
        <v>12.685290550803231</v>
      </c>
      <c r="BB36" s="410">
        <f t="shared" ref="BB36:BD36" si="316">AVERAGE(BB35,BB28)</f>
        <v>132159.70000000001</v>
      </c>
      <c r="BC36" s="23">
        <f t="shared" si="265"/>
        <v>12.725680036096886</v>
      </c>
      <c r="BD36" s="410">
        <f t="shared" si="316"/>
        <v>136387.6</v>
      </c>
      <c r="BE36" s="23">
        <f t="shared" si="266"/>
        <v>13.195768052071477</v>
      </c>
      <c r="BF36" s="36">
        <f t="shared" ref="BF36" si="317">AVERAGE(BF35,BF28)</f>
        <v>137457.84434349998</v>
      </c>
      <c r="BG36" s="23">
        <f t="shared" si="268"/>
        <v>10.91978632597257</v>
      </c>
      <c r="BH36" s="36">
        <f t="shared" ref="BH36" si="318">AVERAGE(BH35,BH28)</f>
        <v>137685.58243502618</v>
      </c>
      <c r="BI36" s="23">
        <f t="shared" si="269"/>
        <v>7.4923304622975806</v>
      </c>
      <c r="BJ36" s="36">
        <f t="shared" ref="BJ36" si="319">AVERAGE(BJ35,BJ28)</f>
        <v>139602.21418592971</v>
      </c>
      <c r="BK36" s="23">
        <f t="shared" si="270"/>
        <v>5.6314551152353509</v>
      </c>
      <c r="BL36" s="36">
        <f t="shared" ref="BL36" si="320">AVERAGE(BL35,BL28)</f>
        <v>141517.66294249566</v>
      </c>
      <c r="BM36" s="23">
        <f t="shared" si="272"/>
        <v>3.7613851570785339</v>
      </c>
      <c r="BN36" s="36"/>
      <c r="BO36" s="137"/>
      <c r="BP36" s="36"/>
      <c r="BQ36" s="56">
        <f>AVERAGE(BQ35,BQ28)</f>
        <v>63579.3</v>
      </c>
      <c r="BR36" s="36"/>
      <c r="BS36" s="56">
        <f>AVERAGE(BS35,BS28)</f>
        <v>72711.450000000012</v>
      </c>
      <c r="BT36" s="36"/>
      <c r="BU36" s="56">
        <f>AVERAGE(BU35,BU28)</f>
        <v>78007.75</v>
      </c>
      <c r="BV36" s="23">
        <f t="shared" si="273"/>
        <v>7.2839972246461659</v>
      </c>
      <c r="BW36" s="56">
        <f>AVERAGE(BW35,BW28)</f>
        <v>84974.349999999991</v>
      </c>
      <c r="BX36" s="23">
        <f t="shared" si="274"/>
        <v>8.9306511212026827</v>
      </c>
      <c r="BY36" s="56">
        <f>AVERAGE(BY35,BY28)</f>
        <v>97853.849999999977</v>
      </c>
      <c r="BZ36" s="23">
        <f>IF(ISERROR((BY36/BW36-1)*100),"NA",IF(((BY36/BW36-1)*100)&gt;100,"NM",IF(((BY36/BW36-1)*100)&lt;-50,"NM",(BY36/BW36-1)*100)))</f>
        <v>15.156926766724288</v>
      </c>
      <c r="CA36" s="56">
        <f>AVERAGE(CA35,CA28)</f>
        <v>107464.89999999998</v>
      </c>
      <c r="CB36" s="23">
        <f>IF(ISERROR((CA36/BY36-1)*100),"NA",IF(((CA36/BY36-1)*100)&gt;100,"NM",IF(((CA36/BY36-1)*100)&lt;-50,"NM",(CA36/BY36-1)*100)))</f>
        <v>9.8218414502853069</v>
      </c>
      <c r="CC36" s="56">
        <f>AVERAGE(CC35,CC28)</f>
        <v>110249.99999999997</v>
      </c>
      <c r="CD36" s="23">
        <f>IF(ISERROR((CC36/CA36-1)*100),"NA",IF(((CC36/CA36-1)*100)&gt;100,"NM",IF(((CC36/CA36-1)*100)&lt;-50,"NM",(CC36/CA36-1)*100)))</f>
        <v>2.5916368972566772</v>
      </c>
      <c r="CE36" s="56">
        <f>AVERAGE(CE35,CE28)</f>
        <v>116107.54999999999</v>
      </c>
      <c r="CF36" s="23">
        <f>IF(ISERROR((CE36/CC36-1)*100),"NA",IF(((CE36/CC36-1)*100)&gt;100,"NM",IF(((CE36/CC36-1)*100)&lt;-50,"NM",(CE36/CC36-1)*100)))</f>
        <v>5.3129705215419598</v>
      </c>
      <c r="CG36" s="56">
        <f>AVERAGE(CG35,CG28)</f>
        <v>129799.39999999998</v>
      </c>
      <c r="CH36" s="23">
        <f>IF(ISERROR((CG36/CE36-1)*100),"NA",IF(((CG36/CE36-1)*100)&gt;100,"NM",IF(((CG36/CE36-1)*100)&lt;-50,"NM",(CG36/CE36-1)*100)))</f>
        <v>11.792385594218469</v>
      </c>
      <c r="CI36" s="56">
        <f>AVERAGE(CI35,CI28)</f>
        <v>140333.78684809213</v>
      </c>
      <c r="CJ36" s="23">
        <f t="shared" si="275"/>
        <v>8.1158979533743292</v>
      </c>
      <c r="CK36" s="56">
        <f>AVERAGE(CK35,CK28)</f>
        <v>146221.82702383935</v>
      </c>
      <c r="CL36" s="23">
        <f>IF(ISERROR((CK36/CI36-1)*100),"NA",IF(((CK36/CI36-1)*100)&gt;100,"NM",IF(((CK36/CI36-1)*100)&lt;-50,"NM",(CK36/CI36-1)*100)))</f>
        <v>4.1957395349994098</v>
      </c>
      <c r="CM36" s="56">
        <f>AVERAGE(CM35,CM28)</f>
        <v>153833.40918685394</v>
      </c>
      <c r="CN36" s="23">
        <f>IF(ISERROR((CM36/CK36-1)*100),"NA",IF(((CM36/CK36-1)*100)&gt;100,"NM",IF(((CM36/CK36-1)*100)&lt;-50,"NM",(CM36/CK36-1)*100)))</f>
        <v>5.2055033902521419</v>
      </c>
      <c r="CO36" s="56">
        <f>AVERAGE(CO35,CO28)</f>
        <v>161766.26570871996</v>
      </c>
      <c r="CP36" s="23">
        <f>IF(ISERROR((CO36/CM36-1)*100),"NA",IF(((CO36/CM36-1)*100)&gt;100,"NM",IF(((CO36/CM36-1)*100)&lt;-50,"NM",(CO36/CM36-1)*100)))</f>
        <v>5.1567839286655648</v>
      </c>
      <c r="CQ36" s="56">
        <f>AVERAGE(CQ35,CQ28)</f>
        <v>170108.20250078966</v>
      </c>
      <c r="CR36" s="23">
        <f>IF(ISERROR((CQ36/CO36-1)*100),"NA",IF(((CQ36/CO36-1)*100)&gt;100,"NM",IF(((CQ36/CO36-1)*100)&lt;-50,"NM",(CQ36/CO36-1)*100)))</f>
        <v>5.1567839286655648</v>
      </c>
      <c r="CS36" s="23">
        <f>IF(ISERROR(((CQ36/CG36)^0.2-1)*100),"NA",IF((((CQ36/CG36)^0.2-1)*100)&gt;100,"NM",IF((((CQ36/CG36)^0.2-1)*100)&lt;-50,"NM",((CQ36/CG36)^0.2-1)*100)))</f>
        <v>5.5578446953869598</v>
      </c>
    </row>
    <row r="37" spans="1:97" ht="12.75" customHeight="1" x14ac:dyDescent="0.2">
      <c r="B37" s="36"/>
      <c r="C37" s="60"/>
      <c r="D37" s="36"/>
      <c r="E37" s="60"/>
      <c r="F37" s="36"/>
      <c r="G37" s="60"/>
      <c r="H37" s="36"/>
      <c r="I37" s="60"/>
      <c r="J37" s="36"/>
      <c r="K37" s="178"/>
      <c r="L37" s="36"/>
      <c r="M37" s="178"/>
      <c r="N37" s="36"/>
      <c r="O37" s="178"/>
      <c r="P37" s="36"/>
      <c r="Q37" s="178"/>
      <c r="R37" s="36"/>
      <c r="S37" s="178"/>
      <c r="T37" s="36"/>
      <c r="U37" s="178"/>
      <c r="V37" s="36"/>
      <c r="W37" s="178"/>
      <c r="X37" s="36"/>
      <c r="Y37" s="178"/>
      <c r="Z37" s="36"/>
      <c r="AA37" s="178"/>
      <c r="AB37" s="36"/>
      <c r="AC37" s="178"/>
      <c r="AD37" s="36"/>
      <c r="AE37" s="178"/>
      <c r="AF37" s="36"/>
      <c r="AG37" s="178"/>
      <c r="AH37" s="36"/>
      <c r="AI37" s="178"/>
      <c r="AJ37" s="36"/>
      <c r="AK37" s="178"/>
      <c r="AL37" s="36"/>
      <c r="AM37" s="178"/>
      <c r="AN37" s="410"/>
      <c r="AO37" s="178"/>
      <c r="AP37" s="410"/>
      <c r="AQ37" s="178"/>
      <c r="AR37" s="410"/>
      <c r="AS37" s="178"/>
      <c r="AT37" s="410"/>
      <c r="AU37" s="178"/>
      <c r="AV37" s="410"/>
      <c r="AW37" s="178"/>
      <c r="AX37" s="410"/>
      <c r="AY37" s="178"/>
      <c r="AZ37" s="410"/>
      <c r="BA37" s="178"/>
      <c r="BB37" s="410"/>
      <c r="BC37" s="178"/>
      <c r="BD37" s="410"/>
      <c r="BE37" s="178"/>
      <c r="BF37" s="36"/>
      <c r="BG37" s="178"/>
      <c r="BH37" s="36"/>
      <c r="BI37" s="178"/>
      <c r="BJ37" s="36"/>
      <c r="BK37" s="178"/>
      <c r="BL37" s="36"/>
      <c r="BM37" s="178"/>
      <c r="BN37" s="36"/>
      <c r="BO37" s="137"/>
      <c r="BP37" s="36"/>
      <c r="BQ37" s="36"/>
      <c r="BR37" s="36"/>
      <c r="BS37" s="36"/>
      <c r="BT37" s="36"/>
      <c r="BU37" s="56"/>
      <c r="BV37" s="178"/>
      <c r="BW37" s="56"/>
      <c r="BX37" s="178"/>
      <c r="BY37" s="56"/>
      <c r="BZ37" s="178"/>
      <c r="CA37" s="56"/>
      <c r="CB37" s="178"/>
      <c r="CC37" s="56"/>
      <c r="CD37" s="178"/>
      <c r="CE37" s="56"/>
      <c r="CF37" s="178"/>
      <c r="CG37" s="56"/>
      <c r="CH37" s="178"/>
      <c r="CI37" s="56"/>
      <c r="CJ37" s="178"/>
      <c r="CK37" s="56"/>
      <c r="CL37" s="178"/>
      <c r="CM37" s="56"/>
      <c r="CN37" s="178"/>
      <c r="CO37" s="56"/>
      <c r="CP37" s="178"/>
      <c r="CQ37" s="56"/>
      <c r="CR37" s="178"/>
      <c r="CS37" s="178"/>
    </row>
    <row r="38" spans="1:97" ht="12.75" customHeight="1" x14ac:dyDescent="0.2">
      <c r="A38" s="4" t="s">
        <v>108</v>
      </c>
      <c r="B38" s="36">
        <f>B31+B32</f>
        <v>292.69999999999982</v>
      </c>
      <c r="C38" s="59"/>
      <c r="D38" s="36">
        <f>D31+D32</f>
        <v>424.29999999999973</v>
      </c>
      <c r="E38" s="59"/>
      <c r="F38" s="36">
        <f>F31+F32</f>
        <v>1000.5000000000002</v>
      </c>
      <c r="G38" s="59"/>
      <c r="H38" s="36">
        <f>H31+H32</f>
        <v>1283.6000000000004</v>
      </c>
      <c r="I38" s="59"/>
      <c r="J38" s="36">
        <f>J31+J32</f>
        <v>619.59999999999991</v>
      </c>
      <c r="K38" s="23" t="str">
        <f>IF(ISERROR((J38/B38-1)*100),"NA",IF(((J38/B38-1)*100)&gt;100,"NM",IF(((J38/B38-1)*100)&lt;-50,"NM",(J38/B38-1)*100)))</f>
        <v>NM</v>
      </c>
      <c r="L38" s="36">
        <f>L31+L32</f>
        <v>556.69999999999982</v>
      </c>
      <c r="M38" s="23">
        <f>IF(ISERROR((L38/D38-1)*100),"NA",IF(((L38/D38-1)*100)&gt;100,"NM",IF(((L38/D38-1)*100)&lt;-50,"NM",(L38/D38-1)*100)))</f>
        <v>31.204336554324819</v>
      </c>
      <c r="N38" s="36">
        <f>N31+N32</f>
        <v>507.89999999999964</v>
      </c>
      <c r="O38" s="23">
        <f>IF(ISERROR((N38/F38-1)*100),"NA",IF(((N38/F38-1)*100)&gt;100,"NM",IF(((N38/F38-1)*100)&lt;-50,"NM",(N38/F38-1)*100)))</f>
        <v>-49.235382308845622</v>
      </c>
      <c r="P38" s="36">
        <f>P31+P32</f>
        <v>1781.2000000000003</v>
      </c>
      <c r="Q38" s="23">
        <f>IF(ISERROR((P38/H38-1)*100),"NA",IF(((P38/H38-1)*100)&gt;100,"NM",IF(((P38/H38-1)*100)&lt;-50,"NM",(P38/H38-1)*100)))</f>
        <v>38.765970707385456</v>
      </c>
      <c r="R38" s="36">
        <f>R31+R32</f>
        <v>1419.4</v>
      </c>
      <c r="S38" s="23" t="str">
        <f>IF(ISERROR((R38/J38-1)*100),"NA",IF(((R38/J38-1)*100)&gt;100,"NM",IF(((R38/J38-1)*100)&lt;-50,"NM",(R38/J38-1)*100)))</f>
        <v>NM</v>
      </c>
      <c r="T38" s="36">
        <f>T31+T32</f>
        <v>441.59999999999991</v>
      </c>
      <c r="U38" s="23">
        <f>IF(ISERROR((T38/L38-1)*100),"NA",IF(((T38/L38-1)*100)&gt;100,"NM",IF(((T38/L38-1)*100)&lt;-50,"NM",(T38/L38-1)*100)))</f>
        <v>-20.675408658164173</v>
      </c>
      <c r="V38" s="36">
        <f>V31+V32</f>
        <v>234.30000000000018</v>
      </c>
      <c r="W38" s="23" t="str">
        <f>IF(ISERROR((V38/N38-1)*100),"NA",IF(((V38/N38-1)*100)&gt;100,"NM",IF(((V38/N38-1)*100)&lt;-50,"NM",(V38/N38-1)*100)))</f>
        <v>NM</v>
      </c>
      <c r="X38" s="36">
        <f>X31+X32</f>
        <v>363.19999999999982</v>
      </c>
      <c r="Y38" s="23" t="str">
        <f>IF(ISERROR((X38/P38-1)*100),"NA",IF(((X38/P38-1)*100)&gt;100,"NM",IF(((X38/P38-1)*100)&lt;-50,"NM",(X38/P38-1)*100)))</f>
        <v>NM</v>
      </c>
      <c r="Z38" s="36">
        <f>Z31+Z32</f>
        <v>44.400000000000091</v>
      </c>
      <c r="AA38" s="23" t="str">
        <f>IF(ISERROR((Z38/R38-1)*100),"NA",IF(((Z38/R38-1)*100)&gt;100,"NM",IF(((Z38/R38-1)*100)&lt;-50,"NM",(Z38/R38-1)*100)))</f>
        <v>NM</v>
      </c>
      <c r="AB38" s="36">
        <f>AB31+AB32</f>
        <v>-22.400000000000091</v>
      </c>
      <c r="AC38" s="23" t="str">
        <f>IF(ISERROR((AB38/T38-1)*100),"NA",IF(((AB38/T38-1)*100)&gt;100,"NM",IF(((AB38/T38-1)*100)&lt;-50,"NM",(AB38/T38-1)*100)))</f>
        <v>NM</v>
      </c>
      <c r="AD38" s="36">
        <f>AD31+AD32</f>
        <v>-66.400000000000546</v>
      </c>
      <c r="AE38" s="23" t="str">
        <f>IF(ISERROR((AD38/V38-1)*100),"NA",IF(((AD38/V38-1)*100)&gt;100,"NM",IF(((AD38/V38-1)*100)&lt;-50,"NM",(AD38/V38-1)*100)))</f>
        <v>NM</v>
      </c>
      <c r="AF38" s="36">
        <f>AF31+AF32</f>
        <v>-202.29999999999927</v>
      </c>
      <c r="AG38" s="23" t="str">
        <f>IF(ISERROR((AF38/X38-1)*100),"NA",IF(((AF38/X38-1)*100)&gt;100,"NM",IF(((AF38/X38-1)*100)&lt;-50,"NM",(AF38/X38-1)*100)))</f>
        <v>NM</v>
      </c>
      <c r="AH38" s="36">
        <f>AH31+AH32</f>
        <v>660.60000000000082</v>
      </c>
      <c r="AI38" s="23" t="str">
        <f>IF(ISERROR((AH38/Z38-1)*100),"NA",IF(((AH38/Z38-1)*100)&gt;100,"NM",IF(((AH38/Z38-1)*100)&lt;-50,"NM",(AH38/Z38-1)*100)))</f>
        <v>NM</v>
      </c>
      <c r="AJ38" s="36">
        <f>AJ31+AJ32</f>
        <v>475.30000000000018</v>
      </c>
      <c r="AK38" s="23" t="str">
        <f>IF(ISERROR((AJ38/AB38-1)*100),"NA",IF(((AJ38/AB38-1)*100)&gt;100,"NM",IF(((AJ38/AB38-1)*100)&lt;-50,"NM",(AJ38/AB38-1)*100)))</f>
        <v>NM</v>
      </c>
      <c r="AL38" s="36">
        <f>AL31+AL32</f>
        <v>-1129</v>
      </c>
      <c r="AM38" s="23" t="str">
        <f>IF(ISERROR((AL38/AD38-1)*100),"NA",IF(((AL38/AD38-1)*100)&gt;100,"NM",IF(((AL38/AD38-1)*100)&lt;-50,"NM",(AL38/AD38-1)*100)))</f>
        <v>NM</v>
      </c>
      <c r="AN38" s="410">
        <f t="shared" ref="AN38:AP38" si="321">AN31+AN32</f>
        <v>556.79999999999973</v>
      </c>
      <c r="AO38" s="23" t="str">
        <f>IF(ISERROR((AN38/AF38-1)*100),"NA",IF(((AN38/AF38-1)*100)&gt;100,"NM",IF(((AN38/AF38-1)*100)&lt;-50,"NM",(AN38/AF38-1)*100)))</f>
        <v>NM</v>
      </c>
      <c r="AP38" s="410">
        <f t="shared" si="321"/>
        <v>1082.3000000000002</v>
      </c>
      <c r="AQ38" s="23">
        <f t="shared" ref="AQ38" si="322">IF(ISERROR((AP38/AH38-1)*100),"NA",IF(((AP38/AH38-1)*100)&gt;100,"NM",IF(((AP38/AH38-1)*100)&lt;-50,"NM",(AP38/AH38-1)*100)))</f>
        <v>63.835906751437911</v>
      </c>
      <c r="AR38" s="410">
        <f t="shared" ref="AR38:AT38" si="323">AR31+AR32</f>
        <v>692.49999999999955</v>
      </c>
      <c r="AS38" s="23">
        <f t="shared" ref="AS38" si="324">IF(ISERROR((AR38/AJ38-1)*100),"NA",IF(((AR38/AJ38-1)*100)&gt;100,"NM",IF(((AR38/AJ38-1)*100)&lt;-50,"NM",(AR38/AJ38-1)*100)))</f>
        <v>45.697454239427572</v>
      </c>
      <c r="AT38" s="410">
        <f t="shared" si="323"/>
        <v>1356.7999999999997</v>
      </c>
      <c r="AU38" s="23" t="str">
        <f t="shared" ref="AU38" si="325">IF(ISERROR((AT38/AL38-1)*100),"NA",IF(((AT38/AL38-1)*100)&gt;100,"NM",IF(((AT38/AL38-1)*100)&lt;-50,"NM",(AT38/AL38-1)*100)))</f>
        <v>NM</v>
      </c>
      <c r="AV38" s="410">
        <f t="shared" ref="AV38:AX38" si="326">AV31+AV32</f>
        <v>803.10000000000036</v>
      </c>
      <c r="AW38" s="23">
        <f t="shared" ref="AW38" si="327">IF(ISERROR((AV38/AN38-1)*100),"NA",IF(((AV38/AN38-1)*100)&gt;100,"NM",IF(((AV38/AN38-1)*100)&lt;-50,"NM",(AV38/AN38-1)*100)))</f>
        <v>44.23491379310358</v>
      </c>
      <c r="AX38" s="410">
        <f t="shared" si="326"/>
        <v>610.20000000000073</v>
      </c>
      <c r="AY38" s="23">
        <f t="shared" ref="AY38" si="328">IF(ISERROR((AX38/AP38-1)*100),"NA",IF(((AX38/AP38-1)*100)&gt;100,"NM",IF(((AX38/AP38-1)*100)&lt;-50,"NM",(AX38/AP38-1)*100)))</f>
        <v>-43.620068372909479</v>
      </c>
      <c r="AZ38" s="410">
        <f t="shared" ref="AZ38" si="329">AZ31+AZ32</f>
        <v>280.20000000000027</v>
      </c>
      <c r="BA38" s="23" t="str">
        <f t="shared" ref="BA38" si="330">IF(ISERROR((AZ38/AR38-1)*100),"NA",IF(((AZ38/AR38-1)*100)&gt;100,"NM",IF(((AZ38/AR38-1)*100)&lt;-50,"NM",(AZ38/AR38-1)*100)))</f>
        <v>NM</v>
      </c>
      <c r="BB38" s="410">
        <f t="shared" ref="BB38:BD38" si="331">BB31+BB32</f>
        <v>1090.5</v>
      </c>
      <c r="BC38" s="23">
        <f t="shared" ref="BC38" si="332">IF(ISERROR((BB38/AT38-1)*100),"NA",IF(((BB38/AT38-1)*100)&gt;100,"NM",IF(((BB38/AT38-1)*100)&lt;-50,"NM",(BB38/AT38-1)*100)))</f>
        <v>-19.627063679245271</v>
      </c>
      <c r="BD38" s="410">
        <f t="shared" si="331"/>
        <v>-476</v>
      </c>
      <c r="BE38" s="23" t="str">
        <f t="shared" ref="BE38" si="333">IF(ISERROR((BD38/AV38-1)*100),"NA",IF(((BD38/AV38-1)*100)&gt;100,"NM",IF(((BD38/AV38-1)*100)&lt;-50,"NM",(BD38/AV38-1)*100)))</f>
        <v>NM</v>
      </c>
      <c r="BF38" s="36">
        <f t="shared" ref="BF38" si="334">BF31+BF32</f>
        <v>-570.03622499999983</v>
      </c>
      <c r="BG38" s="23" t="str">
        <f t="shared" ref="BG38" si="335">IF(ISERROR((BF38/AX38-1)*100),"NA",IF(((BF38/AX38-1)*100)&gt;100,"NM",IF(((BF38/AX38-1)*100)&lt;-50,"NM",(BF38/AX38-1)*100)))</f>
        <v>NM</v>
      </c>
      <c r="BH38" s="36">
        <f t="shared" ref="BH38" si="336">BH31+BH32</f>
        <v>444.35653823275061</v>
      </c>
      <c r="BI38" s="23">
        <f t="shared" ref="BI38" si="337">IF(ISERROR((BH38/AZ38-1)*100),"NA",IF(((BH38/AZ38-1)*100)&gt;100,"NM",IF(((BH38/AZ38-1)*100)&lt;-50,"NM",(BH38/AZ38-1)*100)))</f>
        <v>58.585488305763803</v>
      </c>
      <c r="BJ38" s="36">
        <f t="shared" ref="BJ38" si="338">BJ31+BJ32</f>
        <v>417.67130450144487</v>
      </c>
      <c r="BK38" s="23" t="str">
        <f t="shared" ref="BK38" si="339">IF(ISERROR((BJ38/BB38-1)*100),"NA",IF(((BJ38/BB38-1)*100)&gt;100,"NM",IF(((BJ38/BB38-1)*100)&lt;-50,"NM",(BJ38/BB38-1)*100)))</f>
        <v>NM</v>
      </c>
      <c r="BL38" s="36">
        <f t="shared" ref="BL38" si="340">BL31+BL32</f>
        <v>414.64713895698151</v>
      </c>
      <c r="BM38" s="23" t="str">
        <f t="shared" ref="BM38" si="341">IF(ISERROR((BL38/BD38-1)*100),"NA",IF(((BL38/BD38-1)*100)&gt;100,"NM",IF(((BL38/BD38-1)*100)&lt;-50,"NM",(BL38/BD38-1)*100)))</f>
        <v>NM</v>
      </c>
      <c r="BN38" s="36"/>
      <c r="BO38" s="137"/>
      <c r="BP38" s="36"/>
      <c r="BQ38" s="36">
        <f>BQ31+BQ32</f>
        <v>857.60000000000036</v>
      </c>
      <c r="BR38" s="49"/>
      <c r="BS38" s="36">
        <f>BS31+BS32</f>
        <v>1445.3999999999996</v>
      </c>
      <c r="BT38" s="49"/>
      <c r="BU38" s="36">
        <f>BU31+BU32</f>
        <v>3001.0999999999985</v>
      </c>
      <c r="BV38" s="23" t="str">
        <f>IF(ISERROR((BU38/BS38-1)*100),"NA",IF(((BU38/BS38-1)*100)&gt;100,"NM",IF(((BU38/BS38-1)*100)&lt;-50,"NM",(BU38/BS38-1)*100)))</f>
        <v>NM</v>
      </c>
      <c r="BW38" s="36">
        <f>BW31+BW32</f>
        <v>3465.3999999999978</v>
      </c>
      <c r="BX38" s="23">
        <f>IF(ISERROR((BW38/BU38-1)*100),"NA",IF(((BW38/BU38-1)*100)&gt;100,"NM",IF(((BW38/BU38-1)*100)&lt;-50,"NM",(BW38/BU38-1)*100)))</f>
        <v>15.470993968878055</v>
      </c>
      <c r="BY38" s="36">
        <f>BY31+BY32</f>
        <v>2458.5</v>
      </c>
      <c r="BZ38" s="23">
        <f>IF(ISERROR((BY38/BW38-1)*100),"NA",IF(((BY38/BW38-1)*100)&gt;100,"NM",IF(((BY38/BW38-1)*100)&lt;-50,"NM",(BY38/BW38-1)*100)))</f>
        <v>-29.055808853234787</v>
      </c>
      <c r="CA38" s="36">
        <f>CA31+CA32</f>
        <v>-246.70000000000255</v>
      </c>
      <c r="CB38" s="23" t="str">
        <f>IF(ISERROR((CA38/BY38-1)*100),"NA",IF(((CA38/BY38-1)*100)&gt;100,"NM",IF(((CA38/BY38-1)*100)&lt;-50,"NM",(CA38/BY38-1)*100)))</f>
        <v>NM</v>
      </c>
      <c r="CC38" s="36">
        <f>CC31+CC32</f>
        <v>563.70000000000073</v>
      </c>
      <c r="CD38" s="23" t="str">
        <f>IF(ISERROR((CC38/CA38-1)*100),"NA",IF(((CC38/CA38-1)*100)&gt;100,"NM",IF(((CC38/CA38-1)*100)&lt;-50,"NM",(CC38/CA38-1)*100)))</f>
        <v>NM</v>
      </c>
      <c r="CE38" s="36">
        <f>CE31+CE32</f>
        <v>3934.6999999999989</v>
      </c>
      <c r="CF38" s="23" t="str">
        <f>IF(ISERROR((CE38/CC38-1)*100),"NA",IF(((CE38/CC38-1)*100)&gt;100,"NM",IF(((CE38/CC38-1)*100)&lt;-50,"NM",(CE38/CC38-1)*100)))</f>
        <v>NM</v>
      </c>
      <c r="CG38" s="36">
        <f>CG31+CG32</f>
        <v>1504.8999999999978</v>
      </c>
      <c r="CH38" s="23" t="str">
        <f>IF(ISERROR((CG38/CE38-1)*100),"NA",IF(((CG38/CE38-1)*100)&gt;100,"NM",IF(((CG38/CE38-1)*100)&lt;-50,"NM",(CG38/CE38-1)*100)))</f>
        <v>NM</v>
      </c>
      <c r="CI38" s="36">
        <f>CI31+CI32</f>
        <v>706.63875669117988</v>
      </c>
      <c r="CJ38" s="23" t="str">
        <f>IF(ISERROR((CI38/CG38-1)*100),"NA",IF(((CI38/CG38-1)*100)&gt;100,"NM",IF(((CI38/CG38-1)*100)&lt;-50,"NM",(CI38/CG38-1)*100)))</f>
        <v>NM</v>
      </c>
      <c r="CK38" s="36">
        <f>CK31+CK32</f>
        <v>1220.7198126779658</v>
      </c>
      <c r="CL38" s="23">
        <f>IF(ISERROR((CK38/CI38-1)*100),"NA",IF(((CK38/CI38-1)*100)&gt;100,"NM",IF(((CK38/CI38-1)*100)&lt;-50,"NM",(CK38/CI38-1)*100)))</f>
        <v>72.750192530333166</v>
      </c>
      <c r="CM38" s="36">
        <f>CM31+CM32</f>
        <v>1134.9237352533601</v>
      </c>
      <c r="CN38" s="23">
        <f>IF(ISERROR((CM38/CK38-1)*100),"NA",IF(((CM38/CK38-1)*100)&gt;100,"NM",IF(((CM38/CK38-1)*100)&lt;-50,"NM",(CM38/CK38-1)*100)))</f>
        <v>-7.0283185816727105</v>
      </c>
      <c r="CO38" s="36">
        <f>CO31+CO32</f>
        <v>1193.4493000355142</v>
      </c>
      <c r="CP38" s="23">
        <f>IF(ISERROR((CO38/CM38-1)*100),"NA",IF(((CO38/CM38-1)*100)&gt;100,"NM",IF(((CO38/CM38-1)*100)&lt;-50,"NM",(CO38/CM38-1)*100)))</f>
        <v>5.1567839286653872</v>
      </c>
      <c r="CQ38" s="36">
        <f>CQ31+CQ32</f>
        <v>1254.9929017365248</v>
      </c>
      <c r="CR38" s="23">
        <f>IF(ISERROR((CQ38/CO38-1)*100),"NA",IF(((CQ38/CO38-1)*100)&gt;100,"NM",IF(((CQ38/CO38-1)*100)&lt;-50,"NM",(CQ38/CO38-1)*100)))</f>
        <v>5.1567839286662087</v>
      </c>
      <c r="CS38" s="23">
        <f>IF(ISERROR(((CQ38/CG38)^0.2-1)*100),"NA",IF((((CQ38/CG38)^0.2-1)*100)&gt;100,"NM",IF((((CQ38/CG38)^0.2-1)*100)&lt;-50,"NM",((CQ38/CG38)^0.2-1)*100)))</f>
        <v>-3.5667673595824456</v>
      </c>
    </row>
    <row r="39" spans="1:97" ht="12.75" customHeight="1" x14ac:dyDescent="0.2">
      <c r="J39" s="32"/>
      <c r="L39" s="32"/>
      <c r="N39" s="32"/>
      <c r="P39" s="32"/>
      <c r="R39" s="32"/>
      <c r="T39" s="32"/>
      <c r="V39" s="32"/>
      <c r="X39" s="32"/>
      <c r="Z39" s="32"/>
      <c r="AB39" s="32"/>
      <c r="AD39" s="32"/>
      <c r="AF39" s="32"/>
      <c r="AH39" s="32"/>
      <c r="AJ39" s="32"/>
      <c r="AL39" s="32"/>
      <c r="AN39" s="484"/>
      <c r="AP39" s="484"/>
      <c r="AR39" s="409"/>
      <c r="AT39" s="409"/>
      <c r="AV39" s="409"/>
      <c r="AX39" s="409"/>
      <c r="AZ39" s="409"/>
      <c r="BB39" s="409"/>
      <c r="BD39" s="409"/>
      <c r="BF39" s="35"/>
      <c r="BH39" s="35"/>
      <c r="BJ39" s="35"/>
      <c r="BL39" s="35"/>
      <c r="BN39" s="5"/>
      <c r="BO39" s="136"/>
      <c r="BP39" s="5"/>
      <c r="BQ39" s="5"/>
      <c r="BR39" s="5"/>
      <c r="BS39" s="5"/>
      <c r="BT39" s="5"/>
      <c r="BU39" s="5"/>
      <c r="BW39" s="5"/>
      <c r="BY39" s="13"/>
      <c r="CA39" s="417"/>
      <c r="CC39" s="13"/>
      <c r="CE39" s="13"/>
      <c r="CG39" s="13"/>
      <c r="CI39" s="13"/>
    </row>
    <row r="40" spans="1:97" ht="12.75" customHeight="1" x14ac:dyDescent="0.2">
      <c r="A40" s="4" t="s">
        <v>324</v>
      </c>
      <c r="B40" s="99">
        <v>222044.9</v>
      </c>
      <c r="D40" s="99">
        <v>218560.8</v>
      </c>
      <c r="F40" s="99">
        <v>198895.9</v>
      </c>
      <c r="H40" s="99">
        <v>208366</v>
      </c>
      <c r="J40" s="99">
        <v>215848.5</v>
      </c>
      <c r="L40" s="99">
        <v>209881.4</v>
      </c>
      <c r="N40" s="99">
        <v>215513.60000000001</v>
      </c>
      <c r="P40" s="99">
        <v>213675.5</v>
      </c>
      <c r="R40" s="99">
        <v>223034.6</v>
      </c>
      <c r="T40" s="99">
        <v>220739.5</v>
      </c>
      <c r="V40" s="99">
        <v>227841.9</v>
      </c>
      <c r="X40" s="120">
        <v>237777.1</v>
      </c>
      <c r="Z40" s="120">
        <v>235906</v>
      </c>
      <c r="AB40" s="120">
        <v>241664</v>
      </c>
      <c r="AD40" s="120">
        <v>240939</v>
      </c>
      <c r="AF40" s="120">
        <v>244851.20000000001</v>
      </c>
      <c r="AH40" s="120">
        <v>201584</v>
      </c>
      <c r="AJ40" s="120">
        <v>201116.9</v>
      </c>
      <c r="AL40" s="120">
        <v>181056.9</v>
      </c>
      <c r="AN40" s="504">
        <v>180949.9</v>
      </c>
      <c r="AP40" s="504">
        <v>183479.3</v>
      </c>
      <c r="AR40" s="504">
        <v>188335.2</v>
      </c>
      <c r="AT40" s="504">
        <v>195136.9</v>
      </c>
      <c r="AV40" s="504">
        <v>195440.7</v>
      </c>
      <c r="AX40" s="504">
        <v>209308.1</v>
      </c>
      <c r="AZ40" s="504">
        <v>213498.6</v>
      </c>
      <c r="BB40" s="504">
        <v>227283.6</v>
      </c>
      <c r="BD40" s="504">
        <v>244517</v>
      </c>
      <c r="BF40" s="35"/>
      <c r="BH40" s="35"/>
      <c r="BJ40" s="35"/>
      <c r="BL40" s="35"/>
      <c r="BN40" s="5"/>
      <c r="BO40" s="136"/>
      <c r="BP40" s="5"/>
      <c r="BQ40" s="5"/>
      <c r="BR40" s="5"/>
      <c r="BS40" s="5"/>
      <c r="BT40" s="5"/>
      <c r="BU40" s="36">
        <f>H40</f>
        <v>208366</v>
      </c>
      <c r="BW40" s="36">
        <f>P40</f>
        <v>213675.5</v>
      </c>
      <c r="BY40" s="119">
        <f>X40</f>
        <v>237777.1</v>
      </c>
      <c r="CA40" s="119">
        <f>AF40</f>
        <v>244851.20000000001</v>
      </c>
      <c r="CC40" s="119">
        <f>AN40</f>
        <v>180949.9</v>
      </c>
      <c r="CE40" s="119">
        <f>AV40</f>
        <v>195440.7</v>
      </c>
      <c r="CG40" s="13"/>
      <c r="CI40" s="13"/>
    </row>
    <row r="41" spans="1:97" ht="12.75" customHeight="1" x14ac:dyDescent="0.2">
      <c r="A41" s="4" t="s">
        <v>2</v>
      </c>
      <c r="B41" s="32">
        <f>B35+B40</f>
        <v>301264.09999999998</v>
      </c>
      <c r="D41" s="32">
        <f>D35+D40</f>
        <v>298457</v>
      </c>
      <c r="F41" s="32">
        <f>F35+F40</f>
        <v>273410.5</v>
      </c>
      <c r="H41" s="32">
        <f>H35+H40</f>
        <v>287843.69999999995</v>
      </c>
      <c r="J41" s="32">
        <f>J35+J40</f>
        <v>300928.3</v>
      </c>
      <c r="L41" s="32">
        <f>L35+L40</f>
        <v>294095.69999999995</v>
      </c>
      <c r="N41" s="32">
        <f>N35+N40</f>
        <v>303181.90000000002</v>
      </c>
      <c r="P41" s="32">
        <f>P35+P40</f>
        <v>304146.5</v>
      </c>
      <c r="R41" s="32">
        <f>R35+R40</f>
        <v>318636.7</v>
      </c>
      <c r="T41" s="32">
        <f>T35+T40</f>
        <v>317216.40000000002</v>
      </c>
      <c r="V41" s="32">
        <f>V35+V40</f>
        <v>328258.8</v>
      </c>
      <c r="X41" s="119">
        <f>X35+X40</f>
        <v>343013.8</v>
      </c>
      <c r="Z41" s="119">
        <f>Z35+Z40</f>
        <v>342420.9</v>
      </c>
      <c r="AB41" s="119">
        <f>AB35+AB40</f>
        <v>350092</v>
      </c>
      <c r="AD41" s="119">
        <f>AD35+AD40</f>
        <v>348593.5</v>
      </c>
      <c r="AF41" s="119">
        <f>AF35+AF40</f>
        <v>354544.30000000005</v>
      </c>
      <c r="AH41" s="119">
        <f>AH35+AH40</f>
        <v>314086.09999999998</v>
      </c>
      <c r="AJ41" s="119">
        <f>AJ35+AJ40</f>
        <v>314100.19999999995</v>
      </c>
      <c r="AL41" s="119">
        <f>AL35+AL40</f>
        <v>288349.5</v>
      </c>
      <c r="AN41" s="458">
        <f t="shared" ref="AN41:AP41" si="342">AN35+AN40</f>
        <v>291756.79999999999</v>
      </c>
      <c r="AP41" s="458">
        <f t="shared" si="342"/>
        <v>295906.3</v>
      </c>
      <c r="AR41" s="458">
        <f t="shared" ref="AR41:AT41" si="343">AR35+AR40</f>
        <v>303247.09999999998</v>
      </c>
      <c r="AT41" s="458">
        <f t="shared" si="343"/>
        <v>314705.19999999995</v>
      </c>
      <c r="AV41" s="458">
        <f t="shared" ref="AV41:AX41" si="344">AV35+AV40</f>
        <v>316848.90000000002</v>
      </c>
      <c r="AX41" s="458">
        <f t="shared" si="344"/>
        <v>335750.8</v>
      </c>
      <c r="AZ41" s="458">
        <f t="shared" ref="AZ41" si="345">AZ35+AZ40</f>
        <v>343233.4</v>
      </c>
      <c r="BB41" s="458">
        <f t="shared" ref="BB41:BD41" si="346">BB35+BB40</f>
        <v>361868.2</v>
      </c>
      <c r="BD41" s="458">
        <f t="shared" si="346"/>
        <v>382707.6</v>
      </c>
      <c r="BF41" s="35"/>
      <c r="BH41" s="35"/>
      <c r="BJ41" s="35"/>
      <c r="BL41" s="35"/>
      <c r="BN41" s="5"/>
      <c r="BO41" s="136"/>
      <c r="BP41" s="5"/>
      <c r="BQ41" s="5"/>
      <c r="BR41" s="5"/>
      <c r="BS41" s="5"/>
      <c r="BT41" s="5"/>
      <c r="BU41" s="36">
        <f>BU35+BU40</f>
        <v>287843.7</v>
      </c>
      <c r="BW41" s="36">
        <f>BW35+BW40</f>
        <v>304146.5</v>
      </c>
      <c r="BY41" s="36">
        <f>BY35+BY40</f>
        <v>343013.8</v>
      </c>
      <c r="CA41" s="36">
        <f>CA35+CA40</f>
        <v>354544.3</v>
      </c>
      <c r="CC41" s="36">
        <f>CC35+CC40</f>
        <v>291756.79999999999</v>
      </c>
      <c r="CE41" s="36">
        <f>CE35+CE40</f>
        <v>316848.90000000002</v>
      </c>
      <c r="CG41" s="13"/>
      <c r="CI41" s="13"/>
    </row>
    <row r="42" spans="1:97" ht="12.75" customHeight="1" x14ac:dyDescent="0.2">
      <c r="J42" s="32"/>
      <c r="L42" s="32"/>
      <c r="N42" s="32"/>
      <c r="P42" s="32"/>
      <c r="R42" s="32"/>
      <c r="T42" s="32"/>
      <c r="V42" s="32"/>
      <c r="X42" s="119"/>
      <c r="Z42" s="119"/>
      <c r="AB42" s="119"/>
      <c r="AD42" s="119"/>
      <c r="AF42" s="119"/>
      <c r="AH42" s="119"/>
      <c r="AJ42" s="119"/>
      <c r="AL42" s="119"/>
      <c r="AN42" s="458"/>
      <c r="AP42" s="458"/>
      <c r="AR42" s="409"/>
      <c r="AT42" s="409"/>
      <c r="AV42" s="409"/>
      <c r="AX42" s="409"/>
      <c r="AZ42" s="409"/>
      <c r="BB42" s="409"/>
      <c r="BD42" s="409"/>
      <c r="BF42" s="35"/>
      <c r="BH42" s="35"/>
      <c r="BJ42" s="35"/>
      <c r="BL42" s="35"/>
      <c r="BN42" s="5"/>
      <c r="BO42" s="136"/>
      <c r="BP42" s="5"/>
      <c r="BQ42" s="5"/>
      <c r="BR42" s="5"/>
      <c r="BS42" s="5"/>
      <c r="BT42" s="5"/>
      <c r="BU42" s="5"/>
      <c r="BW42" s="5"/>
      <c r="BY42" s="13"/>
      <c r="CA42" s="13"/>
      <c r="CC42" s="13"/>
      <c r="CE42" s="13"/>
      <c r="CG42" s="13"/>
      <c r="CI42" s="13"/>
    </row>
    <row r="43" spans="1:97" ht="12.75" customHeight="1" x14ac:dyDescent="0.2">
      <c r="A43" s="4" t="s">
        <v>122</v>
      </c>
      <c r="B43" s="35">
        <f t="shared" ref="B43:N43" si="347">B29/B28*400</f>
        <v>5.2601459670907706</v>
      </c>
      <c r="C43" s="59"/>
      <c r="D43" s="35">
        <f t="shared" si="347"/>
        <v>5.4926078526417834</v>
      </c>
      <c r="E43" s="59"/>
      <c r="F43" s="35">
        <f t="shared" si="347"/>
        <v>5.136164173014488</v>
      </c>
      <c r="G43" s="59"/>
      <c r="H43" s="35">
        <f t="shared" si="347"/>
        <v>7.2560276777973733</v>
      </c>
      <c r="I43" s="59"/>
      <c r="J43" s="35">
        <f t="shared" si="347"/>
        <v>6.0399332139707118</v>
      </c>
      <c r="K43" s="23">
        <f>IF(ISERROR((J43/B43-1)*100),"NA",IF(((J43/B43-1)*100)&gt;100,"NM",IF(((J43/B43-1)*100)&lt;-50,"NM",(J43/B43-1)*100)))</f>
        <v>14.824441218143946</v>
      </c>
      <c r="L43" s="35">
        <f t="shared" si="347"/>
        <v>5.8679028394519026</v>
      </c>
      <c r="M43" s="23">
        <f>IF(ISERROR((L43/D43-1)*100),"NA",IF(((L43/D43-1)*100)&gt;100,"NM",IF(((L43/D43-1)*100)&lt;-50,"NM",(L43/D43-1)*100)))</f>
        <v>6.8327285850129149</v>
      </c>
      <c r="N43" s="35">
        <f t="shared" si="347"/>
        <v>6.235045592019409</v>
      </c>
      <c r="O43" s="23">
        <f>IF(ISERROR((N43/F43-1)*100),"NA",IF(((N43/F43-1)*100)&gt;100,"NM",IF(((N43/F43-1)*100)&lt;-50,"NM",(N43/F43-1)*100)))</f>
        <v>21.39498236404642</v>
      </c>
      <c r="P43" s="35">
        <f>P29/P28*400</f>
        <v>14.380112309694612</v>
      </c>
      <c r="Q43" s="23">
        <f>IF(ISERROR((P43/H43-1)*100),"NA",IF(((P43/H43-1)*100)&gt;100,"NM",IF(((P43/H43-1)*100)&lt;-50,"NM",(P43/H43-1)*100)))</f>
        <v>98.181607736918281</v>
      </c>
      <c r="R43" s="35">
        <f>R29/R28*400</f>
        <v>11.501144012998642</v>
      </c>
      <c r="S43" s="23">
        <f>IF(ISERROR((R43/J43-1)*100),"NA",IF(((R43/J43-1)*100)&gt;100,"NM",IF(((R43/J43-1)*100)&lt;-50,"NM",(R43/J43-1)*100)))</f>
        <v>90.418397117303172</v>
      </c>
      <c r="T43" s="35">
        <f>T29/T28*400</f>
        <v>7.0366655125776516</v>
      </c>
      <c r="U43" s="23">
        <f>IF(ISERROR((T43/L43-1)*100),"NA",IF(((T43/L43-1)*100)&gt;100,"NM",IF(((T43/L43-1)*100)&lt;-50,"NM",(T43/L43-1)*100)))</f>
        <v>19.917894094424348</v>
      </c>
      <c r="V43" s="35">
        <f>V29/V28*400</f>
        <v>6.8012135547473029</v>
      </c>
      <c r="W43" s="23">
        <f>IF(ISERROR((V43/N43-1)*100),"NA",IF(((V43/N43-1)*100)&gt;100,"NM",IF(((V43/N43-1)*100)&lt;-50,"NM",(V43/N43-1)*100)))</f>
        <v>9.0804141585197904</v>
      </c>
      <c r="X43" s="37">
        <f>X29/X28*400</f>
        <v>8.0269357050456644</v>
      </c>
      <c r="Y43" s="23">
        <f>IF(ISERROR((X43/P43-1)*100),"NA",IF(((X43/P43-1)*100)&gt;100,"NM",IF(((X43/P43-1)*100)&lt;-50,"NM",(X43/P43-1)*100)))</f>
        <v>-44.180298928304182</v>
      </c>
      <c r="Z43" s="37">
        <f>Z29/Z28*400</f>
        <v>6.0324962679369456</v>
      </c>
      <c r="AA43" s="23">
        <f>IF(ISERROR((Z43/R43-1)*100),"NA",IF(((Z43/R43-1)*100)&gt;100,"NM",IF(((Z43/R43-1)*100)&lt;-50,"NM",(Z43/R43-1)*100)))</f>
        <v>-47.548728534144146</v>
      </c>
      <c r="AB43" s="37">
        <f>AB29/AB28*400</f>
        <v>5.4230910417228007</v>
      </c>
      <c r="AC43" s="23">
        <f>IF(ISERROR((AB43/T43-1)*100),"NA",IF(((AB43/T43-1)*100)&gt;100,"NM",IF(((AB43/T43-1)*100)&lt;-50,"NM",(AB43/T43-1)*100)))</f>
        <v>-22.930953133564124</v>
      </c>
      <c r="AD43" s="37">
        <f>AD29/AD28*400</f>
        <v>5.5137049470616439</v>
      </c>
      <c r="AE43" s="23">
        <f>IF(ISERROR((AD43/V43-1)*100),"NA",IF(((AD43/V43-1)*100)&gt;100,"NM",IF(((AD43/V43-1)*100)&lt;-50,"NM",(AD43/V43-1)*100)))</f>
        <v>-18.930571688738805</v>
      </c>
      <c r="AF43" s="37">
        <f>AF29/AF28*400</f>
        <v>9.857460672800487</v>
      </c>
      <c r="AG43" s="23">
        <f>IF(ISERROR((AF43/X43-1)*100),"NA",IF(((AF43/X43-1)*100)&gt;100,"NM",IF(((AF43/X43-1)*100)&lt;-50,"NM",(AF43/X43-1)*100)))</f>
        <v>22.804779246010032</v>
      </c>
      <c r="AH43" s="37">
        <f>AH29/AH28*400</f>
        <v>8.0493668243490255</v>
      </c>
      <c r="AI43" s="23">
        <f>IF(ISERROR((AH43/Z43-1)*100),"NA",IF(((AH43/Z43-1)*100)&gt;100,"NM",IF(((AH43/Z43-1)*100)&lt;-50,"NM",(AH43/Z43-1)*100)))</f>
        <v>33.433432311128961</v>
      </c>
      <c r="AJ43" s="37">
        <f>AJ29/AJ28*400</f>
        <v>5.8235357384439936</v>
      </c>
      <c r="AK43" s="23">
        <f>IF(ISERROR((AJ43/AB43-1)*100),"NA",IF(((AJ43/AB43-1)*100)&gt;100,"NM",IF(((AJ43/AB43-1)*100)&lt;-50,"NM",(AJ43/AB43-1)*100)))</f>
        <v>7.3840673822429537</v>
      </c>
      <c r="AL43" s="37">
        <f>AL29/AL28*400</f>
        <v>7.4846459609517524</v>
      </c>
      <c r="AM43" s="23">
        <f>IF(ISERROR((AL43/AD43-1)*100),"NA",IF(((AL43/AD43-1)*100)&gt;100,"NM",IF(((AL43/AD43-1)*100)&lt;-50,"NM",(AL43/AD43-1)*100)))</f>
        <v>35.746218428689389</v>
      </c>
      <c r="AN43" s="411">
        <f t="shared" ref="AN43:AP43" si="348">AN29/AN28*400</f>
        <v>8.6980835584187535</v>
      </c>
      <c r="AO43" s="23">
        <f>IF(ISERROR((AN43/AF43-1)*100),"NA",IF(((AN43/AF43-1)*100)&gt;100,"NM",IF(((AN43/AF43-1)*100)&lt;-50,"NM",(AN43/AF43-1)*100)))</f>
        <v>-11.761417598964218</v>
      </c>
      <c r="AP43" s="411">
        <f t="shared" si="348"/>
        <v>6.9529966094169229</v>
      </c>
      <c r="AQ43" s="23">
        <f t="shared" ref="AQ43:AQ47" si="349">IF(ISERROR((AP43/AH43-1)*100),"NA",IF(((AP43/AH43-1)*100)&gt;100,"NM",IF(((AP43/AH43-1)*100)&lt;-50,"NM",(AP43/AH43-1)*100)))</f>
        <v>-13.620577106954856</v>
      </c>
      <c r="AR43" s="411">
        <f t="shared" ref="AR43:AT43" si="350">AR29/AR28*400</f>
        <v>6.0576196109475475</v>
      </c>
      <c r="AS43" s="23">
        <f t="shared" ref="AS43:AS47" si="351">IF(ISERROR((AR43/AJ43-1)*100),"NA",IF(((AR43/AJ43-1)*100)&gt;100,"NM",IF(((AR43/AJ43-1)*100)&lt;-50,"NM",(AR43/AJ43-1)*100)))</f>
        <v>4.0196176861807986</v>
      </c>
      <c r="AT43" s="411">
        <f t="shared" si="350"/>
        <v>9.0946194432430403</v>
      </c>
      <c r="AU43" s="23">
        <f t="shared" ref="AU43:AU47" si="352">IF(ISERROR((AT43/AL43-1)*100),"NA",IF(((AT43/AL43-1)*100)&gt;100,"NM",IF(((AT43/AL43-1)*100)&lt;-50,"NM",(AT43/AL43-1)*100)))</f>
        <v>21.510349196083588</v>
      </c>
      <c r="AV43" s="411">
        <f t="shared" ref="AV43:AX43" si="353">AV29/AV28*400</f>
        <v>8.6230213191958072</v>
      </c>
      <c r="AW43" s="23">
        <f t="shared" ref="AW43:AW47" si="354">IF(ISERROR((AV43/AN43-1)*100),"NA",IF(((AV43/AN43-1)*100)&gt;100,"NM",IF(((AV43/AN43-1)*100)&lt;-50,"NM",(AV43/AN43-1)*100)))</f>
        <v>-0.86297445545110429</v>
      </c>
      <c r="AX43" s="411">
        <f t="shared" si="353"/>
        <v>8.2063649737002944</v>
      </c>
      <c r="AY43" s="23">
        <f t="shared" ref="AY43:AY47" si="355">IF(ISERROR((AX43/AP43-1)*100),"NA",IF(((AX43/AP43-1)*100)&gt;100,"NM",IF(((AX43/AP43-1)*100)&lt;-50,"NM",(AX43/AP43-1)*100)))</f>
        <v>18.026304839352992</v>
      </c>
      <c r="AZ43" s="411">
        <f t="shared" ref="AZ43" si="356">AZ29/AZ28*400</f>
        <v>6.0400481799265595</v>
      </c>
      <c r="BA43" s="23">
        <f t="shared" ref="BA43:BA47" si="357">IF(ISERROR((AZ43/AR43-1)*100),"NA",IF(((AZ43/AR43-1)*100)&gt;100,"NM",IF(((AZ43/AR43-1)*100)&lt;-50,"NM",(AZ43/AR43-1)*100)))</f>
        <v>-0.29007154871910634</v>
      </c>
      <c r="BB43" s="411">
        <f t="shared" ref="BB43:BD43" si="358">BB29/BB28*400</f>
        <v>7.909057554333919</v>
      </c>
      <c r="BC43" s="23">
        <f t="shared" ref="BC43:BC47" si="359">IF(ISERROR((BB43/AT43-1)*100),"NA",IF(((BB43/AT43-1)*100)&gt;100,"NM",IF(((BB43/AT43-1)*100)&lt;-50,"NM",(BB43/AT43-1)*100)))</f>
        <v>-13.035860338168948</v>
      </c>
      <c r="BD43" s="411">
        <f t="shared" si="358"/>
        <v>6.4970286347769353</v>
      </c>
      <c r="BE43" s="23">
        <f t="shared" ref="BE43:BE47" si="360">IF(ISERROR((BD43/AV43-1)*100),"NA",IF(((BD43/AV43-1)*100)&gt;100,"NM",IF(((BD43/AV43-1)*100)&lt;-50,"NM",(BD43/AV43-1)*100)))</f>
        <v>-24.654846668257392</v>
      </c>
      <c r="BF43" s="114">
        <v>7.6</v>
      </c>
      <c r="BG43" s="23">
        <f t="shared" ref="BG43:BG47" si="361">IF(ISERROR((BF43/AX43-1)*100),"NA",IF(((BF43/AX43-1)*100)&gt;100,"NM",IF(((BF43/AX43-1)*100)&lt;-50,"NM",(BF43/AX43-1)*100)))</f>
        <v>-7.3889593704833949</v>
      </c>
      <c r="BH43" s="114">
        <v>7.5</v>
      </c>
      <c r="BI43" s="23">
        <f t="shared" ref="BI43:BI47" si="362">IF(ISERROR((BH43/AZ43-1)*100),"NA",IF(((BH43/AZ43-1)*100)&gt;100,"NM",IF(((BH43/AZ43-1)*100)&lt;-50,"NM",(BH43/AZ43-1)*100)))</f>
        <v>24.17119494055413</v>
      </c>
      <c r="BJ43" s="114">
        <v>7.5049999999999999</v>
      </c>
      <c r="BK43" s="23">
        <f t="shared" ref="BK43:BK47" si="363">IF(ISERROR((BJ43/BB43-1)*100),"NA",IF(((BJ43/BB43-1)*100)&gt;100,"NM",IF(((BJ43/BB43-1)*100)&lt;-50,"NM",(BJ43/BB43-1)*100)))</f>
        <v>-5.1087952206455789</v>
      </c>
      <c r="BL43" s="114">
        <v>7.53</v>
      </c>
      <c r="BM43" s="23">
        <f t="shared" ref="BM43:BM47" si="364">IF(ISERROR((BL43/BD43-1)*100),"NA",IF(((BL43/BD43-1)*100)&gt;100,"NM",IF(((BL43/BD43-1)*100)&lt;-50,"NM",(BL43/BD43-1)*100)))</f>
        <v>15.899135178408063</v>
      </c>
      <c r="BN43" s="35"/>
      <c r="BO43" s="138"/>
      <c r="BP43" s="35"/>
      <c r="BQ43" s="113"/>
      <c r="BR43" s="113"/>
      <c r="BS43" s="113"/>
      <c r="BT43" s="35"/>
      <c r="BU43" s="35">
        <f>BU29/BU28*100</f>
        <v>5.8427339170971733</v>
      </c>
      <c r="BV43" s="23" t="str">
        <f>IF(ISERROR((BU43/BS43-1)*100),"NA",IF(((BU43/BS43-1)*100)&gt;100,"NM",IF(((BU43/BS43-1)*100)&lt;-50,"NM",(BU43/BS43-1)*100)))</f>
        <v>NA</v>
      </c>
      <c r="BW43" s="35">
        <f>BW29/BW28*100</f>
        <v>8.6975340252674638</v>
      </c>
      <c r="BX43" s="23">
        <f>IF(ISERROR((BW43/BU43-1)*100),"NA",IF(((BW43/BU43-1)*100)&gt;100,"NM",IF(((BW43/BU43-1)*100)&lt;-50,"NM",(BW43/BU43-1)*100)))</f>
        <v>48.860690024176769</v>
      </c>
      <c r="BY43" s="37">
        <f>BY29/BY28*100</f>
        <v>8.7747454985575519</v>
      </c>
      <c r="BZ43" s="23">
        <f>IF(ISERROR((BY43/BW43-1)*100),"NA",IF(((BY43/BW43-1)*100)&gt;100,"NM",IF(((BY43/BW43-1)*100)&lt;-50,"NM",(BY43/BW43-1)*100)))</f>
        <v>0.8877398244810486</v>
      </c>
      <c r="CA43" s="37">
        <f>CA29/CA28*100</f>
        <v>6.8215746027764075</v>
      </c>
      <c r="CB43" s="23">
        <f>IF(ISERROR((CA43/BY43-1)*100),"NA",IF(((CA43/BY43-1)*100)&gt;100,"NM",IF(((CA43/BY43-1)*100)&lt;-50,"NM",(CA43/BY43-1)*100)))</f>
        <v>-22.259003364852227</v>
      </c>
      <c r="CC43" s="37">
        <f>CC29/CC28*100</f>
        <v>7.5597280047696724</v>
      </c>
      <c r="CD43" s="23">
        <f>IF(ISERROR((CC43/CA43-1)*100),"NA",IF(((CC43/CA43-1)*100)&gt;100,"NM",IF(((CC43/CA43-1)*100)&lt;-50,"NM",(CC43/CA43-1)*100)))</f>
        <v>10.820865342333619</v>
      </c>
      <c r="CE43" s="37">
        <f>CE29/CE28*100</f>
        <v>7.9588906467016054</v>
      </c>
      <c r="CF43" s="23">
        <f>IF(ISERROR((CE43/CC43-1)*100),"NA",IF(((CE43/CC43-1)*100)&gt;100,"NM",IF(((CE43/CC43-1)*100)&lt;-50,"NM",(CE43/CC43-1)*100)))</f>
        <v>5.2801190952913801</v>
      </c>
      <c r="CG43" s="37">
        <f>CG29/CG28*100</f>
        <v>7.5376292540372081</v>
      </c>
      <c r="CH43" s="23">
        <f>IF(ISERROR((CG43/CE43-1)*100),"NA",IF(((CG43/CE43-1)*100)&gt;100,"NM",IF(((CG43/CE43-1)*100)&lt;-50,"NM",(CG43/CE43-1)*100)))</f>
        <v>-5.2929662105482</v>
      </c>
      <c r="CI43" s="37">
        <f>CI29/CI28*100</f>
        <v>7.552304423904423</v>
      </c>
      <c r="CJ43" s="23">
        <f>IF(ISERROR((CI43/CG43-1)*100),"NA",IF(((CI43/CG43-1)*100)&gt;100,"NM",IF(((CI43/CG43-1)*100)&lt;-50,"NM",(CI43/CG43-1)*100)))</f>
        <v>0.19469211568550193</v>
      </c>
      <c r="CK43" s="114">
        <f>CI43-0.1</f>
        <v>7.4523044239044234</v>
      </c>
      <c r="CL43" s="23">
        <f>IF(ISERROR((CK43/CI43-1)*100),"NA",IF(((CK43/CI43-1)*100)&gt;100,"NM",IF(((CK43/CI43-1)*100)&lt;-50,"NM",(CK43/CI43-1)*100)))</f>
        <v>-1.3240991674472458</v>
      </c>
      <c r="CM43" s="114">
        <f>CK43-0.1</f>
        <v>7.3523044239044237</v>
      </c>
      <c r="CN43" s="23">
        <f>IF(ISERROR((CM43/CK43-1)*100),"NA",IF(((CM43/CK43-1)*100)&gt;100,"NM",IF(((CM43/CK43-1)*100)&lt;-50,"NM",(CM43/CK43-1)*100)))</f>
        <v>-1.3418668147698654</v>
      </c>
      <c r="CO43" s="114">
        <f>CM43</f>
        <v>7.3523044239044237</v>
      </c>
      <c r="CP43" s="23">
        <f>IF(ISERROR((CO43/CM43-1)*100),"NA",IF(((CO43/CM43-1)*100)&gt;100,"NM",IF(((CO43/CM43-1)*100)&lt;-50,"NM",(CO43/CM43-1)*100)))</f>
        <v>0</v>
      </c>
      <c r="CQ43" s="114">
        <f>CO43</f>
        <v>7.3523044239044237</v>
      </c>
      <c r="CR43" s="23">
        <f>IF(ISERROR((CQ43/CO43-1)*100),"NA",IF(((CQ43/CO43-1)*100)&gt;100,"NM",IF(((CQ43/CO43-1)*100)&lt;-50,"NM",(CQ43/CO43-1)*100)))</f>
        <v>0</v>
      </c>
      <c r="CS43" s="23">
        <f>IF(ISERROR(((CQ43/CG43)^0.2-1)*100),"NA",IF((((CQ43/CG43)^0.2-1)*100)&gt;100,"NM",IF((((CQ43/CG43)^0.2-1)*100)&lt;-50,"NM",((CQ43/CG43)^0.2-1)*100)))</f>
        <v>-0.49664101777264769</v>
      </c>
    </row>
    <row r="44" spans="1:97" ht="12.75" customHeight="1" x14ac:dyDescent="0.2">
      <c r="A44" s="4" t="s">
        <v>123</v>
      </c>
      <c r="B44" s="35">
        <f t="shared" ref="B44:N44" si="365">B30/B28*400</f>
        <v>10.246962938574141</v>
      </c>
      <c r="C44" s="59"/>
      <c r="D44" s="35">
        <f t="shared" si="365"/>
        <v>8.3696881564065286</v>
      </c>
      <c r="E44" s="59"/>
      <c r="F44" s="35">
        <f t="shared" si="365"/>
        <v>9.7321274353473655</v>
      </c>
      <c r="G44" s="59"/>
      <c r="H44" s="35">
        <f t="shared" si="365"/>
        <v>10.163914185944771</v>
      </c>
      <c r="I44" s="59"/>
      <c r="J44" s="35">
        <f t="shared" si="365"/>
        <v>9.7738107670453491</v>
      </c>
      <c r="K44" s="23">
        <f>IF(ISERROR((J44/B44-1)*100),"NA",IF(((J44/B44-1)*100)&gt;100,"NM",IF(((J44/B44-1)*100)&lt;-50,"NM",(J44/B44-1)*100)))</f>
        <v>-4.617486901876422</v>
      </c>
      <c r="L44" s="35">
        <f t="shared" si="365"/>
        <v>8.0131829176843397</v>
      </c>
      <c r="M44" s="23">
        <f>IF(ISERROR((L44/D44-1)*100),"NA",IF(((L44/D44-1)*100)&gt;100,"NM",IF(((L44/D44-1)*100)&lt;-50,"NM",(L44/D44-1)*100)))</f>
        <v>-4.2594805452734086</v>
      </c>
      <c r="N44" s="35">
        <f t="shared" si="365"/>
        <v>7.4500411450311885</v>
      </c>
      <c r="O44" s="23">
        <f>IF(ISERROR((N44/F44-1)*100),"NA",IF(((N44/F44-1)*100)&gt;100,"NM",IF(((N44/F44-1)*100)&lt;-50,"NM",(N44/F44-1)*100)))</f>
        <v>-23.448997205149347</v>
      </c>
      <c r="P44" s="35">
        <f>P30/P28*400</f>
        <v>7.2245041822414731</v>
      </c>
      <c r="Q44" s="23">
        <f>IF(ISERROR((P44/H44-1)*100),"NA",IF(((P44/H44-1)*100)&gt;100,"NM",IF(((P44/H44-1)*100)&lt;-50,"NM",(P44/H44-1)*100)))</f>
        <v>-28.920059240248985</v>
      </c>
      <c r="R44" s="35">
        <f>R30/R28*400</f>
        <v>8.14846746471245</v>
      </c>
      <c r="S44" s="23">
        <f>IF(ISERROR((R44/J44-1)*100),"NA",IF(((R44/J44-1)*100)&gt;100,"NM",IF(((R44/J44-1)*100)&lt;-50,"NM",(R44/J44-1)*100)))</f>
        <v>-16.62957613025533</v>
      </c>
      <c r="T44" s="35">
        <f>T30/T28*400</f>
        <v>7.4241047006289609</v>
      </c>
      <c r="U44" s="23">
        <f>IF(ISERROR((T44/L44-1)*100),"NA",IF(((T44/L44-1)*100)&gt;100,"NM",IF(((T44/L44-1)*100)&lt;-50,"NM",(T44/L44-1)*100)))</f>
        <v>-7.3513636604418231</v>
      </c>
      <c r="V44" s="35">
        <f>V30/V28*400</f>
        <v>6.7916775932891706</v>
      </c>
      <c r="W44" s="23">
        <f>IF(ISERROR((V44/N44-1)*100),"NA",IF(((V44/N44-1)*100)&gt;100,"NM",IF(((V44/N44-1)*100)&lt;-50,"NM",(V44/N44-1)*100)))</f>
        <v>-8.8370458488153947</v>
      </c>
      <c r="X44" s="37">
        <f>X30/X28*400</f>
        <v>6.6200012149349368</v>
      </c>
      <c r="Y44" s="23">
        <f>IF(ISERROR((X44/P44-1)*100),"NA",IF(((X44/P44-1)*100)&gt;100,"NM",IF(((X44/P44-1)*100)&lt;-50,"NM",(X44/P44-1)*100)))</f>
        <v>-8.3673972920171202</v>
      </c>
      <c r="Z44" s="37">
        <f>Z30/Z28*400</f>
        <v>7.3586495965761003</v>
      </c>
      <c r="AA44" s="23">
        <f>IF(ISERROR((Z44/R44-1)*100),"NA",IF(((Z44/R44-1)*100)&gt;100,"NM",IF(((Z44/R44-1)*100)&lt;-50,"NM",(Z44/R44-1)*100)))</f>
        <v>-9.6928394395230164</v>
      </c>
      <c r="AB44" s="37">
        <f>AB30/AB28*400</f>
        <v>6.5864963493370414</v>
      </c>
      <c r="AC44" s="23">
        <f>IF(ISERROR((AB44/T44-1)*100),"NA",IF(((AB44/T44-1)*100)&gt;100,"NM",IF(((AB44/T44-1)*100)&lt;-50,"NM",(AB44/T44-1)*100)))</f>
        <v>-11.282280962726166</v>
      </c>
      <c r="AD44" s="37">
        <f>AD30/AD28*400</f>
        <v>6.1655660899398672</v>
      </c>
      <c r="AE44" s="23">
        <f>IF(ISERROR((AD44/V44-1)*100),"NA",IF(((AD44/V44-1)*100)&gt;100,"NM",IF(((AD44/V44-1)*100)&lt;-50,"NM",(AD44/V44-1)*100)))</f>
        <v>-9.2188048497467197</v>
      </c>
      <c r="AF44" s="37">
        <f>AF30/AF28*400</f>
        <v>6.3577463087934074</v>
      </c>
      <c r="AG44" s="23">
        <f>IF(ISERROR((AF44/X44-1)*100),"NA",IF(((AF44/X44-1)*100)&gt;100,"NM",IF(((AF44/X44-1)*100)&lt;-50,"NM",(AF44/X44-1)*100)))</f>
        <v>-3.9615537463931871</v>
      </c>
      <c r="AH44" s="37">
        <f>AH30/AH28*400</f>
        <v>7.5147844303789384</v>
      </c>
      <c r="AI44" s="23">
        <f>IF(ISERROR((AH44/Z44-1)*100),"NA",IF(((AH44/Z44-1)*100)&gt;100,"NM",IF(((AH44/Z44-1)*100)&lt;-50,"NM",(AH44/Z44-1)*100)))</f>
        <v>2.1217865010923376</v>
      </c>
      <c r="AJ44" s="37">
        <f>AJ30/AJ28*400</f>
        <v>6.7970286776869058</v>
      </c>
      <c r="AK44" s="23">
        <f>IF(ISERROR((AJ44/AB44-1)*100),"NA",IF(((AJ44/AB44-1)*100)&gt;100,"NM",IF(((AJ44/AB44-1)*100)&lt;-50,"NM",(AJ44/AB44-1)*100)))</f>
        <v>3.1964236702424653</v>
      </c>
      <c r="AL44" s="37">
        <f>AL30/AL28*400</f>
        <v>6.4444922391185253</v>
      </c>
      <c r="AM44" s="23">
        <f>IF(ISERROR((AL44/AD44-1)*100),"NA",IF(((AL44/AD44-1)*100)&gt;100,"NM",IF(((AL44/AD44-1)*100)&lt;-50,"NM",(AL44/AD44-1)*100)))</f>
        <v>4.5239341385663101</v>
      </c>
      <c r="AN44" s="411">
        <f t="shared" ref="AN44:AP44" si="366">AN30/AN28*400</f>
        <v>6.8470705342213725</v>
      </c>
      <c r="AO44" s="23">
        <f>IF(ISERROR((AN44/AF44-1)*100),"NA",IF(((AN44/AF44-1)*100)&gt;100,"NM",IF(((AN44/AF44-1)*100)&lt;-50,"NM",(AN44/AF44-1)*100)))</f>
        <v>7.6965044162139673</v>
      </c>
      <c r="AP44" s="411">
        <f t="shared" si="366"/>
        <v>8.145702117828403</v>
      </c>
      <c r="AQ44" s="23">
        <f t="shared" si="349"/>
        <v>8.3956857750828497</v>
      </c>
      <c r="AR44" s="411">
        <f t="shared" ref="AR44:AT44" si="367">AR30/AR28*400</f>
        <v>7.2288685102333066</v>
      </c>
      <c r="AS44" s="23">
        <f t="shared" si="351"/>
        <v>6.3533619324578128</v>
      </c>
      <c r="AT44" s="411">
        <f t="shared" si="367"/>
        <v>6.9503680645781687</v>
      </c>
      <c r="AU44" s="23">
        <f t="shared" si="352"/>
        <v>7.8497390746929741</v>
      </c>
      <c r="AV44" s="411">
        <f t="shared" ref="AV44:AX44" si="368">AV30/AV28*400</f>
        <v>6.5820121219420198</v>
      </c>
      <c r="AW44" s="23">
        <f t="shared" si="354"/>
        <v>-3.8711213935156863</v>
      </c>
      <c r="AX44" s="411">
        <f t="shared" si="368"/>
        <v>8.2528198260084569</v>
      </c>
      <c r="AY44" s="23">
        <f t="shared" si="355"/>
        <v>1.3150211808704126</v>
      </c>
      <c r="AZ44" s="411">
        <f t="shared" ref="AZ44" si="369">AZ30/AZ28*400</f>
        <v>6.8663513196095938</v>
      </c>
      <c r="BA44" s="23">
        <f t="shared" si="357"/>
        <v>-5.0148538476046056</v>
      </c>
      <c r="BB44" s="411">
        <f t="shared" ref="BB44:BD44" si="370">BB30/BB28*400</f>
        <v>6.5533688724998997</v>
      </c>
      <c r="BC44" s="23">
        <f t="shared" si="359"/>
        <v>-5.7119160940775853</v>
      </c>
      <c r="BD44" s="411">
        <f t="shared" si="370"/>
        <v>6.1284872117612261</v>
      </c>
      <c r="BE44" s="23">
        <f t="shared" si="360"/>
        <v>-6.8903688078742249</v>
      </c>
      <c r="BF44" s="114">
        <v>7</v>
      </c>
      <c r="BG44" s="23">
        <f t="shared" si="361"/>
        <v>-15.180506207832645</v>
      </c>
      <c r="BH44" s="114">
        <v>7</v>
      </c>
      <c r="BI44" s="23">
        <f t="shared" si="362"/>
        <v>1.9464293941488187</v>
      </c>
      <c r="BJ44" s="114">
        <v>7</v>
      </c>
      <c r="BK44" s="23">
        <f t="shared" si="363"/>
        <v>6.8152905198776814</v>
      </c>
      <c r="BL44" s="114">
        <v>6.95</v>
      </c>
      <c r="BM44" s="23">
        <f t="shared" si="364"/>
        <v>13.404821774975773</v>
      </c>
      <c r="BN44" s="35"/>
      <c r="BO44" s="138"/>
      <c r="BP44" s="35"/>
      <c r="BQ44" s="113"/>
      <c r="BR44" s="113"/>
      <c r="BS44" s="113"/>
      <c r="BT44" s="35"/>
      <c r="BU44" s="35">
        <f>BU30/BU28*100</f>
        <v>9.7410691187883636</v>
      </c>
      <c r="BV44" s="23" t="str">
        <f>IF(ISERROR((BU44/BS44-1)*100),"NA",IF(((BU44/BS44-1)*100)&gt;100,"NM",IF(((BU44/BS44-1)*100)&lt;-50,"NM",(BU44/BS44-1)*100)))</f>
        <v>NA</v>
      </c>
      <c r="BW44" s="35">
        <f>BW30/BW28*100</f>
        <v>8.5537201001035505</v>
      </c>
      <c r="BX44" s="23">
        <f>IF(ISERROR((BW44/BU44-1)*100),"NA",IF(((BW44/BU44-1)*100)&gt;100,"NM",IF(((BW44/BU44-1)*100)&lt;-50,"NM",(BW44/BU44-1)*100)))</f>
        <v>-12.18910372368347</v>
      </c>
      <c r="BY44" s="37">
        <f>BY30/BY28*100</f>
        <v>7.6459860065656402</v>
      </c>
      <c r="BZ44" s="23">
        <f>IF(ISERROR((BY44/BW44-1)*100),"NA",IF(((BY44/BW44-1)*100)&gt;100,"NM",IF(((BY44/BW44-1)*100)&lt;-50,"NM",(BY44/BW44-1)*100)))</f>
        <v>-10.612155680975832</v>
      </c>
      <c r="CA44" s="37">
        <f>CA30/CA28*100</f>
        <v>6.7203741660466356</v>
      </c>
      <c r="CB44" s="23">
        <f>IF(ISERROR((CA44/BY44-1)*100),"NA",IF(((CA44/BY44-1)*100)&gt;100,"NM",IF(((CA44/BY44-1)*100)&lt;-50,"NM",(CA44/BY44-1)*100)))</f>
        <v>-12.105853185242266</v>
      </c>
      <c r="CC44" s="37">
        <f>CC30/CC28*100</f>
        <v>6.9552232546987929</v>
      </c>
      <c r="CD44" s="23">
        <f>IF(ISERROR((CC44/CA44-1)*100),"NA",IF(((CC44/CA44-1)*100)&gt;100,"NM",IF(((CC44/CA44-1)*100)&lt;-50,"NM",(CC44/CA44-1)*100)))</f>
        <v>3.4945835283798132</v>
      </c>
      <c r="CE44" s="37">
        <f>CE30/CE28*100</f>
        <v>7.4476408960091849</v>
      </c>
      <c r="CF44" s="23">
        <f>IF(ISERROR((CE44/CC44-1)*100),"NA",IF(((CE44/CC44-1)*100)&gt;100,"NM",IF(((CE44/CC44-1)*100)&lt;-50,"NM",(CE44/CC44-1)*100)))</f>
        <v>7.0798250937196938</v>
      </c>
      <c r="CG44" s="37">
        <f>CG30/CG28*100</f>
        <v>7.300083519894045</v>
      </c>
      <c r="CH44" s="23">
        <f>IF(ISERROR((CG44/CE44-1)*100),"NA",IF(((CG44/CE44-1)*100)&gt;100,"NM",IF(((CG44/CE44-1)*100)&lt;-50,"NM",(CG44/CE44-1)*100)))</f>
        <v>-1.981263304386871</v>
      </c>
      <c r="CI44" s="37">
        <f>CI30/CI28*100</f>
        <v>7.004479504761135</v>
      </c>
      <c r="CJ44" s="23">
        <f>IF(ISERROR((CI44/CG44-1)*100),"NA",IF(((CI44/CG44-1)*100)&gt;100,"NM",IF(((CI44/CG44-1)*100)&lt;-50,"NM",(CI44/CG44-1)*100)))</f>
        <v>-4.049323741671385</v>
      </c>
      <c r="CK44" s="114">
        <f>CI44-0.1</f>
        <v>6.9044795047611354</v>
      </c>
      <c r="CL44" s="23">
        <f>IF(ISERROR((CK44/CI44-1)*100),"NA",IF(((CK44/CI44-1)*100)&gt;100,"NM",IF(((CK44/CI44-1)*100)&lt;-50,"NM",(CK44/CI44-1)*100)))</f>
        <v>-1.4276578285656649</v>
      </c>
      <c r="CM44" s="114">
        <f>CK44</f>
        <v>6.9044795047611354</v>
      </c>
      <c r="CN44" s="23">
        <f>IF(ISERROR((CM44/CK44-1)*100),"NA",IF(((CM44/CK44-1)*100)&gt;100,"NM",IF(((CM44/CK44-1)*100)&lt;-50,"NM",(CM44/CK44-1)*100)))</f>
        <v>0</v>
      </c>
      <c r="CO44" s="114">
        <f>CM44</f>
        <v>6.9044795047611354</v>
      </c>
      <c r="CP44" s="23">
        <f>IF(ISERROR((CO44/CM44-1)*100),"NA",IF(((CO44/CM44-1)*100)&gt;100,"NM",IF(((CO44/CM44-1)*100)&lt;-50,"NM",(CO44/CM44-1)*100)))</f>
        <v>0</v>
      </c>
      <c r="CQ44" s="114">
        <f>CO44</f>
        <v>6.9044795047611354</v>
      </c>
      <c r="CR44" s="23">
        <f>IF(ISERROR((CQ44/CO44-1)*100),"NA",IF(((CQ44/CO44-1)*100)&gt;100,"NM",IF(((CQ44/CO44-1)*100)&lt;-50,"NM",(CQ44/CO44-1)*100)))</f>
        <v>0</v>
      </c>
      <c r="CS44" s="23">
        <f>IF(ISERROR(((CQ44/CG44)^0.2-1)*100),"NA",IF((((CQ44/CG44)^0.2-1)*100)&gt;100,"NM",IF((((CQ44/CG44)^0.2-1)*100)&lt;-50,"NM",((CQ44/CG44)^0.2-1)*100)))</f>
        <v>-1.1081222803917878</v>
      </c>
    </row>
    <row r="45" spans="1:97" ht="12.75" customHeight="1" x14ac:dyDescent="0.2">
      <c r="A45" s="4" t="s">
        <v>105</v>
      </c>
      <c r="B45" s="35">
        <f t="shared" ref="B45:N45" si="371">B32/B28*400</f>
        <v>-13.977407241911838</v>
      </c>
      <c r="C45" s="59"/>
      <c r="D45" s="35">
        <f t="shared" si="371"/>
        <v>-11.719886088221038</v>
      </c>
      <c r="E45" s="59"/>
      <c r="F45" s="35">
        <f t="shared" si="371"/>
        <v>-9.8592924319304309</v>
      </c>
      <c r="G45" s="59"/>
      <c r="H45" s="35">
        <f t="shared" si="371"/>
        <v>-10.529480128726455</v>
      </c>
      <c r="I45" s="59"/>
      <c r="J45" s="35">
        <f t="shared" si="371"/>
        <v>-12.695384994784703</v>
      </c>
      <c r="K45" s="23">
        <f>IF(ISERROR((J45/B45-1)*100),"NA",IF(((J45/B45-1)*100)&gt;100,"NM",IF(((J45/B45-1)*100)&lt;-50,"NM",(J45/B45-1)*100)))</f>
        <v>-9.1721034161681754</v>
      </c>
      <c r="L45" s="35">
        <f t="shared" si="371"/>
        <v>-11.26377824113362</v>
      </c>
      <c r="M45" s="23">
        <f>IF(ISERROR((L45/D45-1)*100),"NA",IF(((L45/D45-1)*100)&gt;100,"NM",IF(((L45/D45-1)*100)&lt;-50,"NM",(L45/D45-1)*100)))</f>
        <v>-3.8917430054702051</v>
      </c>
      <c r="N45" s="35">
        <f t="shared" si="371"/>
        <v>-11.272669843482641</v>
      </c>
      <c r="O45" s="23">
        <f>IF(ISERROR((N45/F45-1)*100),"NA",IF(((N45/F45-1)*100)&gt;100,"NM",IF(((N45/F45-1)*100)&lt;-50,"NM",(N45/F45-1)*100)))</f>
        <v>14.33548524207302</v>
      </c>
      <c r="P45" s="35">
        <f>P32/P28*400</f>
        <v>-13.477619618493803</v>
      </c>
      <c r="Q45" s="23">
        <f>IF(ISERROR((P45/H45-1)*100),"NA",IF(((P45/H45-1)*100)&gt;100,"NM",IF(((P45/H45-1)*100)&lt;-50,"NM",(P45/H45-1)*100)))</f>
        <v>27.998908338544215</v>
      </c>
      <c r="R45" s="35">
        <f>R32/R28*400</f>
        <v>-13.374009351062771</v>
      </c>
      <c r="S45" s="23">
        <f>IF(ISERROR((R45/J45-1)*100),"NA",IF(((R45/J45-1)*100)&gt;100,"NM",IF(((R45/J45-1)*100)&lt;-50,"NM",(R45/J45-1)*100)))</f>
        <v>5.3454413281428526</v>
      </c>
      <c r="T45" s="35">
        <f>T32/T28*400</f>
        <v>-12.613112055069919</v>
      </c>
      <c r="U45" s="23">
        <f>IF(ISERROR((T45/L45-1)*100),"NA",IF(((T45/L45-1)*100)&gt;100,"NM",IF(((T45/L45-1)*100)&lt;-50,"NM",(T45/L45-1)*100)))</f>
        <v>11.979406776748647</v>
      </c>
      <c r="V45" s="35">
        <f>V32/V28*400</f>
        <v>-12.621466900366823</v>
      </c>
      <c r="W45" s="23">
        <f>IF(ISERROR((V45/N45-1)*100),"NA",IF(((V45/N45-1)*100)&gt;100,"NM",IF(((V45/N45-1)*100)&lt;-50,"NM",(V45/N45-1)*100)))</f>
        <v>11.965196139084977</v>
      </c>
      <c r="X45" s="37">
        <f>X32/X28*400</f>
        <v>-13.200168497533781</v>
      </c>
      <c r="Y45" s="23">
        <f>IF(ISERROR((X45/P45-1)*100),"NA",IF(((X45/P45-1)*100)&gt;100,"NM",IF(((X45/P45-1)*100)&lt;-50,"NM",(X45/P45-1)*100)))</f>
        <v>-2.0586062584768805</v>
      </c>
      <c r="Z45" s="37">
        <f>Z32/Z28*400</f>
        <v>-13.222383446079172</v>
      </c>
      <c r="AA45" s="23">
        <f>IF(ISERROR((Z45/R45-1)*100),"NA",IF(((Z45/R45-1)*100)&gt;100,"NM",IF(((Z45/R45-1)*100)&lt;-50,"NM",(Z45/R45-1)*100)))</f>
        <v>-1.1337355986785647</v>
      </c>
      <c r="AB45" s="37">
        <f>AB32/AB28*400</f>
        <v>-12.093707077601348</v>
      </c>
      <c r="AC45" s="23">
        <f>IF(ISERROR((AB45/T45-1)*100),"NA",IF(((AB45/T45-1)*100)&gt;100,"NM",IF(((AB45/T45-1)*100)&lt;-50,"NM",(AB45/T45-1)*100)))</f>
        <v>-4.1179763979008914</v>
      </c>
      <c r="AD45" s="37">
        <f>AD32/AD28*400</f>
        <v>-11.924226214630906</v>
      </c>
      <c r="AE45" s="23">
        <f>IF(ISERROR((AD45/V45-1)*100),"NA",IF(((AD45/V45-1)*100)&gt;100,"NM",IF(((AD45/V45-1)*100)&lt;-50,"NM",(AD45/V45-1)*100)))</f>
        <v>-5.5242444577947802</v>
      </c>
      <c r="AF45" s="37">
        <f>AF32/AF28*400</f>
        <v>-16.96687086930876</v>
      </c>
      <c r="AG45" s="23">
        <f>IF(ISERROR((AF45/X45-1)*100),"NA",IF(((AF45/X45-1)*100)&gt;100,"NM",IF(((AF45/X45-1)*100)&lt;-50,"NM",(AF45/X45-1)*100)))</f>
        <v>28.535259777015121</v>
      </c>
      <c r="AH45" s="37">
        <f>AH32/AH28*400</f>
        <v>-13.155248598134248</v>
      </c>
      <c r="AI45" s="23">
        <f>IF(ISERROR((AH45/Z45-1)*100),"NA",IF(((AH45/Z45-1)*100)&gt;100,"NM",IF(((AH45/Z45-1)*100)&lt;-50,"NM",(AH45/Z45-1)*100)))</f>
        <v>-0.50773635644965065</v>
      </c>
      <c r="AJ45" s="37">
        <f>AJ32/AJ28*400</f>
        <v>-10.930640405823537</v>
      </c>
      <c r="AK45" s="23">
        <f>IF(ISERROR((AJ45/AB45-1)*100),"NA",IF(((AJ45/AB45-1)*100)&gt;100,"NM",IF(((AJ45/AB45-1)*100)&lt;-50,"NM",(AJ45/AB45-1)*100)))</f>
        <v>-9.6171228913913165</v>
      </c>
      <c r="AL45" s="37">
        <f>AL32/AL28*400</f>
        <v>-17.92618909166222</v>
      </c>
      <c r="AM45" s="23">
        <f>IF(ISERROR((AL45/AD45-1)*100),"NA",IF(((AL45/AD45-1)*100)&gt;100,"NM",IF(((AL45/AD45-1)*100)&lt;-50,"NM",(AL45/AD45-1)*100)))</f>
        <v>50.334191661568497</v>
      </c>
      <c r="AN45" s="411">
        <f t="shared" ref="AN45:AP45" si="372">AN32/AN28*400</f>
        <v>-13.469335257044756</v>
      </c>
      <c r="AO45" s="23">
        <f>IF(ISERROR((AN45/AF45-1)*100),"NA",IF(((AN45/AF45-1)*100)&gt;100,"NM",IF(((AN45/AF45-1)*100)&lt;-50,"NM",(AN45/AF45-1)*100)))</f>
        <v>-20.613910715797743</v>
      </c>
      <c r="AP45" s="411">
        <f t="shared" si="372"/>
        <v>-11.191721815157722</v>
      </c>
      <c r="AQ45" s="23">
        <f t="shared" si="349"/>
        <v>-14.925805227694477</v>
      </c>
      <c r="AR45" s="411">
        <f t="shared" ref="AR45:AT45" si="373">AR32/AR28*400</f>
        <v>-10.82266715290811</v>
      </c>
      <c r="AS45" s="23">
        <f t="shared" si="351"/>
        <v>-0.98780354038452423</v>
      </c>
      <c r="AT45" s="411">
        <f t="shared" si="373"/>
        <v>-11.322064990658061</v>
      </c>
      <c r="AU45" s="23">
        <f t="shared" si="352"/>
        <v>-36.840647319043683</v>
      </c>
      <c r="AV45" s="411">
        <f t="shared" ref="AV45:AX45" si="374">AV32/AV28*400</f>
        <v>-12.518368162799003</v>
      </c>
      <c r="AW45" s="23">
        <f t="shared" si="354"/>
        <v>-7.0602377630208268</v>
      </c>
      <c r="AX45" s="411">
        <f t="shared" si="374"/>
        <v>-14.448776935989496</v>
      </c>
      <c r="AY45" s="23">
        <f t="shared" si="355"/>
        <v>29.102359535246137</v>
      </c>
      <c r="AZ45" s="411">
        <f t="shared" ref="AZ45" si="375">AZ32/AZ28*400</f>
        <v>-12.019990082464231</v>
      </c>
      <c r="BA45" s="23">
        <f t="shared" si="357"/>
        <v>11.06310406334905</v>
      </c>
      <c r="BB45" s="411">
        <f t="shared" ref="BB45:BD45" si="376">BB32/BB28*400</f>
        <v>-11.100182834520885</v>
      </c>
      <c r="BC45" s="23">
        <f t="shared" si="359"/>
        <v>-1.9597322248216531</v>
      </c>
      <c r="BD45" s="411">
        <f t="shared" si="376"/>
        <v>-14.040239373598466</v>
      </c>
      <c r="BE45" s="23">
        <f t="shared" si="360"/>
        <v>12.157105391116607</v>
      </c>
      <c r="BF45" s="114">
        <v>-16.25</v>
      </c>
      <c r="BG45" s="23">
        <f t="shared" si="361"/>
        <v>12.466266674267468</v>
      </c>
      <c r="BH45" s="114">
        <v>-13.2</v>
      </c>
      <c r="BI45" s="23">
        <f t="shared" si="362"/>
        <v>9.8170623223497131</v>
      </c>
      <c r="BJ45" s="114">
        <v>-13.3</v>
      </c>
      <c r="BK45" s="23">
        <f t="shared" si="363"/>
        <v>19.817846230764967</v>
      </c>
      <c r="BL45" s="114">
        <v>-13.3</v>
      </c>
      <c r="BM45" s="23">
        <f t="shared" si="364"/>
        <v>-5.2722703217612192</v>
      </c>
      <c r="BN45" s="35"/>
      <c r="BO45" s="138"/>
      <c r="BP45" s="35"/>
      <c r="BQ45" s="35">
        <f>BQ32/BQ28*100</f>
        <v>-14.998241052965755</v>
      </c>
      <c r="BR45" s="35"/>
      <c r="BS45" s="35">
        <f>BS32/BS28*100</f>
        <v>-14.176505514254895</v>
      </c>
      <c r="BT45" s="35"/>
      <c r="BU45" s="35">
        <f>BU32/BU28*100</f>
        <v>-11.662733969358932</v>
      </c>
      <c r="BV45" s="23">
        <f>IF(ISERROR((BU45/BS45-1)*100),"NA",IF(((BU45/BS45-1)*100)&gt;100,"NM",IF(((BU45/BS45-1)*100)&lt;-50,"NM",(BU45/BS45-1)*100)))</f>
        <v>-17.731954763945822</v>
      </c>
      <c r="BW45" s="35">
        <f>BW32/BW28*100</f>
        <v>-12.891037360165178</v>
      </c>
      <c r="BX45" s="23">
        <f>IF(ISERROR((BW45/BU45-1)*100),"NA",IF(((BW45/BU45-1)*100)&gt;100,"NM",IF(((BW45/BU45-1)*100)&lt;-50,"NM",(BW45/BU45-1)*100)))</f>
        <v>10.531864947218406</v>
      </c>
      <c r="BY45" s="37">
        <f>BY32/BY28*100</f>
        <v>-13.703286135888851</v>
      </c>
      <c r="BZ45" s="23">
        <f>IF(ISERROR((BY45/BW45-1)*100),"NA",IF(((BY45/BW45-1)*100)&gt;100,"NM",IF(((BY45/BW45-1)*100)&lt;-50,"NM",(BY45/BW45-1)*100)))</f>
        <v>6.3008798518699338</v>
      </c>
      <c r="CA45" s="37">
        <f>CA32/CA28*100</f>
        <v>-13.776372691275956</v>
      </c>
      <c r="CB45" s="23">
        <f>IF(ISERROR((CA45/BY45-1)*100),"NA",IF(((CA45/BY45-1)*100)&gt;100,"NM",IF(((CA45/BY45-1)*100)&lt;-50,"NM",(CA45/BY45-1)*100)))</f>
        <v>0.53335057490839777</v>
      </c>
      <c r="CC45" s="37">
        <f>CC32/CC28*100</f>
        <v>-14.001062965674233</v>
      </c>
      <c r="CD45" s="23">
        <f>IF(ISERROR((CC45/CA45-1)*100),"NA",IF(((CC45/CA45-1)*100)&gt;100,"NM",IF(((CC45/CA45-1)*100)&lt;-50,"NM",(CC45/CA45-1)*100)))</f>
        <v>1.6309828387596204</v>
      </c>
      <c r="CE45" s="37">
        <f>CE32/CE28*100</f>
        <v>-11.855579390814112</v>
      </c>
      <c r="CF45" s="23">
        <f>IF(ISERROR((CE45/CC45-1)*100),"NA",IF(((CE45/CC45-1)*100)&gt;100,"NM",IF(((CE45/CC45-1)*100)&lt;-50,"NM",(CE45/CC45-1)*100)))</f>
        <v>-15.323719207035246</v>
      </c>
      <c r="CG45" s="37">
        <f>CG32/CG28*100</f>
        <v>-13.598175411545515</v>
      </c>
      <c r="CH45" s="23">
        <f>IF(ISERROR((CG45/CE45-1)*100),"NA",IF(((CG45/CE45-1)*100)&gt;100,"NM",IF(((CG45/CE45-1)*100)&lt;-50,"NM",(CG45/CE45-1)*100)))</f>
        <v>14.698531073745702</v>
      </c>
      <c r="CI45" s="37">
        <f>CI32/CI28*100</f>
        <v>-14.045433115592035</v>
      </c>
      <c r="CJ45" s="23">
        <f>IF(ISERROR((CI45/CG45-1)*100),"NA",IF(((CI45/CG45-1)*100)&gt;100,"NM",IF(((CI45/CG45-1)*100)&lt;-50,"NM",(CI45/CG45-1)*100)))</f>
        <v>3.2891008573604275</v>
      </c>
      <c r="CK45" s="114">
        <v>-13.5</v>
      </c>
      <c r="CL45" s="23">
        <f>IF(ISERROR((CK45/CI45-1)*100),"NA",IF(((CK45/CI45-1)*100)&gt;100,"NM",IF(((CK45/CI45-1)*100)&lt;-50,"NM",(CK45/CI45-1)*100)))</f>
        <v>-3.8833484955799746</v>
      </c>
      <c r="CM45" s="114">
        <f>CK45</f>
        <v>-13.5</v>
      </c>
      <c r="CN45" s="23">
        <f>IF(ISERROR((CM45/CK45-1)*100),"NA",IF(((CM45/CK45-1)*100)&gt;100,"NM",IF(((CM45/CK45-1)*100)&lt;-50,"NM",(CM45/CK45-1)*100)))</f>
        <v>0</v>
      </c>
      <c r="CO45" s="114">
        <f>CM45</f>
        <v>-13.5</v>
      </c>
      <c r="CP45" s="23">
        <f>IF(ISERROR((CO45/CM45-1)*100),"NA",IF(((CO45/CM45-1)*100)&gt;100,"NM",IF(((CO45/CM45-1)*100)&lt;-50,"NM",(CO45/CM45-1)*100)))</f>
        <v>0</v>
      </c>
      <c r="CQ45" s="114">
        <f>CO45</f>
        <v>-13.5</v>
      </c>
      <c r="CR45" s="23">
        <f>IF(ISERROR((CQ45/CO45-1)*100),"NA",IF(((CQ45/CO45-1)*100)&gt;100,"NM",IF(((CQ45/CO45-1)*100)&lt;-50,"NM",(CQ45/CO45-1)*100)))</f>
        <v>0</v>
      </c>
      <c r="CS45" s="23">
        <f>IF(ISERROR(((CQ45/CG45)^0.2-1)*100),"NA",IF((((CQ45/CG45)^0.2-1)*100)&gt;100,"NM",IF((((CQ45/CG45)^0.2-1)*100)&lt;-50,"NM",((CQ45/CG45)^0.2-1)*100)))</f>
        <v>-0.14481379111902504</v>
      </c>
    </row>
    <row r="46" spans="1:97" ht="12.75" customHeight="1" x14ac:dyDescent="0.2">
      <c r="A46" s="4" t="s">
        <v>106</v>
      </c>
      <c r="B46" s="35">
        <f t="shared" ref="B46:N46" si="377">B33/B28*400</f>
        <v>12.483766191345975</v>
      </c>
      <c r="C46" s="59"/>
      <c r="D46" s="35">
        <f t="shared" si="377"/>
        <v>1.2759533042494748</v>
      </c>
      <c r="E46" s="59"/>
      <c r="F46" s="35">
        <f t="shared" si="377"/>
        <v>-31.951957665070434</v>
      </c>
      <c r="G46" s="59"/>
      <c r="H46" s="35">
        <f t="shared" si="377"/>
        <v>19.751833868798872</v>
      </c>
      <c r="I46" s="59"/>
      <c r="J46" s="35">
        <f t="shared" si="377"/>
        <v>25.076216347478606</v>
      </c>
      <c r="K46" s="23" t="str">
        <f>IF(ISERROR((J46/B46-1)*100),"NA",IF(((J46/B46-1)*100)&gt;100,"NM",IF(((J46/B46-1)*100)&lt;-50,"NM",(J46/B46-1)*100)))</f>
        <v>NM</v>
      </c>
      <c r="L46" s="35">
        <f t="shared" si="377"/>
        <v>-6.6864285059438329</v>
      </c>
      <c r="M46" s="23" t="str">
        <f>IF(ISERROR((L46/D46-1)*100),"NA",IF(((L46/D46-1)*100)&gt;100,"NM",IF(((L46/D46-1)*100)&lt;-50,"NM",(L46/D46-1)*100)))</f>
        <v>NM</v>
      </c>
      <c r="N46" s="35">
        <f t="shared" si="377"/>
        <v>13.993347923096197</v>
      </c>
      <c r="O46" s="23" t="str">
        <f>IF(ISERROR((N46/F46-1)*100),"NA",IF(((N46/F46-1)*100)&gt;100,"NM",IF(((N46/F46-1)*100)&lt;-50,"NM",(N46/F46-1)*100)))</f>
        <v>NM</v>
      </c>
      <c r="P46" s="35">
        <f>P33/P28*400</f>
        <v>4.6607496666411921</v>
      </c>
      <c r="Q46" s="23" t="str">
        <f>IF(ISERROR((P46/H46-1)*100),"NA",IF(((P46/H46-1)*100)&gt;100,"NM",IF(((P46/H46-1)*100)&lt;-50,"NM",(P46/H46-1)*100)))</f>
        <v>NM</v>
      </c>
      <c r="R46" s="35">
        <f>R33/R28*400</f>
        <v>16.41056250069083</v>
      </c>
      <c r="S46" s="23">
        <f>IF(ISERROR((R46/J46-1)*100),"NA",IF(((R46/J46-1)*100)&gt;100,"NM",IF(((R46/J46-1)*100)&lt;-50,"NM",(R46/J46-1)*100)))</f>
        <v>-34.557262254834157</v>
      </c>
      <c r="T46" s="35">
        <f>T33/T28*400</f>
        <v>1.8125124866503977</v>
      </c>
      <c r="U46" s="23" t="str">
        <f>IF(ISERROR((T46/L46-1)*100),"NA",IF(((T46/L46-1)*100)&gt;100,"NM",IF(((T46/L46-1)*100)&lt;-50,"NM",(T46/L46-1)*100)))</f>
        <v>NM</v>
      </c>
      <c r="V46" s="35">
        <f>V33/V28*400</f>
        <v>15.364092337129406</v>
      </c>
      <c r="W46" s="23">
        <f>IF(ISERROR((V46/N46-1)*100),"NA",IF(((V46/N46-1)*100)&gt;100,"NM",IF(((V46/N46-1)*100)&lt;-50,"NM",(V46/N46-1)*100)))</f>
        <v>9.7956859328194099</v>
      </c>
      <c r="X46" s="37">
        <f>X33/X28*400</f>
        <v>17.752390284902244</v>
      </c>
      <c r="Y46" s="23" t="str">
        <f>IF(ISERROR((X46/P46-1)*100),"NA",IF(((X46/P46-1)*100)&gt;100,"NM",IF(((X46/P46-1)*100)&lt;-50,"NM",(X46/P46-1)*100)))</f>
        <v>NM</v>
      </c>
      <c r="Z46" s="37">
        <f>Z33/Z28*400</f>
        <v>4.6896187356692103</v>
      </c>
      <c r="AA46" s="23" t="str">
        <f>IF(ISERROR((Z46/R46-1)*100),"NA",IF(((Z46/R46-1)*100)&gt;100,"NM",IF(((Z46/R46-1)*100)&lt;-50,"NM",(Z46/R46-1)*100)))</f>
        <v>NM</v>
      </c>
      <c r="AB46" s="37">
        <f>AB33/AB28*400</f>
        <v>10.681322519196844</v>
      </c>
      <c r="AC46" s="23" t="str">
        <f>IF(ISERROR((AB46/T46-1)*100),"NA",IF(((AB46/T46-1)*100)&gt;100,"NM",IF(((AB46/T46-1)*100)&lt;-50,"NM",(AB46/T46-1)*100)))</f>
        <v>NM</v>
      </c>
      <c r="AD46" s="37">
        <f>AD33/AD28*400</f>
        <v>-2.608551296713026</v>
      </c>
      <c r="AE46" s="23" t="str">
        <f>IF(ISERROR((AD46/V46-1)*100),"NA",IF(((AD46/V46-1)*100)&gt;100,"NM",IF(((AD46/V46-1)*100)&lt;-50,"NM",(AD46/V46-1)*100)))</f>
        <v>NM</v>
      </c>
      <c r="AF46" s="37">
        <f>AF33/AF28*400</f>
        <v>8.3262659712320435</v>
      </c>
      <c r="AG46" s="23" t="str">
        <f>IF(ISERROR((AF46/X46-1)*100),"NA",IF(((AF46/X46-1)*100)&gt;100,"NM",IF(((AF46/X46-1)*100)&lt;-50,"NM",(AF46/X46-1)*100)))</f>
        <v>NM</v>
      </c>
      <c r="AH46" s="37">
        <f>AH33/AH28*400</f>
        <v>7.8342211132696589</v>
      </c>
      <c r="AI46" s="23">
        <f>IF(ISERROR((AH46/Z46-1)*100),"NA",IF(((AH46/Z46-1)*100)&gt;100,"NM",IF(((AH46/Z46-1)*100)&lt;-50,"NM",(AH46/Z46-1)*100)))</f>
        <v>67.054542274036535</v>
      </c>
      <c r="AJ46" s="37">
        <f>AJ33/AJ28*400</f>
        <v>2.097738619990205E-2</v>
      </c>
      <c r="AK46" s="23" t="str">
        <f>IF(ISERROR((AJ46/AB46-1)*100),"NA",IF(((AJ46/AB46-1)*100)&gt;100,"NM",IF(((AJ46/AB46-1)*100)&lt;-50,"NM",(AJ46/AB46-1)*100)))</f>
        <v>NM</v>
      </c>
      <c r="AL46" s="37">
        <f>AL33/AL28*400</f>
        <v>-16.14999738899466</v>
      </c>
      <c r="AM46" s="23" t="str">
        <f>IF(ISERROR((AL46/AD46-1)*100),"NA",IF(((AL46/AD46-1)*100)&gt;100,"NM",IF(((AL46/AD46-1)*100)&lt;-50,"NM",(AL46/AD46-1)*100)))</f>
        <v>NM</v>
      </c>
      <c r="AN46" s="411">
        <f t="shared" ref="AN46:AP46" si="378">AN33/AN28*400</f>
        <v>11.025923502646036</v>
      </c>
      <c r="AO46" s="23">
        <f>IF(ISERROR((AN46/AF46-1)*100),"NA",IF(((AN46/AF46-1)*100)&gt;100,"NM",IF(((AN46/AF46-1)*100)&lt;-50,"NM",(AN46/AF46-1)*100)))</f>
        <v>32.423388115891782</v>
      </c>
      <c r="AP46" s="411">
        <f t="shared" si="378"/>
        <v>1.9413953463186857</v>
      </c>
      <c r="AQ46" s="23" t="str">
        <f t="shared" si="349"/>
        <v>NM</v>
      </c>
      <c r="AR46" s="411">
        <f t="shared" ref="AR46:AT46" si="379">AR33/AR28*400</f>
        <v>6.3771158173748299</v>
      </c>
      <c r="AS46" s="23" t="str">
        <f t="shared" si="351"/>
        <v>NM</v>
      </c>
      <c r="AT46" s="411">
        <f t="shared" si="379"/>
        <v>11.48566858610814</v>
      </c>
      <c r="AU46" s="23" t="str">
        <f t="shared" si="352"/>
        <v>NM</v>
      </c>
      <c r="AV46" s="411">
        <f t="shared" ref="AV46:AX46" si="380">AV33/AV28*400</f>
        <v>3.4684778490620007</v>
      </c>
      <c r="AW46" s="23" t="str">
        <f t="shared" si="354"/>
        <v>NM</v>
      </c>
      <c r="AX46" s="411">
        <f t="shared" si="380"/>
        <v>14.576610146596359</v>
      </c>
      <c r="AY46" s="23" t="str">
        <f t="shared" si="355"/>
        <v>NM</v>
      </c>
      <c r="AZ46" s="411">
        <f t="shared" ref="AZ46" si="381">AZ33/AZ28*400</f>
        <v>9.5281103614522635</v>
      </c>
      <c r="BA46" s="23">
        <f t="shared" si="357"/>
        <v>49.410966247349045</v>
      </c>
      <c r="BB46" s="411">
        <f t="shared" ref="BB46:BD46" si="382">BB33/BB28*400</f>
        <v>11.590721995948659</v>
      </c>
      <c r="BC46" s="23">
        <f t="shared" si="359"/>
        <v>0.91464775474698889</v>
      </c>
      <c r="BD46" s="411">
        <f t="shared" si="382"/>
        <v>12.132145877017132</v>
      </c>
      <c r="BE46" s="23" t="str">
        <f t="shared" si="360"/>
        <v>NM</v>
      </c>
      <c r="BF46" s="35">
        <f t="shared" ref="BF46" si="383">BF33/BF28*400</f>
        <v>-2.5920000000000001</v>
      </c>
      <c r="BG46" s="23" t="str">
        <f t="shared" si="361"/>
        <v>NM</v>
      </c>
      <c r="BH46" s="35">
        <f t="shared" ref="BH46" si="384">BH33/BH28*400</f>
        <v>4.32</v>
      </c>
      <c r="BI46" s="23" t="str">
        <f t="shared" si="362"/>
        <v>NM</v>
      </c>
      <c r="BJ46" s="35">
        <f t="shared" ref="BJ46" si="385">BJ33/BJ28*400</f>
        <v>4.3120000000000003</v>
      </c>
      <c r="BK46" s="23" t="str">
        <f t="shared" si="363"/>
        <v>NM</v>
      </c>
      <c r="BL46" s="35">
        <f t="shared" ref="BL46" si="386">BL33/BL28*400</f>
        <v>4.28</v>
      </c>
      <c r="BM46" s="23" t="str">
        <f t="shared" si="364"/>
        <v>NM</v>
      </c>
      <c r="BN46" s="35"/>
      <c r="BO46" s="138"/>
      <c r="BP46" s="35"/>
      <c r="BQ46" s="35">
        <f>BQ33/BQ28*100</f>
        <v>16.738311582451715</v>
      </c>
      <c r="BR46" s="35"/>
      <c r="BS46" s="35">
        <f>BS33/BS28*100</f>
        <v>9.0110923842746828</v>
      </c>
      <c r="BT46" s="35"/>
      <c r="BU46" s="35">
        <f>BU33/BU28*100</f>
        <v>-7.996049011076975E-2</v>
      </c>
      <c r="BV46" s="23" t="str">
        <f>IF(ISERROR((BU46/BS46-1)*100),"NA",IF(((BU46/BS46-1)*100)&gt;100,"NM",IF(((BU46/BS46-1)*100)&lt;-50,"NM",(BU46/BS46-1)*100)))</f>
        <v>NM</v>
      </c>
      <c r="BW46" s="35">
        <f t="shared" ref="BW46:BY46" si="387">BW33/BW28*100</f>
        <v>9.4717134491813439</v>
      </c>
      <c r="BX46" s="23" t="str">
        <f>IF(ISERROR((BW46/BU46-1)*100),"NA",IF(((BW46/BU46-1)*100)&gt;100,"NM",IF(((BW46/BU46-1)*100)&lt;-50,"NM",(BW46/BU46-1)*100)))</f>
        <v>NM</v>
      </c>
      <c r="BY46" s="35">
        <f t="shared" si="387"/>
        <v>13.603475146732105</v>
      </c>
      <c r="BZ46" s="23">
        <f>IF(ISERROR((BY46/BW46-1)*100),"NA",IF(((BY46/BW46-1)*100)&gt;100,"NM",IF(((BY46/BW46-1)*100)&lt;-50,"NM",(BY46/BW46-1)*100)))</f>
        <v>43.622114622860295</v>
      </c>
      <c r="CA46" s="35">
        <f>CA33/CA28*100</f>
        <v>5.3326453604113411</v>
      </c>
      <c r="CB46" s="23" t="str">
        <f>IF(ISERROR((CA46/BY46-1)*100),"NA",IF(((CA46/BY46-1)*100)&gt;100,"NM",IF(((CA46/BY46-1)*100)&lt;-50,"NM",(CA46/BY46-1)*100)))</f>
        <v>NM</v>
      </c>
      <c r="CC46" s="35">
        <f>CC33/CC28*100</f>
        <v>0.50149006637609883</v>
      </c>
      <c r="CD46" s="23" t="str">
        <f>IF(ISERROR((CC46/CA46-1)*100),"NA",IF(((CC46/CA46-1)*100)&gt;100,"NM",IF(((CC46/CA46-1)*100)&lt;-50,"NM",(CC46/CA46-1)*100)))</f>
        <v>NM</v>
      </c>
      <c r="CE46" s="35">
        <f>CE33/CE28*100</f>
        <v>6.0164123353329089</v>
      </c>
      <c r="CF46" s="23" t="str">
        <f>IF(ISERROR((CE46/CC46-1)*100),"NA",IF(((CE46/CC46-1)*100)&gt;100,"NM",IF(((CE46/CC46-1)*100)&lt;-50,"NM",(CE46/CC46-1)*100)))</f>
        <v>NM</v>
      </c>
      <c r="CG46" s="35">
        <f>CG33/CG28*100</f>
        <v>12.583581669112961</v>
      </c>
      <c r="CH46" s="23" t="str">
        <f>IF(ISERROR((CG46/CE46-1)*100),"NA",IF(((CG46/CE46-1)*100)&gt;100,"NM",IF(((CG46/CE46-1)*100)&lt;-50,"NM",(CG46/CE46-1)*100)))</f>
        <v>NM</v>
      </c>
      <c r="CI46" s="35">
        <f>CI33/CI28*100</f>
        <v>2.5904330247449106</v>
      </c>
      <c r="CJ46" s="23" t="str">
        <f>IF(ISERROR((CI46/CG46-1)*100),"NA",IF(((CI46/CG46-1)*100)&gt;100,"NM",IF(((CI46/CG46-1)*100)&lt;-50,"NM",(CI46/CG46-1)*100)))</f>
        <v>NM</v>
      </c>
      <c r="CK46" s="35">
        <f>CK33/CK28*100</f>
        <v>4.4000000000000004</v>
      </c>
      <c r="CL46" s="23">
        <f>IF(ISERROR((CK46/CI46-1)*100),"NA",IF(((CK46/CI46-1)*100)&gt;100,"NM",IF(((CK46/CI46-1)*100)&lt;-50,"NM",(CK46/CI46-1)*100)))</f>
        <v>69.855771524271873</v>
      </c>
      <c r="CM46" s="35">
        <f>CM33/CM28*100</f>
        <v>4.4000000000000004</v>
      </c>
      <c r="CN46" s="23">
        <f>IF(ISERROR((CM46/CK46-1)*100),"NA",IF(((CM46/CK46-1)*100)&gt;100,"NM",IF(((CM46/CK46-1)*100)&lt;-50,"NM",(CM46/CK46-1)*100)))</f>
        <v>0</v>
      </c>
      <c r="CO46" s="35">
        <f>CO33/CO28*100</f>
        <v>4.4000000000000004</v>
      </c>
      <c r="CP46" s="23">
        <f>IF(ISERROR((CO46/CM46-1)*100),"NA",IF(((CO46/CM46-1)*100)&gt;100,"NM",IF(((CO46/CM46-1)*100)&lt;-50,"NM",(CO46/CM46-1)*100)))</f>
        <v>0</v>
      </c>
      <c r="CQ46" s="35">
        <f>CQ33/CQ28*100</f>
        <v>4.4000000000000004</v>
      </c>
      <c r="CR46" s="23">
        <f>IF(ISERROR((CQ46/CO46-1)*100),"NA",IF(((CQ46/CO46-1)*100)&gt;100,"NM",IF(((CQ46/CO46-1)*100)&lt;-50,"NM",(CQ46/CO46-1)*100)))</f>
        <v>0</v>
      </c>
      <c r="CS46" s="23">
        <f>IF(ISERROR(((CQ46/CG46)^0.2-1)*100),"NA",IF((((CQ46/CG46)^0.2-1)*100)&gt;100,"NM",IF((((CQ46/CG46)^0.2-1)*100)&lt;-50,"NM",((CQ46/CG46)^0.2-1)*100)))</f>
        <v>-18.954355383043797</v>
      </c>
    </row>
    <row r="47" spans="1:97" ht="12.75" customHeight="1" x14ac:dyDescent="0.2">
      <c r="A47" s="4" t="s">
        <v>107</v>
      </c>
      <c r="B47" s="35">
        <f t="shared" ref="B47:N47" si="388">(B46/400)/B$24</f>
        <v>5.7560061829108836E-3</v>
      </c>
      <c r="C47" s="59"/>
      <c r="D47" s="35">
        <f t="shared" si="388"/>
        <v>-3.6110418393110965E-3</v>
      </c>
      <c r="E47" s="59"/>
      <c r="F47" s="35">
        <f t="shared" si="388"/>
        <v>5.1386649610041914E-3</v>
      </c>
      <c r="G47" s="59"/>
      <c r="H47" s="35">
        <f t="shared" si="388"/>
        <v>4.427729748525012E-3</v>
      </c>
      <c r="I47" s="59"/>
      <c r="J47" s="35">
        <f t="shared" si="388"/>
        <v>5.2256622039369392E-3</v>
      </c>
      <c r="K47" s="23">
        <f>IF(ISERROR((J47/B47-1)*100),"NA",IF(((J47/B47-1)*100)&gt;100,"NM",IF(((J47/B47-1)*100)&lt;-50,"NM",(J47/B47-1)*100)))</f>
        <v>-9.2137492928428877</v>
      </c>
      <c r="L47" s="35">
        <f t="shared" si="388"/>
        <v>5.0840174680234886E-3</v>
      </c>
      <c r="M47" s="23" t="str">
        <f>IF(ISERROR((L47/D47-1)*100),"NA",IF(((L47/D47-1)*100)&gt;100,"NM",IF(((L47/D47-1)*100)&lt;-50,"NM",(L47/D47-1)*100)))</f>
        <v>NM</v>
      </c>
      <c r="N47" s="35">
        <f t="shared" si="388"/>
        <v>6.0696659046378431E-3</v>
      </c>
      <c r="O47" s="23">
        <f>IF(ISERROR((N47/F47-1)*100),"NA",IF(((N47/F47-1)*100)&gt;100,"NM",IF(((N47/F47-1)*100)&lt;-50,"NM",(N47/F47-1)*100)))</f>
        <v>18.117564595060042</v>
      </c>
      <c r="P47" s="35">
        <f>(P46/400)/P$24</f>
        <v>-8.3227672618592721E-3</v>
      </c>
      <c r="Q47" s="23" t="str">
        <f>IF(ISERROR((P47/H47-1)*100),"NA",IF(((P47/H47-1)*100)&gt;100,"NM",IF(((P47/H47-1)*100)&lt;-50,"NM",(P47/H47-1)*100)))</f>
        <v>NM</v>
      </c>
      <c r="R47" s="35">
        <f>(R46/400)/R$24</f>
        <v>4.1026406251727073E-3</v>
      </c>
      <c r="S47" s="23">
        <f>IF(ISERROR((R47/J47-1)*100),"NA",IF(((R47/J47-1)*100)&gt;100,"NM",IF(((R47/J47-1)*100)&lt;-50,"NM",(R47/J47-1)*100)))</f>
        <v>-21.490512301353181</v>
      </c>
      <c r="T47" s="35">
        <f>(T46/400)/T$24</f>
        <v>1.8880338402608309E-3</v>
      </c>
      <c r="U47" s="23" t="str">
        <f>IF(ISERROR((T47/L47-1)*100),"NA",IF(((T47/L47-1)*100)&gt;100,"NM",IF(((T47/L47-1)*100)&lt;-50,"NM",(T47/L47-1)*100)))</f>
        <v>NM</v>
      </c>
      <c r="V47" s="35">
        <f>(V46/400)/V$24</f>
        <v>9.3683489860545161E-3</v>
      </c>
      <c r="W47" s="23">
        <f>IF(ISERROR((V47/N47-1)*100),"NA",IF(((V47/N47-1)*100)&gt;100,"NM",IF(((V47/N47-1)*100)&lt;-50,"NM",(V47/N47-1)*100)))</f>
        <v>54.347028868527069</v>
      </c>
      <c r="X47" s="37">
        <f>(X46/400)/X$24</f>
        <v>4.671681653921643E-3</v>
      </c>
      <c r="Y47" s="23" t="str">
        <f>IF(ISERROR((X47/P47-1)*100),"NA",IF(((X47/P47-1)*100)&gt;100,"NM",IF(((X47/P47-1)*100)&lt;-50,"NM",(X47/P47-1)*100)))</f>
        <v>NM</v>
      </c>
      <c r="Z47" s="37">
        <f>(Z46/400)/Z$24</f>
        <v>9.0368048553999963E-3</v>
      </c>
      <c r="AA47" s="23" t="str">
        <f>IF(ISERROR((Z47/R47-1)*100),"NA",IF(((Z47/R47-1)*100)&gt;100,"NM",IF(((Z47/R47-1)*100)&lt;-50,"NM",(Z47/R47-1)*100)))</f>
        <v>NM</v>
      </c>
      <c r="AB47" s="37">
        <f>(AB46/400)/AB$24</f>
        <v>6.7393224419595721E-3</v>
      </c>
      <c r="AC47" s="23" t="str">
        <f>IF(ISERROR((AB47/T47-1)*100),"NA",IF(((AB47/T47-1)*100)&gt;100,"NM",IF(((AB47/T47-1)*100)&lt;-50,"NM",(AB47/T47-1)*100)))</f>
        <v>NM</v>
      </c>
      <c r="AD47" s="37">
        <f>(AD46/400)/AD$24</f>
        <v>-1.0868963736304275E-2</v>
      </c>
      <c r="AE47" s="23" t="str">
        <f>IF(ISERROR((AD47/V47-1)*100),"NA",IF(((AD47/V47-1)*100)&gt;100,"NM",IF(((AD47/V47-1)*100)&lt;-50,"NM",(AD47/V47-1)*100)))</f>
        <v>NM</v>
      </c>
      <c r="AF47" s="37">
        <f>(AF46/400)/AF$24</f>
        <v>4.7308329382000245E-3</v>
      </c>
      <c r="AG47" s="23">
        <f>IF(ISERROR((AF47/X47-1)*100),"NA",IF(((AF47/X47-1)*100)&gt;100,"NM",IF(((AF47/X47-1)*100)&lt;-50,"NM",(AF47/X47-1)*100)))</f>
        <v>1.2661668465514309</v>
      </c>
      <c r="AH47" s="37">
        <f>(AH46/400)/AH$24</f>
        <v>4.8963881957935364E-2</v>
      </c>
      <c r="AI47" s="23" t="str">
        <f>IF(ISERROR((AH47/Z47-1)*100),"NA",IF(((AH47/Z47-1)*100)&gt;100,"NM",IF(((AH47/Z47-1)*100)&lt;-50,"NM",(AH47/Z47-1)*100)))</f>
        <v>NM</v>
      </c>
      <c r="AJ47" s="37">
        <f>(AJ46/400)/AJ$24</f>
        <v>1.3110866374938782E-4</v>
      </c>
      <c r="AK47" s="23" t="str">
        <f>IF(ISERROR((AJ47/AB47-1)*100),"NA",IF(((AJ47/AB47-1)*100)&gt;100,"NM",IF(((AJ47/AB47-1)*100)&lt;-50,"NM",(AJ47/AB47-1)*100)))</f>
        <v>NM</v>
      </c>
      <c r="AL47" s="37">
        <f>(AL46/400)/AL$24</f>
        <v>5.3291640101869892E-3</v>
      </c>
      <c r="AM47" s="23" t="str">
        <f>IF(ISERROR((AL47/AD47-1)*100),"NA",IF(((AL47/AD47-1)*100)&gt;100,"NM",IF(((AL47/AD47-1)*100)&lt;-50,"NM",(AL47/AD47-1)*100)))</f>
        <v>NM</v>
      </c>
      <c r="AN47" s="411">
        <f t="shared" ref="AN47:AP47" si="389">(AN46/400)/AN$24</f>
        <v>4.4147255643035817E-3</v>
      </c>
      <c r="AO47" s="23">
        <f>IF(ISERROR((AN47/AF47-1)*100),"NA",IF(((AN47/AF47-1)*100)&gt;100,"NM",IF(((AN47/AF47-1)*100)&lt;-50,"NM",(AN47/AF47-1)*100)))</f>
        <v>-6.6818545069299073</v>
      </c>
      <c r="AP47" s="411">
        <f t="shared" si="389"/>
        <v>6.2786322850548011E-3</v>
      </c>
      <c r="AQ47" s="23" t="str">
        <f t="shared" si="349"/>
        <v>NM</v>
      </c>
      <c r="AR47" s="411">
        <f t="shared" ref="AR47:AT47" si="390">(AR46/400)/AR$24</f>
        <v>1.2670922320576856E-2</v>
      </c>
      <c r="AS47" s="23" t="str">
        <f t="shared" si="351"/>
        <v>NM</v>
      </c>
      <c r="AT47" s="411">
        <f t="shared" si="390"/>
        <v>9.244435360011842E-3</v>
      </c>
      <c r="AU47" s="23">
        <f t="shared" si="352"/>
        <v>73.468771881304406</v>
      </c>
      <c r="AV47" s="411">
        <f t="shared" ref="AV47:AX47" si="391">(AV46/400)/AV$24</f>
        <v>2.6646064036509667E-3</v>
      </c>
      <c r="AW47" s="23">
        <f t="shared" si="354"/>
        <v>-39.642762277312571</v>
      </c>
      <c r="AX47" s="411">
        <f t="shared" si="391"/>
        <v>6.5853830606407157E-3</v>
      </c>
      <c r="AY47" s="23">
        <f t="shared" si="355"/>
        <v>4.8856305268279776</v>
      </c>
      <c r="AZ47" s="411">
        <f t="shared" ref="AZ47" si="392">(AZ46/400)/AZ$24</f>
        <v>9.2734622315086557E-3</v>
      </c>
      <c r="BA47" s="23">
        <f t="shared" si="357"/>
        <v>-26.813044884277438</v>
      </c>
      <c r="BB47" s="411">
        <f t="shared" ref="BB47:BD47" si="393">(BB46/400)/BB$24</f>
        <v>8.0491124971865686E-3</v>
      </c>
      <c r="BC47" s="23">
        <f t="shared" si="359"/>
        <v>-12.93018790521071</v>
      </c>
      <c r="BD47" s="411">
        <f t="shared" si="393"/>
        <v>4.7391194832098167E-3</v>
      </c>
      <c r="BE47" s="23">
        <f t="shared" si="360"/>
        <v>77.854390679104142</v>
      </c>
      <c r="BF47" s="47">
        <v>54</v>
      </c>
      <c r="BG47" s="23" t="str">
        <f t="shared" si="361"/>
        <v>NM</v>
      </c>
      <c r="BH47" s="47">
        <v>54</v>
      </c>
      <c r="BI47" s="23" t="str">
        <f t="shared" si="362"/>
        <v>NM</v>
      </c>
      <c r="BJ47" s="47">
        <v>53.9</v>
      </c>
      <c r="BK47" s="23" t="str">
        <f t="shared" si="363"/>
        <v>NM</v>
      </c>
      <c r="BL47" s="47">
        <v>53.5</v>
      </c>
      <c r="BM47" s="23" t="str">
        <f t="shared" si="364"/>
        <v>NM</v>
      </c>
      <c r="BN47" s="35"/>
      <c r="BO47" s="138"/>
      <c r="BP47" s="35"/>
      <c r="BQ47" s="35"/>
      <c r="BR47" s="35"/>
      <c r="BS47" s="35"/>
      <c r="BT47" s="35"/>
      <c r="BU47" s="37"/>
      <c r="BV47" s="23"/>
      <c r="BW47" s="35"/>
      <c r="BX47" s="23"/>
      <c r="BY47" s="37"/>
      <c r="BZ47" s="23"/>
      <c r="CA47" s="37"/>
      <c r="CB47" s="23"/>
      <c r="CC47" s="37"/>
      <c r="CD47" s="23"/>
      <c r="CE47" s="37"/>
      <c r="CF47" s="23"/>
      <c r="CG47" s="37"/>
      <c r="CH47" s="23"/>
      <c r="CI47" s="37">
        <f>CI33/CI28*100/CI24*100</f>
        <v>32.38041280931138</v>
      </c>
      <c r="CJ47" s="23"/>
      <c r="CK47" s="114">
        <v>55</v>
      </c>
      <c r="CL47" s="23"/>
      <c r="CM47" s="114">
        <f>CK47</f>
        <v>55</v>
      </c>
      <c r="CN47" s="23"/>
      <c r="CO47" s="114">
        <f>CM47</f>
        <v>55</v>
      </c>
      <c r="CP47" s="23"/>
      <c r="CQ47" s="114">
        <f>CO47</f>
        <v>55</v>
      </c>
      <c r="CR47" s="23"/>
      <c r="CS47" s="23" t="str">
        <f>IF(ISERROR(((CQ47/CG47)^0.2-1)*100),"NA",IF((((CQ47/CG47)^0.2-1)*100)&gt;100,"NM",IF((((CQ47/CG47)^0.2-1)*100)&lt;-50,"NM",((CQ47/CG47)^0.2-1)*100)))</f>
        <v>NA</v>
      </c>
    </row>
    <row r="48" spans="1:97" ht="12.75" customHeight="1" x14ac:dyDescent="0.2">
      <c r="B48" s="35"/>
      <c r="C48" s="60"/>
      <c r="D48" s="35"/>
      <c r="E48" s="60"/>
      <c r="F48" s="35"/>
      <c r="G48" s="60"/>
      <c r="H48" s="35"/>
      <c r="I48" s="60"/>
      <c r="J48" s="35"/>
      <c r="K48" s="177"/>
      <c r="L48" s="35"/>
      <c r="M48" s="177"/>
      <c r="N48" s="35"/>
      <c r="O48" s="177"/>
      <c r="P48" s="35"/>
      <c r="Q48" s="177"/>
      <c r="R48" s="35"/>
      <c r="S48" s="177"/>
      <c r="T48" s="35"/>
      <c r="U48" s="177"/>
      <c r="V48" s="35"/>
      <c r="W48" s="177"/>
      <c r="X48" s="37"/>
      <c r="Y48" s="177"/>
      <c r="Z48" s="37"/>
      <c r="AA48" s="177"/>
      <c r="AB48" s="37"/>
      <c r="AC48" s="177"/>
      <c r="AD48" s="37"/>
      <c r="AE48" s="177"/>
      <c r="AF48" s="37"/>
      <c r="AG48" s="177"/>
      <c r="AH48" s="37"/>
      <c r="AI48" s="177"/>
      <c r="AJ48" s="37"/>
      <c r="AK48" s="177"/>
      <c r="AL48" s="37"/>
      <c r="AM48" s="177"/>
      <c r="AN48" s="411"/>
      <c r="AO48" s="177"/>
      <c r="AP48" s="411"/>
      <c r="AQ48" s="177"/>
      <c r="AR48" s="409"/>
      <c r="AS48" s="177"/>
      <c r="AT48" s="409"/>
      <c r="AU48" s="177"/>
      <c r="AV48" s="409"/>
      <c r="AW48" s="177"/>
      <c r="AX48" s="409"/>
      <c r="AY48" s="177"/>
      <c r="AZ48" s="409"/>
      <c r="BA48" s="177"/>
      <c r="BB48" s="409"/>
      <c r="BC48" s="177"/>
      <c r="BD48" s="409"/>
      <c r="BE48" s="177"/>
      <c r="BF48" s="35"/>
      <c r="BG48" s="177"/>
      <c r="BH48" s="35"/>
      <c r="BI48" s="177"/>
      <c r="BJ48" s="35"/>
      <c r="BK48" s="177"/>
      <c r="BL48" s="35"/>
      <c r="BM48" s="177"/>
      <c r="BN48" s="35"/>
      <c r="BO48" s="138"/>
      <c r="BP48" s="35"/>
      <c r="BQ48" s="35"/>
      <c r="BR48" s="35"/>
      <c r="BS48" s="35"/>
      <c r="BT48" s="35"/>
      <c r="BU48" s="37"/>
      <c r="BV48" s="177"/>
      <c r="BW48" s="37"/>
      <c r="BX48" s="177"/>
      <c r="BY48" s="37"/>
      <c r="BZ48" s="177"/>
      <c r="CA48" s="37"/>
      <c r="CB48" s="177"/>
      <c r="CC48" s="37"/>
      <c r="CD48" s="177"/>
      <c r="CE48" s="37"/>
      <c r="CF48" s="177"/>
      <c r="CG48" s="37"/>
      <c r="CH48" s="177"/>
      <c r="CI48" s="37"/>
      <c r="CJ48" s="177"/>
      <c r="CK48" s="37"/>
      <c r="CL48" s="177"/>
      <c r="CM48" s="37"/>
      <c r="CN48" s="177"/>
      <c r="CO48" s="37"/>
      <c r="CP48" s="177"/>
      <c r="CQ48" s="37"/>
      <c r="CR48" s="177"/>
      <c r="CS48" s="177"/>
    </row>
    <row r="49" spans="1:97" ht="12.75" customHeight="1" x14ac:dyDescent="0.2">
      <c r="A49" s="3" t="s">
        <v>100</v>
      </c>
      <c r="B49" s="35"/>
      <c r="C49" s="60"/>
      <c r="D49" s="35"/>
      <c r="E49" s="60"/>
      <c r="F49" s="35"/>
      <c r="G49" s="60"/>
      <c r="H49" s="35"/>
      <c r="I49" s="60"/>
      <c r="J49" s="35"/>
      <c r="K49" s="177"/>
      <c r="L49" s="35"/>
      <c r="M49" s="177"/>
      <c r="N49" s="35"/>
      <c r="O49" s="177"/>
      <c r="P49" s="35"/>
      <c r="Q49" s="177"/>
      <c r="R49" s="35"/>
      <c r="S49" s="177"/>
      <c r="T49" s="35"/>
      <c r="U49" s="177"/>
      <c r="V49" s="35"/>
      <c r="W49" s="177"/>
      <c r="X49" s="37"/>
      <c r="Y49" s="177"/>
      <c r="Z49" s="37"/>
      <c r="AA49" s="177"/>
      <c r="AB49" s="37"/>
      <c r="AC49" s="177"/>
      <c r="AD49" s="37"/>
      <c r="AE49" s="177"/>
      <c r="AF49" s="37"/>
      <c r="AG49" s="177"/>
      <c r="AH49" s="37"/>
      <c r="AI49" s="177"/>
      <c r="AJ49" s="37"/>
      <c r="AK49" s="177"/>
      <c r="AL49" s="37"/>
      <c r="AM49" s="177"/>
      <c r="AN49" s="411"/>
      <c r="AO49" s="177"/>
      <c r="AP49" s="411"/>
      <c r="AQ49" s="177"/>
      <c r="AR49" s="409"/>
      <c r="AS49" s="177"/>
      <c r="AT49" s="409"/>
      <c r="AU49" s="177"/>
      <c r="AV49" s="409"/>
      <c r="AW49" s="177"/>
      <c r="AX49" s="409"/>
      <c r="AY49" s="177"/>
      <c r="AZ49" s="409"/>
      <c r="BA49" s="177"/>
      <c r="BB49" s="409"/>
      <c r="BC49" s="177"/>
      <c r="BD49" s="409"/>
      <c r="BE49" s="177"/>
      <c r="BF49" s="35"/>
      <c r="BG49" s="177"/>
      <c r="BH49" s="35"/>
      <c r="BI49" s="177"/>
      <c r="BJ49" s="35"/>
      <c r="BK49" s="177"/>
      <c r="BL49" s="35"/>
      <c r="BM49" s="177"/>
      <c r="BN49" s="35"/>
      <c r="BO49" s="138"/>
      <c r="BP49" s="35"/>
      <c r="BQ49" s="35"/>
      <c r="BR49" s="35"/>
      <c r="BS49" s="35"/>
      <c r="BT49" s="35"/>
      <c r="BU49" s="37"/>
      <c r="BV49" s="177"/>
      <c r="BW49" s="37"/>
      <c r="BX49" s="177"/>
      <c r="BY49" s="37"/>
      <c r="BZ49" s="177"/>
      <c r="CA49" s="37"/>
      <c r="CB49" s="177"/>
      <c r="CC49" s="37"/>
      <c r="CD49" s="177"/>
      <c r="CE49" s="37"/>
      <c r="CF49" s="177"/>
      <c r="CG49" s="37"/>
      <c r="CH49" s="177"/>
      <c r="CI49" s="37"/>
      <c r="CJ49" s="177"/>
      <c r="CK49" s="37"/>
      <c r="CL49" s="177"/>
      <c r="CM49" s="37"/>
      <c r="CN49" s="177"/>
      <c r="CO49" s="37"/>
      <c r="CP49" s="177"/>
      <c r="CQ49" s="37"/>
      <c r="CR49" s="177"/>
      <c r="CS49" s="177"/>
    </row>
    <row r="50" spans="1:97" ht="12.75" customHeight="1" x14ac:dyDescent="0.2">
      <c r="A50" s="96" t="s">
        <v>327</v>
      </c>
      <c r="B50" s="49"/>
      <c r="C50" s="59"/>
      <c r="D50" s="49"/>
      <c r="E50" s="59"/>
      <c r="F50" s="49"/>
      <c r="G50" s="59"/>
      <c r="H50" s="49"/>
      <c r="I50" s="59"/>
      <c r="J50" s="49">
        <v>351.5</v>
      </c>
      <c r="K50" s="23"/>
      <c r="L50" s="49">
        <v>377.9</v>
      </c>
      <c r="M50" s="23"/>
      <c r="N50" s="49">
        <v>366</v>
      </c>
      <c r="O50" s="23"/>
      <c r="P50" s="49">
        <v>369.8</v>
      </c>
      <c r="Q50" s="23"/>
      <c r="R50" s="49">
        <v>368.8</v>
      </c>
      <c r="S50" s="23"/>
      <c r="T50" s="49">
        <v>374.5</v>
      </c>
      <c r="U50" s="23"/>
      <c r="V50" s="49">
        <v>359.7</v>
      </c>
      <c r="W50" s="23"/>
      <c r="X50" s="49">
        <v>376</v>
      </c>
      <c r="Y50" s="23"/>
      <c r="Z50" s="49">
        <v>371</v>
      </c>
      <c r="AA50" s="23"/>
      <c r="AB50" s="49">
        <v>362</v>
      </c>
      <c r="AC50" s="23"/>
      <c r="AD50" s="49">
        <v>370.7</v>
      </c>
      <c r="AE50" s="23"/>
      <c r="AF50" s="49">
        <v>374.9</v>
      </c>
      <c r="AG50" s="23"/>
      <c r="AH50" s="49">
        <v>373.2</v>
      </c>
      <c r="AI50" s="23"/>
      <c r="AJ50" s="49">
        <v>362.8</v>
      </c>
      <c r="AK50" s="23"/>
      <c r="AL50" s="49">
        <v>381.8</v>
      </c>
      <c r="AM50" s="23"/>
      <c r="AN50" s="158">
        <v>400.8</v>
      </c>
      <c r="AO50" s="23"/>
      <c r="AP50" s="158">
        <v>393.7</v>
      </c>
      <c r="AQ50" s="23"/>
      <c r="AR50" s="158">
        <v>401.9</v>
      </c>
      <c r="AS50" s="23"/>
      <c r="AT50" s="158">
        <v>403.3</v>
      </c>
      <c r="AU50" s="23"/>
      <c r="AV50" s="158">
        <v>402.7</v>
      </c>
      <c r="AW50" s="23"/>
      <c r="AX50" s="158">
        <v>392</v>
      </c>
      <c r="AY50" s="23"/>
      <c r="AZ50" s="158">
        <v>394</v>
      </c>
      <c r="BA50" s="23"/>
      <c r="BB50" s="158">
        <v>397.5</v>
      </c>
      <c r="BC50" s="23"/>
      <c r="BD50" s="158">
        <v>399</v>
      </c>
      <c r="BE50" s="23"/>
      <c r="BF50" s="56"/>
      <c r="BG50" s="23"/>
      <c r="BH50" s="56"/>
      <c r="BI50" s="23"/>
      <c r="BJ50" s="56"/>
      <c r="BK50" s="23"/>
      <c r="BL50" s="56"/>
      <c r="BM50" s="23"/>
      <c r="BN50" s="35"/>
      <c r="BO50" s="137"/>
      <c r="BP50" s="35"/>
      <c r="BQ50" s="48"/>
      <c r="BR50" s="35"/>
      <c r="BS50" s="48"/>
      <c r="BT50" s="35"/>
      <c r="BU50" s="56"/>
      <c r="BV50" s="23"/>
      <c r="BW50" s="56">
        <f>J50+L50+N50+P50</f>
        <v>1465.2</v>
      </c>
      <c r="BX50" s="23" t="str">
        <f>IF(ISERROR((BW50/BU50-1)*100),"NA",IF(((BW50/BU50-1)*100)&gt;100,"NM",IF(((BW50/BU50-1)*100)&lt;-50,"NM",(BW50/BU50-1)*100)))</f>
        <v>NA</v>
      </c>
      <c r="BY50" s="56">
        <f>R50+T50+V50+X50</f>
        <v>1479</v>
      </c>
      <c r="BZ50" s="23">
        <f>IF(ISERROR((BY50/BW50-1)*100),"NA",IF(((BY50/BW50-1)*100)&gt;100,"NM",IF(((BY50/BW50-1)*100)&lt;-50,"NM",(BY50/BW50-1)*100)))</f>
        <v>0.94185094185093021</v>
      </c>
      <c r="CA50" s="56"/>
      <c r="CB50" s="23" t="str">
        <f>IF(ISERROR((CA50/BY50-1)*100),"NA",IF(((CA50/BY50-1)*100)&gt;100,"NM",IF(((CA50/BY50-1)*100)&lt;-50,"NM",(CA50/BY50-1)*100)))</f>
        <v>NM</v>
      </c>
      <c r="CC50" s="56"/>
      <c r="CD50" s="23" t="str">
        <f>IF(ISERROR((CC50/CA50-1)*100),"NA",IF(((CC50/CA50-1)*100)&gt;100,"NM",IF(((CC50/CA50-1)*100)&lt;-50,"NM",(CC50/CA50-1)*100)))</f>
        <v>NA</v>
      </c>
      <c r="CE50" s="56"/>
      <c r="CF50" s="23" t="str">
        <f>IF(ISERROR((CE50/CC50-1)*100),"NA",IF(((CE50/CC50-1)*100)&gt;100,"NM",IF(((CE50/CC50-1)*100)&lt;-50,"NM",(CE50/CC50-1)*100)))</f>
        <v>NA</v>
      </c>
      <c r="CG50" s="56"/>
      <c r="CH50" s="23" t="str">
        <f>IF(ISERROR((CG50/CE50-1)*100),"NA",IF(((CG50/CE50-1)*100)&gt;100,"NM",IF(((CG50/CE50-1)*100)&lt;-50,"NM",(CG50/CE50-1)*100)))</f>
        <v>NA</v>
      </c>
      <c r="CI50" s="56"/>
      <c r="CJ50" s="23" t="str">
        <f>IF(ISERROR((CI50/CG50-1)*100),"NA",IF(((CI50/CG50-1)*100)&gt;100,"NM",IF(((CI50/CG50-1)*100)&lt;-50,"NM",(CI50/CG50-1)*100)))</f>
        <v>NA</v>
      </c>
      <c r="CK50" s="56"/>
      <c r="CL50" s="23" t="str">
        <f>IF(ISERROR((CK50/CI50-1)*100),"NA",IF(((CK50/CI50-1)*100)&gt;100,"NM",IF(((CK50/CI50-1)*100)&lt;-50,"NM",(CK50/CI50-1)*100)))</f>
        <v>NA</v>
      </c>
      <c r="CM50" s="56"/>
      <c r="CN50" s="23" t="str">
        <f>IF(ISERROR((CM50/CK50-1)*100),"NA",IF(((CM50/CK50-1)*100)&gt;100,"NM",IF(((CM50/CK50-1)*100)&lt;-50,"NM",(CM50/CK50-1)*100)))</f>
        <v>NA</v>
      </c>
      <c r="CO50" s="56"/>
      <c r="CP50" s="23" t="str">
        <f>IF(ISERROR((CO50/CM50-1)*100),"NA",IF(((CO50/CM50-1)*100)&gt;100,"NM",IF(((CO50/CM50-1)*100)&lt;-50,"NM",(CO50/CM50-1)*100)))</f>
        <v>NA</v>
      </c>
      <c r="CQ50" s="56"/>
      <c r="CR50" s="23" t="str">
        <f>IF(ISERROR((CQ50/CO50-1)*100),"NA",IF(((CQ50/CO50-1)*100)&gt;100,"NM",IF(((CQ50/CO50-1)*100)&lt;-50,"NM",(CQ50/CO50-1)*100)))</f>
        <v>NA</v>
      </c>
      <c r="CS50" s="23"/>
    </row>
    <row r="51" spans="1:97" ht="12.75" customHeight="1" x14ac:dyDescent="0.2">
      <c r="A51" s="96" t="s">
        <v>328</v>
      </c>
      <c r="B51" s="49"/>
      <c r="C51" s="59"/>
      <c r="D51" s="49"/>
      <c r="E51" s="59"/>
      <c r="F51" s="49"/>
      <c r="G51" s="59"/>
      <c r="H51" s="49"/>
      <c r="I51" s="59"/>
      <c r="J51" s="49">
        <f>13.8+197</f>
        <v>210.8</v>
      </c>
      <c r="K51" s="23"/>
      <c r="L51" s="49">
        <f>13.2+197.4</f>
        <v>210.6</v>
      </c>
      <c r="M51" s="23"/>
      <c r="N51" s="49">
        <f>13.2+201.1</f>
        <v>214.29999999999998</v>
      </c>
      <c r="O51" s="23"/>
      <c r="P51" s="49">
        <f>14.7+204.7</f>
        <v>219.39999999999998</v>
      </c>
      <c r="Q51" s="23"/>
      <c r="R51" s="49">
        <f>14.2+199.9</f>
        <v>214.1</v>
      </c>
      <c r="S51" s="23"/>
      <c r="T51" s="49">
        <f>14.7+203.6</f>
        <v>218.29999999999998</v>
      </c>
      <c r="U51" s="23"/>
      <c r="V51" s="49">
        <f>14.1+207.5</f>
        <v>221.6</v>
      </c>
      <c r="W51" s="23"/>
      <c r="X51" s="49">
        <f>14.9+210</f>
        <v>224.9</v>
      </c>
      <c r="Y51" s="23"/>
      <c r="Z51" s="49">
        <f>15.1+204.3</f>
        <v>219.4</v>
      </c>
      <c r="AA51" s="23"/>
      <c r="AB51" s="49">
        <f>14.7+200.3</f>
        <v>215</v>
      </c>
      <c r="AC51" s="23"/>
      <c r="AD51" s="49">
        <f>15+202.7</f>
        <v>217.7</v>
      </c>
      <c r="AE51" s="23"/>
      <c r="AF51" s="49">
        <f>14.8+203.9</f>
        <v>218.70000000000002</v>
      </c>
      <c r="AG51" s="23"/>
      <c r="AH51" s="49">
        <f>14.8+200.7</f>
        <v>215.5</v>
      </c>
      <c r="AI51" s="23"/>
      <c r="AJ51" s="49">
        <f>14.7+205.4</f>
        <v>220.1</v>
      </c>
      <c r="AK51" s="23"/>
      <c r="AL51" s="49">
        <f>15.3+213.3</f>
        <v>228.60000000000002</v>
      </c>
      <c r="AM51" s="23"/>
      <c r="AN51" s="158">
        <f>14.6+218.6</f>
        <v>233.2</v>
      </c>
      <c r="AO51" s="23"/>
      <c r="AP51" s="158">
        <f>15.7+218.3</f>
        <v>234</v>
      </c>
      <c r="AQ51" s="23"/>
      <c r="AR51" s="158">
        <f>16.7+223.2</f>
        <v>239.89999999999998</v>
      </c>
      <c r="AS51" s="23"/>
      <c r="AT51" s="158">
        <f>17.4+229.7</f>
        <v>247.1</v>
      </c>
      <c r="AU51" s="23"/>
      <c r="AV51" s="158">
        <f>18.1+234.8</f>
        <v>252.9</v>
      </c>
      <c r="AW51" s="23"/>
      <c r="AX51" s="158">
        <f>18.8+229.9</f>
        <v>248.70000000000002</v>
      </c>
      <c r="AY51" s="23"/>
      <c r="AZ51" s="158">
        <f>17.4+233.2</f>
        <v>250.6</v>
      </c>
      <c r="BA51" s="23"/>
      <c r="BB51" s="158">
        <f>18.7+236.6</f>
        <v>255.29999999999998</v>
      </c>
      <c r="BC51" s="23"/>
      <c r="BD51" s="158">
        <f>17+236+0.4</f>
        <v>253.4</v>
      </c>
      <c r="BE51" s="23"/>
      <c r="BF51" s="56"/>
      <c r="BG51" s="23"/>
      <c r="BH51" s="56"/>
      <c r="BI51" s="23"/>
      <c r="BJ51" s="56"/>
      <c r="BK51" s="23"/>
      <c r="BL51" s="56"/>
      <c r="BM51" s="23"/>
      <c r="BN51" s="35"/>
      <c r="BO51" s="137"/>
      <c r="BP51" s="35"/>
      <c r="BQ51" s="48"/>
      <c r="BR51" s="35"/>
      <c r="BS51" s="48"/>
      <c r="BT51" s="35"/>
      <c r="BU51" s="56"/>
      <c r="BV51" s="23"/>
      <c r="BW51" s="56">
        <f>J51+L51+N51+P51</f>
        <v>855.09999999999991</v>
      </c>
      <c r="BX51" s="23" t="str">
        <f>IF(ISERROR((BW51/BU51-1)*100),"NA",IF(((BW51/BU51-1)*100)&gt;100,"NM",IF(((BW51/BU51-1)*100)&lt;-50,"NM",(BW51/BU51-1)*100)))</f>
        <v>NA</v>
      </c>
      <c r="BY51" s="56">
        <f>R51+T51+V51+X51</f>
        <v>878.9</v>
      </c>
      <c r="BZ51" s="23">
        <f>IF(ISERROR((BY51/BW51-1)*100),"NA",IF(((BY51/BW51-1)*100)&gt;100,"NM",IF(((BY51/BW51-1)*100)&lt;-50,"NM",(BY51/BW51-1)*100)))</f>
        <v>2.7833001988071704</v>
      </c>
      <c r="CA51" s="56"/>
      <c r="CB51" s="23" t="str">
        <f>IF(ISERROR((CA51/BY51-1)*100),"NA",IF(((CA51/BY51-1)*100)&gt;100,"NM",IF(((CA51/BY51-1)*100)&lt;-50,"NM",(CA51/BY51-1)*100)))</f>
        <v>NM</v>
      </c>
      <c r="CC51" s="56"/>
      <c r="CD51" s="23" t="str">
        <f>IF(ISERROR((CC51/CA51-1)*100),"NA",IF(((CC51/CA51-1)*100)&gt;100,"NM",IF(((CC51/CA51-1)*100)&lt;-50,"NM",(CC51/CA51-1)*100)))</f>
        <v>NA</v>
      </c>
      <c r="CE51" s="56"/>
      <c r="CF51" s="23" t="str">
        <f>IF(ISERROR((CE51/CC51-1)*100),"NA",IF(((CE51/CC51-1)*100)&gt;100,"NM",IF(((CE51/CC51-1)*100)&lt;-50,"NM",(CE51/CC51-1)*100)))</f>
        <v>NA</v>
      </c>
      <c r="CG51" s="56"/>
      <c r="CH51" s="23" t="str">
        <f>IF(ISERROR((CG51/CE51-1)*100),"NA",IF(((CG51/CE51-1)*100)&gt;100,"NM",IF(((CG51/CE51-1)*100)&lt;-50,"NM",(CG51/CE51-1)*100)))</f>
        <v>NA</v>
      </c>
      <c r="CI51" s="56"/>
      <c r="CJ51" s="23" t="str">
        <f>IF(ISERROR((CI51/CG51-1)*100),"NA",IF(((CI51/CG51-1)*100)&gt;100,"NM",IF(((CI51/CG51-1)*100)&lt;-50,"NM",(CI51/CG51-1)*100)))</f>
        <v>NA</v>
      </c>
      <c r="CK51" s="56"/>
      <c r="CL51" s="23" t="str">
        <f>IF(ISERROR((CK51/CI51-1)*100),"NA",IF(((CK51/CI51-1)*100)&gt;100,"NM",IF(((CK51/CI51-1)*100)&lt;-50,"NM",(CK51/CI51-1)*100)))</f>
        <v>NA</v>
      </c>
      <c r="CM51" s="56"/>
      <c r="CN51" s="23" t="str">
        <f>IF(ISERROR((CM51/CK51-1)*100),"NA",IF(((CM51/CK51-1)*100)&gt;100,"NM",IF(((CM51/CK51-1)*100)&lt;-50,"NM",(CM51/CK51-1)*100)))</f>
        <v>NA</v>
      </c>
      <c r="CO51" s="56"/>
      <c r="CP51" s="23" t="str">
        <f>IF(ISERROR((CO51/CM51-1)*100),"NA",IF(((CO51/CM51-1)*100)&gt;100,"NM",IF(((CO51/CM51-1)*100)&lt;-50,"NM",(CO51/CM51-1)*100)))</f>
        <v>NA</v>
      </c>
      <c r="CQ51" s="56"/>
      <c r="CR51" s="23" t="str">
        <f>IF(ISERROR((CQ51/CO51-1)*100),"NA",IF(((CQ51/CO51-1)*100)&gt;100,"NM",IF(((CQ51/CO51-1)*100)&lt;-50,"NM",(CQ51/CO51-1)*100)))</f>
        <v>NA</v>
      </c>
      <c r="CS51" s="23"/>
    </row>
    <row r="52" spans="1:97" ht="12.75" customHeight="1" x14ac:dyDescent="0.2">
      <c r="A52" s="96" t="s">
        <v>329</v>
      </c>
      <c r="B52" s="49"/>
      <c r="C52" s="59"/>
      <c r="D52" s="49"/>
      <c r="E52" s="59"/>
      <c r="F52" s="49"/>
      <c r="G52" s="59"/>
      <c r="H52" s="49"/>
      <c r="I52" s="59"/>
      <c r="J52" s="49">
        <v>43</v>
      </c>
      <c r="K52" s="23"/>
      <c r="L52" s="49">
        <v>-21.6</v>
      </c>
      <c r="M52" s="23"/>
      <c r="N52" s="49">
        <v>23.3</v>
      </c>
      <c r="O52" s="23"/>
      <c r="P52" s="49">
        <v>18.5</v>
      </c>
      <c r="Q52" s="23"/>
      <c r="R52" s="49">
        <v>28.6</v>
      </c>
      <c r="S52" s="23"/>
      <c r="T52" s="49">
        <v>23.3</v>
      </c>
      <c r="U52" s="23"/>
      <c r="V52" s="49">
        <v>43.2</v>
      </c>
      <c r="W52" s="23"/>
      <c r="X52" s="49">
        <v>30.3</v>
      </c>
      <c r="Y52" s="23"/>
      <c r="Z52" s="49">
        <v>27</v>
      </c>
      <c r="AA52" s="23"/>
      <c r="AB52" s="49">
        <v>26.8</v>
      </c>
      <c r="AC52" s="23"/>
      <c r="AD52" s="49">
        <v>32.299999999999997</v>
      </c>
      <c r="AE52" s="23"/>
      <c r="AF52" s="49">
        <v>28.2</v>
      </c>
      <c r="AG52" s="23"/>
      <c r="AH52" s="49">
        <v>25.2</v>
      </c>
      <c r="AI52" s="23"/>
      <c r="AJ52" s="49">
        <v>28.9</v>
      </c>
      <c r="AK52" s="23"/>
      <c r="AL52" s="49">
        <v>23.4</v>
      </c>
      <c r="AM52" s="23"/>
      <c r="AN52" s="158">
        <v>20.9</v>
      </c>
      <c r="AO52" s="23"/>
      <c r="AP52" s="158">
        <v>17.600000000000001</v>
      </c>
      <c r="AQ52" s="23"/>
      <c r="AR52" s="158">
        <v>28.8</v>
      </c>
      <c r="AS52" s="23"/>
      <c r="AT52" s="158">
        <v>29</v>
      </c>
      <c r="AU52" s="23"/>
      <c r="AV52" s="158">
        <v>43.4</v>
      </c>
      <c r="AW52" s="23"/>
      <c r="AX52" s="158">
        <v>49.1</v>
      </c>
      <c r="AY52" s="23"/>
      <c r="AZ52" s="158">
        <v>38.299999999999997</v>
      </c>
      <c r="BA52" s="23"/>
      <c r="BB52" s="158">
        <v>42.4</v>
      </c>
      <c r="BC52" s="23"/>
      <c r="BD52" s="158">
        <v>46</v>
      </c>
      <c r="BE52" s="23"/>
      <c r="BF52" s="56"/>
      <c r="BG52" s="23"/>
      <c r="BH52" s="56"/>
      <c r="BI52" s="23"/>
      <c r="BJ52" s="56"/>
      <c r="BK52" s="23"/>
      <c r="BL52" s="56"/>
      <c r="BM52" s="23"/>
      <c r="BN52" s="35"/>
      <c r="BO52" s="137"/>
      <c r="BP52" s="35"/>
      <c r="BQ52" s="48"/>
      <c r="BR52" s="35"/>
      <c r="BS52" s="48"/>
      <c r="BT52" s="35"/>
      <c r="BU52" s="56"/>
      <c r="BV52" s="23" t="str">
        <f>IF(ISERROR((BU52/BS52-1)*100),"NA",IF(((BU52/BS52-1)*100)&gt;100,"NM",IF(((BU52/BS52-1)*100)&lt;-50,"NM",(BU52/BS52-1)*100)))</f>
        <v>NA</v>
      </c>
      <c r="BW52" s="56">
        <f>J52+L52+N52+P52</f>
        <v>63.2</v>
      </c>
      <c r="BX52" s="23" t="str">
        <f>IF(ISERROR((BW52/BU52-1)*100),"NA",IF(((BW52/BU52-1)*100)&gt;100,"NM",IF(((BW52/BU52-1)*100)&lt;-50,"NM",(BW52/BU52-1)*100)))</f>
        <v>NA</v>
      </c>
      <c r="BY52" s="56">
        <f>R52+T52+V52+X52</f>
        <v>125.4</v>
      </c>
      <c r="BZ52" s="23">
        <f>IF(ISERROR((BY52/BW52-1)*100),"NA",IF(((BY52/BW52-1)*100)&gt;100,"NM",IF(((BY52/BW52-1)*100)&lt;-50,"NM",(BY52/BW52-1)*100)))</f>
        <v>98.417721518987335</v>
      </c>
      <c r="CA52" s="56"/>
      <c r="CB52" s="23" t="str">
        <f>IF(ISERROR((CA52/BY52-1)*100),"NA",IF(((CA52/BY52-1)*100)&gt;100,"NM",IF(((CA52/BY52-1)*100)&lt;-50,"NM",(CA52/BY52-1)*100)))</f>
        <v>NM</v>
      </c>
      <c r="CC52" s="56"/>
      <c r="CD52" s="23" t="str">
        <f>IF(ISERROR((CC52/CA52-1)*100),"NA",IF(((CC52/CA52-1)*100)&gt;100,"NM",IF(((CC52/CA52-1)*100)&lt;-50,"NM",(CC52/CA52-1)*100)))</f>
        <v>NA</v>
      </c>
      <c r="CE52" s="56"/>
      <c r="CF52" s="23" t="str">
        <f>IF(ISERROR((CE52/CC52-1)*100),"NA",IF(((CE52/CC52-1)*100)&gt;100,"NM",IF(((CE52/CC52-1)*100)&lt;-50,"NM",(CE52/CC52-1)*100)))</f>
        <v>NA</v>
      </c>
      <c r="CG52" s="56"/>
      <c r="CH52" s="23" t="str">
        <f>IF(ISERROR((CG52/CE52-1)*100),"NA",IF(((CG52/CE52-1)*100)&gt;100,"NM",IF(((CG52/CE52-1)*100)&lt;-50,"NM",(CG52/CE52-1)*100)))</f>
        <v>NA</v>
      </c>
      <c r="CI52" s="56"/>
      <c r="CJ52" s="23" t="str">
        <f>IF(ISERROR((CI52/CG52-1)*100),"NA",IF(((CI52/CG52-1)*100)&gt;100,"NM",IF(((CI52/CG52-1)*100)&lt;-50,"NM",(CI52/CG52-1)*100)))</f>
        <v>NA</v>
      </c>
      <c r="CK52" s="56"/>
      <c r="CL52" s="23" t="str">
        <f>IF(ISERROR((CK52/CI52-1)*100),"NA",IF(((CK52/CI52-1)*100)&gt;100,"NM",IF(((CK52/CI52-1)*100)&lt;-50,"NM",(CK52/CI52-1)*100)))</f>
        <v>NA</v>
      </c>
      <c r="CM52" s="56"/>
      <c r="CN52" s="23" t="str">
        <f>IF(ISERROR((CM52/CK52-1)*100),"NA",IF(((CM52/CK52-1)*100)&gt;100,"NM",IF(((CM52/CK52-1)*100)&lt;-50,"NM",(CM52/CK52-1)*100)))</f>
        <v>NA</v>
      </c>
      <c r="CO52" s="56"/>
      <c r="CP52" s="23" t="str">
        <f>IF(ISERROR((CO52/CM52-1)*100),"NA",IF(((CO52/CM52-1)*100)&gt;100,"NM",IF(((CO52/CM52-1)*100)&lt;-50,"NM",(CO52/CM52-1)*100)))</f>
        <v>NA</v>
      </c>
      <c r="CQ52" s="56"/>
      <c r="CR52" s="23" t="str">
        <f>IF(ISERROR((CQ52/CO52-1)*100),"NA",IF(((CQ52/CO52-1)*100)&gt;100,"NM",IF(((CQ52/CO52-1)*100)&lt;-50,"NM",(CQ52/CO52-1)*100)))</f>
        <v>NA</v>
      </c>
      <c r="CS52" s="23"/>
    </row>
    <row r="53" spans="1:97" ht="12.75" customHeight="1" x14ac:dyDescent="0.2">
      <c r="A53" s="13" t="s">
        <v>18</v>
      </c>
      <c r="B53" s="49">
        <v>159.80000000000001</v>
      </c>
      <c r="C53" s="59"/>
      <c r="D53" s="49">
        <v>205.5</v>
      </c>
      <c r="E53" s="59"/>
      <c r="F53" s="49">
        <v>168.7</v>
      </c>
      <c r="G53" s="59"/>
      <c r="H53" s="49">
        <v>103.9</v>
      </c>
      <c r="I53" s="59"/>
      <c r="J53" s="56">
        <f>J50-J51+J52</f>
        <v>183.7</v>
      </c>
      <c r="K53" s="23">
        <f t="shared" ref="K53:Y60" si="394">IF(ISERROR((J53/B53-1)*100),"NA",IF(((J53/B53-1)*100)&gt;100,"NM",IF(((J53/B53-1)*100)&lt;-50,"NM",(J53/B53-1)*100)))</f>
        <v>14.956195244055049</v>
      </c>
      <c r="L53" s="56">
        <f>L50-L51+L52</f>
        <v>145.69999999999999</v>
      </c>
      <c r="M53" s="23">
        <f t="shared" si="394"/>
        <v>-29.09975669099757</v>
      </c>
      <c r="N53" s="56">
        <f>N50-N51+N52</f>
        <v>175.00000000000003</v>
      </c>
      <c r="O53" s="23">
        <f t="shared" si="394"/>
        <v>3.7344398340249274</v>
      </c>
      <c r="P53" s="56">
        <f>P50-P51+P52</f>
        <v>168.90000000000003</v>
      </c>
      <c r="Q53" s="23">
        <f t="shared" si="394"/>
        <v>62.560153994225232</v>
      </c>
      <c r="R53" s="56">
        <f>R50-R51+R52</f>
        <v>183.3</v>
      </c>
      <c r="S53" s="23">
        <f t="shared" si="394"/>
        <v>-0.21774632553074325</v>
      </c>
      <c r="T53" s="56">
        <f>T50-T51+T52</f>
        <v>179.50000000000003</v>
      </c>
      <c r="U53" s="23">
        <f t="shared" si="394"/>
        <v>23.198352779684317</v>
      </c>
      <c r="V53" s="56">
        <f>V50-V51+V52</f>
        <v>181.3</v>
      </c>
      <c r="W53" s="23">
        <f t="shared" si="394"/>
        <v>3.599999999999981</v>
      </c>
      <c r="X53" s="56">
        <f>X50-X51+X52</f>
        <v>181.4</v>
      </c>
      <c r="Y53" s="23">
        <f t="shared" si="394"/>
        <v>7.4008288928359756</v>
      </c>
      <c r="Z53" s="56">
        <f>Z50-Z51+Z52</f>
        <v>178.6</v>
      </c>
      <c r="AA53" s="23">
        <f t="shared" ref="AA53:AA60" si="395">IF(ISERROR((Z53/R53-1)*100),"NA",IF(((Z53/R53-1)*100)&gt;100,"NM",IF(((Z53/R53-1)*100)&lt;-50,"NM",(Z53/R53-1)*100)))</f>
        <v>-2.5641025641025772</v>
      </c>
      <c r="AB53" s="56">
        <f>AB50-AB51+AB52</f>
        <v>173.8</v>
      </c>
      <c r="AC53" s="23">
        <f t="shared" ref="AC53:AC60" si="396">IF(ISERROR((AB53/T53-1)*100),"NA",IF(((AB53/T53-1)*100)&gt;100,"NM",IF(((AB53/T53-1)*100)&lt;-50,"NM",(AB53/T53-1)*100)))</f>
        <v>-3.1754874651810705</v>
      </c>
      <c r="AD53" s="56">
        <f>AD50-AD51+AD52</f>
        <v>185.3</v>
      </c>
      <c r="AE53" s="23">
        <f t="shared" ref="AE53:AE60" si="397">IF(ISERROR((AD53/V53-1)*100),"NA",IF(((AD53/V53-1)*100)&gt;100,"NM",IF(((AD53/V53-1)*100)&lt;-50,"NM",(AD53/V53-1)*100)))</f>
        <v>2.2062879205736241</v>
      </c>
      <c r="AF53" s="56">
        <f>AF50-AF51+AF52</f>
        <v>184.39999999999995</v>
      </c>
      <c r="AG53" s="23">
        <f t="shared" ref="AG53:AG60" si="398">IF(ISERROR((AF53/X53-1)*100),"NA",IF(((AF53/X53-1)*100)&gt;100,"NM",IF(((AF53/X53-1)*100)&lt;-50,"NM",(AF53/X53-1)*100)))</f>
        <v>1.6538037486218071</v>
      </c>
      <c r="AH53" s="56">
        <f>AH50-AH51+AH52</f>
        <v>182.89999999999998</v>
      </c>
      <c r="AI53" s="23">
        <f t="shared" ref="AI53:AI60" si="399">IF(ISERROR((AH53/Z53-1)*100),"NA",IF(((AH53/Z53-1)*100)&gt;100,"NM",IF(((AH53/Z53-1)*100)&lt;-50,"NM",(AH53/Z53-1)*100)))</f>
        <v>2.4076147816349369</v>
      </c>
      <c r="AJ53" s="56">
        <f>AJ50-AJ51+AJ52</f>
        <v>171.60000000000002</v>
      </c>
      <c r="AK53" s="23">
        <f t="shared" ref="AK53:AK60" si="400">IF(ISERROR((AJ53/AB53-1)*100),"NA",IF(((AJ53/AB53-1)*100)&gt;100,"NM",IF(((AJ53/AB53-1)*100)&lt;-50,"NM",(AJ53/AB53-1)*100)))</f>
        <v>-1.2658227848101222</v>
      </c>
      <c r="AL53" s="56">
        <f>AL50-AL51+AL52</f>
        <v>176.6</v>
      </c>
      <c r="AM53" s="23">
        <f t="shared" ref="AM53:AM60" si="401">IF(ISERROR((AL53/AD53-1)*100),"NA",IF(((AL53/AD53-1)*100)&gt;100,"NM",IF(((AL53/AD53-1)*100)&lt;-50,"NM",(AL53/AD53-1)*100)))</f>
        <v>-4.6950890447922333</v>
      </c>
      <c r="AN53" s="413">
        <f t="shared" ref="AN53:AP53" si="402">AN50-AN51+AN52</f>
        <v>188.50000000000003</v>
      </c>
      <c r="AO53" s="23">
        <f t="shared" ref="AO53:AO60" si="403">IF(ISERROR((AN53/AF53-1)*100),"NA",IF(((AN53/AF53-1)*100)&gt;100,"NM",IF(((AN53/AF53-1)*100)&lt;-50,"NM",(AN53/AF53-1)*100)))</f>
        <v>2.2234273318872511</v>
      </c>
      <c r="AP53" s="413">
        <f t="shared" si="402"/>
        <v>177.29999999999998</v>
      </c>
      <c r="AQ53" s="23">
        <f t="shared" ref="AQ53:AQ60" si="404">IF(ISERROR((AP53/AH53-1)*100),"NA",IF(((AP53/AH53-1)*100)&gt;100,"NM",IF(((AP53/AH53-1)*100)&lt;-50,"NM",(AP53/AH53-1)*100)))</f>
        <v>-3.0617823947512224</v>
      </c>
      <c r="AR53" s="413">
        <f t="shared" ref="AR53:AT53" si="405">AR50-AR51+AR52</f>
        <v>190.8</v>
      </c>
      <c r="AS53" s="23">
        <f t="shared" ref="AS53:AS60" si="406">IF(ISERROR((AR53/AJ53-1)*100),"NA",IF(((AR53/AJ53-1)*100)&gt;100,"NM",IF(((AR53/AJ53-1)*100)&lt;-50,"NM",(AR53/AJ53-1)*100)))</f>
        <v>11.188811188811187</v>
      </c>
      <c r="AT53" s="413">
        <f t="shared" si="405"/>
        <v>185.20000000000002</v>
      </c>
      <c r="AU53" s="23">
        <f t="shared" ref="AU53:AU60" si="407">IF(ISERROR((AT53/AL53-1)*100),"NA",IF(((AT53/AL53-1)*100)&gt;100,"NM",IF(((AT53/AL53-1)*100)&lt;-50,"NM",(AT53/AL53-1)*100)))</f>
        <v>4.8697621744054453</v>
      </c>
      <c r="AV53" s="413">
        <f t="shared" ref="AV53:AX53" si="408">AV50-AV51+AV52</f>
        <v>193.2</v>
      </c>
      <c r="AW53" s="23">
        <f t="shared" ref="AW53:AW60" si="409">IF(ISERROR((AV53/AN53-1)*100),"NA",IF(((AV53/AN53-1)*100)&gt;100,"NM",IF(((AV53/AN53-1)*100)&lt;-50,"NM",(AV53/AN53-1)*100)))</f>
        <v>2.4933687002652416</v>
      </c>
      <c r="AX53" s="413">
        <f t="shared" si="408"/>
        <v>192.39999999999998</v>
      </c>
      <c r="AY53" s="23">
        <f t="shared" ref="AY53:AY60" si="410">IF(ISERROR((AX53/AP53-1)*100),"NA",IF(((AX53/AP53-1)*100)&gt;100,"NM",IF(((AX53/AP53-1)*100)&lt;-50,"NM",(AX53/AP53-1)*100)))</f>
        <v>8.5166384658770475</v>
      </c>
      <c r="AZ53" s="413">
        <f t="shared" ref="AZ53" si="411">AZ50-AZ51+AZ52</f>
        <v>181.7</v>
      </c>
      <c r="BA53" s="23">
        <f t="shared" ref="BA53:BA60" si="412">IF(ISERROR((AZ53/AR53-1)*100),"NA",IF(((AZ53/AR53-1)*100)&gt;100,"NM",IF(((AZ53/AR53-1)*100)&lt;-50,"NM",(AZ53/AR53-1)*100)))</f>
        <v>-4.7693920335429851</v>
      </c>
      <c r="BB53" s="413">
        <f t="shared" ref="BB53:BD53" si="413">BB50-BB51+BB52</f>
        <v>184.60000000000002</v>
      </c>
      <c r="BC53" s="23">
        <f t="shared" ref="BC53:BC60" si="414">IF(ISERROR((BB53/AT53-1)*100),"NA",IF(((BB53/AT53-1)*100)&gt;100,"NM",IF(((BB53/AT53-1)*100)&lt;-50,"NM",(BB53/AT53-1)*100)))</f>
        <v>-0.32397408207343048</v>
      </c>
      <c r="BD53" s="413">
        <f t="shared" si="413"/>
        <v>191.6</v>
      </c>
      <c r="BE53" s="23">
        <f t="shared" ref="BE53:BE60" si="415">IF(ISERROR((BD53/AV53-1)*100),"NA",IF(((BD53/AV53-1)*100)&gt;100,"NM",IF(((BD53/AV53-1)*100)&lt;-50,"NM",(BD53/AV53-1)*100)))</f>
        <v>-0.82815734989647449</v>
      </c>
      <c r="BF53" s="56">
        <f t="shared" ref="BF53" si="416">BF$36*BF65/400</f>
        <v>193.10350043709687</v>
      </c>
      <c r="BG53" s="23">
        <f t="shared" ref="BG53:BG60" si="417">IF(ISERROR((BF53/AX53-1)*100),"NA",IF(((BF53/AX53-1)*100)&gt;100,"NM",IF(((BF53/AX53-1)*100)&lt;-50,"NM",(BF53/AX53-1)*100)))</f>
        <v>0.36564471782583041</v>
      </c>
      <c r="BH53" s="56">
        <f t="shared" ref="BH53" si="418">BH$36*BH65/400</f>
        <v>192.73500350351821</v>
      </c>
      <c r="BI53" s="23">
        <f t="shared" ref="BI53:BI60" si="419">IF(ISERROR((BH53/AZ53-1)*100),"NA",IF(((BH53/AZ53-1)*100)&gt;100,"NM",IF(((BH53/AZ53-1)*100)&lt;-50,"NM",(BH53/AZ53-1)*100)))</f>
        <v>6.073199506614313</v>
      </c>
      <c r="BJ53" s="56">
        <f t="shared" ref="BJ53" si="420">BJ$36*BJ65/400</f>
        <v>189.83385399689129</v>
      </c>
      <c r="BK53" s="23">
        <f t="shared" ref="BK53:BK60" si="421">IF(ISERROR((BJ53/BB53-1)*100),"NA",IF(((BJ53/BB53-1)*100)&gt;100,"NM",IF(((BJ53/BB53-1)*100)&lt;-50,"NM",(BJ53/BB53-1)*100)))</f>
        <v>2.8352405183593055</v>
      </c>
      <c r="BL53" s="56">
        <f t="shared" ref="BL53" si="422">BL$36*BL65/400</f>
        <v>195.97646070211258</v>
      </c>
      <c r="BM53" s="23">
        <f t="shared" ref="BM53:BM60" si="423">IF(ISERROR((BL53/BD53-1)*100),"NA",IF(((BL53/BD53-1)*100)&gt;100,"NM",IF(((BL53/BD53-1)*100)&lt;-50,"NM",(BL53/BD53-1)*100)))</f>
        <v>2.284165293378182</v>
      </c>
      <c r="BN53" s="35"/>
      <c r="BO53" s="137"/>
      <c r="BP53" s="35"/>
      <c r="BQ53" s="48">
        <v>509.1</v>
      </c>
      <c r="BR53" s="35"/>
      <c r="BS53" s="48">
        <v>627.70000000000005</v>
      </c>
      <c r="BT53" s="35"/>
      <c r="BU53" s="56">
        <f>B53+D53+F53+H53</f>
        <v>637.9</v>
      </c>
      <c r="BV53" s="23">
        <f t="shared" ref="BV53:BV60" si="424">IF(ISERROR((BU53/BS53-1)*100),"NA",IF(((BU53/BS53-1)*100)&gt;100,"NM",IF(((BU53/BS53-1)*100)&lt;-50,"NM",(BU53/BS53-1)*100)))</f>
        <v>1.6249800860283381</v>
      </c>
      <c r="BW53" s="56">
        <f>BW50-BW51+BW52</f>
        <v>673.30000000000018</v>
      </c>
      <c r="BX53" s="23">
        <f t="shared" ref="BX53:BX60" si="425">IF(ISERROR((BW53/BU53-1)*100),"NA",IF(((BW53/BU53-1)*100)&gt;100,"NM",IF(((BW53/BU53-1)*100)&lt;-50,"NM",(BW53/BU53-1)*100)))</f>
        <v>5.5494591628782342</v>
      </c>
      <c r="BY53" s="56">
        <f>BY50-BY51+BY52</f>
        <v>725.5</v>
      </c>
      <c r="BZ53" s="23">
        <f t="shared" ref="BZ53:CR60" si="426">IF(ISERROR((BY53/BW53-1)*100),"NA",IF(((BY53/BW53-1)*100)&gt;100,"NM",IF(((BY53/BW53-1)*100)&lt;-50,"NM",(BY53/BW53-1)*100)))</f>
        <v>7.752859052428307</v>
      </c>
      <c r="CA53" s="56">
        <f>Z53+AB53+AD53+AF53</f>
        <v>722.1</v>
      </c>
      <c r="CB53" s="23">
        <f t="shared" si="426"/>
        <v>-0.4686423156443853</v>
      </c>
      <c r="CC53" s="56">
        <f>AH53+AJ53+AL53+AN53</f>
        <v>719.6</v>
      </c>
      <c r="CD53" s="23">
        <f t="shared" si="426"/>
        <v>-0.34621243595069906</v>
      </c>
      <c r="CE53" s="56">
        <f>AP53+AR53+AT53+AV53</f>
        <v>746.5</v>
      </c>
      <c r="CF53" s="23">
        <f t="shared" si="426"/>
        <v>3.7381878821567405</v>
      </c>
      <c r="CG53" s="56">
        <f>AX53+AZ53+BB53+BD53</f>
        <v>750.30000000000007</v>
      </c>
      <c r="CH53" s="23">
        <f t="shared" si="426"/>
        <v>0.50904219691896291</v>
      </c>
      <c r="CI53" s="56">
        <f>BF53+BH53+BJ53+BL53</f>
        <v>771.64881863961898</v>
      </c>
      <c r="CJ53" s="23">
        <f t="shared" si="426"/>
        <v>2.8453710035477586</v>
      </c>
      <c r="CK53" s="56">
        <f>CK$36*CK65/100</f>
        <v>804.0251931946375</v>
      </c>
      <c r="CL53" s="23">
        <f t="shared" si="426"/>
        <v>4.195739534999432</v>
      </c>
      <c r="CM53" s="56">
        <f>CM$36*CM65/100</f>
        <v>845.87875188486578</v>
      </c>
      <c r="CN53" s="23">
        <f t="shared" si="426"/>
        <v>5.2055033902521641</v>
      </c>
      <c r="CO53" s="56">
        <f>CO$36*CO65/100</f>
        <v>889.49889141806159</v>
      </c>
      <c r="CP53" s="23">
        <f t="shared" si="426"/>
        <v>5.156783928665587</v>
      </c>
      <c r="CQ53" s="56">
        <f>CQ$36*CQ65/100</f>
        <v>935.36842729636646</v>
      </c>
      <c r="CR53" s="23">
        <f t="shared" si="426"/>
        <v>5.1567839286655648</v>
      </c>
      <c r="CS53" s="23">
        <f>IF(ISERROR(((CQ53/CG53)^0.2-1)*100),"NA",IF((((CQ53/CG53)^0.2-1)*100)&gt;100,"NM",IF((((CQ53/CG53)^0.2-1)*100)&lt;-50,"NM",((CQ53/CG53)^0.2-1)*100)))</f>
        <v>4.5080037092038339</v>
      </c>
    </row>
    <row r="54" spans="1:97" ht="12.75" customHeight="1" x14ac:dyDescent="0.2">
      <c r="A54" s="96" t="s">
        <v>165</v>
      </c>
      <c r="B54" s="49">
        <v>130.36500000000001</v>
      </c>
      <c r="C54" s="59"/>
      <c r="D54" s="49">
        <v>133.828</v>
      </c>
      <c r="E54" s="59"/>
      <c r="F54" s="49">
        <v>126.97</v>
      </c>
      <c r="G54" s="59"/>
      <c r="H54" s="49">
        <v>123.107</v>
      </c>
      <c r="I54" s="59"/>
      <c r="J54" s="49">
        <v>131.88499999999999</v>
      </c>
      <c r="K54" s="23">
        <f t="shared" si="394"/>
        <v>1.1659571203927355</v>
      </c>
      <c r="L54" s="49">
        <v>130.01</v>
      </c>
      <c r="M54" s="23">
        <f t="shared" si="394"/>
        <v>-2.852915682816759</v>
      </c>
      <c r="N54" s="49">
        <v>133.196</v>
      </c>
      <c r="O54" s="23">
        <f t="shared" si="394"/>
        <v>4.903520516657478</v>
      </c>
      <c r="P54" s="49">
        <v>135.6</v>
      </c>
      <c r="Q54" s="23">
        <f t="shared" si="394"/>
        <v>10.148082562323824</v>
      </c>
      <c r="R54" s="49">
        <v>139.19999999999999</v>
      </c>
      <c r="S54" s="23">
        <f t="shared" si="394"/>
        <v>5.5464988436895846</v>
      </c>
      <c r="T54" s="49">
        <f>145.3</f>
        <v>145.30000000000001</v>
      </c>
      <c r="U54" s="23">
        <f t="shared" si="394"/>
        <v>11.760633797400221</v>
      </c>
      <c r="V54" s="49">
        <v>152.6</v>
      </c>
      <c r="W54" s="23">
        <f t="shared" si="394"/>
        <v>14.568005045196553</v>
      </c>
      <c r="X54" s="49">
        <v>157.30000000000001</v>
      </c>
      <c r="Y54" s="23">
        <f t="shared" si="394"/>
        <v>16.002949852507385</v>
      </c>
      <c r="Z54" s="49">
        <v>155.4</v>
      </c>
      <c r="AA54" s="23">
        <f t="shared" si="395"/>
        <v>11.637931034482762</v>
      </c>
      <c r="AB54" s="49">
        <v>158.30000000000001</v>
      </c>
      <c r="AC54" s="23">
        <f t="shared" si="396"/>
        <v>8.9470061940812187</v>
      </c>
      <c r="AD54" s="49">
        <v>161.19999999999999</v>
      </c>
      <c r="AE54" s="23">
        <f t="shared" si="397"/>
        <v>5.6356487549148016</v>
      </c>
      <c r="AF54" s="49">
        <v>163.19999999999999</v>
      </c>
      <c r="AG54" s="23">
        <f t="shared" si="398"/>
        <v>3.7507946598855479</v>
      </c>
      <c r="AH54" s="49">
        <v>159.6</v>
      </c>
      <c r="AI54" s="23">
        <f t="shared" si="399"/>
        <v>2.7027027027026973</v>
      </c>
      <c r="AJ54" s="49">
        <v>164.1</v>
      </c>
      <c r="AK54" s="23">
        <f t="shared" si="400"/>
        <v>3.6639292482627761</v>
      </c>
      <c r="AL54" s="49">
        <v>157.6</v>
      </c>
      <c r="AM54" s="23">
        <f t="shared" si="401"/>
        <v>-2.2332506203473934</v>
      </c>
      <c r="AN54" s="158">
        <v>156.19999999999999</v>
      </c>
      <c r="AO54" s="23">
        <f t="shared" si="403"/>
        <v>-4.2892156862745061</v>
      </c>
      <c r="AP54" s="158">
        <v>146.80000000000001</v>
      </c>
      <c r="AQ54" s="23">
        <f t="shared" si="404"/>
        <v>-8.0200501253132721</v>
      </c>
      <c r="AR54" s="158">
        <v>152.6</v>
      </c>
      <c r="AS54" s="23">
        <f t="shared" si="406"/>
        <v>-7.0079219987812298</v>
      </c>
      <c r="AT54" s="158">
        <v>157.30000000000001</v>
      </c>
      <c r="AU54" s="23">
        <f t="shared" si="407"/>
        <v>-0.19035532994923221</v>
      </c>
      <c r="AV54" s="158">
        <v>158</v>
      </c>
      <c r="AW54" s="23">
        <f t="shared" si="409"/>
        <v>1.1523687580025754</v>
      </c>
      <c r="AX54" s="158">
        <v>163</v>
      </c>
      <c r="AY54" s="23">
        <f t="shared" si="410"/>
        <v>11.035422343324242</v>
      </c>
      <c r="AZ54" s="158">
        <v>168</v>
      </c>
      <c r="BA54" s="23">
        <f t="shared" si="412"/>
        <v>10.091743119266061</v>
      </c>
      <c r="BB54" s="158">
        <v>171.1</v>
      </c>
      <c r="BC54" s="23">
        <f t="shared" si="414"/>
        <v>8.773045136681489</v>
      </c>
      <c r="BD54" s="158">
        <f>177+0.4</f>
        <v>177.4</v>
      </c>
      <c r="BE54" s="23">
        <f t="shared" si="415"/>
        <v>12.278481012658226</v>
      </c>
      <c r="BF54" s="56"/>
      <c r="BG54" s="23" t="str">
        <f t="shared" si="417"/>
        <v>NM</v>
      </c>
      <c r="BH54" s="56"/>
      <c r="BI54" s="23" t="str">
        <f t="shared" si="419"/>
        <v>NM</v>
      </c>
      <c r="BJ54" s="56"/>
      <c r="BK54" s="23" t="str">
        <f t="shared" si="421"/>
        <v>NM</v>
      </c>
      <c r="BL54" s="56"/>
      <c r="BM54" s="23" t="str">
        <f t="shared" si="423"/>
        <v>NM</v>
      </c>
      <c r="BN54" s="35"/>
      <c r="BO54" s="137"/>
      <c r="BP54" s="35"/>
      <c r="BQ54" s="74"/>
      <c r="BR54" s="113"/>
      <c r="BS54" s="74"/>
      <c r="BT54" s="35"/>
      <c r="BU54" s="56">
        <f>B54+D54+F54+H54</f>
        <v>514.27</v>
      </c>
      <c r="BV54" s="23" t="str">
        <f t="shared" si="424"/>
        <v>NA</v>
      </c>
      <c r="BW54" s="56">
        <f>J54+L54+N54+P54</f>
        <v>530.69100000000003</v>
      </c>
      <c r="BX54" s="23">
        <f t="shared" si="425"/>
        <v>3.193069788243541</v>
      </c>
      <c r="BY54" s="56">
        <f>R54+T54+V54+X54</f>
        <v>594.40000000000009</v>
      </c>
      <c r="BZ54" s="23">
        <f t="shared" si="426"/>
        <v>12.004914347520511</v>
      </c>
      <c r="CA54" s="56"/>
      <c r="CB54" s="23" t="str">
        <f t="shared" si="426"/>
        <v>NM</v>
      </c>
      <c r="CC54" s="56"/>
      <c r="CD54" s="23" t="str">
        <f t="shared" si="426"/>
        <v>NA</v>
      </c>
      <c r="CE54" s="56"/>
      <c r="CF54" s="23" t="str">
        <f t="shared" si="426"/>
        <v>NA</v>
      </c>
      <c r="CG54" s="56"/>
      <c r="CH54" s="23" t="str">
        <f t="shared" si="426"/>
        <v>NA</v>
      </c>
      <c r="CI54" s="56"/>
      <c r="CJ54" s="23" t="str">
        <f t="shared" si="426"/>
        <v>NA</v>
      </c>
      <c r="CK54" s="56"/>
      <c r="CL54" s="23" t="str">
        <f t="shared" si="426"/>
        <v>NA</v>
      </c>
      <c r="CM54" s="56"/>
      <c r="CN54" s="23" t="str">
        <f t="shared" si="426"/>
        <v>NA</v>
      </c>
      <c r="CO54" s="56"/>
      <c r="CP54" s="23" t="str">
        <f t="shared" si="426"/>
        <v>NA</v>
      </c>
      <c r="CQ54" s="56"/>
      <c r="CR54" s="23" t="str">
        <f t="shared" si="426"/>
        <v>NA</v>
      </c>
      <c r="CS54" s="23"/>
    </row>
    <row r="55" spans="1:97" ht="12.75" customHeight="1" x14ac:dyDescent="0.2">
      <c r="A55" s="12" t="s">
        <v>166</v>
      </c>
      <c r="B55" s="49">
        <v>65.5</v>
      </c>
      <c r="C55" s="59"/>
      <c r="D55" s="49">
        <v>62.7</v>
      </c>
      <c r="E55" s="59"/>
      <c r="F55" s="49">
        <v>60.9</v>
      </c>
      <c r="G55" s="59"/>
      <c r="H55" s="49">
        <v>59.2</v>
      </c>
      <c r="I55" s="59"/>
      <c r="J55" s="49">
        <v>59.9</v>
      </c>
      <c r="K55" s="23">
        <f t="shared" si="394"/>
        <v>-8.5496183206106853</v>
      </c>
      <c r="L55" s="49">
        <v>59.9</v>
      </c>
      <c r="M55" s="23">
        <f t="shared" si="394"/>
        <v>-4.465709728867628</v>
      </c>
      <c r="N55" s="49">
        <v>63.1</v>
      </c>
      <c r="O55" s="23">
        <f t="shared" si="394"/>
        <v>3.6124794745484357</v>
      </c>
      <c r="P55" s="49">
        <v>62.2</v>
      </c>
      <c r="Q55" s="23">
        <f t="shared" si="394"/>
        <v>5.0675675675675658</v>
      </c>
      <c r="R55" s="49">
        <v>59.8</v>
      </c>
      <c r="S55" s="23">
        <f t="shared" si="394"/>
        <v>-0.16694490818029983</v>
      </c>
      <c r="T55" s="49">
        <v>60.3</v>
      </c>
      <c r="U55" s="23">
        <f t="shared" si="394"/>
        <v>0.66777963272119933</v>
      </c>
      <c r="V55" s="49">
        <v>57.1</v>
      </c>
      <c r="W55" s="23">
        <f t="shared" si="394"/>
        <v>-9.5087163232963512</v>
      </c>
      <c r="X55" s="49">
        <v>57.7</v>
      </c>
      <c r="Y55" s="23">
        <f t="shared" si="394"/>
        <v>-7.2347266881028887</v>
      </c>
      <c r="Z55" s="49">
        <v>54.1</v>
      </c>
      <c r="AA55" s="23">
        <f t="shared" si="395"/>
        <v>-9.5317725752508302</v>
      </c>
      <c r="AB55" s="49">
        <v>53.5</v>
      </c>
      <c r="AC55" s="23">
        <f t="shared" si="396"/>
        <v>-11.276948590381419</v>
      </c>
      <c r="AD55" s="49">
        <v>50.7</v>
      </c>
      <c r="AE55" s="23">
        <f t="shared" si="397"/>
        <v>-11.208406304728546</v>
      </c>
      <c r="AF55" s="49">
        <v>53.5</v>
      </c>
      <c r="AG55" s="23">
        <f t="shared" si="398"/>
        <v>-7.2790294627383068</v>
      </c>
      <c r="AH55" s="49">
        <v>46.2</v>
      </c>
      <c r="AI55" s="23">
        <f t="shared" si="399"/>
        <v>-14.602587800369681</v>
      </c>
      <c r="AJ55" s="49">
        <v>43.5</v>
      </c>
      <c r="AK55" s="23">
        <f t="shared" si="400"/>
        <v>-18.691588785046733</v>
      </c>
      <c r="AL55" s="49">
        <v>42.6</v>
      </c>
      <c r="AM55" s="23">
        <f t="shared" si="401"/>
        <v>-15.97633136094675</v>
      </c>
      <c r="AN55" s="158">
        <v>44.1</v>
      </c>
      <c r="AO55" s="23">
        <f t="shared" si="403"/>
        <v>-17.570093457943926</v>
      </c>
      <c r="AP55" s="158">
        <v>38.700000000000003</v>
      </c>
      <c r="AQ55" s="23">
        <f t="shared" si="404"/>
        <v>-16.233766233766232</v>
      </c>
      <c r="AR55" s="158">
        <v>38.299999999999997</v>
      </c>
      <c r="AS55" s="23">
        <f t="shared" si="406"/>
        <v>-11.954022988505752</v>
      </c>
      <c r="AT55" s="158">
        <v>39.5</v>
      </c>
      <c r="AU55" s="23">
        <f t="shared" si="407"/>
        <v>-7.2769953051643244</v>
      </c>
      <c r="AV55" s="158">
        <v>39.9</v>
      </c>
      <c r="AW55" s="23">
        <f t="shared" si="409"/>
        <v>-9.5238095238095344</v>
      </c>
      <c r="AX55" s="158">
        <v>38.9</v>
      </c>
      <c r="AY55" s="23">
        <f t="shared" si="410"/>
        <v>0.51679586563306845</v>
      </c>
      <c r="AZ55" s="158">
        <v>40.200000000000003</v>
      </c>
      <c r="BA55" s="23">
        <f t="shared" si="412"/>
        <v>4.9608355091383949</v>
      </c>
      <c r="BB55" s="158">
        <v>41.3</v>
      </c>
      <c r="BC55" s="23">
        <f t="shared" si="414"/>
        <v>4.5569620253164578</v>
      </c>
      <c r="BD55" s="158">
        <f>44+0.4</f>
        <v>44.4</v>
      </c>
      <c r="BE55" s="23">
        <f t="shared" si="415"/>
        <v>11.278195488721799</v>
      </c>
      <c r="BF55" s="56"/>
      <c r="BG55" s="23" t="str">
        <f t="shared" si="417"/>
        <v>NM</v>
      </c>
      <c r="BH55" s="56"/>
      <c r="BI55" s="23" t="str">
        <f t="shared" si="419"/>
        <v>NM</v>
      </c>
      <c r="BJ55" s="56"/>
      <c r="BK55" s="23" t="str">
        <f t="shared" si="421"/>
        <v>NM</v>
      </c>
      <c r="BL55" s="56"/>
      <c r="BM55" s="23" t="str">
        <f t="shared" si="423"/>
        <v>NM</v>
      </c>
      <c r="BN55" s="35"/>
      <c r="BO55" s="137"/>
      <c r="BP55" s="35"/>
      <c r="BQ55" s="74"/>
      <c r="BR55" s="113"/>
      <c r="BS55" s="74"/>
      <c r="BT55" s="35"/>
      <c r="BU55" s="56">
        <f>B55+D55+F55+H55</f>
        <v>248.3</v>
      </c>
      <c r="BV55" s="23" t="str">
        <f t="shared" si="424"/>
        <v>NA</v>
      </c>
      <c r="BW55" s="56">
        <f>J55+L55+N55+P55</f>
        <v>245.10000000000002</v>
      </c>
      <c r="BX55" s="23">
        <f t="shared" si="425"/>
        <v>-1.2887635924285101</v>
      </c>
      <c r="BY55" s="56">
        <f>R55+T55+V55+X55</f>
        <v>234.89999999999998</v>
      </c>
      <c r="BZ55" s="23">
        <f t="shared" si="426"/>
        <v>-4.161566707466358</v>
      </c>
      <c r="CA55" s="56"/>
      <c r="CB55" s="23" t="str">
        <f t="shared" si="426"/>
        <v>NM</v>
      </c>
      <c r="CC55" s="56"/>
      <c r="CD55" s="23" t="str">
        <f t="shared" si="426"/>
        <v>NA</v>
      </c>
      <c r="CE55" s="56"/>
      <c r="CF55" s="23" t="str">
        <f t="shared" si="426"/>
        <v>NA</v>
      </c>
      <c r="CG55" s="56"/>
      <c r="CH55" s="23" t="str">
        <f t="shared" si="426"/>
        <v>NA</v>
      </c>
      <c r="CI55" s="56"/>
      <c r="CJ55" s="23" t="str">
        <f t="shared" si="426"/>
        <v>NA</v>
      </c>
      <c r="CK55" s="56"/>
      <c r="CL55" s="23" t="str">
        <f t="shared" si="426"/>
        <v>NA</v>
      </c>
      <c r="CM55" s="56"/>
      <c r="CN55" s="23" t="str">
        <f t="shared" si="426"/>
        <v>NA</v>
      </c>
      <c r="CO55" s="56"/>
      <c r="CP55" s="23" t="str">
        <f t="shared" si="426"/>
        <v>NA</v>
      </c>
      <c r="CQ55" s="56"/>
      <c r="CR55" s="23" t="str">
        <f t="shared" si="426"/>
        <v>NA</v>
      </c>
      <c r="CS55" s="23"/>
    </row>
    <row r="56" spans="1:97" ht="12.75" customHeight="1" x14ac:dyDescent="0.2">
      <c r="A56" s="4" t="s">
        <v>101</v>
      </c>
      <c r="B56" s="56">
        <f t="shared" ref="B56:N56" si="427">B54+B55</f>
        <v>195.86500000000001</v>
      </c>
      <c r="C56" s="59"/>
      <c r="D56" s="56">
        <f t="shared" si="427"/>
        <v>196.52800000000002</v>
      </c>
      <c r="E56" s="59"/>
      <c r="F56" s="56">
        <f t="shared" si="427"/>
        <v>187.87</v>
      </c>
      <c r="G56" s="59"/>
      <c r="H56" s="56">
        <f t="shared" si="427"/>
        <v>182.30700000000002</v>
      </c>
      <c r="I56" s="59"/>
      <c r="J56" s="56">
        <f t="shared" si="427"/>
        <v>191.785</v>
      </c>
      <c r="K56" s="23">
        <f t="shared" si="394"/>
        <v>-2.0830674188854648</v>
      </c>
      <c r="L56" s="56">
        <f t="shared" si="427"/>
        <v>189.91</v>
      </c>
      <c r="M56" s="23">
        <f t="shared" si="394"/>
        <v>-3.3674590897989187</v>
      </c>
      <c r="N56" s="56">
        <f t="shared" si="427"/>
        <v>196.29599999999999</v>
      </c>
      <c r="O56" s="23">
        <f t="shared" si="394"/>
        <v>4.4850162346303124</v>
      </c>
      <c r="P56" s="56">
        <f>P54+P55</f>
        <v>197.8</v>
      </c>
      <c r="Q56" s="23">
        <f t="shared" si="394"/>
        <v>8.4983023142281908</v>
      </c>
      <c r="R56" s="56">
        <f>R54+R55</f>
        <v>199</v>
      </c>
      <c r="S56" s="23">
        <f t="shared" si="394"/>
        <v>3.7620251844513453</v>
      </c>
      <c r="T56" s="56">
        <f>T54+T55</f>
        <v>205.60000000000002</v>
      </c>
      <c r="U56" s="23">
        <f t="shared" si="394"/>
        <v>8.2618082249486626</v>
      </c>
      <c r="V56" s="56">
        <f>V54+V55</f>
        <v>209.7</v>
      </c>
      <c r="W56" s="23">
        <f t="shared" si="394"/>
        <v>6.8284631373028537</v>
      </c>
      <c r="X56" s="56">
        <f>X54+X55</f>
        <v>215</v>
      </c>
      <c r="Y56" s="23">
        <f t="shared" si="394"/>
        <v>8.6956521739130377</v>
      </c>
      <c r="Z56" s="56">
        <f>Z54+Z55</f>
        <v>209.5</v>
      </c>
      <c r="AA56" s="23">
        <f t="shared" si="395"/>
        <v>5.2763819095477338</v>
      </c>
      <c r="AB56" s="56">
        <f>AB54+AB55</f>
        <v>211.8</v>
      </c>
      <c r="AC56" s="23">
        <f t="shared" si="396"/>
        <v>3.0155642023346196</v>
      </c>
      <c r="AD56" s="56">
        <f>AD54+AD55</f>
        <v>211.89999999999998</v>
      </c>
      <c r="AE56" s="23">
        <f t="shared" si="397"/>
        <v>1.0491177873152013</v>
      </c>
      <c r="AF56" s="56">
        <f>AF54+AF55</f>
        <v>216.7</v>
      </c>
      <c r="AG56" s="23">
        <f t="shared" si="398"/>
        <v>0.79069767441859451</v>
      </c>
      <c r="AH56" s="56">
        <f>AH54+AH55</f>
        <v>205.8</v>
      </c>
      <c r="AI56" s="23">
        <f t="shared" si="399"/>
        <v>-1.7661097852028629</v>
      </c>
      <c r="AJ56" s="56">
        <f>AJ54+AJ55</f>
        <v>207.6</v>
      </c>
      <c r="AK56" s="23">
        <f t="shared" si="400"/>
        <v>-1.9830028328612026</v>
      </c>
      <c r="AL56" s="56">
        <f>AL54+AL55</f>
        <v>200.2</v>
      </c>
      <c r="AM56" s="23">
        <f t="shared" si="401"/>
        <v>-5.5214723926380271</v>
      </c>
      <c r="AN56" s="413">
        <f t="shared" ref="AN56:AP56" si="428">AN54+AN55</f>
        <v>200.29999999999998</v>
      </c>
      <c r="AO56" s="23">
        <f t="shared" si="403"/>
        <v>-7.5680664513151807</v>
      </c>
      <c r="AP56" s="413">
        <f t="shared" si="428"/>
        <v>185.5</v>
      </c>
      <c r="AQ56" s="23">
        <f t="shared" si="404"/>
        <v>-9.8639455782312915</v>
      </c>
      <c r="AR56" s="413">
        <f t="shared" ref="AR56:AT56" si="429">AR54+AR55</f>
        <v>190.89999999999998</v>
      </c>
      <c r="AS56" s="23">
        <f t="shared" si="406"/>
        <v>-8.0443159922928835</v>
      </c>
      <c r="AT56" s="413">
        <f t="shared" si="429"/>
        <v>196.8</v>
      </c>
      <c r="AU56" s="23">
        <f t="shared" si="407"/>
        <v>-1.6983016983016852</v>
      </c>
      <c r="AV56" s="413">
        <f t="shared" ref="AV56:AX56" si="430">AV54+AV55</f>
        <v>197.9</v>
      </c>
      <c r="AW56" s="23">
        <f t="shared" si="409"/>
        <v>-1.1982026959560521</v>
      </c>
      <c r="AX56" s="413">
        <f t="shared" si="430"/>
        <v>201.9</v>
      </c>
      <c r="AY56" s="23">
        <f t="shared" si="410"/>
        <v>8.8409703504043193</v>
      </c>
      <c r="AZ56" s="413">
        <f t="shared" ref="AZ56" si="431">AZ54+AZ55</f>
        <v>208.2</v>
      </c>
      <c r="BA56" s="23">
        <f t="shared" si="412"/>
        <v>9.0623363017286565</v>
      </c>
      <c r="BB56" s="413">
        <f t="shared" ref="BB56:BD56" si="432">BB54+BB55</f>
        <v>212.39999999999998</v>
      </c>
      <c r="BC56" s="23">
        <f t="shared" si="414"/>
        <v>7.9268292682926678</v>
      </c>
      <c r="BD56" s="413">
        <f t="shared" si="432"/>
        <v>221.8</v>
      </c>
      <c r="BE56" s="23">
        <f t="shared" si="415"/>
        <v>12.076806467913093</v>
      </c>
      <c r="BF56" s="36">
        <f t="shared" ref="BF56" si="433">BF$36*BF68/400</f>
        <v>223.54048223876873</v>
      </c>
      <c r="BG56" s="23">
        <f t="shared" si="417"/>
        <v>10.718416165809174</v>
      </c>
      <c r="BH56" s="36">
        <f t="shared" ref="BH56" si="434">BH$36*BH68/400</f>
        <v>223.91084075156985</v>
      </c>
      <c r="BI56" s="23">
        <f t="shared" si="419"/>
        <v>7.5460330218875438</v>
      </c>
      <c r="BJ56" s="36">
        <f t="shared" ref="BJ56" si="435">BJ$36*BJ68/400</f>
        <v>227.02775843580508</v>
      </c>
      <c r="BK56" s="23">
        <f t="shared" si="421"/>
        <v>6.8868919189289501</v>
      </c>
      <c r="BL56" s="36">
        <f t="shared" ref="BL56" si="436">BL$36*BL68/400</f>
        <v>230.14275227840022</v>
      </c>
      <c r="BM56" s="23">
        <f t="shared" si="423"/>
        <v>3.7613851570785339</v>
      </c>
      <c r="BN56" s="35"/>
      <c r="BO56" s="137"/>
      <c r="BP56" s="35"/>
      <c r="BQ56" s="48">
        <v>714.7</v>
      </c>
      <c r="BR56" s="35"/>
      <c r="BS56" s="48">
        <v>757.1</v>
      </c>
      <c r="BT56" s="35"/>
      <c r="BU56" s="56">
        <f>BU54+BU55</f>
        <v>762.56999999999994</v>
      </c>
      <c r="BV56" s="23">
        <f t="shared" si="424"/>
        <v>0.72249372605994733</v>
      </c>
      <c r="BW56" s="56">
        <f>BW54+BW55</f>
        <v>775.79100000000005</v>
      </c>
      <c r="BX56" s="23">
        <f t="shared" si="425"/>
        <v>1.7337424761005638</v>
      </c>
      <c r="BY56" s="56">
        <f>BY54+BY55</f>
        <v>829.30000000000007</v>
      </c>
      <c r="BZ56" s="23">
        <f t="shared" si="426"/>
        <v>6.8973473525730578</v>
      </c>
      <c r="CA56" s="56">
        <f>Z56+AB56+AD56+AF56</f>
        <v>849.90000000000009</v>
      </c>
      <c r="CB56" s="23">
        <f t="shared" si="426"/>
        <v>2.4840226697214529</v>
      </c>
      <c r="CC56" s="56">
        <f>AH56+AJ56+AL56+AN56</f>
        <v>813.89999999999986</v>
      </c>
      <c r="CD56" s="23">
        <f t="shared" si="426"/>
        <v>-4.2357924461701613</v>
      </c>
      <c r="CE56" s="56">
        <f>AP56+AR56+AT56+AV56</f>
        <v>771.1</v>
      </c>
      <c r="CF56" s="23">
        <f t="shared" si="426"/>
        <v>-5.2586312814841936</v>
      </c>
      <c r="CG56" s="56">
        <f>AX56+AZ56+BB56+BD56</f>
        <v>844.3</v>
      </c>
      <c r="CH56" s="23">
        <f t="shared" si="426"/>
        <v>9.4929321748151949</v>
      </c>
      <c r="CI56" s="56">
        <f>BF56+BH56+BJ56+BL56</f>
        <v>904.62183370454386</v>
      </c>
      <c r="CJ56" s="23">
        <f t="shared" si="426"/>
        <v>7.1445971461025604</v>
      </c>
      <c r="CK56" s="56">
        <f>CK$36*CK68/100</f>
        <v>927.95522692113821</v>
      </c>
      <c r="CL56" s="23">
        <f t="shared" si="426"/>
        <v>2.5793533106581279</v>
      </c>
      <c r="CM56" s="56">
        <f>CM$36*CM68/100</f>
        <v>960.87662679985476</v>
      </c>
      <c r="CN56" s="23">
        <f t="shared" si="426"/>
        <v>3.5477358091883904</v>
      </c>
      <c r="CO56" s="56">
        <f>CO$36*CO68/100</f>
        <v>994.25033169410131</v>
      </c>
      <c r="CP56" s="23">
        <f t="shared" si="426"/>
        <v>3.4732559793233531</v>
      </c>
      <c r="CQ56" s="56">
        <f>CQ$36*CQ68/100</f>
        <v>1028.510852759528</v>
      </c>
      <c r="CR56" s="23">
        <f t="shared" si="426"/>
        <v>3.4458646855113795</v>
      </c>
      <c r="CS56" s="23">
        <f>IF(ISERROR(((CQ56/CG56)^0.2-1)*100),"NA",IF((((CQ56/CG56)^0.2-1)*100)&gt;100,"NM",IF((((CQ56/CG56)^0.2-1)*100)&lt;-50,"NM",((CQ56/CG56)^0.2-1)*100)))</f>
        <v>4.0261242039184575</v>
      </c>
    </row>
    <row r="57" spans="1:97" ht="12.75" customHeight="1" x14ac:dyDescent="0.2">
      <c r="A57" s="4" t="s">
        <v>209</v>
      </c>
      <c r="B57" s="49">
        <v>2.2000000000000002</v>
      </c>
      <c r="C57" s="59"/>
      <c r="D57" s="49">
        <v>-0.2</v>
      </c>
      <c r="E57" s="59"/>
      <c r="F57" s="49">
        <v>-4</v>
      </c>
      <c r="G57" s="59"/>
      <c r="H57" s="49">
        <v>-4.4000000000000004</v>
      </c>
      <c r="I57" s="59"/>
      <c r="J57" s="49">
        <v>-6.3</v>
      </c>
      <c r="K57" s="23" t="str">
        <f t="shared" si="394"/>
        <v>NM</v>
      </c>
      <c r="L57" s="49">
        <v>-5.6</v>
      </c>
      <c r="M57" s="23" t="str">
        <f t="shared" si="394"/>
        <v>NM</v>
      </c>
      <c r="N57" s="49">
        <v>-1.5</v>
      </c>
      <c r="O57" s="23" t="str">
        <f t="shared" si="394"/>
        <v>NM</v>
      </c>
      <c r="P57" s="49">
        <v>-10.5</v>
      </c>
      <c r="Q57" s="23" t="str">
        <f t="shared" si="394"/>
        <v>NM</v>
      </c>
      <c r="R57" s="49">
        <v>-6</v>
      </c>
      <c r="S57" s="23">
        <f t="shared" si="394"/>
        <v>-4.7619047619047556</v>
      </c>
      <c r="T57" s="49">
        <v>-3</v>
      </c>
      <c r="U57" s="23">
        <f t="shared" si="394"/>
        <v>-46.428571428571431</v>
      </c>
      <c r="V57" s="49">
        <v>0.4</v>
      </c>
      <c r="W57" s="23" t="str">
        <f t="shared" si="394"/>
        <v>NM</v>
      </c>
      <c r="X57" s="49">
        <v>-2.2999999999999998</v>
      </c>
      <c r="Y57" s="23" t="str">
        <f t="shared" si="394"/>
        <v>NM</v>
      </c>
      <c r="Z57" s="49">
        <v>-3.2</v>
      </c>
      <c r="AA57" s="23">
        <f t="shared" si="395"/>
        <v>-46.666666666666664</v>
      </c>
      <c r="AB57" s="49">
        <v>-5</v>
      </c>
      <c r="AC57" s="23">
        <f t="shared" si="396"/>
        <v>66.666666666666671</v>
      </c>
      <c r="AD57" s="49">
        <v>-3.5</v>
      </c>
      <c r="AE57" s="23" t="str">
        <f t="shared" si="397"/>
        <v>NM</v>
      </c>
      <c r="AF57" s="49">
        <v>-4.5999999999999996</v>
      </c>
      <c r="AG57" s="23">
        <f t="shared" si="398"/>
        <v>100</v>
      </c>
      <c r="AH57" s="49">
        <v>-7.4</v>
      </c>
      <c r="AI57" s="23" t="str">
        <f t="shared" si="399"/>
        <v>NM</v>
      </c>
      <c r="AJ57" s="49">
        <v>-2.2999999999999998</v>
      </c>
      <c r="AK57" s="23" t="str">
        <f t="shared" si="400"/>
        <v>NM</v>
      </c>
      <c r="AL57" s="49">
        <v>-2</v>
      </c>
      <c r="AM57" s="23">
        <f t="shared" si="401"/>
        <v>-42.857142857142861</v>
      </c>
      <c r="AN57" s="158">
        <v>-7.5</v>
      </c>
      <c r="AO57" s="23">
        <f t="shared" si="403"/>
        <v>63.043478260869577</v>
      </c>
      <c r="AP57" s="158">
        <v>-4</v>
      </c>
      <c r="AQ57" s="23">
        <f t="shared" si="404"/>
        <v>-45.945945945945951</v>
      </c>
      <c r="AR57" s="158">
        <v>-4.5999999999999996</v>
      </c>
      <c r="AS57" s="23">
        <f t="shared" si="406"/>
        <v>100</v>
      </c>
      <c r="AT57" s="158">
        <v>-0.9</v>
      </c>
      <c r="AU57" s="23" t="str">
        <f t="shared" si="407"/>
        <v>NM</v>
      </c>
      <c r="AV57" s="158">
        <v>-4.3</v>
      </c>
      <c r="AW57" s="23">
        <f t="shared" si="409"/>
        <v>-42.666666666666664</v>
      </c>
      <c r="AX57" s="158">
        <v>-2.6</v>
      </c>
      <c r="AY57" s="23">
        <f t="shared" si="410"/>
        <v>-35</v>
      </c>
      <c r="AZ57" s="158">
        <v>-3.7</v>
      </c>
      <c r="BA57" s="23">
        <f t="shared" si="412"/>
        <v>-19.565217391304333</v>
      </c>
      <c r="BB57" s="158">
        <v>-8</v>
      </c>
      <c r="BC57" s="23" t="str">
        <f t="shared" si="414"/>
        <v>NM</v>
      </c>
      <c r="BD57" s="158">
        <v>-9</v>
      </c>
      <c r="BE57" s="23" t="str">
        <f t="shared" si="415"/>
        <v>NM</v>
      </c>
      <c r="BF57" s="36">
        <f t="shared" ref="BF57" si="437">BF36*BF69/400</f>
        <v>-9.0706237157300205</v>
      </c>
      <c r="BG57" s="23" t="str">
        <f t="shared" si="417"/>
        <v>NM</v>
      </c>
      <c r="BH57" s="36">
        <f t="shared" ref="BH57" si="438">BH36*BH69/400</f>
        <v>-9.0856517888373691</v>
      </c>
      <c r="BI57" s="23" t="str">
        <f t="shared" si="419"/>
        <v>NM</v>
      </c>
      <c r="BJ57" s="36">
        <f t="shared" ref="BJ57" si="439">BJ36*BJ69/400</f>
        <v>-9.2121272584411447</v>
      </c>
      <c r="BK57" s="23">
        <f t="shared" si="421"/>
        <v>15.151590730514307</v>
      </c>
      <c r="BL57" s="36">
        <f t="shared" ref="BL57" si="440">BL36*BL69/400</f>
        <v>-9.3385246641370685</v>
      </c>
      <c r="BM57" s="23">
        <f t="shared" si="423"/>
        <v>3.7613851570785339</v>
      </c>
      <c r="BN57" s="35"/>
      <c r="BO57" s="137"/>
      <c r="BP57" s="35"/>
      <c r="BQ57" s="48">
        <v>4.5999999999999996</v>
      </c>
      <c r="BR57" s="35"/>
      <c r="BS57" s="48">
        <v>0.5</v>
      </c>
      <c r="BT57" s="35"/>
      <c r="BU57" s="56">
        <f>B57+D57+F57+H57</f>
        <v>-6.4</v>
      </c>
      <c r="BV57" s="23" t="str">
        <f t="shared" si="424"/>
        <v>NM</v>
      </c>
      <c r="BW57" s="56">
        <f>J57+L57+N57+P57</f>
        <v>-23.9</v>
      </c>
      <c r="BX57" s="23" t="str">
        <f t="shared" si="425"/>
        <v>NM</v>
      </c>
      <c r="BY57" s="56">
        <f>R57+T57+V57+X57</f>
        <v>-10.899999999999999</v>
      </c>
      <c r="BZ57" s="23" t="str">
        <f t="shared" si="426"/>
        <v>NM</v>
      </c>
      <c r="CA57" s="56">
        <f>Z57+AB57+AD57+AF57</f>
        <v>-16.299999999999997</v>
      </c>
      <c r="CB57" s="23">
        <f t="shared" si="426"/>
        <v>49.541284403669714</v>
      </c>
      <c r="CC57" s="56">
        <f>AH57+AJ57+AL57+AN57</f>
        <v>-19.2</v>
      </c>
      <c r="CD57" s="23">
        <f t="shared" si="426"/>
        <v>17.791411042944794</v>
      </c>
      <c r="CE57" s="56">
        <f>AP57+AR57+AT57+AV57</f>
        <v>-13.8</v>
      </c>
      <c r="CF57" s="23">
        <f t="shared" si="426"/>
        <v>-28.124999999999989</v>
      </c>
      <c r="CG57" s="56">
        <f>AX57+AZ57+BB57+BD57</f>
        <v>-23.3</v>
      </c>
      <c r="CH57" s="23">
        <f t="shared" si="426"/>
        <v>68.840579710144922</v>
      </c>
      <c r="CI57" s="56">
        <f>BF57+BH57+BJ57+BL57</f>
        <v>-36.706927427145601</v>
      </c>
      <c r="CJ57" s="23">
        <f t="shared" si="426"/>
        <v>57.540461060710733</v>
      </c>
      <c r="CK57" s="56">
        <f>CK36*CK69/100</f>
        <v>-38.247054493289895</v>
      </c>
      <c r="CL57" s="23">
        <f t="shared" si="426"/>
        <v>4.1957395349994098</v>
      </c>
      <c r="CM57" s="56">
        <f>CM36*CM69/100</f>
        <v>-40.238006211609694</v>
      </c>
      <c r="CN57" s="23">
        <f t="shared" si="426"/>
        <v>5.2055033902521641</v>
      </c>
      <c r="CO57" s="56">
        <f>CO36*CO69/100</f>
        <v>-42.312993249145428</v>
      </c>
      <c r="CP57" s="23">
        <f t="shared" si="426"/>
        <v>5.1567839286655426</v>
      </c>
      <c r="CQ57" s="56">
        <f>CQ36*CQ69/100</f>
        <v>-44.494982884754705</v>
      </c>
      <c r="CR57" s="23">
        <f t="shared" si="426"/>
        <v>5.1567839286655648</v>
      </c>
      <c r="CS57" s="23">
        <f>IF(ISERROR(((CQ57/CG57)^0.2-1)*100),"NA",IF((((CQ57/CG57)^0.2-1)*100)&gt;100,"NM",IF((((CQ57/CG57)^0.2-1)*100)&lt;-50,"NM",((CQ57/CG57)^0.2-1)*100)))</f>
        <v>13.812778171359263</v>
      </c>
    </row>
    <row r="58" spans="1:97" ht="12.75" customHeight="1" x14ac:dyDescent="0.2">
      <c r="A58" s="31" t="s">
        <v>103</v>
      </c>
      <c r="B58" s="36">
        <f>B53+B56+B57</f>
        <v>357.86500000000001</v>
      </c>
      <c r="C58" s="59"/>
      <c r="D58" s="36">
        <f t="shared" ref="D58:V58" si="441">D53+D56+D57</f>
        <v>401.82800000000003</v>
      </c>
      <c r="E58" s="59"/>
      <c r="F58" s="36">
        <f t="shared" si="441"/>
        <v>352.57</v>
      </c>
      <c r="G58" s="59"/>
      <c r="H58" s="36">
        <f t="shared" si="441"/>
        <v>281.80700000000002</v>
      </c>
      <c r="I58" s="59"/>
      <c r="J58" s="36">
        <f t="shared" si="441"/>
        <v>369.185</v>
      </c>
      <c r="K58" s="23">
        <f t="shared" si="394"/>
        <v>3.1632040015089569</v>
      </c>
      <c r="L58" s="36">
        <f t="shared" si="441"/>
        <v>330.01</v>
      </c>
      <c r="M58" s="23">
        <f t="shared" si="394"/>
        <v>-17.872821207083632</v>
      </c>
      <c r="N58" s="36">
        <f t="shared" si="441"/>
        <v>369.79600000000005</v>
      </c>
      <c r="O58" s="23">
        <f t="shared" si="394"/>
        <v>4.8858382732507089</v>
      </c>
      <c r="P58" s="56">
        <f t="shared" si="441"/>
        <v>356.20000000000005</v>
      </c>
      <c r="Q58" s="23">
        <f t="shared" si="394"/>
        <v>26.398563555908837</v>
      </c>
      <c r="R58" s="56">
        <f t="shared" si="441"/>
        <v>376.3</v>
      </c>
      <c r="S58" s="23">
        <f t="shared" si="394"/>
        <v>1.9272180614055223</v>
      </c>
      <c r="T58" s="56">
        <f t="shared" si="441"/>
        <v>382.1</v>
      </c>
      <c r="U58" s="23">
        <f t="shared" si="394"/>
        <v>15.784370170600903</v>
      </c>
      <c r="V58" s="56">
        <f t="shared" si="441"/>
        <v>391.4</v>
      </c>
      <c r="W58" s="23">
        <f t="shared" si="394"/>
        <v>5.8421399906975591</v>
      </c>
      <c r="X58" s="56">
        <f>X53+X56+X57</f>
        <v>394.09999999999997</v>
      </c>
      <c r="Y58" s="23">
        <f t="shared" si="394"/>
        <v>10.640089837170109</v>
      </c>
      <c r="Z58" s="56">
        <f>Z53+Z56+Z57</f>
        <v>384.90000000000003</v>
      </c>
      <c r="AA58" s="23">
        <f t="shared" si="395"/>
        <v>2.285410576667557</v>
      </c>
      <c r="AB58" s="56">
        <f>AB53+AB56+AB57</f>
        <v>380.6</v>
      </c>
      <c r="AC58" s="23">
        <f t="shared" si="396"/>
        <v>-0.39256739073540992</v>
      </c>
      <c r="AD58" s="56">
        <f>AD53+AD56+AD57</f>
        <v>393.7</v>
      </c>
      <c r="AE58" s="23">
        <f t="shared" si="397"/>
        <v>0.5876341338783897</v>
      </c>
      <c r="AF58" s="56">
        <f>AF53+AF56+AF57</f>
        <v>396.49999999999989</v>
      </c>
      <c r="AG58" s="23">
        <f t="shared" si="398"/>
        <v>0.6089824917533404</v>
      </c>
      <c r="AH58" s="56">
        <f>AH53+AH56+AH57</f>
        <v>381.3</v>
      </c>
      <c r="AI58" s="23">
        <f t="shared" si="399"/>
        <v>-0.93530787217459554</v>
      </c>
      <c r="AJ58" s="56">
        <f>AJ53+AJ56+AJ57</f>
        <v>376.90000000000003</v>
      </c>
      <c r="AK58" s="23">
        <f t="shared" si="400"/>
        <v>-0.97214923804518349</v>
      </c>
      <c r="AL58" s="56">
        <f>AL53+AL56+AL57</f>
        <v>374.79999999999995</v>
      </c>
      <c r="AM58" s="23">
        <f t="shared" si="401"/>
        <v>-4.8006096012192074</v>
      </c>
      <c r="AN58" s="413">
        <f t="shared" ref="AN58:AP58" si="442">AN53+AN56+AN57</f>
        <v>381.3</v>
      </c>
      <c r="AO58" s="23">
        <f t="shared" si="403"/>
        <v>-3.8335435056746192</v>
      </c>
      <c r="AP58" s="413">
        <f t="shared" si="442"/>
        <v>358.79999999999995</v>
      </c>
      <c r="AQ58" s="23">
        <f t="shared" si="404"/>
        <v>-5.9008654602675232</v>
      </c>
      <c r="AR58" s="413">
        <f t="shared" ref="AR58:AT58" si="443">AR53+AR56+AR57</f>
        <v>377.09999999999997</v>
      </c>
      <c r="AS58" s="23">
        <f t="shared" si="406"/>
        <v>5.3064473335084905E-2</v>
      </c>
      <c r="AT58" s="413">
        <f t="shared" si="443"/>
        <v>381.1</v>
      </c>
      <c r="AU58" s="23">
        <f t="shared" si="407"/>
        <v>1.6808964781216851</v>
      </c>
      <c r="AV58" s="413">
        <f t="shared" ref="AV58:AX58" si="444">AV53+AV56+AV57</f>
        <v>386.8</v>
      </c>
      <c r="AW58" s="23">
        <f t="shared" si="409"/>
        <v>1.4424337791764996</v>
      </c>
      <c r="AX58" s="413">
        <f t="shared" si="444"/>
        <v>391.69999999999993</v>
      </c>
      <c r="AY58" s="23">
        <f t="shared" si="410"/>
        <v>9.16945373467113</v>
      </c>
      <c r="AZ58" s="413">
        <f t="shared" ref="AZ58" si="445">AZ53+AZ56+AZ57</f>
        <v>386.2</v>
      </c>
      <c r="BA58" s="23">
        <f t="shared" si="412"/>
        <v>2.4131530098117304</v>
      </c>
      <c r="BB58" s="413">
        <f t="shared" ref="BB58:BD58" si="446">BB53+BB56+BB57</f>
        <v>389</v>
      </c>
      <c r="BC58" s="23">
        <f t="shared" si="414"/>
        <v>2.0729467331409124</v>
      </c>
      <c r="BD58" s="413">
        <f t="shared" si="446"/>
        <v>404.4</v>
      </c>
      <c r="BE58" s="23">
        <f t="shared" si="415"/>
        <v>4.5501551189244926</v>
      </c>
      <c r="BF58" s="36">
        <f t="shared" ref="BF58" si="447">BF53+BF56+BF57</f>
        <v>407.57335896013558</v>
      </c>
      <c r="BG58" s="23">
        <f t="shared" si="417"/>
        <v>4.0524276130037507</v>
      </c>
      <c r="BH58" s="36">
        <f t="shared" ref="BH58" si="448">BH53+BH56+BH57</f>
        <v>407.56019246625067</v>
      </c>
      <c r="BI58" s="23">
        <f t="shared" si="419"/>
        <v>5.5308628861343134</v>
      </c>
      <c r="BJ58" s="36">
        <f t="shared" ref="BJ58" si="449">BJ53+BJ56+BJ57</f>
        <v>407.64948517425518</v>
      </c>
      <c r="BK58" s="23">
        <f t="shared" si="421"/>
        <v>4.7942121270578841</v>
      </c>
      <c r="BL58" s="36">
        <f t="shared" ref="BL58" si="450">BL53+BL56+BL57</f>
        <v>416.78068831637569</v>
      </c>
      <c r="BM58" s="23">
        <f t="shared" si="423"/>
        <v>3.0614956271947769</v>
      </c>
      <c r="BN58" s="35"/>
      <c r="BO58" s="137"/>
      <c r="BP58" s="35"/>
      <c r="BQ58" s="56">
        <f>BQ53+BQ56+BQ57</f>
        <v>1228.4000000000001</v>
      </c>
      <c r="BR58" s="35"/>
      <c r="BS58" s="56">
        <f>BS53+BS56+BS57</f>
        <v>1385.3000000000002</v>
      </c>
      <c r="BT58" s="35"/>
      <c r="BU58" s="56">
        <f>BU53+BU56+BU57</f>
        <v>1394.0699999999997</v>
      </c>
      <c r="BV58" s="23">
        <f t="shared" si="424"/>
        <v>0.6330758680429982</v>
      </c>
      <c r="BW58" s="56">
        <f>BW53+BW56+BW57</f>
        <v>1425.1910000000003</v>
      </c>
      <c r="BX58" s="23">
        <f t="shared" si="425"/>
        <v>2.2323843135567456</v>
      </c>
      <c r="BY58" s="56">
        <f>BY53+BY56+BY57</f>
        <v>1543.9</v>
      </c>
      <c r="BZ58" s="23">
        <f t="shared" si="426"/>
        <v>8.3293397165713046</v>
      </c>
      <c r="CA58" s="56">
        <f>CA53+CA56+CA57</f>
        <v>1555.7</v>
      </c>
      <c r="CB58" s="23">
        <f t="shared" si="426"/>
        <v>0.76429820584233976</v>
      </c>
      <c r="CC58" s="56">
        <f>CC53+CC56+CC57</f>
        <v>1514.3</v>
      </c>
      <c r="CD58" s="23">
        <f t="shared" si="426"/>
        <v>-2.661181461721418</v>
      </c>
      <c r="CE58" s="56">
        <f>CE53+CE56+CE57</f>
        <v>1503.8</v>
      </c>
      <c r="CF58" s="23">
        <f t="shared" si="426"/>
        <v>-0.69338968500297637</v>
      </c>
      <c r="CG58" s="56">
        <f>CG53+CG56+CG57</f>
        <v>1571.3</v>
      </c>
      <c r="CH58" s="23">
        <f t="shared" si="426"/>
        <v>4.4886288070222102</v>
      </c>
      <c r="CI58" s="56">
        <f>CI53+CI56+CI57</f>
        <v>1639.5637249170175</v>
      </c>
      <c r="CJ58" s="23">
        <f t="shared" si="426"/>
        <v>4.3444106737744237</v>
      </c>
      <c r="CK58" s="56">
        <f>CK53+CK56+CK57</f>
        <v>1693.733365622486</v>
      </c>
      <c r="CL58" s="23">
        <f t="shared" si="426"/>
        <v>3.3039057819000073</v>
      </c>
      <c r="CM58" s="56">
        <f>CM53+CM56+CM57</f>
        <v>1766.517372473111</v>
      </c>
      <c r="CN58" s="23">
        <f t="shared" si="426"/>
        <v>4.2972529400384873</v>
      </c>
      <c r="CO58" s="56">
        <f>CO53+CO56+CO57</f>
        <v>1841.4362298630174</v>
      </c>
      <c r="CP58" s="23">
        <f t="shared" si="426"/>
        <v>4.2410484356018907</v>
      </c>
      <c r="CQ58" s="56">
        <f>CQ53+CQ56+CQ57</f>
        <v>1919.3842971711397</v>
      </c>
      <c r="CR58" s="23">
        <f t="shared" si="426"/>
        <v>4.2330038935923797</v>
      </c>
      <c r="CS58" s="23">
        <f>IF(ISERROR(((CQ58/CG58)^0.2-1)*100),"NA",IF((((CQ58/CG58)^0.2-1)*100)&gt;100,"NM",IF((((CQ58/CG58)^0.2-1)*100)&lt;-50,"NM",((CQ58/CG58)^0.2-1)*100)))</f>
        <v>4.0831830806829394</v>
      </c>
    </row>
    <row r="59" spans="1:97" ht="12.75" customHeight="1" x14ac:dyDescent="0.2">
      <c r="A59" s="31" t="s">
        <v>102</v>
      </c>
      <c r="B59" s="49">
        <v>187.1</v>
      </c>
      <c r="C59" s="59"/>
      <c r="D59" s="49">
        <v>190.9</v>
      </c>
      <c r="E59" s="59"/>
      <c r="F59" s="49">
        <v>197.5</v>
      </c>
      <c r="G59" s="59"/>
      <c r="H59" s="49">
        <v>201.6</v>
      </c>
      <c r="I59" s="59"/>
      <c r="J59" s="49">
        <v>197</v>
      </c>
      <c r="K59" s="23">
        <f t="shared" si="394"/>
        <v>5.2912880812399754</v>
      </c>
      <c r="L59" s="49">
        <v>197.4</v>
      </c>
      <c r="M59" s="23">
        <f t="shared" si="394"/>
        <v>3.4049240440021</v>
      </c>
      <c r="N59" s="49">
        <v>201.1</v>
      </c>
      <c r="O59" s="23">
        <f t="shared" si="394"/>
        <v>1.8227848101265876</v>
      </c>
      <c r="P59" s="49">
        <v>204.7</v>
      </c>
      <c r="Q59" s="23">
        <f t="shared" si="394"/>
        <v>1.5376984126984183</v>
      </c>
      <c r="R59" s="49">
        <v>199.9</v>
      </c>
      <c r="S59" s="23">
        <f t="shared" si="394"/>
        <v>1.4720812182741128</v>
      </c>
      <c r="T59" s="49">
        <v>203.6</v>
      </c>
      <c r="U59" s="23">
        <f t="shared" si="394"/>
        <v>3.1408308004052587</v>
      </c>
      <c r="V59" s="49">
        <v>207.5</v>
      </c>
      <c r="W59" s="23">
        <f t="shared" si="394"/>
        <v>3.1824962705121917</v>
      </c>
      <c r="X59" s="49">
        <v>210</v>
      </c>
      <c r="Y59" s="23">
        <f t="shared" si="394"/>
        <v>2.5891548607718695</v>
      </c>
      <c r="Z59" s="49">
        <v>204.3</v>
      </c>
      <c r="AA59" s="23">
        <f t="shared" si="395"/>
        <v>2.2011005502751368</v>
      </c>
      <c r="AB59" s="49">
        <v>200.3</v>
      </c>
      <c r="AC59" s="23">
        <f t="shared" si="396"/>
        <v>-1.6208251473477375</v>
      </c>
      <c r="AD59" s="49">
        <v>202.7</v>
      </c>
      <c r="AE59" s="23">
        <f t="shared" si="397"/>
        <v>-2.3132530120481998</v>
      </c>
      <c r="AF59" s="49">
        <v>203.9</v>
      </c>
      <c r="AG59" s="23">
        <f t="shared" si="398"/>
        <v>-2.9047619047618989</v>
      </c>
      <c r="AH59" s="49">
        <v>200.7</v>
      </c>
      <c r="AI59" s="23">
        <f t="shared" si="399"/>
        <v>-1.7621145374449476</v>
      </c>
      <c r="AJ59" s="49">
        <v>205.4</v>
      </c>
      <c r="AK59" s="23">
        <f t="shared" si="400"/>
        <v>2.546180728906644</v>
      </c>
      <c r="AL59" s="49">
        <v>213.3</v>
      </c>
      <c r="AM59" s="23">
        <f t="shared" si="401"/>
        <v>5.2294030587074714</v>
      </c>
      <c r="AN59" s="158">
        <v>218.6</v>
      </c>
      <c r="AO59" s="23">
        <f t="shared" si="403"/>
        <v>7.2094163805787037</v>
      </c>
      <c r="AP59" s="158">
        <v>218.3</v>
      </c>
      <c r="AQ59" s="23">
        <f t="shared" si="404"/>
        <v>8.7693074240159596</v>
      </c>
      <c r="AR59" s="158">
        <v>223.2</v>
      </c>
      <c r="AS59" s="23">
        <f t="shared" si="406"/>
        <v>8.6660175267770043</v>
      </c>
      <c r="AT59" s="158">
        <v>229.7</v>
      </c>
      <c r="AU59" s="23">
        <f t="shared" si="407"/>
        <v>7.6887013595874354</v>
      </c>
      <c r="AV59" s="158">
        <v>234.8</v>
      </c>
      <c r="AW59" s="23">
        <f t="shared" si="409"/>
        <v>7.4107959743824336</v>
      </c>
      <c r="AX59" s="158">
        <v>229.9</v>
      </c>
      <c r="AY59" s="23">
        <f t="shared" si="410"/>
        <v>5.3137883646358297</v>
      </c>
      <c r="AZ59" s="158">
        <v>233.2</v>
      </c>
      <c r="BA59" s="23">
        <f t="shared" si="412"/>
        <v>4.4802867383512579</v>
      </c>
      <c r="BB59" s="158">
        <v>236.6</v>
      </c>
      <c r="BC59" s="23">
        <f t="shared" si="414"/>
        <v>3.0039181541140714</v>
      </c>
      <c r="BD59" s="158">
        <v>236</v>
      </c>
      <c r="BE59" s="23">
        <f t="shared" si="415"/>
        <v>0.5110732538330387</v>
      </c>
      <c r="BF59" s="56">
        <f t="shared" ref="BF59" si="451">BF36*BF64/400</f>
        <v>237.85191076803164</v>
      </c>
      <c r="BG59" s="23">
        <f t="shared" si="417"/>
        <v>3.4588563584304621</v>
      </c>
      <c r="BH59" s="56">
        <f t="shared" ref="BH59" si="452">BH36*BH64/400</f>
        <v>238.24598024062433</v>
      </c>
      <c r="BI59" s="23">
        <f t="shared" si="419"/>
        <v>2.1637994170773389</v>
      </c>
      <c r="BJ59" s="56">
        <f t="shared" ref="BJ59" si="453">BJ36*BJ64/400</f>
        <v>241.56244811023444</v>
      </c>
      <c r="BK59" s="23">
        <f t="shared" si="421"/>
        <v>2.097399877529349</v>
      </c>
      <c r="BL59" s="56">
        <f t="shared" ref="BL59" si="454">BL36*BL64/400</f>
        <v>244.87686897070537</v>
      </c>
      <c r="BM59" s="23">
        <f t="shared" si="423"/>
        <v>3.7613851570785561</v>
      </c>
      <c r="BN59" s="35"/>
      <c r="BO59" s="137"/>
      <c r="BP59" s="35"/>
      <c r="BQ59" s="112"/>
      <c r="BR59" s="113"/>
      <c r="BS59" s="112"/>
      <c r="BT59" s="35"/>
      <c r="BU59" s="56">
        <f>B59+D59+F59+H59</f>
        <v>777.1</v>
      </c>
      <c r="BV59" s="23" t="str">
        <f t="shared" si="424"/>
        <v>NA</v>
      </c>
      <c r="BW59" s="56">
        <f>J59+L59+N59+P59</f>
        <v>800.2</v>
      </c>
      <c r="BX59" s="23">
        <f t="shared" si="425"/>
        <v>2.9725904002058989</v>
      </c>
      <c r="BY59" s="56">
        <f>R59+T59+V59+X59</f>
        <v>821</v>
      </c>
      <c r="BZ59" s="23">
        <f t="shared" si="426"/>
        <v>2.5993501624593796</v>
      </c>
      <c r="CA59" s="56">
        <f>Z59+AB59+AD59+AF59</f>
        <v>811.19999999999993</v>
      </c>
      <c r="CB59" s="23">
        <f t="shared" si="426"/>
        <v>-1.1936662606577442</v>
      </c>
      <c r="CC59" s="56">
        <f>AH59+AJ59+AL59+AN59</f>
        <v>838.00000000000011</v>
      </c>
      <c r="CD59" s="23">
        <f t="shared" si="426"/>
        <v>3.3037475345167877</v>
      </c>
      <c r="CE59" s="56">
        <f>AP59+AR59+AT59+AV59</f>
        <v>906</v>
      </c>
      <c r="CF59" s="23">
        <f t="shared" si="426"/>
        <v>8.1145584725536892</v>
      </c>
      <c r="CG59" s="56">
        <f>AX59+AZ59+BB59+BD59</f>
        <v>935.7</v>
      </c>
      <c r="CH59" s="23">
        <f t="shared" si="426"/>
        <v>3.2781456953642429</v>
      </c>
      <c r="CI59" s="56">
        <f>BF59+BH59+BJ59+BL59</f>
        <v>962.53720808959577</v>
      </c>
      <c r="CJ59" s="23">
        <f t="shared" si="426"/>
        <v>2.8681423628936331</v>
      </c>
      <c r="CK59" s="56">
        <f>CK36*CK64/100</f>
        <v>1002.9227622684906</v>
      </c>
      <c r="CL59" s="23">
        <f t="shared" si="426"/>
        <v>4.195739534999432</v>
      </c>
      <c r="CM59" s="56">
        <f>CM36*CM64/100</f>
        <v>1055.1299406599874</v>
      </c>
      <c r="CN59" s="23">
        <f t="shared" si="426"/>
        <v>5.2055033902521419</v>
      </c>
      <c r="CO59" s="56">
        <f>CO36*CO64/100</f>
        <v>1109.54071186648</v>
      </c>
      <c r="CP59" s="23">
        <f t="shared" si="426"/>
        <v>5.1567839286655648</v>
      </c>
      <c r="CQ59" s="56">
        <f>CQ36*CQ64/100</f>
        <v>1166.7573289780123</v>
      </c>
      <c r="CR59" s="23">
        <f t="shared" si="426"/>
        <v>5.156783928665587</v>
      </c>
      <c r="CS59" s="23">
        <f>IF(ISERROR(((CQ59/CG59)^0.2-1)*100),"NA",IF((((CQ59/CG59)^0.2-1)*100)&gt;100,"NM",IF((((CQ59/CG59)^0.2-1)*100)&lt;-50,"NM",((CQ59/CG59)^0.2-1)*100)))</f>
        <v>4.5126311971397826</v>
      </c>
    </row>
    <row r="60" spans="1:97" ht="12.75" customHeight="1" x14ac:dyDescent="0.2">
      <c r="A60" s="31" t="s">
        <v>15</v>
      </c>
      <c r="B60" s="36">
        <f>B58+B59</f>
        <v>544.96500000000003</v>
      </c>
      <c r="C60" s="59"/>
      <c r="D60" s="36">
        <f t="shared" ref="D60:V60" si="455">D58+D59</f>
        <v>592.72800000000007</v>
      </c>
      <c r="E60" s="59"/>
      <c r="F60" s="36">
        <f t="shared" si="455"/>
        <v>550.06999999999994</v>
      </c>
      <c r="G60" s="59"/>
      <c r="H60" s="36">
        <f t="shared" si="455"/>
        <v>483.40700000000004</v>
      </c>
      <c r="I60" s="59"/>
      <c r="J60" s="36">
        <f t="shared" si="455"/>
        <v>566.18499999999995</v>
      </c>
      <c r="K60" s="23">
        <f t="shared" si="394"/>
        <v>3.8938280440028006</v>
      </c>
      <c r="L60" s="36">
        <f t="shared" si="455"/>
        <v>527.41</v>
      </c>
      <c r="M60" s="23">
        <f t="shared" si="394"/>
        <v>-11.019894454117251</v>
      </c>
      <c r="N60" s="36">
        <f t="shared" si="455"/>
        <v>570.89600000000007</v>
      </c>
      <c r="O60" s="23">
        <f t="shared" si="394"/>
        <v>3.7860635919065189</v>
      </c>
      <c r="P60" s="56">
        <f t="shared" si="455"/>
        <v>560.90000000000009</v>
      </c>
      <c r="Q60" s="23">
        <f t="shared" si="394"/>
        <v>16.030591199548216</v>
      </c>
      <c r="R60" s="56">
        <f t="shared" si="455"/>
        <v>576.20000000000005</v>
      </c>
      <c r="S60" s="23">
        <f t="shared" si="394"/>
        <v>1.7688564691752839</v>
      </c>
      <c r="T60" s="56">
        <f t="shared" si="455"/>
        <v>585.70000000000005</v>
      </c>
      <c r="U60" s="23">
        <f t="shared" si="394"/>
        <v>11.052122637037609</v>
      </c>
      <c r="V60" s="56">
        <f t="shared" si="455"/>
        <v>598.9</v>
      </c>
      <c r="W60" s="23">
        <f t="shared" si="394"/>
        <v>4.9052717132367141</v>
      </c>
      <c r="X60" s="56">
        <f>X58+X59</f>
        <v>604.09999999999991</v>
      </c>
      <c r="Y60" s="23">
        <f t="shared" si="394"/>
        <v>7.7019076484221349</v>
      </c>
      <c r="Z60" s="56">
        <f>Z58+Z59</f>
        <v>589.20000000000005</v>
      </c>
      <c r="AA60" s="23">
        <f t="shared" si="395"/>
        <v>2.2561610551891764</v>
      </c>
      <c r="AB60" s="56">
        <f>AB58+AB59</f>
        <v>580.90000000000009</v>
      </c>
      <c r="AC60" s="23">
        <f t="shared" si="396"/>
        <v>-0.81953218371179082</v>
      </c>
      <c r="AD60" s="56">
        <f>AD58+AD59</f>
        <v>596.4</v>
      </c>
      <c r="AE60" s="23">
        <f t="shared" si="397"/>
        <v>-0.41743195859075266</v>
      </c>
      <c r="AF60" s="56">
        <f>AF58+AF59</f>
        <v>600.39999999999986</v>
      </c>
      <c r="AG60" s="23">
        <f t="shared" si="398"/>
        <v>-0.61248137725542495</v>
      </c>
      <c r="AH60" s="56">
        <f>AH58+AH59</f>
        <v>582</v>
      </c>
      <c r="AI60" s="23">
        <f t="shared" si="399"/>
        <v>-1.2219959266802527</v>
      </c>
      <c r="AJ60" s="56">
        <f>AJ58+AJ59</f>
        <v>582.30000000000007</v>
      </c>
      <c r="AK60" s="23">
        <f t="shared" si="400"/>
        <v>0.24100533654674017</v>
      </c>
      <c r="AL60" s="56">
        <f>AL58+AL59</f>
        <v>588.09999999999991</v>
      </c>
      <c r="AM60" s="23">
        <f t="shared" si="401"/>
        <v>-1.3916834339369633</v>
      </c>
      <c r="AN60" s="413">
        <f t="shared" ref="AN60:AP60" si="456">AN58+AN59</f>
        <v>599.9</v>
      </c>
      <c r="AO60" s="23">
        <f t="shared" si="403"/>
        <v>-8.3277814790116977E-2</v>
      </c>
      <c r="AP60" s="413">
        <f t="shared" si="456"/>
        <v>577.09999999999991</v>
      </c>
      <c r="AQ60" s="23">
        <f t="shared" si="404"/>
        <v>-0.84192439862544877</v>
      </c>
      <c r="AR60" s="413">
        <f t="shared" ref="AR60:AT60" si="457">AR58+AR59</f>
        <v>600.29999999999995</v>
      </c>
      <c r="AS60" s="23">
        <f t="shared" si="406"/>
        <v>3.0911901081916326</v>
      </c>
      <c r="AT60" s="413">
        <f t="shared" si="457"/>
        <v>610.79999999999995</v>
      </c>
      <c r="AU60" s="23">
        <f t="shared" si="407"/>
        <v>3.8598877741880644</v>
      </c>
      <c r="AV60" s="413">
        <f t="shared" ref="AV60:AX60" si="458">AV58+AV59</f>
        <v>621.6</v>
      </c>
      <c r="AW60" s="23">
        <f t="shared" si="409"/>
        <v>3.6172695449241621</v>
      </c>
      <c r="AX60" s="413">
        <f t="shared" si="458"/>
        <v>621.59999999999991</v>
      </c>
      <c r="AY60" s="23">
        <f t="shared" si="410"/>
        <v>7.7109686362848651</v>
      </c>
      <c r="AZ60" s="413">
        <f t="shared" ref="AZ60" si="459">AZ58+AZ59</f>
        <v>619.4</v>
      </c>
      <c r="BA60" s="23">
        <f t="shared" si="412"/>
        <v>3.1817424621022772</v>
      </c>
      <c r="BB60" s="413">
        <f t="shared" ref="BB60:BD60" si="460">BB58+BB59</f>
        <v>625.6</v>
      </c>
      <c r="BC60" s="23">
        <f t="shared" si="414"/>
        <v>2.4230517354289605</v>
      </c>
      <c r="BD60" s="413">
        <f t="shared" si="460"/>
        <v>640.4</v>
      </c>
      <c r="BE60" s="23">
        <f t="shared" si="415"/>
        <v>3.0244530244530221</v>
      </c>
      <c r="BF60" s="36">
        <f t="shared" ref="BF60" si="461">BF58+BF59</f>
        <v>645.42526972816722</v>
      </c>
      <c r="BG60" s="23">
        <f t="shared" si="417"/>
        <v>3.832894100413009</v>
      </c>
      <c r="BH60" s="36">
        <f t="shared" ref="BH60" si="462">BH58+BH59</f>
        <v>645.80617270687503</v>
      </c>
      <c r="BI60" s="23">
        <f t="shared" si="419"/>
        <v>4.2631857776679105</v>
      </c>
      <c r="BJ60" s="36">
        <f t="shared" ref="BJ60" si="463">BJ58+BJ59</f>
        <v>649.21193328448965</v>
      </c>
      <c r="BK60" s="23">
        <f t="shared" si="421"/>
        <v>3.7742860109478249</v>
      </c>
      <c r="BL60" s="36">
        <f t="shared" ref="BL60" si="464">BL58+BL59</f>
        <v>661.65755728708109</v>
      </c>
      <c r="BM60" s="23">
        <f t="shared" si="423"/>
        <v>3.3194186894255351</v>
      </c>
      <c r="BN60" s="35"/>
      <c r="BO60" s="137"/>
      <c r="BP60" s="35"/>
      <c r="BQ60" s="113"/>
      <c r="BR60" s="113"/>
      <c r="BS60" s="113"/>
      <c r="BT60" s="35"/>
      <c r="BU60" s="56">
        <f>BU58+BU59</f>
        <v>2171.1699999999996</v>
      </c>
      <c r="BV60" s="23" t="str">
        <f t="shared" si="424"/>
        <v>NA</v>
      </c>
      <c r="BW60" s="56">
        <f>BW58+BW59</f>
        <v>2225.3910000000005</v>
      </c>
      <c r="BX60" s="23">
        <f t="shared" si="425"/>
        <v>2.4973171147354201</v>
      </c>
      <c r="BY60" s="56">
        <f>BY58+BY59</f>
        <v>2364.9</v>
      </c>
      <c r="BZ60" s="23">
        <f t="shared" si="426"/>
        <v>6.2689657682627242</v>
      </c>
      <c r="CA60" s="56">
        <f>CA58+CA59</f>
        <v>2366.9</v>
      </c>
      <c r="CB60" s="23">
        <f t="shared" si="426"/>
        <v>8.4570172100306706E-2</v>
      </c>
      <c r="CC60" s="56">
        <f>CC58+CC59</f>
        <v>2352.3000000000002</v>
      </c>
      <c r="CD60" s="23">
        <f t="shared" si="426"/>
        <v>-0.61684059318094508</v>
      </c>
      <c r="CE60" s="56">
        <f>CE58+CE59</f>
        <v>2409.8000000000002</v>
      </c>
      <c r="CF60" s="23">
        <f t="shared" si="426"/>
        <v>2.4444161033881695</v>
      </c>
      <c r="CG60" s="56">
        <f>CG58+CG59</f>
        <v>2507</v>
      </c>
      <c r="CH60" s="23">
        <f t="shared" si="426"/>
        <v>4.033529753506504</v>
      </c>
      <c r="CI60" s="56">
        <f>CI58+CI59</f>
        <v>2602.1009330066131</v>
      </c>
      <c r="CJ60" s="23">
        <f t="shared" si="426"/>
        <v>3.7934157561473114</v>
      </c>
      <c r="CK60" s="56">
        <f>CK58+CK59</f>
        <v>2696.6561278909767</v>
      </c>
      <c r="CL60" s="23">
        <f t="shared" si="426"/>
        <v>3.6338019669017729</v>
      </c>
      <c r="CM60" s="56">
        <f>CM58+CM59</f>
        <v>2821.6473131330986</v>
      </c>
      <c r="CN60" s="23">
        <f t="shared" si="426"/>
        <v>4.6350435248069921</v>
      </c>
      <c r="CO60" s="56">
        <f>CO58+CO59</f>
        <v>2950.9769417294974</v>
      </c>
      <c r="CP60" s="23">
        <f t="shared" si="426"/>
        <v>4.5834795863553213</v>
      </c>
      <c r="CQ60" s="56">
        <f>CQ58+CQ59</f>
        <v>3086.1416261491522</v>
      </c>
      <c r="CR60" s="23">
        <f t="shared" si="426"/>
        <v>4.5803368541550871</v>
      </c>
      <c r="CS60" s="23">
        <f>IF(ISERROR(((CQ60/CG60)^0.2-1)*100),"NA",IF((((CQ60/CG60)^0.2-1)*100)&gt;100,"NM",IF((((CQ60/CG60)^0.2-1)*100)&lt;-50,"NM",((CQ60/CG60)^0.2-1)*100)))</f>
        <v>4.2442967088077044</v>
      </c>
    </row>
    <row r="61" spans="1:97" ht="12.75" customHeight="1" x14ac:dyDescent="0.2">
      <c r="B61" s="35"/>
      <c r="C61" s="60"/>
      <c r="D61" s="35"/>
      <c r="E61" s="60"/>
      <c r="F61" s="35"/>
      <c r="G61" s="60"/>
      <c r="H61" s="35"/>
      <c r="I61" s="60"/>
      <c r="J61" s="35"/>
      <c r="L61" s="35"/>
      <c r="N61" s="35"/>
      <c r="P61" s="37"/>
      <c r="R61" s="37"/>
      <c r="T61" s="37"/>
      <c r="V61" s="37"/>
      <c r="X61" s="37"/>
      <c r="Z61" s="37"/>
      <c r="AB61" s="37"/>
      <c r="AD61" s="37"/>
      <c r="AF61" s="37"/>
      <c r="AH61" s="37"/>
      <c r="AJ61" s="37"/>
      <c r="AL61" s="37"/>
      <c r="AN61" s="411"/>
      <c r="AP61" s="411"/>
      <c r="AR61" s="409"/>
      <c r="AT61" s="409"/>
      <c r="AV61" s="409"/>
      <c r="AX61" s="409"/>
      <c r="AZ61" s="409"/>
      <c r="BB61" s="409"/>
      <c r="BD61" s="409"/>
      <c r="BF61" s="35"/>
      <c r="BH61" s="35"/>
      <c r="BJ61" s="35"/>
      <c r="BL61" s="35"/>
      <c r="BN61" s="35"/>
      <c r="BO61" s="138"/>
      <c r="BP61" s="35"/>
      <c r="BQ61" s="35"/>
      <c r="BR61" s="35"/>
      <c r="BS61" s="35"/>
      <c r="BT61" s="35"/>
      <c r="BU61" s="37"/>
      <c r="BW61" s="37"/>
      <c r="BY61" s="37"/>
      <c r="CA61" s="37"/>
      <c r="CC61" s="37"/>
      <c r="CE61" s="37"/>
      <c r="CG61" s="37"/>
      <c r="CI61" s="37"/>
      <c r="CK61" s="37"/>
      <c r="CM61" s="37"/>
      <c r="CO61" s="37"/>
      <c r="CQ61" s="37"/>
    </row>
    <row r="62" spans="1:97" ht="12.75" customHeight="1" x14ac:dyDescent="0.2">
      <c r="A62" s="11" t="s">
        <v>152</v>
      </c>
      <c r="B62" s="35"/>
      <c r="C62" s="60"/>
      <c r="D62" s="35"/>
      <c r="E62" s="60"/>
      <c r="F62" s="35"/>
      <c r="G62" s="60"/>
      <c r="H62" s="35"/>
      <c r="I62" s="60"/>
      <c r="J62" s="35"/>
      <c r="L62" s="35"/>
      <c r="N62" s="35"/>
      <c r="P62" s="37"/>
      <c r="R62" s="37"/>
      <c r="T62" s="37"/>
      <c r="V62" s="37"/>
      <c r="X62" s="37"/>
      <c r="Z62" s="37"/>
      <c r="AB62" s="37"/>
      <c r="AD62" s="37"/>
      <c r="AF62" s="37"/>
      <c r="AH62" s="37"/>
      <c r="AJ62" s="37"/>
      <c r="AL62" s="37"/>
      <c r="AN62" s="411"/>
      <c r="AP62" s="411"/>
      <c r="AR62" s="409"/>
      <c r="AT62" s="409"/>
      <c r="AV62" s="409"/>
      <c r="AX62" s="35"/>
      <c r="AZ62" s="35"/>
      <c r="BB62" s="409"/>
      <c r="BD62" s="409"/>
      <c r="BF62" s="35"/>
      <c r="BH62" s="35"/>
      <c r="BJ62" s="35"/>
      <c r="BL62" s="35"/>
      <c r="BN62" s="35"/>
      <c r="BO62" s="138"/>
      <c r="BP62" s="35"/>
      <c r="BQ62" s="35"/>
      <c r="BR62" s="35"/>
      <c r="BS62" s="35"/>
      <c r="BT62" s="35"/>
      <c r="BU62" s="37"/>
      <c r="BW62" s="37"/>
      <c r="BY62" s="37"/>
      <c r="CA62" s="37"/>
      <c r="CC62" s="37"/>
      <c r="CE62" s="37"/>
      <c r="CG62" s="37"/>
      <c r="CI62" s="37"/>
      <c r="CK62" s="37"/>
      <c r="CM62" s="37"/>
      <c r="CO62" s="37"/>
      <c r="CQ62" s="37"/>
    </row>
    <row r="63" spans="1:97" ht="12.75" customHeight="1" x14ac:dyDescent="0.2">
      <c r="A63" s="31" t="s">
        <v>3</v>
      </c>
      <c r="B63" s="35">
        <f t="shared" ref="B63:P63" si="465">(B53+B59)/B$36*400</f>
        <v>1.7817497768960622</v>
      </c>
      <c r="C63" s="59"/>
      <c r="D63" s="35">
        <f t="shared" si="465"/>
        <v>1.993018903261407</v>
      </c>
      <c r="E63" s="59"/>
      <c r="F63" s="35">
        <f t="shared" si="465"/>
        <v>1.897276615366283</v>
      </c>
      <c r="G63" s="59"/>
      <c r="H63" s="115">
        <f t="shared" si="465"/>
        <v>1.5870923416300691</v>
      </c>
      <c r="I63" s="59"/>
      <c r="J63" s="115">
        <f t="shared" si="465"/>
        <v>1.8507816416754024</v>
      </c>
      <c r="K63" s="23">
        <f t="shared" ref="K63:Y65" si="466">IF(ISERROR((J63/B63-1)*100),"NA",IF(((J63/B63-1)*100)&gt;100,"NM",IF(((J63/B63-1)*100)&lt;-50,"NM",(J63/B63-1)*100)))</f>
        <v>3.8743860487300719</v>
      </c>
      <c r="L63" s="115">
        <f t="shared" si="465"/>
        <v>1.6213205303669771</v>
      </c>
      <c r="M63" s="23">
        <f t="shared" si="466"/>
        <v>-18.650017432658405</v>
      </c>
      <c r="N63" s="115">
        <f t="shared" si="465"/>
        <v>1.7504971416536639</v>
      </c>
      <c r="O63" s="23">
        <f t="shared" si="466"/>
        <v>-7.7363243990799084</v>
      </c>
      <c r="P63" s="116">
        <f t="shared" si="465"/>
        <v>1.6777881130104362</v>
      </c>
      <c r="Q63" s="23">
        <f t="shared" si="466"/>
        <v>5.7145869210871059</v>
      </c>
      <c r="R63" s="116">
        <f>(R53+R59)/R$36*400</f>
        <v>1.647524548148013</v>
      </c>
      <c r="S63" s="23">
        <f t="shared" si="466"/>
        <v>-10.982229829305679</v>
      </c>
      <c r="T63" s="116">
        <f>(T53+T59)/T$36*400</f>
        <v>1.595593479766138</v>
      </c>
      <c r="U63" s="23">
        <f t="shared" si="466"/>
        <v>-1.5867960788121249</v>
      </c>
      <c r="V63" s="116">
        <f>(V53+V59)/V$36*400</f>
        <v>1.579734862143958</v>
      </c>
      <c r="W63" s="23">
        <f t="shared" si="466"/>
        <v>-9.7550733129669549</v>
      </c>
      <c r="X63" s="116">
        <f>(X53+X59)/X$36*400</f>
        <v>1.5225602663896962</v>
      </c>
      <c r="Y63" s="23">
        <f t="shared" si="466"/>
        <v>-9.2519338656069312</v>
      </c>
      <c r="Z63" s="116">
        <f>(Z53+Z59)/Z$36*400</f>
        <v>1.446600639617363</v>
      </c>
      <c r="AA63" s="23">
        <f>IF(ISERROR((Z63/R63-1)*100),"NA",IF(((Z63/R63-1)*100)&gt;100,"NM",IF(((Z63/R63-1)*100)&lt;-50,"NM",(Z63/R63-1)*100)))</f>
        <v>-12.195503172108069</v>
      </c>
      <c r="AB63" s="116">
        <f>(AB53+AB59)/AB$36*400</f>
        <v>1.3923697875110088</v>
      </c>
      <c r="AC63" s="23">
        <f>IF(ISERROR((AB63/T63-1)*100),"NA",IF(((AB63/T63-1)*100)&gt;100,"NM",IF(((AB63/T63-1)*100)&lt;-50,"NM",(AB63/T63-1)*100)))</f>
        <v>-12.736558204343829</v>
      </c>
      <c r="AD63" s="116">
        <f>(AD53+AD59)/AD$36*400</f>
        <v>1.4364883782814435</v>
      </c>
      <c r="AE63" s="23">
        <f>IF(ISERROR((AD63/V63-1)*100),"NA",IF(((AD63/V63-1)*100)&gt;100,"NM",IF(((AD63/V63-1)*100)&lt;-50,"NM",(AD63/V63-1)*100)))</f>
        <v>-9.0677548046325782</v>
      </c>
      <c r="AF63" s="116">
        <f>(AF53+AF59)/AF$36*400</f>
        <v>1.4292313326671193</v>
      </c>
      <c r="AG63" s="23">
        <f>IF(ISERROR((AF63/X63-1)*100),"NA",IF(((AF63/X63-1)*100)&gt;100,"NM",IF(((AF63/X63-1)*100)&lt;-50,"NM",(AF63/X63-1)*100)))</f>
        <v>-6.1297365879564802</v>
      </c>
      <c r="AH63" s="116">
        <f>(AH53+AH59)/AH$36*400</f>
        <v>1.3811279451581311</v>
      </c>
      <c r="AI63" s="23">
        <f>IF(ISERROR((AH63/Z63-1)*100),"NA",IF(((AH63/Z63-1)*100)&gt;100,"NM",IF(((AH63/Z63-1)*100)&lt;-50,"NM",(AH63/Z63-1)*100)))</f>
        <v>-4.5259688587273033</v>
      </c>
      <c r="AJ63" s="116">
        <f>(AJ53+AJ59)/AJ$36*400</f>
        <v>1.337558884078526</v>
      </c>
      <c r="AK63" s="23">
        <f>IF(ISERROR((AJ63/AB63-1)*100),"NA",IF(((AJ63/AB63-1)*100)&gt;100,"NM",IF(((AJ63/AB63-1)*100)&lt;-50,"NM",(AJ63/AB63-1)*100)))</f>
        <v>-3.9365191577779401</v>
      </c>
      <c r="AL63" s="116">
        <f>(AL53+AL59)/AL$36*400</f>
        <v>1.4160423359977194</v>
      </c>
      <c r="AM63" s="23">
        <f>IF(ISERROR((AL63/AD63-1)*100),"NA",IF(((AL63/AD63-1)*100)&gt;100,"NM",IF(((AL63/AD63-1)*100)&lt;-50,"NM",(AL63/AD63-1)*100)))</f>
        <v>-1.4233350295659752</v>
      </c>
      <c r="AN63" s="445">
        <f t="shared" ref="AN63:AP63" si="467">(AN53+AN59)/AN$36*400</f>
        <v>1.4932633958353871</v>
      </c>
      <c r="AO63" s="23">
        <f>IF(ISERROR((AN63/AF63-1)*100),"NA",IF(((AN63/AF63-1)*100)&gt;100,"NM",IF(((AN63/AF63-1)*100)&lt;-50,"NM",(AN63/AF63-1)*100)))</f>
        <v>4.4801748817510312</v>
      </c>
      <c r="AP63" s="445">
        <f t="shared" si="467"/>
        <v>1.4177058233538902</v>
      </c>
      <c r="AQ63" s="23">
        <f t="shared" ref="AQ63:AQ65" si="468">IF(ISERROR((AP63/AH63-1)*100),"NA",IF(((AP63/AH63-1)*100)&gt;100,"NM",IF(((AP63/AH63-1)*100)&lt;-50,"NM",(AP63/AH63-1)*100)))</f>
        <v>2.6484062047974266</v>
      </c>
      <c r="AR63" s="445">
        <f t="shared" ref="AR63:AT63" si="469">(AR53+AR59)/AR$36*400</f>
        <v>1.4568558218589076</v>
      </c>
      <c r="AS63" s="23">
        <f t="shared" ref="AS63:AS65" si="470">IF(ISERROR((AR63/AJ63-1)*100),"NA",IF(((AR63/AJ63-1)*100)&gt;100,"NM",IF(((AR63/AJ63-1)*100)&lt;-50,"NM",(AR63/AJ63-1)*100)))</f>
        <v>8.9190045537746787</v>
      </c>
      <c r="AT63" s="445">
        <f t="shared" si="469"/>
        <v>1.4155566226913829</v>
      </c>
      <c r="AU63" s="23">
        <f t="shared" ref="AU63:AU65" si="471">IF(ISERROR((AT63/AL63-1)*100),"NA",IF(((AT63/AL63-1)*100)&gt;100,"NM",IF(((AT63/AL63-1)*100)&lt;-50,"NM",(AT63/AL63-1)*100)))</f>
        <v>-3.430076163607465E-2</v>
      </c>
      <c r="AV63" s="445">
        <f t="shared" ref="AV63:AX63" si="472">(AV53+AV59)/AV$36*400</f>
        <v>1.4208854390365866</v>
      </c>
      <c r="AW63" s="23">
        <f t="shared" ref="AW63:AW65" si="473">IF(ISERROR((AV63/AN63-1)*100),"NA",IF(((AV63/AN63-1)*100)&gt;100,"NM",IF(((AV63/AN63-1)*100)&lt;-50,"NM",(AV63/AN63-1)*100)))</f>
        <v>-4.8469651771186451</v>
      </c>
      <c r="AX63" s="445">
        <f t="shared" si="472"/>
        <v>1.3630775599362357</v>
      </c>
      <c r="AY63" s="23">
        <f t="shared" ref="AY63:AY65" si="474">IF(ISERROR((AX63/AP63-1)*100),"NA",IF(((AX63/AP63-1)*100)&gt;100,"NM",IF(((AX63/AP63-1)*100)&lt;-50,"NM",(AX63/AP63-1)*100)))</f>
        <v>-3.8532862401890577</v>
      </c>
      <c r="AZ63" s="445">
        <f t="shared" ref="AZ63" si="475">(AZ53+AZ59)/AZ$36*400</f>
        <v>1.2956641391222883</v>
      </c>
      <c r="BA63" s="23">
        <f t="shared" ref="BA63:BA65" si="476">IF(ISERROR((AZ63/AR63-1)*100),"NA",IF(((AZ63/AR63-1)*100)&gt;100,"NM",IF(((AZ63/AR63-1)*100)&lt;-50,"NM",(AZ63/AR63-1)*100)))</f>
        <v>-11.06435381717754</v>
      </c>
      <c r="BB63" s="445">
        <f t="shared" ref="BB63:BD63" si="477">(BB53+BB59)/BB$36*400</f>
        <v>1.2748212957505201</v>
      </c>
      <c r="BC63" s="23">
        <f t="shared" ref="BC63:BC65" si="478">IF(ISERROR((BB63/AT63-1)*100),"NA",IF(((BB63/AT63-1)*100)&gt;100,"NM",IF(((BB63/AT63-1)*100)&lt;-50,"NM",(BB63/AT63-1)*100)))</f>
        <v>-9.9420485683775937</v>
      </c>
      <c r="BD63" s="445">
        <f t="shared" si="477"/>
        <v>1.2540729509134261</v>
      </c>
      <c r="BE63" s="23">
        <f t="shared" ref="BE63:BE65" si="479">IF(ISERROR((BD63/AV63-1)*100),"NA",IF(((BD63/AV63-1)*100)&gt;100,"NM",IF(((BD63/AV63-1)*100)&lt;-50,"NM",(BD63/AV63-1)*100)))</f>
        <v>-11.740037834173711</v>
      </c>
      <c r="BF63" s="213">
        <f>BD63-0</f>
        <v>1.2540729509134261</v>
      </c>
      <c r="BG63" s="23">
        <f t="shared" ref="BG63:BG65" si="480">IF(ISERROR((BF63/AX63-1)*100),"NA",IF(((BF63/AX63-1)*100)&gt;100,"NM",IF(((BF63/AX63-1)*100)&lt;-50,"NM",(BF63/AX63-1)*100)))</f>
        <v>-7.9969483928639225</v>
      </c>
      <c r="BH63" s="213">
        <f>BF63-0.002</f>
        <v>1.2520729509134261</v>
      </c>
      <c r="BI63" s="23">
        <f t="shared" ref="BI63:BI65" si="481">IF(ISERROR((BH63/AZ63-1)*100),"NA",IF(((BH63/AZ63-1)*100)&gt;100,"NM",IF(((BH63/AZ63-1)*100)&lt;-50,"NM",(BH63/AZ63-1)*100)))</f>
        <v>-3.3643894966786547</v>
      </c>
      <c r="BJ63" s="213">
        <f>BH63-0.016</f>
        <v>1.2360729509134261</v>
      </c>
      <c r="BK63" s="23">
        <f t="shared" ref="BK63:BK65" si="482">IF(ISERROR((BJ63/BB63-1)*100),"NA",IF(((BJ63/BB63-1)*100)&gt;100,"NM",IF(((BJ63/BB63-1)*100)&lt;-50,"NM",(BJ63/BB63-1)*100)))</f>
        <v>-3.0395118881569871</v>
      </c>
      <c r="BL63" s="213">
        <f>BJ63+0.01</f>
        <v>1.2460729509134261</v>
      </c>
      <c r="BM63" s="23">
        <f t="shared" ref="BM63:BM65" si="483">IF(ISERROR((BL63/BD63-1)*100),"NA",IF(((BL63/BD63-1)*100)&gt;100,"NM",IF(((BL63/BD63-1)*100)&lt;-50,"NM",(BL63/BD63-1)*100)))</f>
        <v>-0.63792142188962009</v>
      </c>
      <c r="BN63" s="35"/>
      <c r="BO63" s="138"/>
      <c r="BP63" s="35"/>
      <c r="BQ63" s="35"/>
      <c r="BR63" s="35"/>
      <c r="BS63" s="35"/>
      <c r="BT63" s="35"/>
      <c r="BU63" s="116">
        <f>(BU53+BU59)/BU$36*100</f>
        <v>1.8139223346398274</v>
      </c>
      <c r="BV63" s="23" t="str">
        <f>IF(ISERROR((BU63/BS63-1)*100),"NA",IF(((BU63/BS63-1)*100)&gt;100,"NM",IF(((BU63/BS63-1)*100)&lt;-50,"NM",(BU63/BS63-1)*100)))</f>
        <v>NA</v>
      </c>
      <c r="BW63" s="116">
        <f>(BW53+BW59)/BW$36*100</f>
        <v>1.7340526876639839</v>
      </c>
      <c r="BX63" s="23">
        <f>IF(ISERROR((BW63/BU63-1)*100),"NA",IF(((BW63/BU63-1)*100)&gt;100,"NM",IF(((BW63/BU63-1)*100)&lt;-50,"NM",(BW63/BU63-1)*100)))</f>
        <v>-4.4031459038020193</v>
      </c>
      <c r="BY63" s="116">
        <f>(BY53+BY59)/BY$36*100</f>
        <v>1.5804181439974005</v>
      </c>
      <c r="BZ63" s="23">
        <f>IF(ISERROR((BY63/BW63-1)*100),"NA",IF(((BY63/BW63-1)*100)&gt;100,"NM",IF(((BY63/BW63-1)*100)&lt;-50,"NM",(BY63/BW63-1)*100)))</f>
        <v>-8.8598544184693147</v>
      </c>
      <c r="CA63" s="116">
        <f>(CA53+CA59)/CA$36*100</f>
        <v>1.4267914453928681</v>
      </c>
      <c r="CB63" s="23">
        <f>IF(ISERROR((CA63/BY63-1)*100),"NA",IF(((CA63/BY63-1)*100)&gt;100,"NM",IF(((CA63/BY63-1)*100)&lt;-50,"NM",(CA63/BY63-1)*100)))</f>
        <v>-9.7206362245348394</v>
      </c>
      <c r="CC63" s="116">
        <f>(CC53+CC59)/CC$36*100</f>
        <v>1.4127891156462589</v>
      </c>
      <c r="CD63" s="23">
        <f>IF(ISERROR((CC63/CA63-1)*100),"NA",IF(((CC63/CA63-1)*100)&gt;100,"NM",IF(((CC63/CA63-1)*100)&lt;-50,"NM",(CC63/CA63-1)*100)))</f>
        <v>-0.98138587751019912</v>
      </c>
      <c r="CE63" s="116">
        <f>(CE53+CE59)/CE$36*100</f>
        <v>1.4232493924813676</v>
      </c>
      <c r="CF63" s="23">
        <f>IF(ISERROR((CE63/CC63-1)*100),"NA",IF(((CE63/CC63-1)*100)&gt;100,"NM",IF(((CE63/CC63-1)*100)&lt;-50,"NM",(CE63/CC63-1)*100)))</f>
        <v>0.74039902482712083</v>
      </c>
      <c r="CG63" s="116">
        <f>(CG53+CG59)/CG$36*100</f>
        <v>1.2989274218524895</v>
      </c>
      <c r="CH63" s="23">
        <f>IF(ISERROR((CG63/CE63-1)*100),"NA",IF(((CG63/CE63-1)*100)&gt;100,"NM",IF(((CG63/CE63-1)*100)&lt;-50,"NM",(CG63/CE63-1)*100)))</f>
        <v>-8.7350798310989362</v>
      </c>
      <c r="CI63" s="116">
        <f>(CI53+CI59)/CI$36*100</f>
        <v>1.2357580207013359</v>
      </c>
      <c r="CJ63" s="23">
        <f>IF(ISERROR((CI63/CG63-1)*100),"NA",IF(((CI63/CG63-1)*100)&gt;100,"NM",IF(((CI63/CG63-1)*100)&lt;-50,"NM",(CI63/CG63-1)*100)))</f>
        <v>-4.8631971339140323</v>
      </c>
      <c r="CK63" s="454">
        <f>CI63</f>
        <v>1.2357580207013359</v>
      </c>
      <c r="CL63" s="23">
        <f>IF(ISERROR((CK63/CI63-1)*100),"NA",IF(((CK63/CI63-1)*100)&gt;100,"NM",IF(((CK63/CI63-1)*100)&lt;-50,"NM",(CK63/CI63-1)*100)))</f>
        <v>0</v>
      </c>
      <c r="CM63" s="454">
        <f>CK63</f>
        <v>1.2357580207013359</v>
      </c>
      <c r="CN63" s="23">
        <f>IF(ISERROR((CM63/CK63-1)*100),"NA",IF(((CM63/CK63-1)*100)&gt;100,"NM",IF(((CM63/CK63-1)*100)&lt;-50,"NM",(CM63/CK63-1)*100)))</f>
        <v>0</v>
      </c>
      <c r="CO63" s="454">
        <f>CM63</f>
        <v>1.2357580207013359</v>
      </c>
      <c r="CP63" s="23">
        <f>IF(ISERROR((CO63/CM63-1)*100),"NA",IF(((CO63/CM63-1)*100)&gt;100,"NM",IF(((CO63/CM63-1)*100)&lt;-50,"NM",(CO63/CM63-1)*100)))</f>
        <v>0</v>
      </c>
      <c r="CQ63" s="454">
        <f>CO63</f>
        <v>1.2357580207013359</v>
      </c>
      <c r="CR63" s="23">
        <f>IF(ISERROR((CQ63/CO63-1)*100),"NA",IF(((CQ63/CO63-1)*100)&gt;100,"NM",IF(((CQ63/CO63-1)*100)&lt;-50,"NM",(CQ63/CO63-1)*100)))</f>
        <v>0</v>
      </c>
      <c r="CS63" s="23">
        <f>IF(ISERROR(((CQ63/CG63)^0.2-1)*100),"NA",IF((((CQ63/CG63)^0.2-1)*100)&gt;100,"NM",IF((((CQ63/CG63)^0.2-1)*100)&lt;-50,"NM",((CQ63/CG63)^0.2-1)*100)))</f>
        <v>-0.99213157916638872</v>
      </c>
    </row>
    <row r="64" spans="1:97" ht="12.75" customHeight="1" x14ac:dyDescent="0.2">
      <c r="A64" s="34" t="s">
        <v>4</v>
      </c>
      <c r="B64" s="115">
        <f t="shared" ref="B64:N64" si="484">+B59/B$36*400</f>
        <v>0.96098409702292664</v>
      </c>
      <c r="C64" s="59"/>
      <c r="D64" s="115">
        <f t="shared" si="484"/>
        <v>0.95980653035469876</v>
      </c>
      <c r="E64" s="59"/>
      <c r="F64" s="115">
        <f t="shared" si="484"/>
        <v>1.0232444880798497</v>
      </c>
      <c r="G64" s="59"/>
      <c r="H64" s="115">
        <f t="shared" si="484"/>
        <v>1.0473250935274039</v>
      </c>
      <c r="I64" s="59"/>
      <c r="J64" s="115">
        <f t="shared" si="484"/>
        <v>0.95771994591556164</v>
      </c>
      <c r="K64" s="23">
        <f t="shared" si="466"/>
        <v>-0.33966754678638189</v>
      </c>
      <c r="L64" s="115">
        <f t="shared" si="484"/>
        <v>0.93281455171798677</v>
      </c>
      <c r="M64" s="23">
        <f t="shared" si="466"/>
        <v>-2.8122311927526678</v>
      </c>
      <c r="N64" s="115">
        <f t="shared" si="484"/>
        <v>0.93598770323464975</v>
      </c>
      <c r="O64" s="23">
        <f t="shared" si="466"/>
        <v>-8.5274619958070836</v>
      </c>
      <c r="P64" s="116">
        <f>+P59/P$36*400</f>
        <v>0.91928058547440117</v>
      </c>
      <c r="Q64" s="23">
        <f t="shared" si="466"/>
        <v>-12.225860799510425</v>
      </c>
      <c r="R64" s="116">
        <f>+R59/R$36*400</f>
        <v>0.85944717425570916</v>
      </c>
      <c r="S64" s="23">
        <f t="shared" si="466"/>
        <v>-10.26111778072092</v>
      </c>
      <c r="T64" s="116">
        <f>+T59/T$36*400</f>
        <v>0.84798442307592192</v>
      </c>
      <c r="U64" s="23">
        <f t="shared" si="466"/>
        <v>-9.093997138641452</v>
      </c>
      <c r="V64" s="116">
        <f>+V59/V$36*400</f>
        <v>0.84309409437981297</v>
      </c>
      <c r="W64" s="23">
        <f t="shared" si="466"/>
        <v>-9.9246612464895421</v>
      </c>
      <c r="X64" s="116">
        <f>+X59/X$36*400</f>
        <v>0.81690765442472213</v>
      </c>
      <c r="Y64" s="23">
        <f t="shared" si="466"/>
        <v>-11.136200705995414</v>
      </c>
      <c r="Z64" s="116">
        <f>+Z59/Z$36*400</f>
        <v>0.77184776880080241</v>
      </c>
      <c r="AA64" s="23">
        <f>IF(ISERROR((Z64/R64-1)*100),"NA",IF(((Z64/R64-1)*100)&gt;100,"NM",IF(((Z64/R64-1)*100)&lt;-50,"NM",(Z64/R64-1)*100)))</f>
        <v>-10.192529346642953</v>
      </c>
      <c r="AB64" s="116">
        <f>+AB59/AB$36*400</f>
        <v>0.74550031659570981</v>
      </c>
      <c r="AC64" s="23">
        <f>IF(ISERROR((AB64/T64-1)*100),"NA",IF(((AB64/T64-1)*100)&gt;100,"NM",IF(((AB64/T64-1)*100)&lt;-50,"NM",(AB64/T64-1)*100)))</f>
        <v>-12.085611915896777</v>
      </c>
      <c r="AD64" s="116">
        <f>+AD59/AD$36*400</f>
        <v>0.75045410896301179</v>
      </c>
      <c r="AE64" s="23">
        <f>IF(ISERROR((AD64/V64-1)*100),"NA",IF(((AD64/V64-1)*100)&gt;100,"NM",IF(((AD64/V64-1)*100)&lt;-50,"NM",(AD64/V64-1)*100)))</f>
        <v>-10.988095638950945</v>
      </c>
      <c r="AF64" s="116">
        <f>+AF59/AF$36*400</f>
        <v>0.75050288109921615</v>
      </c>
      <c r="AG64" s="23">
        <f>IF(ISERROR((AF64/X64-1)*100),"NA",IF(((AF64/X64-1)*100)&gt;100,"NM",IF(((AF64/X64-1)*100)&lt;-50,"NM",(AF64/X64-1)*100)))</f>
        <v>-8.1287980306989702</v>
      </c>
      <c r="AH64" s="116">
        <f>+AH59/AH$36*400</f>
        <v>0.72260786911688457</v>
      </c>
      <c r="AI64" s="23">
        <f>IF(ISERROR((AH64/Z64-1)*100),"NA",IF(((AH64/Z64-1)*100)&gt;100,"NM",IF(((AH64/Z64-1)*100)&lt;-50,"NM",(AH64/Z64-1)*100)))</f>
        <v>-6.3794833222645009</v>
      </c>
      <c r="AJ64" s="116">
        <f>+AJ59/AJ$36*400</f>
        <v>0.72873897822209344</v>
      </c>
      <c r="AK64" s="23">
        <f>IF(ISERROR((AJ64/AB64-1)*100),"NA",IF(((AJ64/AB64-1)*100)&gt;100,"NM",IF(((AJ64/AB64-1)*100)&lt;-50,"NM",(AJ64/AB64-1)*100)))</f>
        <v>-2.2483341724328421</v>
      </c>
      <c r="AL64" s="116">
        <f>+AL59/AL$36*400</f>
        <v>0.77466486347348962</v>
      </c>
      <c r="AM64" s="23">
        <f>IF(ISERROR((AL64/AD64-1)*100),"NA",IF(((AL64/AD64-1)*100)&gt;100,"NM",IF(((AL64/AD64-1)*100)&lt;-50,"NM",(AL64/AD64-1)*100)))</f>
        <v>3.2261472382278722</v>
      </c>
      <c r="AN64" s="445">
        <f t="shared" ref="AN64:AP64" si="485">+AN59/AN$36*400</f>
        <v>0.80183585932108969</v>
      </c>
      <c r="AO64" s="23">
        <f>IF(ISERROR((AN64/AF64-1)*100),"NA",IF(((AN64/AF64-1)*100)&gt;100,"NM",IF(((AN64/AF64-1)*100)&lt;-50,"NM",(AN64/AF64-1)*100)))</f>
        <v>6.8398109473862601</v>
      </c>
      <c r="AP64" s="445">
        <f t="shared" si="485"/>
        <v>0.78231845611262452</v>
      </c>
      <c r="AQ64" s="23">
        <f t="shared" si="468"/>
        <v>8.2632074113327292</v>
      </c>
      <c r="AR64" s="445">
        <f t="shared" ref="AR64:AT64" si="486">+AR59/AR$36*400</f>
        <v>0.7854353126543675</v>
      </c>
      <c r="AS64" s="23">
        <f t="shared" si="470"/>
        <v>7.7800606426454921</v>
      </c>
      <c r="AT64" s="445">
        <f t="shared" si="486"/>
        <v>0.78369090439192735</v>
      </c>
      <c r="AU64" s="23">
        <f t="shared" si="471"/>
        <v>1.1651542936859549</v>
      </c>
      <c r="AV64" s="445">
        <f t="shared" ref="AV64:AX64" si="487">+AV59/AV$36*400</f>
        <v>0.77949509599483768</v>
      </c>
      <c r="AW64" s="23">
        <f t="shared" si="473"/>
        <v>-2.7862015731209389</v>
      </c>
      <c r="AX64" s="445">
        <f t="shared" si="487"/>
        <v>0.74205903629964631</v>
      </c>
      <c r="AY64" s="23">
        <f t="shared" si="474"/>
        <v>-5.1461677144917566</v>
      </c>
      <c r="AZ64" s="445">
        <f t="shared" ref="AZ64" si="488">+AZ59/AZ$36*400</f>
        <v>0.72824506445726112</v>
      </c>
      <c r="BA64" s="23">
        <f t="shared" si="476"/>
        <v>-7.2813441509056664</v>
      </c>
      <c r="BB64" s="445">
        <f t="shared" ref="BB64:BD64" si="489">+BB59/BB$36*400</f>
        <v>0.71610332045245251</v>
      </c>
      <c r="BC64" s="23">
        <f t="shared" si="478"/>
        <v>-8.6242654547479596</v>
      </c>
      <c r="BD64" s="445">
        <f t="shared" si="489"/>
        <v>0.69214503371274216</v>
      </c>
      <c r="BE64" s="23">
        <f t="shared" si="479"/>
        <v>-11.205979708007552</v>
      </c>
      <c r="BF64" s="117">
        <f t="shared" ref="BF64:BJ64" si="490">BD64</f>
        <v>0.69214503371274216</v>
      </c>
      <c r="BG64" s="23">
        <f t="shared" si="480"/>
        <v>-6.7264193474154688</v>
      </c>
      <c r="BH64" s="117">
        <f t="shared" si="490"/>
        <v>0.69214503371274216</v>
      </c>
      <c r="BI64" s="23">
        <f t="shared" si="481"/>
        <v>-4.9571267292313532</v>
      </c>
      <c r="BJ64" s="117">
        <f t="shared" si="490"/>
        <v>0.69214503371274216</v>
      </c>
      <c r="BK64" s="23">
        <f t="shared" si="482"/>
        <v>-3.345646648387679</v>
      </c>
      <c r="BL64" s="117">
        <f t="shared" ref="BL64" si="491">BJ64</f>
        <v>0.69214503371274216</v>
      </c>
      <c r="BM64" s="23">
        <f t="shared" si="483"/>
        <v>0</v>
      </c>
      <c r="BN64" s="35"/>
      <c r="BO64" s="139"/>
      <c r="BP64" s="35"/>
      <c r="BQ64" s="113"/>
      <c r="BR64" s="113"/>
      <c r="BS64" s="113"/>
      <c r="BT64" s="35"/>
      <c r="BU64" s="116">
        <f>+BU59/BU$36*100</f>
        <v>0.99618307155378805</v>
      </c>
      <c r="BV64" s="23" t="str">
        <f>IF(ISERROR((BU64/BS64-1)*100),"NA",IF(((BU64/BS64-1)*100)&gt;100,"NM",IF(((BU64/BS64-1)*100)&lt;-50,"NM",(BU64/BS64-1)*100)))</f>
        <v>NA</v>
      </c>
      <c r="BW64" s="116">
        <f>+BW59/BW$36*100</f>
        <v>0.9416959353028298</v>
      </c>
      <c r="BX64" s="23">
        <f>IF(ISERROR((BW64/BU64-1)*100),"NA",IF(((BW64/BU64-1)*100)&gt;100,"NM",IF(((BW64/BU64-1)*100)&lt;-50,"NM",(BW64/BU64-1)*100)))</f>
        <v>-5.4695906612799998</v>
      </c>
      <c r="BY64" s="116">
        <f>+BY59/BY$36*100</f>
        <v>0.83900633444672856</v>
      </c>
      <c r="BZ64" s="23">
        <f>IF(ISERROR((BY64/BW64-1)*100),"NA",IF(((BY64/BW64-1)*100)&gt;100,"NM",IF(((BY64/BW64-1)*100)&lt;-50,"NM",(BY64/BW64-1)*100)))</f>
        <v>-10.904751417778858</v>
      </c>
      <c r="CA64" s="116">
        <f>+CA59/CA$36*100</f>
        <v>0.75485111883042744</v>
      </c>
      <c r="CB64" s="23">
        <f>IF(ISERROR((CA64/BY64-1)*100),"NA",IF(((CA64/BY64-1)*100)&gt;100,"NM",IF(((CA64/BY64-1)*100)&lt;-50,"NM",(CA64/BY64-1)*100)))</f>
        <v>-10.030343295536159</v>
      </c>
      <c r="CC64" s="116">
        <f>+CC59/CC$36*100</f>
        <v>0.76009070294784609</v>
      </c>
      <c r="CD64" s="23">
        <f>IF(ISERROR((CC64/CA64-1)*100),"NA",IF(((CC64/CA64-1)*100)&gt;100,"NM",IF(((CC64/CA64-1)*100)&lt;-50,"NM",(CC64/CA64-1)*100)))</f>
        <v>0.69412152763803636</v>
      </c>
      <c r="CE64" s="116">
        <f>+CE59/CE$36*100</f>
        <v>0.78031101336648656</v>
      </c>
      <c r="CF64" s="23">
        <f>IF(ISERROR((CE64/CC64-1)*100),"NA",IF(((CE64/CC64-1)*100)&gt;100,"NM",IF(((CE64/CC64-1)*100)&lt;-50,"NM",(CE64/CC64-1)*100)))</f>
        <v>2.6602496702328393</v>
      </c>
      <c r="CG64" s="116">
        <f>+CG59/CG$36*100</f>
        <v>0.72088160654055433</v>
      </c>
      <c r="CH64" s="23">
        <f>IF(ISERROR((CG64/CE64-1)*100),"NA",IF(((CG64/CE64-1)*100)&gt;100,"NM",IF(((CG64/CE64-1)*100)&lt;-50,"NM",(CG64/CE64-1)*100)))</f>
        <v>-7.6161179078501835</v>
      </c>
      <c r="CI64" s="116">
        <f>+CI59/CI$36*100</f>
        <v>0.68589128085848539</v>
      </c>
      <c r="CJ64" s="23">
        <f>IF(ISERROR((CI64/CG64-1)*100),"NA",IF(((CI64/CG64-1)*100)&gt;100,"NM",IF(((CI64/CG64-1)*100)&lt;-50,"NM",(CI64/CG64-1)*100)))</f>
        <v>-4.8538241737064673</v>
      </c>
      <c r="CK64" s="213">
        <f>CI64</f>
        <v>0.68589128085848539</v>
      </c>
      <c r="CL64" s="23">
        <f>IF(ISERROR((CK64/CI64-1)*100),"NA",IF(((CK64/CI64-1)*100)&gt;100,"NM",IF(((CK64/CI64-1)*100)&lt;-50,"NM",(CK64/CI64-1)*100)))</f>
        <v>0</v>
      </c>
      <c r="CM64" s="213">
        <f>CK64</f>
        <v>0.68589128085848539</v>
      </c>
      <c r="CN64" s="23">
        <f>IF(ISERROR((CM64/CK64-1)*100),"NA",IF(((CM64/CK64-1)*100)&gt;100,"NM",IF(((CM64/CK64-1)*100)&lt;-50,"NM",(CM64/CK64-1)*100)))</f>
        <v>0</v>
      </c>
      <c r="CO64" s="213">
        <f>CM64</f>
        <v>0.68589128085848539</v>
      </c>
      <c r="CP64" s="23">
        <f>IF(ISERROR((CO64/CM64-1)*100),"NA",IF(((CO64/CM64-1)*100)&gt;100,"NM",IF(((CO64/CM64-1)*100)&lt;-50,"NM",(CO64/CM64-1)*100)))</f>
        <v>0</v>
      </c>
      <c r="CQ64" s="213">
        <f>CO64</f>
        <v>0.68589128085848539</v>
      </c>
      <c r="CR64" s="23">
        <f>IF(ISERROR((CQ64/CO64-1)*100),"NA",IF(((CQ64/CO64-1)*100)&gt;100,"NM",IF(((CQ64/CO64-1)*100)&lt;-50,"NM",(CQ64/CO64-1)*100)))</f>
        <v>0</v>
      </c>
      <c r="CS64" s="23">
        <f>IF(ISERROR(((CQ64/CG64)^0.2-1)*100),"NA",IF((((CQ64/CG64)^0.2-1)*100)&gt;100,"NM",IF((((CQ64/CG64)^0.2-1)*100)&lt;-50,"NM",((CQ64/CG64)^0.2-1)*100)))</f>
        <v>-0.99018078785465535</v>
      </c>
    </row>
    <row r="65" spans="1:97" ht="12.75" customHeight="1" x14ac:dyDescent="0.2">
      <c r="A65" s="34" t="s">
        <v>173</v>
      </c>
      <c r="B65" s="115">
        <f t="shared" ref="B65:N65" si="492">+B63-B64</f>
        <v>0.82076567987313553</v>
      </c>
      <c r="C65" s="59"/>
      <c r="D65" s="115">
        <f t="shared" si="492"/>
        <v>1.0332123729067082</v>
      </c>
      <c r="E65" s="59"/>
      <c r="F65" s="115">
        <f t="shared" si="492"/>
        <v>0.87403212728643331</v>
      </c>
      <c r="G65" s="59"/>
      <c r="H65" s="115">
        <f t="shared" si="492"/>
        <v>0.53976724810266519</v>
      </c>
      <c r="I65" s="59"/>
      <c r="J65" s="115">
        <f t="shared" si="492"/>
        <v>0.89306169575984073</v>
      </c>
      <c r="K65" s="23">
        <f t="shared" si="466"/>
        <v>8.8083624424793108</v>
      </c>
      <c r="L65" s="115">
        <f t="shared" si="492"/>
        <v>0.68850597864899032</v>
      </c>
      <c r="M65" s="23">
        <f t="shared" si="466"/>
        <v>-33.362588689096398</v>
      </c>
      <c r="N65" s="115">
        <f t="shared" si="492"/>
        <v>0.81450943841901413</v>
      </c>
      <c r="O65" s="23">
        <f t="shared" si="466"/>
        <v>-6.8101259678195696</v>
      </c>
      <c r="P65" s="116">
        <f>+P63-P64</f>
        <v>0.75850752753603501</v>
      </c>
      <c r="Q65" s="23">
        <f t="shared" si="466"/>
        <v>40.524926290408203</v>
      </c>
      <c r="R65" s="116">
        <f>+R63-R64</f>
        <v>0.78807737389230381</v>
      </c>
      <c r="S65" s="23">
        <f t="shared" si="466"/>
        <v>-11.755550861266473</v>
      </c>
      <c r="T65" s="116">
        <f>+T63-T64</f>
        <v>0.74760905669021605</v>
      </c>
      <c r="U65" s="23">
        <f t="shared" si="466"/>
        <v>8.5842505183760132</v>
      </c>
      <c r="V65" s="116">
        <f>+V63-V64</f>
        <v>0.736640767764145</v>
      </c>
      <c r="W65" s="23">
        <f t="shared" si="466"/>
        <v>-9.5601925505018563</v>
      </c>
      <c r="X65" s="116">
        <f>+X63-X64</f>
        <v>0.70565261196497409</v>
      </c>
      <c r="Y65" s="23">
        <f t="shared" si="466"/>
        <v>-6.9682783165984974</v>
      </c>
      <c r="Z65" s="116">
        <f>+Z63-Z64</f>
        <v>0.67475287081656055</v>
      </c>
      <c r="AA65" s="23">
        <f>IF(ISERROR((Z65/R65-1)*100),"NA",IF(((Z65/R65-1)*100)&gt;100,"NM",IF(((Z65/R65-1)*100)&lt;-50,"NM",(Z65/R65-1)*100)))</f>
        <v>-14.379870153616391</v>
      </c>
      <c r="AB65" s="116">
        <f>+AB63-AB64</f>
        <v>0.64686947091529901</v>
      </c>
      <c r="AC65" s="23">
        <f>IF(ISERROR((AB65/T65-1)*100),"NA",IF(((AB65/T65-1)*100)&gt;100,"NM",IF(((AB65/T65-1)*100)&lt;-50,"NM",(AB65/T65-1)*100)))</f>
        <v>-13.474901738203549</v>
      </c>
      <c r="AD65" s="116">
        <f>+AD63-AD64</f>
        <v>0.6860342693184317</v>
      </c>
      <c r="AE65" s="23">
        <f>IF(ISERROR((AD65/V65-1)*100),"NA",IF(((AD65/V65-1)*100)&gt;100,"NM",IF(((AD65/V65-1)*100)&lt;-50,"NM",(AD65/V65-1)*100)))</f>
        <v>-6.8699019468219653</v>
      </c>
      <c r="AF65" s="116">
        <f>+AF63-AF64</f>
        <v>0.67872845156790318</v>
      </c>
      <c r="AG65" s="23">
        <f>IF(ISERROR((AF65/X65-1)*100),"NA",IF(((AF65/X65-1)*100)&gt;100,"NM",IF(((AF65/X65-1)*100)&lt;-50,"NM",(AF65/X65-1)*100)))</f>
        <v>-3.8154978725434496</v>
      </c>
      <c r="AH65" s="116">
        <f>+AH63-AH64</f>
        <v>0.65852007604124652</v>
      </c>
      <c r="AI65" s="23">
        <f>IF(ISERROR((AH65/Z65-1)*100),"NA",IF(((AH65/Z65-1)*100)&gt;100,"NM",IF(((AH65/Z65-1)*100)&lt;-50,"NM",(AH65/Z65-1)*100)))</f>
        <v>-2.4057392680181922</v>
      </c>
      <c r="AJ65" s="116">
        <f>+AJ63-AJ64</f>
        <v>0.60881990585643253</v>
      </c>
      <c r="AK65" s="23">
        <f>IF(ISERROR((AJ65/AB65-1)*100),"NA",IF(((AJ65/AB65-1)*100)&gt;100,"NM",IF(((AJ65/AB65-1)*100)&lt;-50,"NM",(AJ65/AB65-1)*100)))</f>
        <v>-5.8821086431900422</v>
      </c>
      <c r="AL65" s="116">
        <f>+AL63-AL64</f>
        <v>0.64137747252422983</v>
      </c>
      <c r="AM65" s="23">
        <f>IF(ISERROR((AL65/AD65-1)*100),"NA",IF(((AL65/AD65-1)*100)&gt;100,"NM",IF(((AL65/AD65-1)*100)&lt;-50,"NM",(AL65/AD65-1)*100)))</f>
        <v>-6.5094119625493274</v>
      </c>
      <c r="AN65" s="445">
        <f t="shared" ref="AN65:AP65" si="493">+AN63-AN64</f>
        <v>0.69142753651429745</v>
      </c>
      <c r="AO65" s="23">
        <f>IF(ISERROR((AN65/AF65-1)*100),"NA",IF(((AN65/AF65-1)*100)&gt;100,"NM",IF(((AN65/AF65-1)*100)&lt;-50,"NM",(AN65/AF65-1)*100)))</f>
        <v>1.8710111410621844</v>
      </c>
      <c r="AP65" s="445">
        <f t="shared" si="493"/>
        <v>0.63538736724126565</v>
      </c>
      <c r="AQ65" s="23">
        <f t="shared" si="468"/>
        <v>-3.5128327353427524</v>
      </c>
      <c r="AR65" s="445">
        <f t="shared" ref="AR65:AT65" si="494">+AR63-AR64</f>
        <v>0.67142050920454011</v>
      </c>
      <c r="AS65" s="23">
        <f t="shared" si="470"/>
        <v>10.282285901944466</v>
      </c>
      <c r="AT65" s="445">
        <f t="shared" si="494"/>
        <v>0.63186571829945559</v>
      </c>
      <c r="AU65" s="23">
        <f t="shared" si="471"/>
        <v>-1.4830196931207129</v>
      </c>
      <c r="AV65" s="445">
        <f t="shared" ref="AV65:AX65" si="495">+AV63-AV64</f>
        <v>0.64139034304174891</v>
      </c>
      <c r="AW65" s="23">
        <f t="shared" si="473"/>
        <v>-7.2367950117812274</v>
      </c>
      <c r="AX65" s="445">
        <f t="shared" si="495"/>
        <v>0.62101852363658938</v>
      </c>
      <c r="AY65" s="23">
        <f t="shared" si="474"/>
        <v>-2.2614304824886799</v>
      </c>
      <c r="AZ65" s="445">
        <f t="shared" ref="AZ65" si="496">+AZ63-AZ64</f>
        <v>0.56741907466502717</v>
      </c>
      <c r="BA65" s="23">
        <f t="shared" si="476"/>
        <v>-15.489761351306919</v>
      </c>
      <c r="BB65" s="445">
        <f t="shared" ref="BB65:BD65" si="497">+BB63-BB64</f>
        <v>0.55871797529806755</v>
      </c>
      <c r="BC65" s="23">
        <f t="shared" si="478"/>
        <v>-11.576469633176345</v>
      </c>
      <c r="BD65" s="445">
        <f t="shared" si="497"/>
        <v>0.56192791720068391</v>
      </c>
      <c r="BE65" s="23">
        <f t="shared" si="479"/>
        <v>-12.389089842578549</v>
      </c>
      <c r="BF65" s="115">
        <f t="shared" ref="BF65" si="498">+BF63-BF64</f>
        <v>0.56192791720068391</v>
      </c>
      <c r="BG65" s="23">
        <f t="shared" si="480"/>
        <v>-9.5151117377111234</v>
      </c>
      <c r="BH65" s="115">
        <f t="shared" ref="BH65" si="499">+BH63-BH64</f>
        <v>0.55992791720068391</v>
      </c>
      <c r="BI65" s="23">
        <f t="shared" si="481"/>
        <v>-1.3202160094398674</v>
      </c>
      <c r="BJ65" s="115">
        <f t="shared" ref="BJ65" si="500">+BJ63-BJ64</f>
        <v>0.5439279172006839</v>
      </c>
      <c r="BK65" s="23">
        <f t="shared" si="482"/>
        <v>-2.6471419841993415</v>
      </c>
      <c r="BL65" s="115">
        <f t="shared" ref="BL65" si="501">+BL63-BL64</f>
        <v>0.55392791720068391</v>
      </c>
      <c r="BM65" s="23">
        <f t="shared" si="483"/>
        <v>-1.4236701461377899</v>
      </c>
      <c r="BN65" s="35"/>
      <c r="BO65" s="139"/>
      <c r="BP65" s="35"/>
      <c r="BQ65" s="113"/>
      <c r="BR65" s="113"/>
      <c r="BS65" s="113"/>
      <c r="BT65" s="35"/>
      <c r="BU65" s="116">
        <f t="shared" ref="BU65:CA65" si="502">+BU63-BU64</f>
        <v>0.81773926308603939</v>
      </c>
      <c r="BV65" s="23" t="str">
        <f>IF(ISERROR((BU65/BS65-1)*100),"NA",IF(((BU65/BS65-1)*100)&gt;100,"NM",IF(((BU65/BS65-1)*100)&lt;-50,"NM",(BU65/BS65-1)*100)))</f>
        <v>NA</v>
      </c>
      <c r="BW65" s="116">
        <f t="shared" si="502"/>
        <v>0.7923567523611541</v>
      </c>
      <c r="BX65" s="23">
        <f>IF(ISERROR((BW65/BU65-1)*100),"NA",IF(((BW65/BU65-1)*100)&gt;100,"NM",IF(((BW65/BU65-1)*100)&lt;-50,"NM",(BW65/BU65-1)*100)))</f>
        <v>-3.1039858143896648</v>
      </c>
      <c r="BY65" s="116">
        <f t="shared" si="502"/>
        <v>0.74141180955067199</v>
      </c>
      <c r="BZ65" s="23">
        <f>IF(ISERROR((BY65/BW65-1)*100),"NA",IF(((BY65/BW65-1)*100)&gt;100,"NM",IF(((BY65/BW65-1)*100)&lt;-50,"NM",(BY65/BW65-1)*100)))</f>
        <v>-6.429546117789819</v>
      </c>
      <c r="CA65" s="116">
        <f t="shared" si="502"/>
        <v>0.67194032656244063</v>
      </c>
      <c r="CB65" s="23">
        <f>IF(ISERROR((CA65/BY65-1)*100),"NA",IF(((CA65/BY65-1)*100)&gt;100,"NM",IF(((CA65/BY65-1)*100)&lt;-50,"NM",(CA65/BY65-1)*100)))</f>
        <v>-9.3701613723059189</v>
      </c>
      <c r="CC65" s="116">
        <f t="shared" ref="CC65" si="503">+CC63-CC64</f>
        <v>0.65269841269841278</v>
      </c>
      <c r="CD65" s="23">
        <f>IF(ISERROR((CC65/CA65-1)*100),"NA",IF(((CC65/CA65-1)*100)&gt;100,"NM",IF(((CC65/CA65-1)*100)&lt;-50,"NM",(CC65/CA65-1)*100)))</f>
        <v>-2.8636343293260813</v>
      </c>
      <c r="CE65" s="116">
        <f t="shared" ref="CE65" si="504">+CE63-CE64</f>
        <v>0.64293837911488105</v>
      </c>
      <c r="CF65" s="23">
        <f>IF(ISERROR((CE65/CC65-1)*100),"NA",IF(((CE65/CC65-1)*100)&gt;100,"NM",IF(((CE65/CC65-1)*100)&lt;-50,"NM",(CE65/CC65-1)*100)))</f>
        <v>-1.4953358846364284</v>
      </c>
      <c r="CG65" s="116">
        <f t="shared" ref="CG65" si="505">+CG63-CG64</f>
        <v>0.57804581531193522</v>
      </c>
      <c r="CH65" s="23">
        <f>IF(ISERROR((CG65/CE65-1)*100),"NA",IF(((CG65/CE65-1)*100)&gt;100,"NM",IF(((CG65/CE65-1)*100)&lt;-50,"NM",(CG65/CE65-1)*100)))</f>
        <v>-10.093123370902513</v>
      </c>
      <c r="CI65" s="116">
        <f t="shared" ref="CI65" si="506">+CI63-CI64</f>
        <v>0.5498667398428505</v>
      </c>
      <c r="CJ65" s="23">
        <f>IF(ISERROR((CI65/CG65-1)*100),"NA",IF(((CI65/CG65-1)*100)&gt;100,"NM",IF(((CI65/CG65-1)*100)&lt;-50,"NM",(CI65/CG65-1)*100)))</f>
        <v>-4.8748861634571705</v>
      </c>
      <c r="CK65" s="214">
        <f>+CK63-CK64</f>
        <v>0.5498667398428505</v>
      </c>
      <c r="CL65" s="23">
        <f>IF(ISERROR((CK65/CI65-1)*100),"NA",IF(((CK65/CI65-1)*100)&gt;100,"NM",IF(((CK65/CI65-1)*100)&lt;-50,"NM",(CK65/CI65-1)*100)))</f>
        <v>0</v>
      </c>
      <c r="CM65" s="214">
        <f>+CM63-CM64</f>
        <v>0.5498667398428505</v>
      </c>
      <c r="CN65" s="23">
        <f>IF(ISERROR((CM65/CK65-1)*100),"NA",IF(((CM65/CK65-1)*100)&gt;100,"NM",IF(((CM65/CK65-1)*100)&lt;-50,"NM",(CM65/CK65-1)*100)))</f>
        <v>0</v>
      </c>
      <c r="CO65" s="214">
        <f>+CO63-CO64</f>
        <v>0.5498667398428505</v>
      </c>
      <c r="CP65" s="23">
        <f>IF(ISERROR((CO65/CM65-1)*100),"NA",IF(((CO65/CM65-1)*100)&gt;100,"NM",IF(((CO65/CM65-1)*100)&lt;-50,"NM",(CO65/CM65-1)*100)))</f>
        <v>0</v>
      </c>
      <c r="CQ65" s="214">
        <f>+CQ63-CQ64</f>
        <v>0.5498667398428505</v>
      </c>
      <c r="CR65" s="23">
        <f>IF(ISERROR((CQ65/CO65-1)*100),"NA",IF(((CQ65/CO65-1)*100)&gt;100,"NM",IF(((CQ65/CO65-1)*100)&lt;-50,"NM",(CQ65/CO65-1)*100)))</f>
        <v>0</v>
      </c>
      <c r="CS65" s="23">
        <f>IF(ISERROR(((CQ65/CG65)^0.2-1)*100),"NA",IF((((CQ65/CG65)^0.2-1)*100)&gt;100,"NM",IF((((CQ65/CG65)^0.2-1)*100)&lt;-50,"NM",((CQ65/CG65)^0.2-1)*100)))</f>
        <v>-0.99456462872341556</v>
      </c>
    </row>
    <row r="66" spans="1:97" ht="12.75" customHeight="1" x14ac:dyDescent="0.2">
      <c r="A66" s="13"/>
      <c r="B66" s="35"/>
      <c r="C66" s="60"/>
      <c r="D66" s="35"/>
      <c r="E66" s="60"/>
      <c r="F66" s="35"/>
      <c r="G66" s="60"/>
      <c r="H66" s="35"/>
      <c r="I66" s="60"/>
      <c r="J66" s="35"/>
      <c r="L66" s="35"/>
      <c r="N66" s="35"/>
      <c r="P66" s="37"/>
      <c r="R66" s="37"/>
      <c r="T66" s="37"/>
      <c r="V66" s="37"/>
      <c r="X66" s="37"/>
      <c r="Z66" s="37"/>
      <c r="AB66" s="37"/>
      <c r="AD66" s="37"/>
      <c r="AF66" s="37"/>
      <c r="AH66" s="37"/>
      <c r="AJ66" s="37"/>
      <c r="AL66" s="37"/>
      <c r="AN66" s="411"/>
      <c r="AP66" s="411"/>
      <c r="AR66" s="409"/>
      <c r="AT66" s="409"/>
      <c r="AV66" s="409"/>
      <c r="AX66" s="409"/>
      <c r="AZ66" s="409"/>
      <c r="BB66" s="409"/>
      <c r="BD66" s="409"/>
      <c r="BF66" s="35"/>
      <c r="BH66" s="35"/>
      <c r="BJ66" s="35"/>
      <c r="BL66" s="35"/>
      <c r="BN66" s="35"/>
      <c r="BO66" s="138"/>
      <c r="BP66" s="35"/>
      <c r="BQ66" s="35"/>
      <c r="BR66" s="35"/>
      <c r="BS66" s="35"/>
      <c r="BT66" s="35"/>
      <c r="BU66" s="37"/>
      <c r="BW66" s="37"/>
      <c r="BY66" s="37"/>
      <c r="CA66" s="37"/>
      <c r="CC66" s="37"/>
      <c r="CE66" s="37"/>
      <c r="CG66" s="37"/>
      <c r="CI66" s="37"/>
      <c r="CK66" s="212"/>
      <c r="CM66" s="212"/>
      <c r="CO66" s="212"/>
      <c r="CQ66" s="212"/>
    </row>
    <row r="67" spans="1:97" ht="12.75" customHeight="1" x14ac:dyDescent="0.2">
      <c r="A67" s="41" t="s">
        <v>111</v>
      </c>
      <c r="B67" s="35"/>
      <c r="C67" s="60"/>
      <c r="D67" s="35"/>
      <c r="E67" s="60"/>
      <c r="F67" s="35"/>
      <c r="G67" s="60"/>
      <c r="H67" s="35"/>
      <c r="I67" s="60"/>
      <c r="J67" s="35"/>
      <c r="L67" s="35"/>
      <c r="N67" s="35"/>
      <c r="P67" s="37"/>
      <c r="R67" s="37"/>
      <c r="T67" s="37"/>
      <c r="V67" s="37"/>
      <c r="X67" s="37"/>
      <c r="Z67" s="37"/>
      <c r="AB67" s="37"/>
      <c r="AD67" s="37"/>
      <c r="AF67" s="37"/>
      <c r="AH67" s="37"/>
      <c r="AJ67" s="37"/>
      <c r="AL67" s="37"/>
      <c r="AN67" s="411"/>
      <c r="AP67" s="411"/>
      <c r="AR67" s="409"/>
      <c r="AT67" s="409"/>
      <c r="AV67" s="409"/>
      <c r="AX67" s="409"/>
      <c r="AZ67" s="409"/>
      <c r="BB67" s="409"/>
      <c r="BD67" s="409"/>
      <c r="BF67" s="35"/>
      <c r="BH67" s="35"/>
      <c r="BJ67" s="35"/>
      <c r="BL67" s="35"/>
      <c r="BN67" s="35"/>
      <c r="BO67" s="138"/>
      <c r="BP67" s="35"/>
      <c r="BQ67" s="35"/>
      <c r="BR67" s="35"/>
      <c r="BS67" s="35"/>
      <c r="BT67" s="35"/>
      <c r="BU67" s="37"/>
      <c r="BW67" s="37"/>
      <c r="BY67" s="37"/>
      <c r="CA67" s="37"/>
      <c r="CC67" s="37"/>
      <c r="CE67" s="37"/>
      <c r="CG67" s="37"/>
      <c r="CI67" s="37"/>
      <c r="CK67" s="212"/>
      <c r="CM67" s="212"/>
      <c r="CO67" s="212"/>
      <c r="CQ67" s="212"/>
    </row>
    <row r="68" spans="1:97" ht="12.75" customHeight="1" x14ac:dyDescent="0.2">
      <c r="A68" s="34" t="s">
        <v>153</v>
      </c>
      <c r="B68" s="115">
        <f>B56/B36*400</f>
        <v>1.0060029404777955</v>
      </c>
      <c r="C68" s="59"/>
      <c r="D68" s="115">
        <f>D56/D36*400</f>
        <v>0.98810297431926808</v>
      </c>
      <c r="E68" s="59"/>
      <c r="F68" s="115">
        <f>F56/F36*400</f>
        <v>0.97335160493955108</v>
      </c>
      <c r="G68" s="59"/>
      <c r="H68" s="115">
        <f>H56/H36*400</f>
        <v>0.94709670548462532</v>
      </c>
      <c r="I68" s="59"/>
      <c r="J68" s="115">
        <f>J56/J36*400</f>
        <v>0.93236710572292369</v>
      </c>
      <c r="K68" s="23">
        <f t="shared" ref="K68:Y69" si="507">IF(ISERROR((J68/B68-1)*100),"NA",IF(((J68/B68-1)*100)&gt;100,"NM",IF(((J68/B68-1)*100)&lt;-50,"NM",(J68/B68-1)*100)))</f>
        <v>-7.3196440877100084</v>
      </c>
      <c r="L68" s="115">
        <f>L56/L36*400</f>
        <v>0.8974205244010276</v>
      </c>
      <c r="M68" s="23">
        <f t="shared" si="507"/>
        <v>-9.1774291015280234</v>
      </c>
      <c r="N68" s="115">
        <f>N56/N36*400</f>
        <v>0.91362825556513594</v>
      </c>
      <c r="O68" s="23">
        <f t="shared" si="507"/>
        <v>-6.1358453688607373</v>
      </c>
      <c r="P68" s="116">
        <f>P56/P36*400</f>
        <v>0.88829359944717423</v>
      </c>
      <c r="Q68" s="23">
        <f t="shared" si="507"/>
        <v>-6.208775270457922</v>
      </c>
      <c r="R68" s="116">
        <f>R56/R36*400</f>
        <v>0.85557772724805459</v>
      </c>
      <c r="S68" s="23">
        <f t="shared" si="507"/>
        <v>-8.2359596347330815</v>
      </c>
      <c r="T68" s="116">
        <f>T56/T36*400</f>
        <v>0.856314329000047</v>
      </c>
      <c r="U68" s="23">
        <f t="shared" si="507"/>
        <v>-4.5804830938557366</v>
      </c>
      <c r="V68" s="116">
        <f>V56/V36*400</f>
        <v>0.85203292333227365</v>
      </c>
      <c r="W68" s="23">
        <f t="shared" si="507"/>
        <v>-6.7418374878042471</v>
      </c>
      <c r="X68" s="116">
        <f>X56/X36*400</f>
        <v>0.83635783667292984</v>
      </c>
      <c r="Y68" s="23">
        <f t="shared" si="507"/>
        <v>-5.846688843257053</v>
      </c>
      <c r="Z68" s="116">
        <f>Z56/Z36*400</f>
        <v>0.79149342909333387</v>
      </c>
      <c r="AA68" s="23">
        <f>IF(ISERROR((Z68/R68-1)*100),"NA",IF(((Z68/R68-1)*100)&gt;100,"NM",IF(((Z68/R68-1)*100)&lt;-50,"NM",(Z68/R68-1)*100)))</f>
        <v>-7.4901784038776125</v>
      </c>
      <c r="AB68" s="116">
        <f>AB56/AB36*400</f>
        <v>0.78830238170230316</v>
      </c>
      <c r="AC68" s="23">
        <f>IF(ISERROR((AB68/T68-1)*100),"NA",IF(((AB68/T68-1)*100)&gt;100,"NM",IF(((AB68/T68-1)*100)&lt;-50,"NM",(AB68/T68-1)*100)))</f>
        <v>-7.9424044412714885</v>
      </c>
      <c r="AD68" s="116">
        <f>AD56/AD36*400</f>
        <v>0.78451517360267475</v>
      </c>
      <c r="AE68" s="23">
        <f>IF(ISERROR((AD68/V68-1)*100),"NA",IF(((AD68/V68-1)*100)&gt;100,"NM",IF(((AD68/V68-1)*100)&lt;-50,"NM",(AD68/V68-1)*100)))</f>
        <v>-7.9243122983486565</v>
      </c>
      <c r="AF68" s="116">
        <f>AF56/AF36*400</f>
        <v>0.79761635279156518</v>
      </c>
      <c r="AG68" s="23">
        <f>IF(ISERROR((AF68/X68-1)*100),"NA",IF(((AF68/X68-1)*100)&gt;100,"NM",IF(((AF68/X68-1)*100)&lt;-50,"NM",(AF68/X68-1)*100)))</f>
        <v>-4.6321660636887252</v>
      </c>
      <c r="AH68" s="116">
        <f>AH56/AH36*400</f>
        <v>0.74097010196439894</v>
      </c>
      <c r="AI68" s="23">
        <f>IF(ISERROR((AH68/Z68-1)*100),"NA",IF(((AH68/Z68-1)*100)&gt;100,"NM",IF(((AH68/Z68-1)*100)&lt;-50,"NM",(AH68/Z68-1)*100)))</f>
        <v>-6.3832907857251602</v>
      </c>
      <c r="AJ68" s="116">
        <f>AJ56/AJ36*400</f>
        <v>0.73654436163050918</v>
      </c>
      <c r="AK68" s="23">
        <f>IF(ISERROR((AJ68/AB68-1)*100),"NA",IF(((AJ68/AB68-1)*100)&gt;100,"NM",IF(((AJ68/AB68-1)*100)&lt;-50,"NM",(AJ68/AB68-1)*100)))</f>
        <v>-6.5657571603456084</v>
      </c>
      <c r="AL68" s="116">
        <f>AL56/AL36*400</f>
        <v>0.72708816534173737</v>
      </c>
      <c r="AM68" s="23">
        <f>IF(ISERROR((AL68/AD68-1)*100),"NA",IF(((AL68/AD68-1)*100)&gt;100,"NM",IF(((AL68/AD68-1)*100)&lt;-50,"NM",(AL68/AD68-1)*100)))</f>
        <v>-7.3200634217461147</v>
      </c>
      <c r="AN68" s="445">
        <f t="shared" ref="AN68:AP68" si="508">AN56/AN36*400</f>
        <v>0.73471053349503324</v>
      </c>
      <c r="AO68" s="23">
        <f>IF(ISERROR((AN68/AF68-1)*100),"NA",IF(((AN68/AF68-1)*100)&gt;100,"NM",IF(((AN68/AF68-1)*100)&lt;-50,"NM",(AN68/AF68-1)*100)))</f>
        <v>-7.886726378711872</v>
      </c>
      <c r="AP68" s="445">
        <f t="shared" si="508"/>
        <v>0.66477358501553752</v>
      </c>
      <c r="AQ68" s="23">
        <f t="shared" ref="AQ68:AQ69" si="509">IF(ISERROR((AP68/AH68-1)*100),"NA",IF(((AP68/AH68-1)*100)&gt;100,"NM",IF(((AP68/AH68-1)*100)&lt;-50,"NM",(AP68/AH68-1)*100)))</f>
        <v>-10.283345677086764</v>
      </c>
      <c r="AR68" s="445">
        <f t="shared" ref="AR68:AT68" si="510">AR56/AR36*400</f>
        <v>0.67177240674605176</v>
      </c>
      <c r="AS68" s="23">
        <f t="shared" ref="AS68:AS69" si="511">IF(ISERROR((AR68/AJ68-1)*100),"NA",IF(((AR68/AJ68-1)*100)&gt;100,"NM",IF(((AR68/AJ68-1)*100)&lt;-50,"NM",(AR68/AJ68-1)*100)))</f>
        <v>-8.7940330900191714</v>
      </c>
      <c r="AT68" s="445">
        <f t="shared" si="510"/>
        <v>0.67144262074153815</v>
      </c>
      <c r="AU68" s="23">
        <f t="shared" ref="AU68:AU69" si="512">IF(ISERROR((AT68/AL68-1)*100),"NA",IF(((AT68/AL68-1)*100)&gt;100,"NM",IF(((AT68/AL68-1)*100)&lt;-50,"NM",(AT68/AL68-1)*100)))</f>
        <v>-7.6532045565678164</v>
      </c>
      <c r="AV68" s="445">
        <f t="shared" ref="AV68:AX68" si="513">AV56/AV36*400</f>
        <v>0.65699352426481417</v>
      </c>
      <c r="AW68" s="23">
        <f t="shared" ref="AW68:AW69" si="514">IF(ISERROR((AV68/AN68-1)*100),"NA",IF(((AV68/AN68-1)*100)&gt;100,"NM",IF(((AV68/AN68-1)*100)&lt;-50,"NM",(AV68/AN68-1)*100)))</f>
        <v>-10.577908671122172</v>
      </c>
      <c r="AX68" s="445">
        <f t="shared" si="513"/>
        <v>0.65168212017789728</v>
      </c>
      <c r="AY68" s="23">
        <f t="shared" ref="AY68:AY69" si="515">IF(ISERROR((AX68/AP68-1)*100),"NA",IF(((AX68/AP68-1)*100)&gt;100,"NM",IF(((AX68/AP68-1)*100)&lt;-50,"NM",(AX68/AP68-1)*100)))</f>
        <v>-1.9693118277758104</v>
      </c>
      <c r="AZ68" s="445">
        <f t="shared" ref="AZ68" si="516">AZ56/AZ36*400</f>
        <v>0.65017419562607959</v>
      </c>
      <c r="BA68" s="23">
        <f t="shared" ref="BA68:BA69" si="517">IF(ISERROR((AZ68/AR68-1)*100),"NA",IF(((AZ68/AR68-1)*100)&gt;100,"NM",IF(((AZ68/AR68-1)*100)&lt;-50,"NM",(AZ68/AR68-1)*100)))</f>
        <v>-3.2151084062220003</v>
      </c>
      <c r="BB68" s="445">
        <f t="shared" ref="BB68:BD68" si="518">BB56/BB36*400</f>
        <v>0.64285860213060397</v>
      </c>
      <c r="BC68" s="23">
        <f t="shared" ref="BC68:BC69" si="519">IF(ISERROR((BB68/AT68-1)*100),"NA",IF(((BB68/AT68-1)*100)&gt;100,"NM",IF(((BB68/AT68-1)*100)&lt;-50,"NM",(BB68/AT68-1)*100)))</f>
        <v>-4.2571051833686262</v>
      </c>
      <c r="BD68" s="445">
        <f t="shared" si="518"/>
        <v>0.65049901897239926</v>
      </c>
      <c r="BE68" s="23">
        <f t="shared" ref="BE68:BE69" si="520">IF(ISERROR((BD68/AV68-1)*100),"NA",IF(((BD68/AV68-1)*100)&gt;100,"NM",IF(((BD68/AV68-1)*100)&lt;-50,"NM",(BD68/AV68-1)*100)))</f>
        <v>-0.98851892028651855</v>
      </c>
      <c r="BF68" s="117">
        <f>BD68</f>
        <v>0.65049901897239926</v>
      </c>
      <c r="BG68" s="23">
        <f t="shared" ref="BG68:BG69" si="521">IF(ISERROR((BF68/AX68-1)*100),"NA",IF(((BF68/AX68-1)*100)&gt;100,"NM",IF(((BF68/AX68-1)*100)&lt;-50,"NM",(BF68/AX68-1)*100)))</f>
        <v>-0.18154575196493994</v>
      </c>
      <c r="BH68" s="117">
        <f>BF68</f>
        <v>0.65049901897239926</v>
      </c>
      <c r="BI68" s="23">
        <f t="shared" ref="BI68:BI69" si="522">IF(ISERROR((BH68/AZ68-1)*100),"NA",IF(((BH68/AZ68-1)*100)&gt;100,"NM",IF(((BH68/AZ68-1)*100)&lt;-50,"NM",(BH68/AZ68-1)*100)))</f>
        <v>4.9959433718660406E-2</v>
      </c>
      <c r="BJ68" s="117">
        <f>BH68</f>
        <v>0.65049901897239926</v>
      </c>
      <c r="BK68" s="23">
        <f t="shared" ref="BK68:BK69" si="523">IF(ISERROR((BJ68/BB68-1)*100),"NA",IF(((BJ68/BB68-1)*100)&gt;100,"NM",IF(((BJ68/BB68-1)*100)&lt;-50,"NM",(BJ68/BB68-1)*100)))</f>
        <v>1.1885065886141799</v>
      </c>
      <c r="BL68" s="117">
        <f>BJ68</f>
        <v>0.65049901897239926</v>
      </c>
      <c r="BM68" s="23">
        <f t="shared" ref="BM68:BM69" si="524">IF(ISERROR((BL68/BD68-1)*100),"NA",IF(((BL68/BD68-1)*100)&gt;100,"NM",IF(((BL68/BD68-1)*100)&lt;-50,"NM",(BL68/BD68-1)*100)))</f>
        <v>0</v>
      </c>
      <c r="BN68" s="35"/>
      <c r="BO68" s="139"/>
      <c r="BP68" s="35"/>
      <c r="BQ68" s="116">
        <f>BQ56/BQ36*100</f>
        <v>1.1241080037056086</v>
      </c>
      <c r="BR68" s="35"/>
      <c r="BS68" s="116">
        <f>BS56/BS36*100</f>
        <v>1.041239034567458</v>
      </c>
      <c r="BT68" s="35"/>
      <c r="BU68" s="116">
        <f>BU56/BU36*100</f>
        <v>0.97755671712105519</v>
      </c>
      <c r="BV68" s="23">
        <f>IF(ISERROR((BU68/BS68-1)*100),"NA",IF(((BU68/BS68-1)*100)&gt;100,"NM",IF(((BU68/BS68-1)*100)&lt;-50,"NM",(BU68/BS68-1)*100)))</f>
        <v>-6.1160132623012124</v>
      </c>
      <c r="BW68" s="116">
        <f>BW56/BW36*100</f>
        <v>0.91297079648152668</v>
      </c>
      <c r="BX68" s="23">
        <f>IF(ISERROR((BW68/BU68-1)*100),"NA",IF(((BW68/BU68-1)*100)&gt;100,"NM",IF(((BW68/BU68-1)*100)&lt;-50,"NM",(BW68/BU68-1)*100)))</f>
        <v>-6.6068719603028958</v>
      </c>
      <c r="BY68" s="116">
        <f>BY56/BY36*100</f>
        <v>0.84748837168900382</v>
      </c>
      <c r="BZ68" s="23">
        <f>IF(ISERROR((BY68/BW68-1)*100),"NA",IF(((BY68/BW68-1)*100)&gt;100,"NM",IF(((BY68/BW68-1)*100)&lt;-50,"NM",(BY68/BW68-1)*100)))</f>
        <v>-7.1724555752367802</v>
      </c>
      <c r="CA68" s="116">
        <f>CA56/CA36*100</f>
        <v>0.79086287708824021</v>
      </c>
      <c r="CB68" s="23">
        <f>IF(ISERROR((CA68/BY68-1)*100),"NA",IF(((CA68/BY68-1)*100)&gt;100,"NM",IF(((CA68/BY68-1)*100)&lt;-50,"NM",(CA68/BY68-1)*100)))</f>
        <v>-6.681565965077696</v>
      </c>
      <c r="CC68" s="116">
        <f>CC56/CC36*100</f>
        <v>0.73823129251700681</v>
      </c>
      <c r="CD68" s="23">
        <f>IF(ISERROR((CC68/CA68-1)*100),"NA",IF(((CC68/CA68-1)*100)&gt;100,"NM",IF(((CC68/CA68-1)*100)&lt;-50,"NM",(CC68/CA68-1)*100)))</f>
        <v>-6.6549570217544929</v>
      </c>
      <c r="CE68" s="116">
        <f>CE56/CE36*100</f>
        <v>0.66412563179569295</v>
      </c>
      <c r="CF68" s="23">
        <f>IF(ISERROR((CE68/CC68-1)*100),"NA",IF(((CE68/CC68-1)*100)&gt;100,"NM",IF(((CE68/CC68-1)*100)&lt;-50,"NM",(CE68/CC68-1)*100)))</f>
        <v>-10.038271402536992</v>
      </c>
      <c r="CG68" s="116">
        <f>CG56/CG36*100</f>
        <v>0.65046525638793407</v>
      </c>
      <c r="CH68" s="23">
        <f>IF(ISERROR((CG68/CE68-1)*100),"NA",IF(((CG68/CE68-1)*100)&gt;100,"NM",IF(((CG68/CE68-1)*100)&lt;-50,"NM",(CG68/CE68-1)*100)))</f>
        <v>-2.0568962789198952</v>
      </c>
      <c r="CI68" s="116">
        <f>CI56/CI36*100</f>
        <v>0.64462155124750875</v>
      </c>
      <c r="CJ68" s="23">
        <f>IF(ISERROR((CI68/CG68-1)*100),"NA",IF(((CI68/CG68-1)*100)&gt;100,"NM",IF(((CI68/CG68-1)*100)&lt;-50,"NM",(CI68/CG68-1)*100)))</f>
        <v>-0.89838851238199791</v>
      </c>
      <c r="CK68" s="454">
        <f>CI68-0.01</f>
        <v>0.63462155124750874</v>
      </c>
      <c r="CL68" s="23">
        <f>IF(ISERROR((CK68/CI68-1)*100),"NA",IF(((CK68/CI68-1)*100)&gt;100,"NM",IF(((CK68/CI68-1)*100)&lt;-50,"NM",(CK68/CI68-1)*100)))</f>
        <v>-1.5512978088690121</v>
      </c>
      <c r="CM68" s="454">
        <f>CK68-0.01</f>
        <v>0.62462155124750873</v>
      </c>
      <c r="CN68" s="23">
        <f>IF(ISERROR((CM68/CK68-1)*100),"NA",IF(((CM68/CK68-1)*100)&gt;100,"NM",IF(((CM68/CK68-1)*100)&lt;-50,"NM",(CM68/CK68-1)*100)))</f>
        <v>-1.5757422640851892</v>
      </c>
      <c r="CO68" s="454">
        <f>CM68-0.01</f>
        <v>0.61462155124750872</v>
      </c>
      <c r="CP68" s="23">
        <f>IF(ISERROR((CO68/CM68-1)*100),"NA",IF(((CO68/CM68-1)*100)&gt;100,"NM",IF(((CO68/CM68-1)*100)&lt;-50,"NM",(CO68/CM68-1)*100)))</f>
        <v>-1.600969415805098</v>
      </c>
      <c r="CQ68" s="454">
        <f>CO68-0.01</f>
        <v>0.60462155124750872</v>
      </c>
      <c r="CR68" s="23">
        <f>IF(ISERROR((CQ68/CO68-1)*100),"NA",IF(((CQ68/CO68-1)*100)&gt;100,"NM",IF(((CQ68/CO68-1)*100)&lt;-50,"NM",(CQ68/CO68-1)*100)))</f>
        <v>-1.627017467855274</v>
      </c>
      <c r="CS68" s="23">
        <f>IF(ISERROR(((CQ68/CG68)^0.2-1)*100),"NA",IF((((CQ68/CG68)^0.2-1)*100)&gt;100,"NM",IF((((CQ68/CG68)^0.2-1)*100)&lt;-50,"NM",((CQ68/CG68)^0.2-1)*100)))</f>
        <v>-1.4510721546926675</v>
      </c>
    </row>
    <row r="69" spans="1:97" ht="12.75" customHeight="1" x14ac:dyDescent="0.2">
      <c r="A69" s="34" t="s">
        <v>241</v>
      </c>
      <c r="B69" s="115">
        <f>B57/B36*400</f>
        <v>1.1299652664085724E-2</v>
      </c>
      <c r="C69" s="59"/>
      <c r="D69" s="115">
        <f>D57/D36*400</f>
        <v>-1.005559487013828E-3</v>
      </c>
      <c r="E69" s="59"/>
      <c r="F69" s="115">
        <f>F57/F36*400</f>
        <v>-2.0723938999085562E-2</v>
      </c>
      <c r="G69" s="59"/>
      <c r="H69" s="115">
        <f>H57/H36*400</f>
        <v>-2.2858285771431435E-2</v>
      </c>
      <c r="I69" s="59"/>
      <c r="J69" s="115">
        <f>J57/J36*400</f>
        <v>-3.0627592179025574E-2</v>
      </c>
      <c r="K69" s="23" t="str">
        <f t="shared" si="507"/>
        <v>NM</v>
      </c>
      <c r="L69" s="115">
        <f>L57/L36*400</f>
        <v>-2.6462824162212389E-2</v>
      </c>
      <c r="M69" s="23" t="str">
        <f t="shared" si="507"/>
        <v>NM</v>
      </c>
      <c r="N69" s="115">
        <f>N57/N36*400</f>
        <v>-6.9815094721629774E-3</v>
      </c>
      <c r="O69" s="23" t="str">
        <f t="shared" si="507"/>
        <v>NM</v>
      </c>
      <c r="P69" s="115">
        <f>P57/P36*400</f>
        <v>-4.7154109171867187E-2</v>
      </c>
      <c r="Q69" s="23" t="str">
        <f t="shared" si="507"/>
        <v>NM</v>
      </c>
      <c r="R69" s="115">
        <f>R57/R36*400</f>
        <v>-2.5796313384363459E-2</v>
      </c>
      <c r="S69" s="23">
        <f t="shared" si="507"/>
        <v>-15.774269052631173</v>
      </c>
      <c r="T69" s="115">
        <f>T57/T36*400</f>
        <v>-1.2494858886187454E-2</v>
      </c>
      <c r="U69" s="23" t="str">
        <f t="shared" si="507"/>
        <v>NM</v>
      </c>
      <c r="V69" s="115">
        <f>V57/V36*400</f>
        <v>1.6252416277201213E-3</v>
      </c>
      <c r="W69" s="23" t="str">
        <f t="shared" si="507"/>
        <v>NM</v>
      </c>
      <c r="X69" s="116">
        <f>X57/X36*400</f>
        <v>-8.947083834175527E-3</v>
      </c>
      <c r="Y69" s="23" t="str">
        <f t="shared" si="507"/>
        <v>NM</v>
      </c>
      <c r="Z69" s="116">
        <f>Z57/Z36*400</f>
        <v>-1.208963710309627E-2</v>
      </c>
      <c r="AA69" s="23" t="str">
        <f>IF(ISERROR((Z69/R69-1)*100),"NA",IF(((Z69/R69-1)*100)&gt;100,"NM",IF(((Z69/R69-1)*100)&lt;-50,"NM",(Z69/R69-1)*100)))</f>
        <v>NM</v>
      </c>
      <c r="AB69" s="116">
        <f>AB57/AB36*400</f>
        <v>-1.8609593524605835E-2</v>
      </c>
      <c r="AC69" s="23">
        <f>IF(ISERROR((AB69/T69-1)*100),"NA",IF(((AB69/T69-1)*100)&gt;100,"NM",IF(((AB69/T69-1)*100)&lt;-50,"NM",(AB69/T69-1)*100)))</f>
        <v>48.93800477553183</v>
      </c>
      <c r="AD69" s="116">
        <f>AD57/AD36*400</f>
        <v>-1.2958013721610959E-2</v>
      </c>
      <c r="AE69" s="23" t="str">
        <f>IF(ISERROR((AD69/V69-1)*100),"NA",IF(((AD69/V69-1)*100)&gt;100,"NM",IF(((AD69/V69-1)*100)&lt;-50,"NM",(AD69/V69-1)*100)))</f>
        <v>NM</v>
      </c>
      <c r="AF69" s="116">
        <f>AF57/AF36*400</f>
        <v>-1.6931403889437931E-2</v>
      </c>
      <c r="AG69" s="23">
        <f>IF(ISERROR((AF69/X69-1)*100),"NA",IF(((AF69/X69-1)*100)&gt;100,"NM",IF(((AF69/X69-1)*100)&lt;-50,"NM",(AF69/X69-1)*100)))</f>
        <v>89.239356680266965</v>
      </c>
      <c r="AH69" s="116">
        <f>AH57/AH36*400</f>
        <v>-2.6643239817961864E-2</v>
      </c>
      <c r="AI69" s="23" t="str">
        <f>IF(ISERROR((AH69/Z69-1)*100),"NA",IF(((AH69/Z69-1)*100)&gt;100,"NM",IF(((AH69/Z69-1)*100)&lt;-50,"NM",(AH69/Z69-1)*100)))</f>
        <v>NM</v>
      </c>
      <c r="AJ69" s="116">
        <f>AJ57/AJ36*400</f>
        <v>-8.1601735633437915E-3</v>
      </c>
      <c r="AK69" s="23" t="str">
        <f>IF(ISERROR((AJ69/AB69-1)*100),"NA",IF(((AJ69/AB69-1)*100)&gt;100,"NM",IF(((AJ69/AB69-1)*100)&lt;-50,"NM",(AJ69/AB69-1)*100)))</f>
        <v>NM</v>
      </c>
      <c r="AL69" s="116">
        <f>AL57/AL36*400</f>
        <v>-7.2636180353819919E-3</v>
      </c>
      <c r="AM69" s="23">
        <f>IF(ISERROR((AL69/AD69-1)*100),"NA",IF(((AL69/AD69-1)*100)&gt;100,"NM",IF(((AL69/AD69-1)*100)&lt;-50,"NM",(AL69/AD69-1)*100)))</f>
        <v>-43.944973423913247</v>
      </c>
      <c r="AN69" s="445">
        <f t="shared" ref="AN69:AP69" si="525">AN57/AN36*400</f>
        <v>-2.7510379436908382E-2</v>
      </c>
      <c r="AO69" s="23">
        <f>IF(ISERROR((AN69/AF69-1)*100),"NA",IF(((AN69/AF69-1)*100)&gt;100,"NM",IF(((AN69/AF69-1)*100)&lt;-50,"NM",(AN69/AF69-1)*100)))</f>
        <v>62.481384394059482</v>
      </c>
      <c r="AP69" s="445">
        <f t="shared" si="525"/>
        <v>-1.4334740377693533E-2</v>
      </c>
      <c r="AQ69" s="23">
        <f t="shared" si="509"/>
        <v>-46.197457682944417</v>
      </c>
      <c r="AR69" s="445">
        <f t="shared" ref="AR69:AT69" si="526">AR57/AR36*400</f>
        <v>-1.6187286909543415E-2</v>
      </c>
      <c r="AS69" s="23">
        <f t="shared" si="511"/>
        <v>98.369394767019585</v>
      </c>
      <c r="AT69" s="445">
        <f t="shared" si="526"/>
        <v>-3.0706217411960585E-3</v>
      </c>
      <c r="AU69" s="23" t="str">
        <f t="shared" si="512"/>
        <v>NM</v>
      </c>
      <c r="AV69" s="445">
        <f t="shared" ref="AV69:AX69" si="527">AV57/AV36*400</f>
        <v>-1.4275250906208695E-2</v>
      </c>
      <c r="AW69" s="23">
        <f t="shared" si="514"/>
        <v>-48.109581916355616</v>
      </c>
      <c r="AX69" s="445">
        <f t="shared" si="527"/>
        <v>-8.392142211305265E-3</v>
      </c>
      <c r="AY69" s="23">
        <f t="shared" si="515"/>
        <v>-41.455917650490683</v>
      </c>
      <c r="AZ69" s="445">
        <f t="shared" ref="AZ69" si="528">AZ57/AZ36*400</f>
        <v>-1.1554488587014864E-2</v>
      </c>
      <c r="BA69" s="23">
        <f t="shared" si="517"/>
        <v>-28.619980287105605</v>
      </c>
      <c r="BB69" s="445">
        <f t="shared" ref="BB69:BD69" si="529">BB57/BB36*400</f>
        <v>-2.4213130023751566E-2</v>
      </c>
      <c r="BC69" s="23" t="str">
        <f t="shared" si="519"/>
        <v>NM</v>
      </c>
      <c r="BD69" s="445">
        <f t="shared" si="529"/>
        <v>-2.6395361455146947E-2</v>
      </c>
      <c r="BE69" s="23">
        <f t="shared" si="520"/>
        <v>84.902959874890087</v>
      </c>
      <c r="BF69" s="117">
        <f t="shared" ref="BF69:BJ69" si="530">BD69</f>
        <v>-2.6395361455146947E-2</v>
      </c>
      <c r="BG69" s="23" t="str">
        <f t="shared" si="521"/>
        <v>NM</v>
      </c>
      <c r="BH69" s="117">
        <f t="shared" si="530"/>
        <v>-2.6395361455146947E-2</v>
      </c>
      <c r="BI69" s="23" t="str">
        <f t="shared" si="522"/>
        <v>NM</v>
      </c>
      <c r="BJ69" s="117">
        <f t="shared" si="530"/>
        <v>-2.6395361455146947E-2</v>
      </c>
      <c r="BK69" s="23">
        <f t="shared" si="523"/>
        <v>9.0125953532432579</v>
      </c>
      <c r="BL69" s="117">
        <f t="shared" ref="BL69" si="531">BJ69</f>
        <v>-2.6395361455146947E-2</v>
      </c>
      <c r="BM69" s="23">
        <f t="shared" si="524"/>
        <v>0</v>
      </c>
      <c r="BN69" s="35"/>
      <c r="BO69" s="139"/>
      <c r="BP69" s="35"/>
      <c r="BQ69" s="115">
        <f>BQ57/BQ36*100</f>
        <v>7.2350592095225957E-3</v>
      </c>
      <c r="BR69" s="35"/>
      <c r="BS69" s="115">
        <f>BS57/BS36*100</f>
        <v>6.8764960676757231E-4</v>
      </c>
      <c r="BT69" s="35"/>
      <c r="BU69" s="115">
        <f>BU57/BU36*100</f>
        <v>-8.204313032999927E-3</v>
      </c>
      <c r="BV69" s="23" t="str">
        <f>IF(ISERROR((BU69/BS69-1)*100),"NA",IF(((BU69/BS69-1)*100)&gt;100,"NM",IF(((BU69/BS69-1)*100)&lt;-50,"NM",(BU69/BS69-1)*100)))</f>
        <v>NM</v>
      </c>
      <c r="BW69" s="115">
        <f>BW57/BW36*100</f>
        <v>-2.8126134533538651E-2</v>
      </c>
      <c r="BX69" s="23" t="str">
        <f>IF(ISERROR((BW69/BU69-1)*100),"NA",IF(((BW69/BU69-1)*100)&gt;100,"NM",IF(((BW69/BU69-1)*100)&lt;-50,"NM",(BW69/BU69-1)*100)))</f>
        <v>NM</v>
      </c>
      <c r="BY69" s="115">
        <f>BY57/BY36*100</f>
        <v>-1.1139060956722706E-2</v>
      </c>
      <c r="BZ69" s="23" t="str">
        <f>IF(ISERROR((BY69/BW69-1)*100),"NA",IF(((BY69/BW69-1)*100)&gt;100,"NM",IF(((BY69/BW69-1)*100)&lt;-50,"NM",(BY69/BW69-1)*100)))</f>
        <v>NM</v>
      </c>
      <c r="CA69" s="115">
        <f>CA57/CA36*100</f>
        <v>-1.5167743142179446E-2</v>
      </c>
      <c r="CB69" s="23">
        <f>IF(ISERROR((CA69/BY69-1)*100),"NA",IF(((CA69/BY69-1)*100)&gt;100,"NM",IF(((CA69/BY69-1)*100)&lt;-50,"NM",(CA69/BY69-1)*100)))</f>
        <v>36.167161676454683</v>
      </c>
      <c r="CC69" s="115">
        <f>CC57/CC36*100</f>
        <v>-1.7414965986394561E-2</v>
      </c>
      <c r="CD69" s="23">
        <f>IF(ISERROR((CC69/CA69-1)*100),"NA",IF(((CC69/CA69-1)*100)&gt;100,"NM",IF(((CC69/CA69-1)*100)&lt;-50,"NM",(CC69/CA69-1)*100)))</f>
        <v>14.81580234547808</v>
      </c>
      <c r="CE69" s="115">
        <f>CE57/CE36*100</f>
        <v>-1.188553199167496E-2</v>
      </c>
      <c r="CF69" s="23">
        <f>IF(ISERROR((CE69/CC69-1)*100),"NA",IF(((CE69/CC69-1)*100)&gt;100,"NM",IF(((CE69/CC69-1)*100)&lt;-50,"NM",(CE69/CC69-1)*100)))</f>
        <v>-31.751046766553948</v>
      </c>
      <c r="CG69" s="115">
        <f>CG57/CG36*100</f>
        <v>-1.795077635181673E-2</v>
      </c>
      <c r="CH69" s="23">
        <f>IF(ISERROR((CG69/CE69-1)*100),"NA",IF(((CG69/CE69-1)*100)&gt;100,"NM",IF(((CG69/CE69-1)*100)&lt;-50,"NM",(CG69/CE69-1)*100)))</f>
        <v>51.030482812128874</v>
      </c>
      <c r="CI69" s="115">
        <f>CI57/CI36*100</f>
        <v>-2.6156870880196477E-2</v>
      </c>
      <c r="CJ69" s="23">
        <f>IF(ISERROR((CI69/CG69-1)*100),"NA",IF(((CI69/CG69-1)*100)&gt;100,"NM",IF(((CI69/CG69-1)*100)&lt;-50,"NM",(CI69/CG69-1)*100)))</f>
        <v>45.714426872402299</v>
      </c>
      <c r="CK69" s="213">
        <f>CI69</f>
        <v>-2.6156870880196477E-2</v>
      </c>
      <c r="CL69" s="23">
        <f>IF(ISERROR((CK69/CI69-1)*100),"NA",IF(((CK69/CI69-1)*100)&gt;100,"NM",IF(((CK69/CI69-1)*100)&lt;-50,"NM",(CK69/CI69-1)*100)))</f>
        <v>0</v>
      </c>
      <c r="CM69" s="213">
        <f>CK69</f>
        <v>-2.6156870880196477E-2</v>
      </c>
      <c r="CN69" s="23">
        <f>IF(ISERROR((CM69/CK69-1)*100),"NA",IF(((CM69/CK69-1)*100)&gt;100,"NM",IF(((CM69/CK69-1)*100)&lt;-50,"NM",(CM69/CK69-1)*100)))</f>
        <v>0</v>
      </c>
      <c r="CO69" s="213">
        <f>CM69</f>
        <v>-2.6156870880196477E-2</v>
      </c>
      <c r="CP69" s="23">
        <f>IF(ISERROR((CO69/CM69-1)*100),"NA",IF(((CO69/CM69-1)*100)&gt;100,"NM",IF(((CO69/CM69-1)*100)&lt;-50,"NM",(CO69/CM69-1)*100)))</f>
        <v>0</v>
      </c>
      <c r="CQ69" s="213">
        <f>CO69</f>
        <v>-2.6156870880196477E-2</v>
      </c>
      <c r="CR69" s="23">
        <f>IF(ISERROR((CQ69/CO69-1)*100),"NA",IF(((CQ69/CO69-1)*100)&gt;100,"NM",IF(((CQ69/CO69-1)*100)&lt;-50,"NM",(CQ69/CO69-1)*100)))</f>
        <v>0</v>
      </c>
      <c r="CS69" s="23">
        <f>IF(ISERROR(((CQ69/CG69)^0.2-1)*100),"NA",IF((((CQ69/CG69)^0.2-1)*100)&gt;100,"NM",IF((((CQ69/CG69)^0.2-1)*100)&lt;-50,"NM",((CQ69/CG69)^0.2-1)*100)))</f>
        <v>7.8202936975398929</v>
      </c>
    </row>
    <row r="70" spans="1:97" ht="12.75" customHeight="1" x14ac:dyDescent="0.2">
      <c r="B70" s="35"/>
      <c r="C70" s="60"/>
      <c r="D70" s="35"/>
      <c r="E70" s="60"/>
      <c r="F70" s="35"/>
      <c r="G70" s="60"/>
      <c r="H70" s="35"/>
      <c r="I70" s="60"/>
      <c r="J70" s="35"/>
      <c r="L70" s="35"/>
      <c r="N70" s="35"/>
      <c r="P70" s="37"/>
      <c r="R70" s="37"/>
      <c r="T70" s="37"/>
      <c r="V70" s="37"/>
      <c r="X70" s="37"/>
      <c r="Z70" s="37"/>
      <c r="AB70" s="37"/>
      <c r="AD70" s="37"/>
      <c r="AF70" s="37"/>
      <c r="AH70" s="37"/>
      <c r="AJ70" s="37"/>
      <c r="AL70" s="37"/>
      <c r="AN70" s="411"/>
      <c r="AP70" s="411"/>
      <c r="AR70" s="409"/>
      <c r="AT70" s="409"/>
      <c r="AV70" s="409"/>
      <c r="AX70" s="409"/>
      <c r="AZ70" s="409"/>
      <c r="BB70" s="409"/>
      <c r="BD70" s="409"/>
      <c r="BF70" s="35"/>
      <c r="BH70" s="35"/>
      <c r="BJ70" s="35"/>
      <c r="BL70" s="35"/>
      <c r="BN70" s="35"/>
      <c r="BO70" s="138"/>
      <c r="BP70" s="35"/>
      <c r="BQ70" s="35"/>
      <c r="BR70" s="35"/>
      <c r="BS70" s="35"/>
      <c r="BT70" s="35"/>
      <c r="BU70" s="35"/>
      <c r="BW70" s="35"/>
      <c r="BY70" s="37"/>
      <c r="CA70" s="37"/>
      <c r="CC70" s="37"/>
      <c r="CE70" s="37"/>
      <c r="CG70" s="37"/>
      <c r="CI70" s="37"/>
      <c r="CK70" s="212"/>
      <c r="CM70" s="212"/>
      <c r="CO70" s="212"/>
      <c r="CQ70" s="212"/>
    </row>
    <row r="71" spans="1:97" ht="12.75" customHeight="1" x14ac:dyDescent="0.2">
      <c r="A71" s="3" t="s">
        <v>124</v>
      </c>
      <c r="B71" s="35"/>
      <c r="C71" s="60"/>
      <c r="D71" s="35"/>
      <c r="E71" s="60"/>
      <c r="F71" s="35"/>
      <c r="G71" s="60"/>
      <c r="H71" s="35"/>
      <c r="I71" s="60"/>
      <c r="J71" s="35"/>
      <c r="L71" s="35"/>
      <c r="N71" s="35"/>
      <c r="P71" s="37"/>
      <c r="R71" s="37"/>
      <c r="T71" s="37"/>
      <c r="V71" s="37"/>
      <c r="X71" s="37"/>
      <c r="Z71" s="37"/>
      <c r="AB71" s="37"/>
      <c r="AD71" s="37"/>
      <c r="AF71" s="37"/>
      <c r="AH71" s="37"/>
      <c r="AJ71" s="37"/>
      <c r="AL71" s="37"/>
      <c r="AN71" s="411"/>
      <c r="AP71" s="411"/>
      <c r="AR71" s="409"/>
      <c r="AT71" s="409"/>
      <c r="AV71" s="409"/>
      <c r="AX71" s="409"/>
      <c r="AZ71" s="409"/>
      <c r="BB71" s="409"/>
      <c r="BD71" s="409"/>
      <c r="BF71" s="35"/>
      <c r="BH71" s="35"/>
      <c r="BJ71" s="35"/>
      <c r="BL71" s="35"/>
      <c r="BN71" s="35"/>
      <c r="BO71" s="138"/>
      <c r="BP71" s="35"/>
      <c r="BQ71" s="35"/>
      <c r="BR71" s="35"/>
      <c r="BS71" s="35"/>
      <c r="BT71" s="35"/>
      <c r="BU71" s="35"/>
      <c r="BW71" s="35"/>
      <c r="BY71" s="37"/>
      <c r="CA71" s="37"/>
      <c r="CC71" s="37"/>
      <c r="CE71" s="37"/>
      <c r="CG71" s="37"/>
      <c r="CI71" s="37"/>
      <c r="CK71" s="212"/>
      <c r="CM71" s="212"/>
      <c r="CO71" s="212"/>
      <c r="CQ71" s="212"/>
    </row>
    <row r="72" spans="1:97" ht="12.75" customHeight="1" x14ac:dyDescent="0.2">
      <c r="A72" s="31" t="s">
        <v>102</v>
      </c>
      <c r="B72" s="56">
        <f>B59</f>
        <v>187.1</v>
      </c>
      <c r="C72" s="59"/>
      <c r="D72" s="56">
        <f>D59</f>
        <v>190.9</v>
      </c>
      <c r="E72" s="59"/>
      <c r="F72" s="56">
        <f>F59</f>
        <v>197.5</v>
      </c>
      <c r="G72" s="59"/>
      <c r="H72" s="56">
        <f>H59</f>
        <v>201.6</v>
      </c>
      <c r="I72" s="59"/>
      <c r="J72" s="56">
        <f>J59</f>
        <v>197</v>
      </c>
      <c r="K72" s="23">
        <f>IF(ISERROR((J72/B72-1)*100),"NA",IF(((J72/B72-1)*100)&gt;100,"NM",IF(((J72/B72-1)*100)&lt;-50,"NM",(J72/B72-1)*100)))</f>
        <v>5.2912880812399754</v>
      </c>
      <c r="L72" s="56">
        <f>L59</f>
        <v>197.4</v>
      </c>
      <c r="M72" s="23">
        <f>IF(ISERROR((L72/D72-1)*100),"NA",IF(((L72/D72-1)*100)&gt;100,"NM",IF(((L72/D72-1)*100)&lt;-50,"NM",(L72/D72-1)*100)))</f>
        <v>3.4049240440021</v>
      </c>
      <c r="N72" s="56">
        <f>N59</f>
        <v>201.1</v>
      </c>
      <c r="O72" s="23">
        <f>IF(ISERROR((N72/F72-1)*100),"NA",IF(((N72/F72-1)*100)&gt;100,"NM",IF(((N72/F72-1)*100)&lt;-50,"NM",(N72/F72-1)*100)))</f>
        <v>1.8227848101265876</v>
      </c>
      <c r="P72" s="56">
        <f>P59</f>
        <v>204.7</v>
      </c>
      <c r="Q72" s="23">
        <f>IF(ISERROR((P72/H72-1)*100),"NA",IF(((P72/H72-1)*100)&gt;100,"NM",IF(((P72/H72-1)*100)&lt;-50,"NM",(P72/H72-1)*100)))</f>
        <v>1.5376984126984183</v>
      </c>
      <c r="R72" s="56">
        <f>R59</f>
        <v>199.9</v>
      </c>
      <c r="S72" s="23">
        <f>IF(ISERROR((R72/J72-1)*100),"NA",IF(((R72/J72-1)*100)&gt;100,"NM",IF(((R72/J72-1)*100)&lt;-50,"NM",(R72/J72-1)*100)))</f>
        <v>1.4720812182741128</v>
      </c>
      <c r="T72" s="56">
        <f>T59</f>
        <v>203.6</v>
      </c>
      <c r="U72" s="23">
        <f>IF(ISERROR((T72/L72-1)*100),"NA",IF(((T72/L72-1)*100)&gt;100,"NM",IF(((T72/L72-1)*100)&lt;-50,"NM",(T72/L72-1)*100)))</f>
        <v>3.1408308004052587</v>
      </c>
      <c r="V72" s="56">
        <f>V59</f>
        <v>207.5</v>
      </c>
      <c r="W72" s="23">
        <f>IF(ISERROR((V72/N72-1)*100),"NA",IF(((V72/N72-1)*100)&gt;100,"NM",IF(((V72/N72-1)*100)&lt;-50,"NM",(V72/N72-1)*100)))</f>
        <v>3.1824962705121917</v>
      </c>
      <c r="X72" s="56">
        <f>X59</f>
        <v>210</v>
      </c>
      <c r="Y72" s="23">
        <f>IF(ISERROR((X72/P72-1)*100),"NA",IF(((X72/P72-1)*100)&gt;100,"NM",IF(((X72/P72-1)*100)&lt;-50,"NM",(X72/P72-1)*100)))</f>
        <v>2.5891548607718695</v>
      </c>
      <c r="Z72" s="56">
        <f>Z59</f>
        <v>204.3</v>
      </c>
      <c r="AA72" s="23">
        <f>IF(ISERROR((Z72/R72-1)*100),"NA",IF(((Z72/R72-1)*100)&gt;100,"NM",IF(((Z72/R72-1)*100)&lt;-50,"NM",(Z72/R72-1)*100)))</f>
        <v>2.2011005502751368</v>
      </c>
      <c r="AB72" s="56">
        <f>AB59</f>
        <v>200.3</v>
      </c>
      <c r="AC72" s="23">
        <f>IF(ISERROR((AB72/T72-1)*100),"NA",IF(((AB72/T72-1)*100)&gt;100,"NM",IF(((AB72/T72-1)*100)&lt;-50,"NM",(AB72/T72-1)*100)))</f>
        <v>-1.6208251473477375</v>
      </c>
      <c r="AD72" s="56">
        <f>AD59</f>
        <v>202.7</v>
      </c>
      <c r="AE72" s="23">
        <f>IF(ISERROR((AD72/V72-1)*100),"NA",IF(((AD72/V72-1)*100)&gt;100,"NM",IF(((AD72/V72-1)*100)&lt;-50,"NM",(AD72/V72-1)*100)))</f>
        <v>-2.3132530120481998</v>
      </c>
      <c r="AF72" s="56">
        <f>AF59</f>
        <v>203.9</v>
      </c>
      <c r="AG72" s="23">
        <f>IF(ISERROR((AF72/X72-1)*100),"NA",IF(((AF72/X72-1)*100)&gt;100,"NM",IF(((AF72/X72-1)*100)&lt;-50,"NM",(AF72/X72-1)*100)))</f>
        <v>-2.9047619047618989</v>
      </c>
      <c r="AH72" s="56">
        <f>AH59</f>
        <v>200.7</v>
      </c>
      <c r="AI72" s="23">
        <f>IF(ISERROR((AH72/Z72-1)*100),"NA",IF(((AH72/Z72-1)*100)&gt;100,"NM",IF(((AH72/Z72-1)*100)&lt;-50,"NM",(AH72/Z72-1)*100)))</f>
        <v>-1.7621145374449476</v>
      </c>
      <c r="AJ72" s="56">
        <f>AJ59</f>
        <v>205.4</v>
      </c>
      <c r="AK72" s="23">
        <f>IF(ISERROR((AJ72/AB72-1)*100),"NA",IF(((AJ72/AB72-1)*100)&gt;100,"NM",IF(((AJ72/AB72-1)*100)&lt;-50,"NM",(AJ72/AB72-1)*100)))</f>
        <v>2.546180728906644</v>
      </c>
      <c r="AL72" s="56">
        <f>AL59</f>
        <v>213.3</v>
      </c>
      <c r="AM72" s="23">
        <f>IF(ISERROR((AL72/AD72-1)*100),"NA",IF(((AL72/AD72-1)*100)&gt;100,"NM",IF(((AL72/AD72-1)*100)&lt;-50,"NM",(AL72/AD72-1)*100)))</f>
        <v>5.2294030587074714</v>
      </c>
      <c r="AN72" s="413">
        <f t="shared" ref="AN72:AP72" si="532">AN59</f>
        <v>218.6</v>
      </c>
      <c r="AO72" s="23">
        <f>IF(ISERROR((AN72/AF72-1)*100),"NA",IF(((AN72/AF72-1)*100)&gt;100,"NM",IF(((AN72/AF72-1)*100)&lt;-50,"NM",(AN72/AF72-1)*100)))</f>
        <v>7.2094163805787037</v>
      </c>
      <c r="AP72" s="413">
        <f t="shared" si="532"/>
        <v>218.3</v>
      </c>
      <c r="AQ72" s="23">
        <f t="shared" ref="AQ72:AQ76" si="533">IF(ISERROR((AP72/AH72-1)*100),"NA",IF(((AP72/AH72-1)*100)&gt;100,"NM",IF(((AP72/AH72-1)*100)&lt;-50,"NM",(AP72/AH72-1)*100)))</f>
        <v>8.7693074240159596</v>
      </c>
      <c r="AR72" s="413">
        <f t="shared" ref="AR72:AT72" si="534">AR59</f>
        <v>223.2</v>
      </c>
      <c r="AS72" s="23">
        <f t="shared" ref="AS72:AS76" si="535">IF(ISERROR((AR72/AJ72-1)*100),"NA",IF(((AR72/AJ72-1)*100)&gt;100,"NM",IF(((AR72/AJ72-1)*100)&lt;-50,"NM",(AR72/AJ72-1)*100)))</f>
        <v>8.6660175267770043</v>
      </c>
      <c r="AT72" s="413">
        <f t="shared" si="534"/>
        <v>229.7</v>
      </c>
      <c r="AU72" s="23">
        <f t="shared" ref="AU72:AU76" si="536">IF(ISERROR((AT72/AL72-1)*100),"NA",IF(((AT72/AL72-1)*100)&gt;100,"NM",IF(((AT72/AL72-1)*100)&lt;-50,"NM",(AT72/AL72-1)*100)))</f>
        <v>7.6887013595874354</v>
      </c>
      <c r="AV72" s="413">
        <f t="shared" ref="AV72:AX72" si="537">AV59</f>
        <v>234.8</v>
      </c>
      <c r="AW72" s="23">
        <f t="shared" ref="AW72:AW76" si="538">IF(ISERROR((AV72/AN72-1)*100),"NA",IF(((AV72/AN72-1)*100)&gt;100,"NM",IF(((AV72/AN72-1)*100)&lt;-50,"NM",(AV72/AN72-1)*100)))</f>
        <v>7.4107959743824336</v>
      </c>
      <c r="AX72" s="413">
        <f t="shared" si="537"/>
        <v>229.9</v>
      </c>
      <c r="AY72" s="23">
        <f t="shared" ref="AY72:AY76" si="539">IF(ISERROR((AX72/AP72-1)*100),"NA",IF(((AX72/AP72-1)*100)&gt;100,"NM",IF(((AX72/AP72-1)*100)&lt;-50,"NM",(AX72/AP72-1)*100)))</f>
        <v>5.3137883646358297</v>
      </c>
      <c r="AZ72" s="413">
        <f t="shared" ref="AZ72" si="540">AZ59</f>
        <v>233.2</v>
      </c>
      <c r="BA72" s="23">
        <f t="shared" ref="BA72:BA76" si="541">IF(ISERROR((AZ72/AR72-1)*100),"NA",IF(((AZ72/AR72-1)*100)&gt;100,"NM",IF(((AZ72/AR72-1)*100)&lt;-50,"NM",(AZ72/AR72-1)*100)))</f>
        <v>4.4802867383512579</v>
      </c>
      <c r="BB72" s="413">
        <f t="shared" ref="BB72:BD72" si="542">BB59</f>
        <v>236.6</v>
      </c>
      <c r="BC72" s="23">
        <f t="shared" ref="BC72:BC76" si="543">IF(ISERROR((BB72/AT72-1)*100),"NA",IF(((BB72/AT72-1)*100)&gt;100,"NM",IF(((BB72/AT72-1)*100)&lt;-50,"NM",(BB72/AT72-1)*100)))</f>
        <v>3.0039181541140714</v>
      </c>
      <c r="BD72" s="413">
        <f t="shared" si="542"/>
        <v>236</v>
      </c>
      <c r="BE72" s="23">
        <f t="shared" ref="BE72:BE76" si="544">IF(ISERROR((BD72/AV72-1)*100),"NA",IF(((BD72/AV72-1)*100)&gt;100,"NM",IF(((BD72/AV72-1)*100)&lt;-50,"NM",(BD72/AV72-1)*100)))</f>
        <v>0.5110732538330387</v>
      </c>
      <c r="BF72" s="56">
        <f t="shared" ref="BF72" si="545">BF59</f>
        <v>237.85191076803164</v>
      </c>
      <c r="BG72" s="23">
        <f t="shared" ref="BG72:BG76" si="546">IF(ISERROR((BF72/AX72-1)*100),"NA",IF(((BF72/AX72-1)*100)&gt;100,"NM",IF(((BF72/AX72-1)*100)&lt;-50,"NM",(BF72/AX72-1)*100)))</f>
        <v>3.4588563584304621</v>
      </c>
      <c r="BH72" s="56">
        <f t="shared" ref="BH72" si="547">BH59</f>
        <v>238.24598024062433</v>
      </c>
      <c r="BI72" s="23">
        <f t="shared" ref="BI72:BI76" si="548">IF(ISERROR((BH72/AZ72-1)*100),"NA",IF(((BH72/AZ72-1)*100)&gt;100,"NM",IF(((BH72/AZ72-1)*100)&lt;-50,"NM",(BH72/AZ72-1)*100)))</f>
        <v>2.1637994170773389</v>
      </c>
      <c r="BJ72" s="56">
        <f t="shared" ref="BJ72" si="549">BJ59</f>
        <v>241.56244811023444</v>
      </c>
      <c r="BK72" s="23">
        <f t="shared" ref="BK72:BK76" si="550">IF(ISERROR((BJ72/BB72-1)*100),"NA",IF(((BJ72/BB72-1)*100)&gt;100,"NM",IF(((BJ72/BB72-1)*100)&lt;-50,"NM",(BJ72/BB72-1)*100)))</f>
        <v>2.097399877529349</v>
      </c>
      <c r="BL72" s="56">
        <f t="shared" ref="BL72" si="551">BL59</f>
        <v>244.87686897070537</v>
      </c>
      <c r="BM72" s="23">
        <f t="shared" ref="BM72:BM76" si="552">IF(ISERROR((BL72/BD72-1)*100),"NA",IF(((BL72/BD72-1)*100)&gt;100,"NM",IF(((BL72/BD72-1)*100)&lt;-50,"NM",(BL72/BD72-1)*100)))</f>
        <v>3.7613851570785561</v>
      </c>
      <c r="BN72" s="35"/>
      <c r="BO72" s="137"/>
      <c r="BP72" s="35"/>
      <c r="BQ72" s="48"/>
      <c r="BR72" s="35"/>
      <c r="BS72" s="48"/>
      <c r="BT72" s="35"/>
      <c r="BU72" s="56">
        <f>BU59</f>
        <v>777.1</v>
      </c>
      <c r="BV72" s="23" t="str">
        <f>IF(ISERROR((BU72/BS72-1)*100),"NA",IF(((BU72/BS72-1)*100)&gt;100,"NM",IF(((BU72/BS72-1)*100)&lt;-50,"NM",(BU72/BS72-1)*100)))</f>
        <v>NA</v>
      </c>
      <c r="BW72" s="56">
        <f>BW59</f>
        <v>800.2</v>
      </c>
      <c r="BX72" s="23">
        <f>IF(ISERROR((BW72/BU72-1)*100),"NA",IF(((BW72/BU72-1)*100)&gt;100,"NM",IF(((BW72/BU72-1)*100)&lt;-50,"NM",(BW72/BU72-1)*100)))</f>
        <v>2.9725904002058989</v>
      </c>
      <c r="BY72" s="56">
        <f>BY59</f>
        <v>821</v>
      </c>
      <c r="BZ72" s="23">
        <f>IF(ISERROR((BY72/BW72-1)*100),"NA",IF(((BY72/BW72-1)*100)&gt;100,"NM",IF(((BY72/BW72-1)*100)&lt;-50,"NM",(BY72/BW72-1)*100)))</f>
        <v>2.5993501624593796</v>
      </c>
      <c r="CA72" s="56">
        <f>CA59</f>
        <v>811.19999999999993</v>
      </c>
      <c r="CB72" s="23">
        <f>IF(ISERROR((CA72/BY72-1)*100),"NA",IF(((CA72/BY72-1)*100)&gt;100,"NM",IF(((CA72/BY72-1)*100)&lt;-50,"NM",(CA72/BY72-1)*100)))</f>
        <v>-1.1936662606577442</v>
      </c>
      <c r="CC72" s="56">
        <f>CC59</f>
        <v>838.00000000000011</v>
      </c>
      <c r="CD72" s="23">
        <f>IF(ISERROR((CC72/CA72-1)*100),"NA",IF(((CC72/CA72-1)*100)&gt;100,"NM",IF(((CC72/CA72-1)*100)&lt;-50,"NM",(CC72/CA72-1)*100)))</f>
        <v>3.3037475345167877</v>
      </c>
      <c r="CE72" s="56">
        <f>CE59</f>
        <v>906</v>
      </c>
      <c r="CF72" s="23">
        <f>IF(ISERROR((CE72/CC72-1)*100),"NA",IF(((CE72/CC72-1)*100)&gt;100,"NM",IF(((CE72/CC72-1)*100)&lt;-50,"NM",(CE72/CC72-1)*100)))</f>
        <v>8.1145584725536892</v>
      </c>
      <c r="CG72" s="56">
        <f>CG59</f>
        <v>935.7</v>
      </c>
      <c r="CH72" s="23">
        <f>IF(ISERROR((CG72/CE72-1)*100),"NA",IF(((CG72/CE72-1)*100)&gt;100,"NM",IF(((CG72/CE72-1)*100)&lt;-50,"NM",(CG72/CE72-1)*100)))</f>
        <v>3.2781456953642429</v>
      </c>
      <c r="CI72" s="56">
        <f>CI59</f>
        <v>962.53720808959577</v>
      </c>
      <c r="CJ72" s="23">
        <f>IF(ISERROR((CI72/CG72-1)*100),"NA",IF(((CI72/CG72-1)*100)&gt;100,"NM",IF(((CI72/CG72-1)*100)&lt;-50,"NM",(CI72/CG72-1)*100)))</f>
        <v>2.8681423628936331</v>
      </c>
      <c r="CK72" s="211">
        <f>CK59</f>
        <v>1002.9227622684906</v>
      </c>
      <c r="CL72" s="23">
        <f>IF(ISERROR((CK72/CI72-1)*100),"NA",IF(((CK72/CI72-1)*100)&gt;100,"NM",IF(((CK72/CI72-1)*100)&lt;-50,"NM",(CK72/CI72-1)*100)))</f>
        <v>4.195739534999432</v>
      </c>
      <c r="CM72" s="211">
        <f>CM59</f>
        <v>1055.1299406599874</v>
      </c>
      <c r="CN72" s="23">
        <f>IF(ISERROR((CM72/CK72-1)*100),"NA",IF(((CM72/CK72-1)*100)&gt;100,"NM",IF(((CM72/CK72-1)*100)&lt;-50,"NM",(CM72/CK72-1)*100)))</f>
        <v>5.2055033902521419</v>
      </c>
      <c r="CO72" s="211">
        <f>CO59</f>
        <v>1109.54071186648</v>
      </c>
      <c r="CP72" s="23">
        <f>IF(ISERROR((CO72/CM72-1)*100),"NA",IF(((CO72/CM72-1)*100)&gt;100,"NM",IF(((CO72/CM72-1)*100)&lt;-50,"NM",(CO72/CM72-1)*100)))</f>
        <v>5.1567839286655648</v>
      </c>
      <c r="CQ72" s="211">
        <f>CQ59</f>
        <v>1166.7573289780123</v>
      </c>
      <c r="CR72" s="23">
        <f>IF(ISERROR((CQ72/CO72-1)*100),"NA",IF(((CQ72/CO72-1)*100)&gt;100,"NM",IF(((CQ72/CO72-1)*100)&lt;-50,"NM",(CQ72/CO72-1)*100)))</f>
        <v>5.156783928665587</v>
      </c>
      <c r="CS72" s="23">
        <f>IF(ISERROR(((CQ72/CG72)^0.2-1)*100),"NA",IF((((CQ72/CG72)^0.2-1)*100)&gt;100,"NM",IF((((CQ72/CG72)^0.2-1)*100)&lt;-50,"NM",((CQ72/CG72)^0.2-1)*100)))</f>
        <v>4.5126311971397826</v>
      </c>
    </row>
    <row r="73" spans="1:97" ht="12.75" customHeight="1" x14ac:dyDescent="0.2">
      <c r="A73" s="4" t="s">
        <v>161</v>
      </c>
      <c r="B73" s="49">
        <v>180.2</v>
      </c>
      <c r="C73" s="59"/>
      <c r="D73" s="49">
        <v>182.8</v>
      </c>
      <c r="E73" s="59"/>
      <c r="F73" s="49">
        <v>174.4</v>
      </c>
      <c r="G73" s="59"/>
      <c r="H73" s="49">
        <v>178.9</v>
      </c>
      <c r="I73" s="59"/>
      <c r="J73" s="49">
        <v>179.6</v>
      </c>
      <c r="K73" s="23">
        <f t="shared" ref="K73:Y76" si="553">IF(ISERROR((J73/B73-1)*100),"NA",IF(((J73/B73-1)*100)&gt;100,"NM",IF(((J73/B73-1)*100)&lt;-50,"NM",(J73/B73-1)*100)))</f>
        <v>-0.33296337402884957</v>
      </c>
      <c r="L73" s="49">
        <v>177.8</v>
      </c>
      <c r="M73" s="23">
        <f t="shared" si="553"/>
        <v>-2.7352297592997843</v>
      </c>
      <c r="N73" s="49">
        <v>167.3</v>
      </c>
      <c r="O73" s="23">
        <f t="shared" si="553"/>
        <v>-4.0711009174311918</v>
      </c>
      <c r="P73" s="49">
        <v>170.8</v>
      </c>
      <c r="Q73" s="23">
        <f t="shared" si="553"/>
        <v>-4.527669088876463</v>
      </c>
      <c r="R73" s="49">
        <v>170</v>
      </c>
      <c r="S73" s="23">
        <f t="shared" si="553"/>
        <v>-5.3452115812917533</v>
      </c>
      <c r="T73" s="49">
        <v>174.6</v>
      </c>
      <c r="U73" s="23">
        <f t="shared" si="553"/>
        <v>-1.7997750281214975</v>
      </c>
      <c r="V73" s="49">
        <v>171.8</v>
      </c>
      <c r="W73" s="23">
        <f t="shared" si="553"/>
        <v>2.6897788404064649</v>
      </c>
      <c r="X73" s="49">
        <v>181.8</v>
      </c>
      <c r="Y73" s="23">
        <f t="shared" si="553"/>
        <v>6.4402810304449609</v>
      </c>
      <c r="Z73" s="49">
        <v>188</v>
      </c>
      <c r="AA73" s="23">
        <f>IF(ISERROR((Z73/R73-1)*100),"NA",IF(((Z73/R73-1)*100)&gt;100,"NM",IF(((Z73/R73-1)*100)&lt;-50,"NM",(Z73/R73-1)*100)))</f>
        <v>10.588235294117654</v>
      </c>
      <c r="AB73" s="49">
        <v>178.5</v>
      </c>
      <c r="AC73" s="23">
        <f>IF(ISERROR((AB73/T73-1)*100),"NA",IF(((AB73/T73-1)*100)&gt;100,"NM",IF(((AB73/T73-1)*100)&lt;-50,"NM",(AB73/T73-1)*100)))</f>
        <v>2.2336769759450315</v>
      </c>
      <c r="AD73" s="49">
        <v>169.5</v>
      </c>
      <c r="AE73" s="23">
        <f>IF(ISERROR((AD73/V73-1)*100),"NA",IF(((AD73/V73-1)*100)&gt;100,"NM",IF(((AD73/V73-1)*100)&lt;-50,"NM",(AD73/V73-1)*100)))</f>
        <v>-1.3387660069848706</v>
      </c>
      <c r="AF73" s="49">
        <v>174.3</v>
      </c>
      <c r="AG73" s="23">
        <f>IF(ISERROR((AF73/X73-1)*100),"NA",IF(((AF73/X73-1)*100)&gt;100,"NM",IF(((AF73/X73-1)*100)&lt;-50,"NM",(AF73/X73-1)*100)))</f>
        <v>-4.1254125412541249</v>
      </c>
      <c r="AH73" s="49">
        <v>180.6</v>
      </c>
      <c r="AI73" s="23">
        <f>IF(ISERROR((AH73/Z73-1)*100),"NA",IF(((AH73/Z73-1)*100)&gt;100,"NM",IF(((AH73/Z73-1)*100)&lt;-50,"NM",(AH73/Z73-1)*100)))</f>
        <v>-3.9361702127659659</v>
      </c>
      <c r="AJ73" s="49">
        <v>181.2</v>
      </c>
      <c r="AK73" s="23">
        <f>IF(ISERROR((AJ73/AB73-1)*100),"NA",IF(((AJ73/AB73-1)*100)&gt;100,"NM",IF(((AJ73/AB73-1)*100)&lt;-50,"NM",(AJ73/AB73-1)*100)))</f>
        <v>1.5126050420168013</v>
      </c>
      <c r="AL73" s="49">
        <f>172.3+0.1</f>
        <v>172.4</v>
      </c>
      <c r="AM73" s="23">
        <f>IF(ISERROR((AL73/AD73-1)*100),"NA",IF(((AL73/AD73-1)*100)&gt;100,"NM",IF(((AL73/AD73-1)*100)&lt;-50,"NM",(AL73/AD73-1)*100)))</f>
        <v>1.7109144542772903</v>
      </c>
      <c r="AN73" s="158">
        <v>177.1</v>
      </c>
      <c r="AO73" s="23">
        <f>IF(ISERROR((AN73/AF73-1)*100),"NA",IF(((AN73/AF73-1)*100)&gt;100,"NM",IF(((AN73/AF73-1)*100)&lt;-50,"NM",(AN73/AF73-1)*100)))</f>
        <v>1.6064257028112428</v>
      </c>
      <c r="AP73" s="158">
        <v>187.4</v>
      </c>
      <c r="AQ73" s="23">
        <f t="shared" si="533"/>
        <v>3.7652270210409844</v>
      </c>
      <c r="AR73" s="158">
        <v>174</v>
      </c>
      <c r="AS73" s="23">
        <f t="shared" si="535"/>
        <v>-3.9735099337748325</v>
      </c>
      <c r="AT73" s="158">
        <v>166.7</v>
      </c>
      <c r="AU73" s="23">
        <f t="shared" si="536"/>
        <v>-3.3062645011601055</v>
      </c>
      <c r="AV73" s="158">
        <v>165.5</v>
      </c>
      <c r="AW73" s="23">
        <f t="shared" si="538"/>
        <v>-6.549971767363072</v>
      </c>
      <c r="AX73" s="158">
        <v>183.8</v>
      </c>
      <c r="AY73" s="23">
        <f t="shared" si="539"/>
        <v>-1.9210245464247544</v>
      </c>
      <c r="AZ73" s="158">
        <v>163.30000000000001</v>
      </c>
      <c r="BA73" s="23">
        <f t="shared" si="541"/>
        <v>-6.1494252873563138</v>
      </c>
      <c r="BB73" s="158">
        <v>159.19999999999999</v>
      </c>
      <c r="BC73" s="23">
        <f t="shared" si="543"/>
        <v>-4.4991001799640102</v>
      </c>
      <c r="BD73" s="158">
        <f>167-0.4</f>
        <v>166.6</v>
      </c>
      <c r="BE73" s="23">
        <f t="shared" si="544"/>
        <v>0.66465256797583194</v>
      </c>
      <c r="BF73" s="36">
        <f t="shared" ref="BF73" si="554">BF60*BF79/100</f>
        <v>196.85470726709099</v>
      </c>
      <c r="BG73" s="23">
        <f t="shared" si="546"/>
        <v>7.102669895044067</v>
      </c>
      <c r="BH73" s="36">
        <f t="shared" ref="BH73" si="555">BH60*BH79/100</f>
        <v>177.59669749439064</v>
      </c>
      <c r="BI73" s="23">
        <f t="shared" si="548"/>
        <v>8.7548668061179669</v>
      </c>
      <c r="BJ73" s="36">
        <f t="shared" ref="BJ73" si="556">BJ60*BJ79/100</f>
        <v>175.28722198681223</v>
      </c>
      <c r="BK73" s="23">
        <f t="shared" si="550"/>
        <v>10.105038936439858</v>
      </c>
      <c r="BL73" s="36">
        <f t="shared" ref="BL73" si="557">BL60*BL79/100</f>
        <v>177.32422535293773</v>
      </c>
      <c r="BM73" s="23">
        <f t="shared" si="552"/>
        <v>6.4371100557849559</v>
      </c>
      <c r="BN73" s="35"/>
      <c r="BO73" s="137"/>
      <c r="BP73" s="35"/>
      <c r="BQ73" s="48">
        <v>709.1</v>
      </c>
      <c r="BR73" s="35"/>
      <c r="BS73" s="48">
        <v>782.9</v>
      </c>
      <c r="BT73" s="35"/>
      <c r="BU73" s="56">
        <f>B73+D73+F73+H73</f>
        <v>716.3</v>
      </c>
      <c r="BV73" s="23">
        <f>IF(ISERROR((BU73/BS73-1)*100),"NA",IF(((BU73/BS73-1)*100)&gt;100,"NM",IF(((BU73/BS73-1)*100)&lt;-50,"NM",(BU73/BS73-1)*100)))</f>
        <v>-8.506833567505435</v>
      </c>
      <c r="BW73" s="56">
        <f>J73+L73+N73+P73</f>
        <v>695.5</v>
      </c>
      <c r="BX73" s="23">
        <f>IF(ISERROR((BW73/BU73-1)*100),"NA",IF(((BW73/BU73-1)*100)&gt;100,"NM",IF(((BW73/BU73-1)*100)&lt;-50,"NM",(BW73/BU73-1)*100)))</f>
        <v>-2.9038112522685955</v>
      </c>
      <c r="BY73" s="56">
        <f>R73+T73+V73+X73</f>
        <v>698.2</v>
      </c>
      <c r="BZ73" s="23">
        <f>IF(ISERROR((BY73/BW73-1)*100),"NA",IF(((BY73/BW73-1)*100)&gt;100,"NM",IF(((BY73/BW73-1)*100)&lt;-50,"NM",(BY73/BW73-1)*100)))</f>
        <v>0.38820992092021278</v>
      </c>
      <c r="CA73" s="56">
        <f>Z73+AB73+AD73+AF73</f>
        <v>710.3</v>
      </c>
      <c r="CB73" s="23">
        <f>IF(ISERROR((CA73/BY73-1)*100),"NA",IF(((CA73/BY73-1)*100)&gt;100,"NM",IF(((CA73/BY73-1)*100)&lt;-50,"NM",(CA73/BY73-1)*100)))</f>
        <v>1.733027785734742</v>
      </c>
      <c r="CC73" s="56">
        <f>AH73+AJ73+AL73+AN73</f>
        <v>711.3</v>
      </c>
      <c r="CD73" s="23">
        <f>IF(ISERROR((CC73/CA73-1)*100),"NA",IF(((CC73/CA73-1)*100)&gt;100,"NM",IF(((CC73/CA73-1)*100)&lt;-50,"NM",(CC73/CA73-1)*100)))</f>
        <v>0.14078558355623549</v>
      </c>
      <c r="CE73" s="56">
        <f>AP73+AR73+AT73+AV73</f>
        <v>693.59999999999991</v>
      </c>
      <c r="CF73" s="23">
        <f>IF(ISERROR((CE73/CC73-1)*100),"NA",IF(((CE73/CC73-1)*100)&gt;100,"NM",IF(((CE73/CC73-1)*100)&lt;-50,"NM",(CE73/CC73-1)*100)))</f>
        <v>-2.4884015183466945</v>
      </c>
      <c r="CG73" s="56">
        <f>AX73+AZ73+BB73+BD73</f>
        <v>672.9</v>
      </c>
      <c r="CH73" s="23">
        <f>IF(ISERROR((CG73/CE73-1)*100),"NA",IF(((CG73/CE73-1)*100)&gt;100,"NM",IF(((CG73/CE73-1)*100)&lt;-50,"NM",(CG73/CE73-1)*100)))</f>
        <v>-2.9844290657439321</v>
      </c>
      <c r="CI73" s="56">
        <f>BF73+BH73+BJ73+BL73</f>
        <v>727.06285210123156</v>
      </c>
      <c r="CJ73" s="23">
        <f>IF(ISERROR((CI73/CG73-1)*100),"NA",IF(((CI73/CG73-1)*100)&gt;100,"NM",IF(((CI73/CG73-1)*100)&lt;-50,"NM",(CI73/CG73-1)*100)))</f>
        <v>8.0491680935104171</v>
      </c>
      <c r="CK73" s="211">
        <f>CK60*CK79/100</f>
        <v>748.08956406571622</v>
      </c>
      <c r="CL73" s="23">
        <f>IF(ISERROR((CK73/CI73-1)*100),"NA",IF(((CK73/CI73-1)*100)&gt;100,"NM",IF(((CK73/CI73-1)*100)&lt;-50,"NM",(CK73/CI73-1)*100)))</f>
        <v>2.8920074658905781</v>
      </c>
      <c r="CM73" s="211">
        <f>CM60*CM79/100</f>
        <v>777.12054633843513</v>
      </c>
      <c r="CN73" s="23">
        <f>IF(ISERROR((CM73/CK73-1)*100),"NA",IF(((CM73/CK73-1)*100)&gt;100,"NM",IF(((CM73/CK73-1)*100)&lt;-50,"NM",(CM73/CK73-1)*100)))</f>
        <v>3.880682697261717</v>
      </c>
      <c r="CO73" s="211">
        <f>CO60*CO79/100</f>
        <v>806.83775405777112</v>
      </c>
      <c r="CP73" s="23">
        <f>IF(ISERROR((CO73/CM73-1)*100),"NA",IF(((CO73/CM73-1)*100)&gt;100,"NM",IF(((CO73/CM73-1)*100)&lt;-50,"NM",(CO73/CM73-1)*100)))</f>
        <v>3.8240151877793949</v>
      </c>
      <c r="CQ73" s="211">
        <f>CQ60*CQ79/100</f>
        <v>837.62135780781819</v>
      </c>
      <c r="CR73" s="23">
        <f>IF(ISERROR((CQ73/CO73-1)*100),"NA",IF(((CQ73/CO73-1)*100)&gt;100,"NM",IF(((CQ73/CO73-1)*100)&lt;-50,"NM",(CQ73/CO73-1)*100)))</f>
        <v>3.8153400228520873</v>
      </c>
      <c r="CS73" s="23">
        <f>IF(ISERROR(((CQ73/CG73)^0.2-1)*100),"NA",IF((((CQ73/CG73)^0.2-1)*100)&gt;100,"NM",IF((((CQ73/CG73)^0.2-1)*100)&lt;-50,"NM",((CQ73/CG73)^0.2-1)*100)))</f>
        <v>4.4766991142060286</v>
      </c>
    </row>
    <row r="74" spans="1:97" ht="12.75" customHeight="1" x14ac:dyDescent="0.2">
      <c r="A74" s="4" t="s">
        <v>162</v>
      </c>
      <c r="B74" s="49">
        <v>28.4</v>
      </c>
      <c r="C74" s="59"/>
      <c r="D74" s="49">
        <v>28.8</v>
      </c>
      <c r="E74" s="59"/>
      <c r="F74" s="49">
        <v>27.8</v>
      </c>
      <c r="G74" s="59"/>
      <c r="H74" s="49">
        <v>30.4</v>
      </c>
      <c r="I74" s="59"/>
      <c r="J74" s="49">
        <v>29.1</v>
      </c>
      <c r="K74" s="23">
        <f t="shared" si="553"/>
        <v>2.464788732394374</v>
      </c>
      <c r="L74" s="49">
        <v>28</v>
      </c>
      <c r="M74" s="23">
        <f t="shared" si="553"/>
        <v>-2.777777777777779</v>
      </c>
      <c r="N74" s="49">
        <v>27.9</v>
      </c>
      <c r="O74" s="23">
        <f t="shared" si="553"/>
        <v>0.3597122302158251</v>
      </c>
      <c r="P74" s="49">
        <v>31.1</v>
      </c>
      <c r="Q74" s="23">
        <f t="shared" si="553"/>
        <v>2.3026315789473673</v>
      </c>
      <c r="R74" s="49">
        <v>29.9</v>
      </c>
      <c r="S74" s="23">
        <f t="shared" si="553"/>
        <v>2.7491408934707806</v>
      </c>
      <c r="T74" s="49">
        <v>31.9</v>
      </c>
      <c r="U74" s="23">
        <f t="shared" si="553"/>
        <v>13.928571428571423</v>
      </c>
      <c r="V74" s="49">
        <v>31.4</v>
      </c>
      <c r="W74" s="23">
        <f t="shared" si="553"/>
        <v>12.54480286738351</v>
      </c>
      <c r="X74" s="49">
        <v>35.299999999999997</v>
      </c>
      <c r="Y74" s="23">
        <f t="shared" si="553"/>
        <v>13.504823151125379</v>
      </c>
      <c r="Z74" s="49">
        <v>33.700000000000003</v>
      </c>
      <c r="AA74" s="23">
        <f>IF(ISERROR((Z74/R74-1)*100),"NA",IF(((Z74/R74-1)*100)&gt;100,"NM",IF(((Z74/R74-1)*100)&lt;-50,"NM",(Z74/R74-1)*100)))</f>
        <v>12.709030100334463</v>
      </c>
      <c r="AB74" s="49">
        <v>34.5</v>
      </c>
      <c r="AC74" s="23">
        <f>IF(ISERROR((AB74/T74-1)*100),"NA",IF(((AB74/T74-1)*100)&gt;100,"NM",IF(((AB74/T74-1)*100)&lt;-50,"NM",(AB74/T74-1)*100)))</f>
        <v>8.1504702194357357</v>
      </c>
      <c r="AD74" s="49">
        <v>34.9</v>
      </c>
      <c r="AE74" s="23">
        <f>IF(ISERROR((AD74/V74-1)*100),"NA",IF(((AD74/V74-1)*100)&gt;100,"NM",IF(((AD74/V74-1)*100)&lt;-50,"NM",(AD74/V74-1)*100)))</f>
        <v>11.146496815286632</v>
      </c>
      <c r="AF74" s="49">
        <v>35.700000000000003</v>
      </c>
      <c r="AG74" s="23">
        <f>IF(ISERROR((AF74/X74-1)*100),"NA",IF(((AF74/X74-1)*100)&gt;100,"NM",IF(((AF74/X74-1)*100)&lt;-50,"NM",(AF74/X74-1)*100)))</f>
        <v>1.1331444759206999</v>
      </c>
      <c r="AH74" s="49">
        <v>35.200000000000003</v>
      </c>
      <c r="AI74" s="23">
        <f>IF(ISERROR((AH74/Z74-1)*100),"NA",IF(((AH74/Z74-1)*100)&gt;100,"NM",IF(((AH74/Z74-1)*100)&lt;-50,"NM",(AH74/Z74-1)*100)))</f>
        <v>4.4510385756676651</v>
      </c>
      <c r="AJ74" s="49">
        <v>36.299999999999997</v>
      </c>
      <c r="AK74" s="23">
        <f>IF(ISERROR((AJ74/AB74-1)*100),"NA",IF(((AJ74/AB74-1)*100)&gt;100,"NM",IF(((AJ74/AB74-1)*100)&lt;-50,"NM",(AJ74/AB74-1)*100)))</f>
        <v>5.2173913043478182</v>
      </c>
      <c r="AL74" s="49">
        <v>34.299999999999997</v>
      </c>
      <c r="AM74" s="23">
        <f>IF(ISERROR((AL74/AD74-1)*100),"NA",IF(((AL74/AD74-1)*100)&gt;100,"NM",IF(((AL74/AD74-1)*100)&lt;-50,"NM",(AL74/AD74-1)*100)))</f>
        <v>-1.7191977077363974</v>
      </c>
      <c r="AN74" s="158">
        <v>36.9</v>
      </c>
      <c r="AO74" s="23">
        <f>IF(ISERROR((AN74/AF74-1)*100),"NA",IF(((AN74/AF74-1)*100)&gt;100,"NM",IF(((AN74/AF74-1)*100)&lt;-50,"NM",(AN74/AF74-1)*100)))</f>
        <v>3.3613445378151141</v>
      </c>
      <c r="AP74" s="158">
        <v>34.4</v>
      </c>
      <c r="AQ74" s="23">
        <f t="shared" si="533"/>
        <v>-2.2727272727272818</v>
      </c>
      <c r="AR74" s="158">
        <v>36.1</v>
      </c>
      <c r="AS74" s="23">
        <f t="shared" si="535"/>
        <v>-0.55096418732780705</v>
      </c>
      <c r="AT74" s="158">
        <v>37.6</v>
      </c>
      <c r="AU74" s="23">
        <f t="shared" si="536"/>
        <v>9.6209912536443287</v>
      </c>
      <c r="AV74" s="158">
        <v>37.799999999999997</v>
      </c>
      <c r="AW74" s="23">
        <f t="shared" si="538"/>
        <v>2.4390243902439046</v>
      </c>
      <c r="AX74" s="158">
        <v>39.5</v>
      </c>
      <c r="AY74" s="23">
        <f t="shared" si="539"/>
        <v>14.825581395348841</v>
      </c>
      <c r="AZ74" s="158">
        <v>40.6</v>
      </c>
      <c r="BA74" s="23">
        <f t="shared" si="541"/>
        <v>12.465373961218829</v>
      </c>
      <c r="BB74" s="158">
        <v>41</v>
      </c>
      <c r="BC74" s="23">
        <f t="shared" si="543"/>
        <v>9.0425531914893664</v>
      </c>
      <c r="BD74" s="158">
        <v>42</v>
      </c>
      <c r="BE74" s="23">
        <f t="shared" si="544"/>
        <v>11.111111111111116</v>
      </c>
      <c r="BF74" s="36">
        <f t="shared" ref="BF74" si="558">BF60*BF80/100</f>
        <v>41.013993169663145</v>
      </c>
      <c r="BG74" s="23">
        <f t="shared" si="546"/>
        <v>3.8328941004130312</v>
      </c>
      <c r="BH74" s="36">
        <f t="shared" ref="BH74" si="559">BH60*BH80/100</f>
        <v>41.038197911714235</v>
      </c>
      <c r="BI74" s="23">
        <f t="shared" si="548"/>
        <v>1.0793052012665783</v>
      </c>
      <c r="BJ74" s="36">
        <f t="shared" ref="BJ74" si="560">BJ60*BJ80/100</f>
        <v>41.254619312640514</v>
      </c>
      <c r="BK74" s="23">
        <f t="shared" si="550"/>
        <v>0.62102271375734652</v>
      </c>
      <c r="BL74" s="36">
        <f t="shared" ref="BL74" si="561">BL60*BL80/100</f>
        <v>42.045485059265935</v>
      </c>
      <c r="BM74" s="23">
        <f t="shared" si="552"/>
        <v>0.10829776015699455</v>
      </c>
      <c r="BN74" s="35"/>
      <c r="BO74" s="137"/>
      <c r="BP74" s="35"/>
      <c r="BQ74" s="48">
        <v>98.1</v>
      </c>
      <c r="BR74" s="35"/>
      <c r="BS74" s="48">
        <v>111.5</v>
      </c>
      <c r="BT74" s="35"/>
      <c r="BU74" s="56">
        <f>B74+D74+F74+H74</f>
        <v>115.4</v>
      </c>
      <c r="BV74" s="23">
        <f>IF(ISERROR((BU74/BS74-1)*100),"NA",IF(((BU74/BS74-1)*100)&gt;100,"NM",IF(((BU74/BS74-1)*100)&lt;-50,"NM",(BU74/BS74-1)*100)))</f>
        <v>3.4977578475336335</v>
      </c>
      <c r="BW74" s="56">
        <f>J74+L74+N74+P74</f>
        <v>116.1</v>
      </c>
      <c r="BX74" s="23">
        <f>IF(ISERROR((BW74/BU74-1)*100),"NA",IF(((BW74/BU74-1)*100)&gt;100,"NM",IF(((BW74/BU74-1)*100)&lt;-50,"NM",(BW74/BU74-1)*100)))</f>
        <v>0.60658578856152001</v>
      </c>
      <c r="BY74" s="56">
        <f>R74+T74+V74+X74</f>
        <v>128.5</v>
      </c>
      <c r="BZ74" s="23">
        <f>IF(ISERROR((BY74/BW74-1)*100),"NA",IF(((BY74/BW74-1)*100)&gt;100,"NM",IF(((BY74/BW74-1)*100)&lt;-50,"NM",(BY74/BW74-1)*100)))</f>
        <v>10.680447889750223</v>
      </c>
      <c r="CA74" s="56">
        <f>Z74+AB74+AD74+AF74</f>
        <v>138.80000000000001</v>
      </c>
      <c r="CB74" s="23">
        <f>IF(ISERROR((CA74/BY74-1)*100),"NA",IF(((CA74/BY74-1)*100)&gt;100,"NM",IF(((CA74/BY74-1)*100)&lt;-50,"NM",(CA74/BY74-1)*100)))</f>
        <v>8.0155642023346463</v>
      </c>
      <c r="CC74" s="56">
        <f>AH74+AJ74+AL74+AN74</f>
        <v>142.69999999999999</v>
      </c>
      <c r="CD74" s="23">
        <f>IF(ISERROR((CC74/CA74-1)*100),"NA",IF(((CC74/CA74-1)*100)&gt;100,"NM",IF(((CC74/CA74-1)*100)&lt;-50,"NM",(CC74/CA74-1)*100)))</f>
        <v>2.80979827089336</v>
      </c>
      <c r="CE74" s="56">
        <f>AP74+AR74+AT74+AV74</f>
        <v>145.89999999999998</v>
      </c>
      <c r="CF74" s="23">
        <f>IF(ISERROR((CE74/CC74-1)*100),"NA",IF(((CE74/CC74-1)*100)&gt;100,"NM",IF(((CE74/CC74-1)*100)&lt;-50,"NM",(CE74/CC74-1)*100)))</f>
        <v>2.2424667133847054</v>
      </c>
      <c r="CG74" s="56">
        <f>AX74+AZ74+BB74+BD74</f>
        <v>163.1</v>
      </c>
      <c r="CH74" s="23">
        <f>IF(ISERROR((CG74/CE74-1)*100),"NA",IF(((CG74/CE74-1)*100)&gt;100,"NM",IF(((CG74/CE74-1)*100)&lt;-50,"NM",(CG74/CE74-1)*100)))</f>
        <v>11.788896504455115</v>
      </c>
      <c r="CI74" s="56">
        <f>BF74+BH74+BJ74+BL74</f>
        <v>165.35229545328383</v>
      </c>
      <c r="CJ74" s="23">
        <f>IF(ISERROR((CI74/CG74-1)*100),"NA",IF(((CI74/CG74-1)*100)&gt;100,"NM",IF(((CI74/CG74-1)*100)&lt;-50,"NM",(CI74/CG74-1)*100)))</f>
        <v>1.3809291559067072</v>
      </c>
      <c r="CK74" s="211">
        <f>CK60*CK80/100</f>
        <v>171.36087041778251</v>
      </c>
      <c r="CL74" s="23">
        <f>IF(ISERROR((CK74/CI74-1)*100),"NA",IF(((CK74/CI74-1)*100)&gt;100,"NM",IF(((CK74/CI74-1)*100)&lt;-50,"NM",(CK74/CI74-1)*100)))</f>
        <v>3.6338019669017951</v>
      </c>
      <c r="CM74" s="211">
        <f>CM60*CM80/100</f>
        <v>179.30352134613483</v>
      </c>
      <c r="CN74" s="23">
        <f>IF(ISERROR((CM74/CK74-1)*100),"NA",IF(((CM74/CK74-1)*100)&gt;100,"NM",IF(((CM74/CK74-1)*100)&lt;-50,"NM",(CM74/CK74-1)*100)))</f>
        <v>4.6350435248069921</v>
      </c>
      <c r="CO74" s="211">
        <f>CO60*CO80/100</f>
        <v>187.52186164465115</v>
      </c>
      <c r="CP74" s="23">
        <f>IF(ISERROR((CO74/CM74-1)*100),"NA",IF(((CO74/CM74-1)*100)&gt;100,"NM",IF(((CO74/CM74-1)*100)&lt;-50,"NM",(CO74/CM74-1)*100)))</f>
        <v>4.5834795863552991</v>
      </c>
      <c r="CQ74" s="211">
        <f>CQ60*CQ80/100</f>
        <v>196.11099458315883</v>
      </c>
      <c r="CR74" s="23">
        <f>IF(ISERROR((CQ74/CO74-1)*100),"NA",IF(((CQ74/CO74-1)*100)&gt;100,"NM",IF(((CQ74/CO74-1)*100)&lt;-50,"NM",(CQ74/CO74-1)*100)))</f>
        <v>4.5803368541550871</v>
      </c>
      <c r="CS74" s="23">
        <f>IF(ISERROR(((CQ74/CG74)^0.2-1)*100),"NA",IF((((CQ74/CG74)^0.2-1)*100)&gt;100,"NM",IF((((CQ74/CG74)^0.2-1)*100)&lt;-50,"NM",((CQ74/CG74)^0.2-1)*100)))</f>
        <v>3.7551341459155729</v>
      </c>
    </row>
    <row r="75" spans="1:97" ht="12.75" customHeight="1" x14ac:dyDescent="0.2">
      <c r="A75" s="4" t="s">
        <v>158</v>
      </c>
      <c r="B75" s="49">
        <f>40.9-17.1</f>
        <v>23.799999999999997</v>
      </c>
      <c r="C75" s="59"/>
      <c r="D75" s="49">
        <f>57.3-15.8</f>
        <v>41.5</v>
      </c>
      <c r="E75" s="59"/>
      <c r="F75" s="49">
        <f>35.5+17.2</f>
        <v>52.7</v>
      </c>
      <c r="G75" s="59"/>
      <c r="H75" s="49">
        <f>31-28.5</f>
        <v>2.5</v>
      </c>
      <c r="I75" s="59"/>
      <c r="J75" s="49">
        <f>40.2-3.8</f>
        <v>36.400000000000006</v>
      </c>
      <c r="K75" s="23">
        <f t="shared" si="553"/>
        <v>52.941176470588267</v>
      </c>
      <c r="L75" s="49">
        <f>48+5.1</f>
        <v>53.1</v>
      </c>
      <c r="M75" s="23">
        <f t="shared" si="553"/>
        <v>27.951807228915658</v>
      </c>
      <c r="N75" s="49">
        <f>45.2-15.9</f>
        <v>29.300000000000004</v>
      </c>
      <c r="O75" s="23">
        <f t="shared" si="553"/>
        <v>-44.402277039848194</v>
      </c>
      <c r="P75" s="49">
        <f>37.6+8.9</f>
        <v>46.5</v>
      </c>
      <c r="Q75" s="23" t="str">
        <f t="shared" si="553"/>
        <v>NM</v>
      </c>
      <c r="R75" s="49">
        <f>41.6-3</f>
        <v>38.6</v>
      </c>
      <c r="S75" s="23">
        <f t="shared" si="553"/>
        <v>6.0439560439560225</v>
      </c>
      <c r="T75" s="49">
        <f>42+1.4</f>
        <v>43.4</v>
      </c>
      <c r="U75" s="23">
        <f t="shared" si="553"/>
        <v>-18.267419962335218</v>
      </c>
      <c r="V75" s="49">
        <f>45.2-44.3</f>
        <v>0.90000000000000568</v>
      </c>
      <c r="W75" s="23" t="str">
        <f t="shared" si="553"/>
        <v>NM</v>
      </c>
      <c r="X75" s="49">
        <f>42.8-4.4</f>
        <v>38.4</v>
      </c>
      <c r="Y75" s="23">
        <f t="shared" si="553"/>
        <v>-17.419354838709676</v>
      </c>
      <c r="Z75" s="49">
        <f>37+11.3</f>
        <v>48.3</v>
      </c>
      <c r="AA75" s="23">
        <f>IF(ISERROR((Z75/R75-1)*100),"NA",IF(((Z75/R75-1)*100)&gt;100,"NM",IF(((Z75/R75-1)*100)&lt;-50,"NM",(Z75/R75-1)*100)))</f>
        <v>25.129533678756456</v>
      </c>
      <c r="AB75" s="49">
        <f>39-7.1</f>
        <v>31.9</v>
      </c>
      <c r="AC75" s="23">
        <f>IF(ISERROR((AB75/T75-1)*100),"NA",IF(((AB75/T75-1)*100)&gt;100,"NM",IF(((AB75/T75-1)*100)&lt;-50,"NM",(AB75/T75-1)*100)))</f>
        <v>-26.497695852534562</v>
      </c>
      <c r="AD75" s="49">
        <f>41.6+30.4</f>
        <v>72</v>
      </c>
      <c r="AE75" s="23" t="str">
        <f>IF(ISERROR((AD75/V75-1)*100),"NA",IF(((AD75/V75-1)*100)&gt;100,"NM",IF(((AD75/V75-1)*100)&lt;-50,"NM",(AD75/V75-1)*100)))</f>
        <v>NM</v>
      </c>
      <c r="AF75" s="49">
        <f>41.1-4.6</f>
        <v>36.5</v>
      </c>
      <c r="AG75" s="23">
        <f>IF(ISERROR((AF75/X75-1)*100),"NA",IF(((AF75/X75-1)*100)&gt;100,"NM",IF(((AF75/X75-1)*100)&lt;-50,"NM",(AF75/X75-1)*100)))</f>
        <v>-4.9479166666666625</v>
      </c>
      <c r="AH75" s="49">
        <f>36.7+4.2</f>
        <v>40.900000000000006</v>
      </c>
      <c r="AI75" s="23">
        <f>IF(ISERROR((AH75/Z75-1)*100),"NA",IF(((AH75/Z75-1)*100)&gt;100,"NM",IF(((AH75/Z75-1)*100)&lt;-50,"NM",(AH75/Z75-1)*100)))</f>
        <v>-15.320910973084867</v>
      </c>
      <c r="AJ75" s="49">
        <f>34.5-3.5</f>
        <v>31</v>
      </c>
      <c r="AK75" s="23">
        <f>IF(ISERROR((AJ75/AB75-1)*100),"NA",IF(((AJ75/AB75-1)*100)&gt;100,"NM",IF(((AJ75/AB75-1)*100)&lt;-50,"NM",(AJ75/AB75-1)*100)))</f>
        <v>-2.8213166144200552</v>
      </c>
      <c r="AL75" s="49">
        <f>39.4+48.2</f>
        <v>87.6</v>
      </c>
      <c r="AM75" s="23">
        <f>IF(ISERROR((AL75/AD75-1)*100),"NA",IF(((AL75/AD75-1)*100)&gt;100,"NM",IF(((AL75/AD75-1)*100)&lt;-50,"NM",(AL75/AD75-1)*100)))</f>
        <v>21.666666666666657</v>
      </c>
      <c r="AN75" s="158">
        <f>41.9-11.7</f>
        <v>30.2</v>
      </c>
      <c r="AO75" s="23">
        <f>IF(ISERROR((AN75/AF75-1)*100),"NA",IF(((AN75/AF75-1)*100)&gt;100,"NM",IF(((AN75/AF75-1)*100)&lt;-50,"NM",(AN75/AF75-1)*100)))</f>
        <v>-17.260273972602747</v>
      </c>
      <c r="AP75" s="158">
        <f>35.1-1.8</f>
        <v>33.300000000000004</v>
      </c>
      <c r="AQ75" s="23">
        <f t="shared" si="533"/>
        <v>-18.581907090464544</v>
      </c>
      <c r="AR75" s="158">
        <f>37.2-10.7</f>
        <v>26.500000000000004</v>
      </c>
      <c r="AS75" s="23">
        <f t="shared" si="535"/>
        <v>-14.516129032258052</v>
      </c>
      <c r="AT75" s="158">
        <f>39.8+74.1</f>
        <v>113.89999999999999</v>
      </c>
      <c r="AU75" s="23">
        <f t="shared" si="536"/>
        <v>30.022831050228316</v>
      </c>
      <c r="AV75" s="158">
        <f>36.8+4</f>
        <v>40.799999999999997</v>
      </c>
      <c r="AW75" s="23">
        <f t="shared" si="538"/>
        <v>35.099337748344375</v>
      </c>
      <c r="AX75" s="158">
        <f>33-13.4</f>
        <v>19.600000000000001</v>
      </c>
      <c r="AY75" s="23">
        <f t="shared" si="539"/>
        <v>-41.141141141141148</v>
      </c>
      <c r="AZ75" s="158">
        <f>35.2+113.6</f>
        <v>148.80000000000001</v>
      </c>
      <c r="BA75" s="23" t="str">
        <f t="shared" si="541"/>
        <v>NM</v>
      </c>
      <c r="BB75" s="158">
        <f>38.2+43.8</f>
        <v>82</v>
      </c>
      <c r="BC75" s="23">
        <f t="shared" si="543"/>
        <v>-28.007023705004386</v>
      </c>
      <c r="BD75" s="158">
        <f>35-7-0.4</f>
        <v>27.6</v>
      </c>
      <c r="BE75" s="23">
        <f t="shared" si="544"/>
        <v>-32.352941176470587</v>
      </c>
      <c r="BF75" s="36">
        <f t="shared" ref="BF75" si="562">BF73*BF81/100</f>
        <v>23.622564872050916</v>
      </c>
      <c r="BG75" s="23">
        <f t="shared" si="546"/>
        <v>20.523290163525076</v>
      </c>
      <c r="BH75" s="36">
        <f t="shared" ref="BH75" si="563">BH73*BH81/100</f>
        <v>44.39917437359766</v>
      </c>
      <c r="BI75" s="23" t="str">
        <f t="shared" si="548"/>
        <v>NM</v>
      </c>
      <c r="BJ75" s="36">
        <f t="shared" ref="BJ75" si="564">BJ73*BJ81/100</f>
        <v>43.821805496703057</v>
      </c>
      <c r="BK75" s="23">
        <f t="shared" si="550"/>
        <v>-46.558773784508467</v>
      </c>
      <c r="BL75" s="36">
        <f t="shared" ref="BL75" si="565">BL73*BL81/100</f>
        <v>44.331056338234433</v>
      </c>
      <c r="BM75" s="23">
        <f t="shared" si="552"/>
        <v>60.619769341429098</v>
      </c>
      <c r="BN75" s="35"/>
      <c r="BO75" s="137"/>
      <c r="BP75" s="35"/>
      <c r="BQ75" s="48">
        <f>130.1-67.2</f>
        <v>62.899999999999991</v>
      </c>
      <c r="BR75" s="35"/>
      <c r="BS75" s="48">
        <f>181.7-160.4</f>
        <v>21.299999999999983</v>
      </c>
      <c r="BT75" s="35"/>
      <c r="BU75" s="56">
        <f>B75+D75+F75+H75</f>
        <v>120.5</v>
      </c>
      <c r="BV75" s="23" t="str">
        <f>IF(ISERROR((BU75/BS75-1)*100),"NA",IF(((BU75/BS75-1)*100)&gt;100,"NM",IF(((BU75/BS75-1)*100)&lt;-50,"NM",(BU75/BS75-1)*100)))</f>
        <v>NM</v>
      </c>
      <c r="BW75" s="56">
        <f>J75+L75+N75+P75</f>
        <v>165.3</v>
      </c>
      <c r="BX75" s="23">
        <f>IF(ISERROR((BW75/BU75-1)*100),"NA",IF(((BW75/BU75-1)*100)&gt;100,"NM",IF(((BW75/BU75-1)*100)&lt;-50,"NM",(BW75/BU75-1)*100)))</f>
        <v>37.178423236514526</v>
      </c>
      <c r="BY75" s="56">
        <f>R75+T75+V75+X75</f>
        <v>121.30000000000001</v>
      </c>
      <c r="BZ75" s="23">
        <f>IF(ISERROR((BY75/BW75-1)*100),"NA",IF(((BY75/BW75-1)*100)&gt;100,"NM",IF(((BY75/BW75-1)*100)&lt;-50,"NM",(BY75/BW75-1)*100)))</f>
        <v>-26.618269812462191</v>
      </c>
      <c r="CA75" s="56">
        <f>Z75+AB75+AD75+AF75</f>
        <v>188.7</v>
      </c>
      <c r="CB75" s="23">
        <f>IF(ISERROR((CA75/BY75-1)*100),"NA",IF(((CA75/BY75-1)*100)&gt;100,"NM",IF(((CA75/BY75-1)*100)&lt;-50,"NM",(CA75/BY75-1)*100)))</f>
        <v>55.564715581203593</v>
      </c>
      <c r="CC75" s="56">
        <f>AH75+AJ75+AL75+AN75</f>
        <v>189.7</v>
      </c>
      <c r="CD75" s="23">
        <f>IF(ISERROR((CC75/CA75-1)*100),"NA",IF(((CC75/CA75-1)*100)&gt;100,"NM",IF(((CC75/CA75-1)*100)&lt;-50,"NM",(CC75/CA75-1)*100)))</f>
        <v>0.52994170641229577</v>
      </c>
      <c r="CE75" s="56">
        <f>AP75+AR75+AT75+AV75</f>
        <v>214.5</v>
      </c>
      <c r="CF75" s="23">
        <f>IF(ISERROR((CE75/CC75-1)*100),"NA",IF(((CE75/CC75-1)*100)&gt;100,"NM",IF(((CE75/CC75-1)*100)&lt;-50,"NM",(CE75/CC75-1)*100)))</f>
        <v>13.073273589878752</v>
      </c>
      <c r="CG75" s="56">
        <f>AX75+AZ75+BB75+BD75</f>
        <v>278</v>
      </c>
      <c r="CH75" s="23">
        <f>IF(ISERROR((CG75/CE75-1)*100),"NA",IF(((CG75/CE75-1)*100)&gt;100,"NM",IF(((CG75/CE75-1)*100)&lt;-50,"NM",(CG75/CE75-1)*100)))</f>
        <v>29.603729603729612</v>
      </c>
      <c r="CI75" s="56">
        <f>BF75+BH75+BJ75+BL75</f>
        <v>156.17460108058606</v>
      </c>
      <c r="CJ75" s="23">
        <f>IF(ISERROR((CI75/CG75-1)*100),"NA",IF(((CI75/CG75-1)*100)&gt;100,"NM",IF(((CI75/CG75-1)*100)&lt;-50,"NM",(CI75/CG75-1)*100)))</f>
        <v>-43.822085942235233</v>
      </c>
      <c r="CK75" s="211">
        <f>CK73*CK81/100</f>
        <v>157.09880845380042</v>
      </c>
      <c r="CL75" s="23">
        <f>IF(ISERROR((CK75/CI75-1)*100),"NA",IF(((CK75/CI75-1)*100)&gt;100,"NM",IF(((CK75/CI75-1)*100)&lt;-50,"NM",(CK75/CI75-1)*100)))</f>
        <v>0.59177828329297633</v>
      </c>
      <c r="CM75" s="211">
        <f>CM73*CM81/100</f>
        <v>163.19531473107136</v>
      </c>
      <c r="CN75" s="23">
        <f>IF(ISERROR((CM75/CK75-1)*100),"NA",IF(((CM75/CK75-1)*100)&gt;100,"NM",IF(((CM75/CK75-1)*100)&lt;-50,"NM",(CM75/CK75-1)*100)))</f>
        <v>3.880682697261717</v>
      </c>
      <c r="CO75" s="211">
        <f>CO73*CO81/100</f>
        <v>169.43592835213192</v>
      </c>
      <c r="CP75" s="23">
        <f>IF(ISERROR((CO75/CM75-1)*100),"NA",IF(((CO75/CM75-1)*100)&gt;100,"NM",IF(((CO75/CM75-1)*100)&lt;-50,"NM",(CO75/CM75-1)*100)))</f>
        <v>3.8240151877793949</v>
      </c>
      <c r="CQ75" s="211">
        <f>CQ73*CQ81/100</f>
        <v>178.41334921306526</v>
      </c>
      <c r="CR75" s="23">
        <f>IF(ISERROR((CQ75/CO75-1)*100),"NA",IF(((CQ75/CO75-1)*100)&gt;100,"NM",IF(((CQ75/CO75-1)*100)&lt;-50,"NM",(CQ75/CO75-1)*100)))</f>
        <v>5.2984163088928282</v>
      </c>
      <c r="CS75" s="23">
        <f>IF(ISERROR(((CQ75/CG75)^0.2-1)*100),"NA",IF((((CQ75/CG75)^0.2-1)*100)&gt;100,"NM",IF((((CQ75/CG75)^0.2-1)*100)&lt;-50,"NM",((CQ75/CG75)^0.2-1)*100)))</f>
        <v>-8.4883238620983121</v>
      </c>
    </row>
    <row r="76" spans="1:97" ht="12.75" customHeight="1" x14ac:dyDescent="0.2">
      <c r="A76" s="4" t="s">
        <v>11</v>
      </c>
      <c r="B76" s="36">
        <f>B72+B73+B74+B75</f>
        <v>419.49999999999994</v>
      </c>
      <c r="C76" s="59"/>
      <c r="D76" s="36">
        <f>D72+D73+D74+D75</f>
        <v>444.00000000000006</v>
      </c>
      <c r="E76" s="59"/>
      <c r="F76" s="36">
        <f>F72+F73+F74+F75</f>
        <v>452.4</v>
      </c>
      <c r="G76" s="59"/>
      <c r="H76" s="36">
        <f>H72+H73+H74+H75</f>
        <v>413.4</v>
      </c>
      <c r="I76" s="59"/>
      <c r="J76" s="36">
        <f>J72+J73+J74+J75</f>
        <v>442.1</v>
      </c>
      <c r="K76" s="23">
        <f t="shared" si="553"/>
        <v>5.3873659117997796</v>
      </c>
      <c r="L76" s="36">
        <f>L72+L73+L74+L75</f>
        <v>456.30000000000007</v>
      </c>
      <c r="M76" s="23">
        <f t="shared" si="553"/>
        <v>2.7702702702702808</v>
      </c>
      <c r="N76" s="36">
        <f>N72+N73+N74+N75</f>
        <v>425.59999999999997</v>
      </c>
      <c r="O76" s="23">
        <f t="shared" si="553"/>
        <v>-5.9239610963748968</v>
      </c>
      <c r="P76" s="36">
        <f>P72+P73+P74+P75</f>
        <v>453.1</v>
      </c>
      <c r="Q76" s="23">
        <f t="shared" si="553"/>
        <v>9.6032897919690505</v>
      </c>
      <c r="R76" s="36">
        <f>R72+R73+R74+R75</f>
        <v>438.4</v>
      </c>
      <c r="S76" s="23">
        <f t="shared" si="553"/>
        <v>-0.8369147251753084</v>
      </c>
      <c r="T76" s="36">
        <f>T72+T73+T74+T75</f>
        <v>453.49999999999994</v>
      </c>
      <c r="U76" s="23">
        <f t="shared" si="553"/>
        <v>-0.61363138286217866</v>
      </c>
      <c r="V76" s="36">
        <f>V72+V73+V74+V75</f>
        <v>411.6</v>
      </c>
      <c r="W76" s="23">
        <f t="shared" si="553"/>
        <v>-3.2894736842105088</v>
      </c>
      <c r="X76" s="36">
        <f>X72+X73+X74+X75</f>
        <v>465.5</v>
      </c>
      <c r="Y76" s="23">
        <f t="shared" si="553"/>
        <v>2.7367027146325329</v>
      </c>
      <c r="Z76" s="36">
        <f>Z72+Z73+Z74+Z75</f>
        <v>474.3</v>
      </c>
      <c r="AA76" s="23">
        <f>IF(ISERROR((Z76/R76-1)*100),"NA",IF(((Z76/R76-1)*100)&gt;100,"NM",IF(((Z76/R76-1)*100)&lt;-50,"NM",(Z76/R76-1)*100)))</f>
        <v>8.1888686131387001</v>
      </c>
      <c r="AB76" s="36">
        <f>AB72+AB73+AB74+AB75</f>
        <v>445.2</v>
      </c>
      <c r="AC76" s="23">
        <f>IF(ISERROR((AB76/T76-1)*100),"NA",IF(((AB76/T76-1)*100)&gt;100,"NM",IF(((AB76/T76-1)*100)&lt;-50,"NM",(AB76/T76-1)*100)))</f>
        <v>-1.8302094818081538</v>
      </c>
      <c r="AD76" s="36">
        <f>AD72+AD73+AD74+AD75</f>
        <v>479.09999999999997</v>
      </c>
      <c r="AE76" s="23">
        <f>IF(ISERROR((AD76/V76-1)*100),"NA",IF(((AD76/V76-1)*100)&gt;100,"NM",IF(((AD76/V76-1)*100)&lt;-50,"NM",(AD76/V76-1)*100)))</f>
        <v>16.399416909620967</v>
      </c>
      <c r="AF76" s="36">
        <f>AF72+AF73+AF74+AF75</f>
        <v>450.40000000000003</v>
      </c>
      <c r="AG76" s="23">
        <f>IF(ISERROR((AF76/X76-1)*100),"NA",IF(((AF76/X76-1)*100)&gt;100,"NM",IF(((AF76/X76-1)*100)&lt;-50,"NM",(AF76/X76-1)*100)))</f>
        <v>-3.243823845327598</v>
      </c>
      <c r="AH76" s="36">
        <f>AH72+AH73+AH74+AH75</f>
        <v>457.4</v>
      </c>
      <c r="AI76" s="23">
        <f>IF(ISERROR((AH76/Z76-1)*100),"NA",IF(((AH76/Z76-1)*100)&gt;100,"NM",IF(((AH76/Z76-1)*100)&lt;-50,"NM",(AH76/Z76-1)*100)))</f>
        <v>-3.5631456883828849</v>
      </c>
      <c r="AJ76" s="36">
        <f>AJ72+AJ73+AJ74+AJ75</f>
        <v>453.90000000000003</v>
      </c>
      <c r="AK76" s="23">
        <f>IF(ISERROR((AJ76/AB76-1)*100),"NA",IF(((AJ76/AB76-1)*100)&gt;100,"NM",IF(((AJ76/AB76-1)*100)&lt;-50,"NM",(AJ76/AB76-1)*100)))</f>
        <v>1.9541778975741275</v>
      </c>
      <c r="AL76" s="36">
        <f>AL72+AL73+AL74+AL75</f>
        <v>507.6</v>
      </c>
      <c r="AM76" s="23">
        <f>IF(ISERROR((AL76/AD76-1)*100),"NA",IF(((AL76/AD76-1)*100)&gt;100,"NM",IF(((AL76/AD76-1)*100)&lt;-50,"NM",(AL76/AD76-1)*100)))</f>
        <v>5.9486537257357641</v>
      </c>
      <c r="AN76" s="410">
        <f t="shared" ref="AN76:AP76" si="566">AN72+AN73+AN74+AN75</f>
        <v>462.79999999999995</v>
      </c>
      <c r="AO76" s="23">
        <f>IF(ISERROR((AN76/AF76-1)*100),"NA",IF(((AN76/AF76-1)*100)&gt;100,"NM",IF(((AN76/AF76-1)*100)&lt;-50,"NM",(AN76/AF76-1)*100)))</f>
        <v>2.7531083481349805</v>
      </c>
      <c r="AP76" s="410">
        <f t="shared" si="566"/>
        <v>473.40000000000003</v>
      </c>
      <c r="AQ76" s="23">
        <f t="shared" si="533"/>
        <v>3.4980323567993077</v>
      </c>
      <c r="AR76" s="410">
        <f t="shared" ref="AR76:AT76" si="567">AR72+AR73+AR74+AR75</f>
        <v>459.8</v>
      </c>
      <c r="AS76" s="23">
        <f t="shared" si="535"/>
        <v>1.2998457810090347</v>
      </c>
      <c r="AT76" s="410">
        <f t="shared" si="567"/>
        <v>547.9</v>
      </c>
      <c r="AU76" s="23">
        <f t="shared" si="536"/>
        <v>7.9393223010244096</v>
      </c>
      <c r="AV76" s="410">
        <f t="shared" ref="AV76:AX76" si="568">AV72+AV73+AV74+AV75</f>
        <v>478.90000000000003</v>
      </c>
      <c r="AW76" s="23">
        <f t="shared" si="538"/>
        <v>3.4788245462402889</v>
      </c>
      <c r="AX76" s="410">
        <f t="shared" si="568"/>
        <v>472.80000000000007</v>
      </c>
      <c r="AY76" s="23">
        <f t="shared" si="539"/>
        <v>-0.12674271229403677</v>
      </c>
      <c r="AZ76" s="410">
        <f t="shared" ref="AZ76" si="569">AZ72+AZ73+AZ74+AZ75</f>
        <v>585.90000000000009</v>
      </c>
      <c r="BA76" s="23">
        <f t="shared" si="541"/>
        <v>27.424967377120502</v>
      </c>
      <c r="BB76" s="410">
        <f t="shared" ref="BB76:BD76" si="570">BB72+BB73+BB74+BB75</f>
        <v>518.79999999999995</v>
      </c>
      <c r="BC76" s="23">
        <f t="shared" si="543"/>
        <v>-5.3111881730242843</v>
      </c>
      <c r="BD76" s="410">
        <f t="shared" si="570"/>
        <v>472.20000000000005</v>
      </c>
      <c r="BE76" s="23">
        <f t="shared" si="544"/>
        <v>-1.3990394654416316</v>
      </c>
      <c r="BF76" s="36">
        <f t="shared" ref="BF76" si="571">BF72+BF73+BF74+BF75</f>
        <v>499.3431760768367</v>
      </c>
      <c r="BG76" s="23">
        <f t="shared" si="546"/>
        <v>5.6140389333410701</v>
      </c>
      <c r="BH76" s="36">
        <f t="shared" ref="BH76" si="572">BH72+BH73+BH74+BH75</f>
        <v>501.28005002032683</v>
      </c>
      <c r="BI76" s="23">
        <f t="shared" si="548"/>
        <v>-14.442729131195298</v>
      </c>
      <c r="BJ76" s="36">
        <f t="shared" ref="BJ76" si="573">BJ72+BJ73+BJ74+BJ75</f>
        <v>501.92609490639023</v>
      </c>
      <c r="BK76" s="23">
        <f t="shared" si="550"/>
        <v>-3.2524874891306288</v>
      </c>
      <c r="BL76" s="36">
        <f t="shared" ref="BL76" si="574">BL72+BL73+BL74+BL75</f>
        <v>508.57763572114351</v>
      </c>
      <c r="BM76" s="23">
        <f t="shared" si="552"/>
        <v>7.7038618638592737</v>
      </c>
      <c r="BN76" s="35"/>
      <c r="BO76" s="137"/>
      <c r="BP76" s="35"/>
      <c r="BQ76" s="36">
        <f>BQ73+BQ74+BQ75</f>
        <v>870.1</v>
      </c>
      <c r="BR76" s="35"/>
      <c r="BS76" s="36">
        <f>BS73+BS74+BS75</f>
        <v>915.69999999999993</v>
      </c>
      <c r="BT76" s="35"/>
      <c r="BU76" s="36">
        <f>BU72+BU73+BU74+BU75</f>
        <v>1729.3000000000002</v>
      </c>
      <c r="BV76" s="23">
        <f>IF(ISERROR((BU76/BS76-1)*100),"NA",IF(((BU76/BS76-1)*100)&gt;100,"NM",IF(((BU76/BS76-1)*100)&lt;-50,"NM",(BU76/BS76-1)*100)))</f>
        <v>88.850060063339555</v>
      </c>
      <c r="BW76" s="36">
        <f>BW72+BW73+BW74+BW75</f>
        <v>1777.1</v>
      </c>
      <c r="BX76" s="23">
        <f>IF(ISERROR((BW76/BU76-1)*100),"NA",IF(((BW76/BU76-1)*100)&gt;100,"NM",IF(((BW76/BU76-1)*100)&lt;-50,"NM",(BW76/BU76-1)*100)))</f>
        <v>2.7641242121089205</v>
      </c>
      <c r="BY76" s="36">
        <f>BY72+BY73+BY74+BY75</f>
        <v>1769</v>
      </c>
      <c r="BZ76" s="23">
        <f>IF(ISERROR((BY76/BW76-1)*100),"NA",IF(((BY76/BW76-1)*100)&gt;100,"NM",IF(((BY76/BW76-1)*100)&lt;-50,"NM",(BY76/BW76-1)*100)))</f>
        <v>-0.45579877328231211</v>
      </c>
      <c r="CA76" s="36">
        <f>CA72+CA73+CA74+CA75</f>
        <v>1849</v>
      </c>
      <c r="CB76" s="23">
        <f>IF(ISERROR((CA76/BY76-1)*100),"NA",IF(((CA76/BY76-1)*100)&gt;100,"NM",IF(((CA76/BY76-1)*100)&lt;-50,"NM",(CA76/BY76-1)*100)))</f>
        <v>4.5223289994346993</v>
      </c>
      <c r="CC76" s="36">
        <f>CC72+CC73+CC74+CC75</f>
        <v>1881.7000000000003</v>
      </c>
      <c r="CD76" s="23">
        <f>IF(ISERROR((CC76/CA76-1)*100),"NA",IF(((CC76/CA76-1)*100)&gt;100,"NM",IF(((CC76/CA76-1)*100)&lt;-50,"NM",(CC76/CA76-1)*100)))</f>
        <v>1.7685235262304033</v>
      </c>
      <c r="CE76" s="36">
        <f>CE72+CE73+CE74+CE75</f>
        <v>1960</v>
      </c>
      <c r="CF76" s="23">
        <f>IF(ISERROR((CE76/CC76-1)*100),"NA",IF(((CE76/CC76-1)*100)&gt;100,"NM",IF(((CE76/CC76-1)*100)&lt;-50,"NM",(CE76/CC76-1)*100)))</f>
        <v>4.1611308922782531</v>
      </c>
      <c r="CG76" s="36">
        <f>CG72+CG73+CG74+CG75</f>
        <v>2049.6999999999998</v>
      </c>
      <c r="CH76" s="23">
        <f>IF(ISERROR((CG76/CE76-1)*100),"NA",IF(((CG76/CE76-1)*100)&gt;100,"NM",IF(((CG76/CE76-1)*100)&lt;-50,"NM",(CG76/CE76-1)*100)))</f>
        <v>4.5765306122448779</v>
      </c>
      <c r="CI76" s="36">
        <f>CI72+CI73+CI74+CI75</f>
        <v>2011.1269567246973</v>
      </c>
      <c r="CJ76" s="23">
        <f>IF(ISERROR((CI76/CG76-1)*100),"NA",IF(((CI76/CG76-1)*100)&gt;100,"NM",IF(((CI76/CG76-1)*100)&lt;-50,"NM",(CI76/CG76-1)*100)))</f>
        <v>-1.8818872652243024</v>
      </c>
      <c r="CK76" s="211">
        <f>CK72+CK73+CK74+CK75</f>
        <v>2079.4720052057896</v>
      </c>
      <c r="CL76" s="23">
        <f>IF(ISERROR((CK76/CI76-1)*100),"NA",IF(((CK76/CI76-1)*100)&gt;100,"NM",IF(((CK76/CI76-1)*100)&lt;-50,"NM",(CK76/CI76-1)*100)))</f>
        <v>3.3983458007245115</v>
      </c>
      <c r="CM76" s="211">
        <f>CM72+CM73+CM74+CM75</f>
        <v>2174.7493230756286</v>
      </c>
      <c r="CN76" s="23">
        <f>IF(ISERROR((CM76/CK76-1)*100),"NA",IF(((CM76/CK76-1)*100)&gt;100,"NM",IF(((CM76/CK76-1)*100)&lt;-50,"NM",(CM76/CK76-1)*100)))</f>
        <v>4.581803343893065</v>
      </c>
      <c r="CO76" s="211">
        <f>CO72+CO73+CO74+CO75</f>
        <v>2273.3362559210341</v>
      </c>
      <c r="CP76" s="23">
        <f>IF(ISERROR((CO76/CM76-1)*100),"NA",IF(((CO76/CM76-1)*100)&gt;100,"NM",IF(((CO76/CM76-1)*100)&lt;-50,"NM",(CO76/CM76-1)*100)))</f>
        <v>4.5332550192948018</v>
      </c>
      <c r="CQ76" s="211">
        <f>CQ72+CQ73+CQ74+CQ75</f>
        <v>2378.9030305820547</v>
      </c>
      <c r="CR76" s="23">
        <f>IF(ISERROR((CQ76/CO76-1)*100),"NA",IF(((CQ76/CO76-1)*100)&gt;100,"NM",IF(((CQ76/CO76-1)*100)&lt;-50,"NM",(CQ76/CO76-1)*100)))</f>
        <v>4.6436937952344604</v>
      </c>
      <c r="CS76" s="23">
        <f>IF(ISERROR(((CQ76/CG76)^0.2-1)*100),"NA",IF((((CQ76/CG76)^0.2-1)*100)&gt;100,"NM",IF((((CQ76/CG76)^0.2-1)*100)&lt;-50,"NM",((CQ76/CG76)^0.2-1)*100)))</f>
        <v>3.0237342992675886</v>
      </c>
    </row>
    <row r="77" spans="1:97" ht="12.75" customHeight="1" x14ac:dyDescent="0.2">
      <c r="B77" s="35"/>
      <c r="C77" s="60"/>
      <c r="D77" s="35"/>
      <c r="E77" s="60"/>
      <c r="F77" s="35"/>
      <c r="G77" s="60"/>
      <c r="H77" s="35"/>
      <c r="I77" s="60"/>
      <c r="J77" s="35"/>
      <c r="L77" s="35"/>
      <c r="N77" s="35"/>
      <c r="P77" s="35"/>
      <c r="R77" s="35"/>
      <c r="T77" s="35"/>
      <c r="V77" s="79"/>
      <c r="X77" s="35"/>
      <c r="Z77" s="35"/>
      <c r="AB77" s="35"/>
      <c r="AD77" s="35"/>
      <c r="AF77" s="35"/>
      <c r="AH77" s="35"/>
      <c r="AJ77" s="35"/>
      <c r="AL77" s="35"/>
      <c r="AN77" s="409"/>
      <c r="AP77" s="409"/>
      <c r="AR77" s="409"/>
      <c r="AT77" s="409"/>
      <c r="AV77" s="409"/>
      <c r="AX77" s="409"/>
      <c r="AZ77" s="409"/>
      <c r="BB77" s="409"/>
      <c r="BD77" s="409"/>
      <c r="BF77" s="35"/>
      <c r="BH77" s="35"/>
      <c r="BJ77" s="35"/>
      <c r="BL77" s="35"/>
      <c r="BN77" s="35"/>
      <c r="BO77" s="138"/>
      <c r="BP77" s="35"/>
      <c r="BQ77" s="35"/>
      <c r="BR77" s="35"/>
      <c r="BS77" s="35"/>
      <c r="BT77" s="35"/>
      <c r="BU77" s="35"/>
      <c r="BW77" s="35"/>
      <c r="BY77" s="37"/>
      <c r="CA77" s="37"/>
      <c r="CC77" s="37"/>
      <c r="CE77" s="37"/>
      <c r="CG77" s="37"/>
      <c r="CI77" s="37"/>
      <c r="CK77" s="212"/>
      <c r="CM77" s="212"/>
      <c r="CO77" s="212"/>
      <c r="CQ77" s="212"/>
    </row>
    <row r="78" spans="1:97" ht="12.75" customHeight="1" x14ac:dyDescent="0.2">
      <c r="A78" s="11" t="s">
        <v>125</v>
      </c>
      <c r="B78" s="35"/>
      <c r="C78" s="60"/>
      <c r="D78" s="35"/>
      <c r="E78" s="60"/>
      <c r="F78" s="35"/>
      <c r="G78" s="60"/>
      <c r="H78" s="35"/>
      <c r="I78" s="60"/>
      <c r="J78" s="35"/>
      <c r="L78" s="35"/>
      <c r="N78" s="35"/>
      <c r="P78" s="35"/>
      <c r="R78" s="35"/>
      <c r="T78" s="35"/>
      <c r="V78" s="35"/>
      <c r="X78" s="35"/>
      <c r="Z78" s="35"/>
      <c r="AB78" s="35"/>
      <c r="AD78" s="35"/>
      <c r="AF78" s="35"/>
      <c r="AH78" s="35"/>
      <c r="AJ78" s="35"/>
      <c r="AL78" s="35"/>
      <c r="AN78" s="409"/>
      <c r="AP78" s="409"/>
      <c r="AR78" s="409"/>
      <c r="AT78" s="409"/>
      <c r="AV78" s="409"/>
      <c r="AX78" s="409"/>
      <c r="AZ78" s="409"/>
      <c r="BB78" s="409"/>
      <c r="BD78" s="409"/>
      <c r="BF78" s="35"/>
      <c r="BH78" s="35"/>
      <c r="BJ78" s="35"/>
      <c r="BL78" s="35"/>
      <c r="BN78" s="35"/>
      <c r="BO78" s="138"/>
      <c r="BP78" s="35"/>
      <c r="BQ78" s="35"/>
      <c r="BR78" s="35"/>
      <c r="BS78" s="35"/>
      <c r="BT78" s="35"/>
      <c r="BU78" s="35"/>
      <c r="BW78" s="35"/>
      <c r="BY78" s="37"/>
      <c r="CA78" s="37"/>
      <c r="CC78" s="37"/>
      <c r="CE78" s="37"/>
      <c r="CG78" s="37"/>
      <c r="CI78" s="37"/>
      <c r="CK78" s="212"/>
      <c r="CM78" s="212"/>
      <c r="CO78" s="212"/>
      <c r="CQ78" s="212"/>
    </row>
    <row r="79" spans="1:97" ht="12.75" customHeight="1" x14ac:dyDescent="0.2">
      <c r="A79" s="4" t="s">
        <v>126</v>
      </c>
      <c r="B79" s="35">
        <f t="shared" ref="B79:P79" si="575">B73/B60*100</f>
        <v>33.066343710146519</v>
      </c>
      <c r="C79" s="59"/>
      <c r="D79" s="35">
        <f t="shared" si="575"/>
        <v>30.840452956499437</v>
      </c>
      <c r="E79" s="59"/>
      <c r="F79" s="35">
        <f t="shared" si="575"/>
        <v>31.705055720181075</v>
      </c>
      <c r="G79" s="59"/>
      <c r="H79" s="35">
        <f t="shared" si="575"/>
        <v>37.008152550542292</v>
      </c>
      <c r="I79" s="59"/>
      <c r="J79" s="35">
        <f t="shared" si="575"/>
        <v>31.721080565539534</v>
      </c>
      <c r="K79" s="23">
        <f t="shared" ref="K79:Y81" si="576">IF(ISERROR((J79/B79-1)*100),"NA",IF(((J79/B79-1)*100)&gt;100,"NM",IF(((J79/B79-1)*100)&lt;-50,"NM",(J79/B79-1)*100)))</f>
        <v>-4.0683758579397651</v>
      </c>
      <c r="L79" s="35">
        <f t="shared" si="575"/>
        <v>33.711912933012272</v>
      </c>
      <c r="M79" s="23">
        <f t="shared" si="576"/>
        <v>9.3106932656373154</v>
      </c>
      <c r="N79" s="35">
        <f t="shared" si="575"/>
        <v>29.304812084863091</v>
      </c>
      <c r="O79" s="23">
        <f t="shared" si="576"/>
        <v>-7.570539085317451</v>
      </c>
      <c r="P79" s="35">
        <f t="shared" si="575"/>
        <v>30.451060795150646</v>
      </c>
      <c r="Q79" s="23">
        <f t="shared" si="576"/>
        <v>-17.717965646722245</v>
      </c>
      <c r="R79" s="35">
        <f>R73/R60*100</f>
        <v>29.503644567858377</v>
      </c>
      <c r="S79" s="23">
        <f t="shared" si="576"/>
        <v>-6.9904175965874504</v>
      </c>
      <c r="T79" s="35">
        <f>T73/T60*100</f>
        <v>29.810483182516645</v>
      </c>
      <c r="U79" s="23">
        <f t="shared" si="576"/>
        <v>-11.572851882502244</v>
      </c>
      <c r="V79" s="35">
        <f>V73/V60*100</f>
        <v>28.685924194356321</v>
      </c>
      <c r="W79" s="23">
        <f t="shared" si="576"/>
        <v>-2.1118985124850775</v>
      </c>
      <c r="X79" s="35">
        <f>X73/X60*100</f>
        <v>30.094355239198816</v>
      </c>
      <c r="Y79" s="23">
        <f t="shared" si="576"/>
        <v>-1.171406008977649</v>
      </c>
      <c r="Z79" s="35">
        <f>Z73/Z60*100</f>
        <v>31.907671418873047</v>
      </c>
      <c r="AA79" s="23">
        <f>IF(ISERROR((Z79/R79-1)*100),"NA",IF(((Z79/R79-1)*100)&gt;100,"NM",IF(((Z79/R79-1)*100)&lt;-50,"NM",(Z79/R79-1)*100)))</f>
        <v>8.1482368914979517</v>
      </c>
      <c r="AB79" s="35">
        <f>AB73/AB60*100</f>
        <v>30.728180409709065</v>
      </c>
      <c r="AC79" s="23">
        <f>IF(ISERROR((AB79/T79-1)*100),"NA",IF(((AB79/T79-1)*100)&gt;100,"NM",IF(((AB79/T79-1)*100)&lt;-50,"NM",(AB79/T79-1)*100)))</f>
        <v>3.0784379494077863</v>
      </c>
      <c r="AD79" s="35">
        <f>AD73/AD60*100</f>
        <v>28.420523138832998</v>
      </c>
      <c r="AE79" s="23">
        <f>IF(ISERROR((AD79/V79-1)*100),"NA",IF(((AD79/V79-1)*100)&gt;100,"NM",IF(((AD79/V79-1)*100)&lt;-50,"NM",(AD79/V79-1)*100)))</f>
        <v>-0.92519611264795243</v>
      </c>
      <c r="AF79" s="35">
        <f>AF73/AF60*100</f>
        <v>29.030646235842777</v>
      </c>
      <c r="AG79" s="23">
        <f>IF(ISERROR((AF79/X79-1)*100),"NA",IF(((AF79/X79-1)*100)&gt;100,"NM",IF(((AF79/X79-1)*100)&lt;-50,"NM",(AF79/X79-1)*100)))</f>
        <v>-3.5345798070813172</v>
      </c>
      <c r="AH79" s="35">
        <f>AH73/AH60*100</f>
        <v>31.030927835051546</v>
      </c>
      <c r="AI79" s="23">
        <f>IF(ISERROR((AH79/Z79-1)*100),"NA",IF(((AH79/Z79-1)*100)&gt;100,"NM",IF(((AH79/Z79-1)*100)&lt;-50,"NM",(AH79/Z79-1)*100)))</f>
        <v>-2.7477516999341978</v>
      </c>
      <c r="AJ79" s="35">
        <f>AJ73/AJ60*100</f>
        <v>31.117980422462644</v>
      </c>
      <c r="AK79" s="23">
        <f>IF(ISERROR((AJ79/AB79-1)*100),"NA",IF(((AJ79/AB79-1)*100)&gt;100,"NM",IF(((AJ79/AB79-1)*100)&lt;-50,"NM",(AJ79/AB79-1)*100)))</f>
        <v>1.2685424504680798</v>
      </c>
      <c r="AL79" s="35">
        <f>AL73/AL60*100</f>
        <v>29.314742390749878</v>
      </c>
      <c r="AM79" s="23">
        <f>IF(ISERROR((AL79/AD79-1)*100),"NA",IF(((AL79/AD79-1)*100)&gt;100,"NM",IF(((AL79/AD79-1)*100)&lt;-50,"NM",(AL79/AD79-1)*100)))</f>
        <v>3.1463856155942604</v>
      </c>
      <c r="AN79" s="409">
        <f t="shared" ref="AN79:AP79" si="577">AN73/AN60*100</f>
        <v>29.521586931155191</v>
      </c>
      <c r="AO79" s="23">
        <f>IF(ISERROR((AN79/AF79-1)*100),"NA",IF(((AN79/AF79-1)*100)&gt;100,"NM",IF(((AN79/AF79-1)*100)&lt;-50,"NM",(AN79/AF79-1)*100)))</f>
        <v>1.6911118385861901</v>
      </c>
      <c r="AP79" s="409">
        <f t="shared" si="577"/>
        <v>32.472708369433377</v>
      </c>
      <c r="AQ79" s="23">
        <f t="shared" ref="AQ79:AQ81" si="578">IF(ISERROR((AP79/AH79-1)*100),"NA",IF(((AP79/AH79-1)*100)&gt;100,"NM",IF(((AP79/AH79-1)*100)&lt;-50,"NM",(AP79/AH79-1)*100)))</f>
        <v>4.646269496180655</v>
      </c>
      <c r="AR79" s="409">
        <f t="shared" ref="AR79:AT79" si="579">AR73/AR60*100</f>
        <v>28.985507246376812</v>
      </c>
      <c r="AS79" s="23">
        <f t="shared" ref="AS79:AS81" si="580">IF(ISERROR((AR79/AJ79-1)*100),"NA",IF(((AR79/AJ79-1)*100)&gt;100,"NM",IF(((AR79/AJ79-1)*100)&lt;-50,"NM",(AR79/AJ79-1)*100)))</f>
        <v>-6.8528649582493379</v>
      </c>
      <c r="AT79" s="409">
        <f t="shared" si="579"/>
        <v>27.292075965946299</v>
      </c>
      <c r="AU79" s="23">
        <f t="shared" ref="AU79:AU81" si="581">IF(ISERROR((AT79/AL79-1)*100),"NA",IF(((AT79/AL79-1)*100)&gt;100,"NM",IF(((AT79/AL79-1)*100)&lt;-50,"NM",(AT79/AL79-1)*100)))</f>
        <v>-6.8998267078131281</v>
      </c>
      <c r="AV79" s="409">
        <f t="shared" ref="AV79:AX79" si="582">AV73/AV60*100</f>
        <v>26.624839124839124</v>
      </c>
      <c r="AW79" s="23">
        <f t="shared" ref="AW79:AW81" si="583">IF(ISERROR((AV79/AN79-1)*100),"NA",IF(((AV79/AN79-1)*100)&gt;100,"NM",IF(((AV79/AN79-1)*100)&lt;-50,"NM",(AV79/AN79-1)*100)))</f>
        <v>-9.812303834042968</v>
      </c>
      <c r="AX79" s="409">
        <f t="shared" si="582"/>
        <v>29.568854568854576</v>
      </c>
      <c r="AY79" s="23">
        <f t="shared" ref="AY79:AY81" si="584">IF(ISERROR((AX79/AP79-1)*100),"NA",IF(((AX79/AP79-1)*100)&gt;100,"NM",IF(((AX79/AP79-1)*100)&lt;-50,"NM",(AX79/AP79-1)*100)))</f>
        <v>-8.9424441212061172</v>
      </c>
      <c r="AZ79" s="409">
        <f t="shared" ref="AZ79" si="585">AZ73/AZ60*100</f>
        <v>26.364223442040686</v>
      </c>
      <c r="BA79" s="23">
        <f t="shared" ref="BA79:BA81" si="586">IF(ISERROR((AZ79/AR79-1)*100),"NA",IF(((AZ79/AR79-1)*100)&gt;100,"NM",IF(((AZ79/AR79-1)*100)&lt;-50,"NM",(AZ79/AR79-1)*100)))</f>
        <v>-9.0434291249596335</v>
      </c>
      <c r="BB79" s="409">
        <f t="shared" ref="BB79:BD79" si="587">BB73/BB60*100</f>
        <v>25.447570332480819</v>
      </c>
      <c r="BC79" s="23">
        <f t="shared" ref="BC79:BC81" si="588">IF(ISERROR((BB79/AT79-1)*100),"NA",IF(((BB79/AT79-1)*100)&gt;100,"NM",IF(((BB79/AT79-1)*100)&lt;-50,"NM",(BB79/AT79-1)*100)))</f>
        <v>-6.7583925670108957</v>
      </c>
      <c r="BD79" s="409">
        <f t="shared" si="587"/>
        <v>26.014990630855717</v>
      </c>
      <c r="BE79" s="23">
        <f t="shared" ref="BE79:BE81" si="589">IF(ISERROR((BD79/AV79-1)*100),"NA",IF(((BD79/AV79-1)*100)&gt;100,"NM",IF(((BD79/AV79-1)*100)&lt;-50,"NM",(BD79/AV79-1)*100)))</f>
        <v>-2.2905246154687919</v>
      </c>
      <c r="BF79" s="114">
        <v>30.5</v>
      </c>
      <c r="BG79" s="23">
        <f t="shared" ref="BG79:BG81" si="590">IF(ISERROR((BF79/AX79-1)*100),"NA",IF(((BF79/AX79-1)*100)&gt;100,"NM",IF(((BF79/AX79-1)*100)&lt;-50,"NM",(BF79/AX79-1)*100)))</f>
        <v>3.1490750816104196</v>
      </c>
      <c r="BH79" s="114">
        <v>27.5</v>
      </c>
      <c r="BI79" s="23">
        <f t="shared" ref="BI79:BI81" si="591">IF(ISERROR((BH79/AZ79-1)*100),"NA",IF(((BH79/AZ79-1)*100)&gt;100,"NM",IF(((BH79/AZ79-1)*100)&lt;-50,"NM",(BH79/AZ79-1)*100)))</f>
        <v>4.3080220453153739</v>
      </c>
      <c r="BJ79" s="114">
        <v>27</v>
      </c>
      <c r="BK79" s="23">
        <f t="shared" ref="BK79:BK81" si="592">IF(ISERROR((BJ79/BB79-1)*100),"NA",IF(((BJ79/BB79-1)*100)&gt;100,"NM",IF(((BJ79/BB79-1)*100)&lt;-50,"NM",(BJ79/BB79-1)*100)))</f>
        <v>6.1005025125628221</v>
      </c>
      <c r="BL79" s="114">
        <f>BJ79-0.2</f>
        <v>26.8</v>
      </c>
      <c r="BM79" s="23">
        <f t="shared" ref="BM79:BM81" si="593">IF(ISERROR((BL79/BD79-1)*100),"NA",IF(((BL79/BD79-1)*100)&gt;100,"NM",IF(((BL79/BD79-1)*100)&lt;-50,"NM",(BL79/BD79-1)*100)))</f>
        <v>3.0175270108043106</v>
      </c>
      <c r="BN79" s="35"/>
      <c r="BO79" s="138"/>
      <c r="BP79" s="35"/>
      <c r="BQ79" s="113"/>
      <c r="BR79" s="113"/>
      <c r="BS79" s="113"/>
      <c r="BT79" s="35"/>
      <c r="BU79" s="35">
        <f>BU73/BU60*100</f>
        <v>32.991428584588043</v>
      </c>
      <c r="BV79" s="23" t="str">
        <f>IF(ISERROR((BU79/BS79-1)*100),"NA",IF(((BU79/BS79-1)*100)&gt;100,"NM",IF(((BU79/BS79-1)*100)&lt;-50,"NM",(BU79/BS79-1)*100)))</f>
        <v>NA</v>
      </c>
      <c r="BW79" s="35">
        <f>BW73/BW60*100</f>
        <v>31.252934877511407</v>
      </c>
      <c r="BX79" s="23">
        <f>IF(ISERROR((BW79/BU79-1)*100),"NA",IF(((BW79/BU79-1)*100)&gt;100,"NM",IF(((BW79/BU79-1)*100)&lt;-50,"NM",(BW79/BU79-1)*100)))</f>
        <v>-5.2695314560848523</v>
      </c>
      <c r="BY79" s="37">
        <f>BY73/BY60*100</f>
        <v>29.523447080214808</v>
      </c>
      <c r="BZ79" s="23">
        <f>IF(ISERROR((BY79/BW79-1)*100),"NA",IF(((BY79/BW79-1)*100)&gt;100,"NM",IF(((BY79/BW79-1)*100)&lt;-50,"NM",(BY79/BW79-1)*100)))</f>
        <v>-5.5338412346709998</v>
      </c>
      <c r="CA79" s="37">
        <f>CA73/CA60*100</f>
        <v>30.009717351810384</v>
      </c>
      <c r="CB79" s="23">
        <f>IF(ISERROR((CA79/BY79-1)*100),"NA",IF(((CA79/BY79-1)*100)&gt;100,"NM",IF(((CA79/BY79-1)*100)&lt;-50,"NM",(CA79/BY79-1)*100)))</f>
        <v>1.6470646881930451</v>
      </c>
      <c r="CC79" s="37">
        <f>CC73/CC60*100</f>
        <v>30.238489988521867</v>
      </c>
      <c r="CD79" s="23">
        <f>IF(ISERROR((CC79/CA79-1)*100),"NA",IF(((CC79/CA79-1)*100)&gt;100,"NM",IF(((CC79/CA79-1)*100)&lt;-50,"NM",(CC79/CA79-1)*100)))</f>
        <v>0.76232852855471211</v>
      </c>
      <c r="CE79" s="37">
        <f>CE73/CE60*100</f>
        <v>28.782471574404511</v>
      </c>
      <c r="CF79" s="23">
        <f>IF(ISERROR((CE79/CC79-1)*100),"NA",IF(((CE79/CC79-1)*100)&gt;100,"NM",IF(((CE79/CC79-1)*100)&lt;-50,"NM",(CE79/CC79-1)*100)))</f>
        <v>-4.815116147234999</v>
      </c>
      <c r="CG79" s="37">
        <f>CG73/CG60*100</f>
        <v>26.840845632229755</v>
      </c>
      <c r="CH79" s="23">
        <f>IF(ISERROR((CG79/CE79-1)*100),"NA",IF(((CG79/CE79-1)*100)&gt;100,"NM",IF(((CG79/CE79-1)*100)&lt;-50,"NM",(CG79/CE79-1)*100)))</f>
        <v>-6.745862450191364</v>
      </c>
      <c r="CI79" s="37">
        <f>CI73/CI60*100</f>
        <v>27.941377787415128</v>
      </c>
      <c r="CJ79" s="23">
        <f>IF(ISERROR((CI79/CG79-1)*100),"NA",IF(((CI79/CG79-1)*100)&gt;100,"NM",IF(((CI79/CG79-1)*100)&lt;-50,"NM",(CI79/CG79-1)*100)))</f>
        <v>4.100214167112104</v>
      </c>
      <c r="CK79" s="114">
        <f>CI79-0.2</f>
        <v>27.741377787415129</v>
      </c>
      <c r="CL79" s="23">
        <f>IF(ISERROR((CK79/CI79-1)*100),"NA",IF(((CK79/CI79-1)*100)&gt;100,"NM",IF(((CK79/CI79-1)*100)&lt;-50,"NM",(CK79/CI79-1)*100)))</f>
        <v>-0.71578431644154783</v>
      </c>
      <c r="CM79" s="114">
        <f>CK79-0.2</f>
        <v>27.541377787415129</v>
      </c>
      <c r="CN79" s="23">
        <f>IF(ISERROR((CM79/CK79-1)*100),"NA",IF(((CM79/CK79-1)*100)&gt;100,"NM",IF(((CM79/CK79-1)*100)&lt;-50,"NM",(CM79/CK79-1)*100)))</f>
        <v>-0.72094472571845314</v>
      </c>
      <c r="CO79" s="114">
        <f>CM79-0.2</f>
        <v>27.34137778741513</v>
      </c>
      <c r="CP79" s="23">
        <f>IF(ISERROR((CO79/CM79-1)*100),"NA",IF(((CO79/CM79-1)*100)&gt;100,"NM",IF(((CO79/CM79-1)*100)&lt;-50,"NM",(CO79/CM79-1)*100)))</f>
        <v>-0.72618008272407053</v>
      </c>
      <c r="CQ79" s="114">
        <f>CO79-0.2</f>
        <v>27.141377787415131</v>
      </c>
      <c r="CR79" s="23">
        <f>IF(ISERROR((CQ79/CO79-1)*100),"NA",IF(((CQ79/CO79-1)*100)&gt;100,"NM",IF(((CQ79/CO79-1)*100)&lt;-50,"NM",(CQ79/CO79-1)*100)))</f>
        <v>-0.73149203216839043</v>
      </c>
      <c r="CS79" s="23">
        <f>IF(ISERROR(((CQ79/CG79)^0.2-1)*100),"NA",IF((((CQ79/CG79)^0.2-1)*100)&gt;100,"NM",IF((((CQ79/CG79)^0.2-1)*100)&lt;-50,"NM",((CQ79/CG79)^0.2-1)*100)))</f>
        <v>0.22294016338131328</v>
      </c>
    </row>
    <row r="80" spans="1:97" ht="12.75" customHeight="1" x14ac:dyDescent="0.2">
      <c r="A80" s="4" t="s">
        <v>172</v>
      </c>
      <c r="B80" s="35">
        <f t="shared" ref="B80:P80" si="594">B74/B60*100</f>
        <v>5.2113438477700402</v>
      </c>
      <c r="C80" s="59"/>
      <c r="D80" s="35">
        <f t="shared" si="594"/>
        <v>4.858889743693565</v>
      </c>
      <c r="E80" s="59"/>
      <c r="F80" s="35">
        <f t="shared" si="594"/>
        <v>5.0539022306251935</v>
      </c>
      <c r="G80" s="59"/>
      <c r="H80" s="35">
        <f t="shared" si="594"/>
        <v>6.2886966882978514</v>
      </c>
      <c r="I80" s="59"/>
      <c r="J80" s="35">
        <f t="shared" si="594"/>
        <v>5.1396628310534549</v>
      </c>
      <c r="K80" s="23">
        <f t="shared" si="576"/>
        <v>-1.3754804674279586</v>
      </c>
      <c r="L80" s="35">
        <f t="shared" si="594"/>
        <v>5.3089626666161056</v>
      </c>
      <c r="M80" s="23">
        <f t="shared" si="576"/>
        <v>9.2628758145149916</v>
      </c>
      <c r="N80" s="35">
        <f t="shared" si="594"/>
        <v>4.8870547350130318</v>
      </c>
      <c r="O80" s="23">
        <f t="shared" si="576"/>
        <v>-3.3013597809849582</v>
      </c>
      <c r="P80" s="35">
        <f t="shared" si="594"/>
        <v>5.5446603672668919</v>
      </c>
      <c r="Q80" s="23">
        <f t="shared" si="576"/>
        <v>-11.831327823704374</v>
      </c>
      <c r="R80" s="35">
        <f>R74/R60*100</f>
        <v>5.1891704269350916</v>
      </c>
      <c r="S80" s="23">
        <f t="shared" si="576"/>
        <v>0.96324598536923212</v>
      </c>
      <c r="T80" s="35">
        <f>T74/T60*100</f>
        <v>5.4464743042513222</v>
      </c>
      <c r="U80" s="23">
        <f t="shared" si="576"/>
        <v>2.5901790287567783</v>
      </c>
      <c r="V80" s="35">
        <f>V74/V60*100</f>
        <v>5.2429453998998161</v>
      </c>
      <c r="W80" s="23">
        <f t="shared" si="576"/>
        <v>7.2823138717277969</v>
      </c>
      <c r="X80" s="35">
        <f>X74/X60*100</f>
        <v>5.8434034100314527</v>
      </c>
      <c r="Y80" s="23">
        <f t="shared" si="576"/>
        <v>5.3879412439434837</v>
      </c>
      <c r="Z80" s="35">
        <f>Z74/Z60*100</f>
        <v>5.7196198234894773</v>
      </c>
      <c r="AA80" s="23">
        <f>IF(ISERROR((Z80/R80-1)*100),"NA",IF(((Z80/R80-1)*100)&gt;100,"NM",IF(((Z80/R80-1)*100)&lt;-50,"NM",(Z80/R80-1)*100)))</f>
        <v>10.222238872730326</v>
      </c>
      <c r="AB80" s="35">
        <f>AB74/AB60*100</f>
        <v>5.9390600791874668</v>
      </c>
      <c r="AC80" s="23">
        <f>IF(ISERROR((AB80/T80-1)*100),"NA",IF(((AB80/T80-1)*100)&gt;100,"NM",IF(((AB80/T80-1)*100)&lt;-50,"NM",(AB80/T80-1)*100)))</f>
        <v>9.0441218927931111</v>
      </c>
      <c r="AD80" s="35">
        <f>AD74/AD60*100</f>
        <v>5.8517773306505694</v>
      </c>
      <c r="AE80" s="23">
        <f>IF(ISERROR((AD80/V80-1)*100),"NA",IF(((AD80/V80-1)*100)&gt;100,"NM",IF(((AD80/V80-1)*100)&lt;-50,"NM",(AD80/V80-1)*100)))</f>
        <v>11.612402653714216</v>
      </c>
      <c r="AF80" s="35">
        <f>AF74/AF60*100</f>
        <v>5.9460359760159909</v>
      </c>
      <c r="AG80" s="23">
        <f>IF(ISERROR((AF80/X80-1)*100),"NA",IF(((AF80/X80-1)*100)&gt;100,"NM",IF(((AF80/X80-1)*100)&lt;-50,"NM",(AF80/X80-1)*100)))</f>
        <v>1.7563833742566537</v>
      </c>
      <c r="AH80" s="35">
        <f>AH74/AH60*100</f>
        <v>6.0481099656357395</v>
      </c>
      <c r="AI80" s="23">
        <f>IF(ISERROR((AH80/Z80-1)*100),"NA",IF(((AH80/Z80-1)*100)&gt;100,"NM",IF(((AH80/Z80-1)*100)&lt;-50,"NM",(AH80/Z80-1)*100)))</f>
        <v>5.7432163724800533</v>
      </c>
      <c r="AJ80" s="35">
        <f>AJ74/AJ60*100</f>
        <v>6.233900051519834</v>
      </c>
      <c r="AK80" s="23">
        <f>IF(ISERROR((AJ80/AB80-1)*100),"NA",IF(((AJ80/AB80-1)*100)&gt;100,"NM",IF(((AJ80/AB80-1)*100)&lt;-50,"NM",(AJ80/AB80-1)*100)))</f>
        <v>4.964421447184697</v>
      </c>
      <c r="AL80" s="35">
        <f>AL74/AL60*100</f>
        <v>5.8323414385308618</v>
      </c>
      <c r="AM80" s="23">
        <f>IF(ISERROR((AL80/AD80-1)*100),"NA",IF(((AL80/AD80-1)*100)&gt;100,"NM",IF(((AL80/AD80-1)*100)&lt;-50,"NM",(AL80/AD80-1)*100)))</f>
        <v>-0.33213656332933272</v>
      </c>
      <c r="AN80" s="409">
        <f t="shared" ref="AN80:AP80" si="595">AN74/AN60*100</f>
        <v>6.1510251708618107</v>
      </c>
      <c r="AO80" s="23">
        <f>IF(ISERROR((AN80/AF80-1)*100),"NA",IF(((AN80/AF80-1)*100)&gt;100,"NM",IF(((AN80/AF80-1)*100)&lt;-50,"NM",(AN80/AF80-1)*100)))</f>
        <v>3.4474933497319338</v>
      </c>
      <c r="AP80" s="409">
        <f t="shared" si="595"/>
        <v>5.9608386761393177</v>
      </c>
      <c r="AQ80" s="23">
        <f t="shared" si="578"/>
        <v>-1.4429514342874317</v>
      </c>
      <c r="AR80" s="409">
        <f t="shared" ref="AR80:AT80" si="596">AR74/AR60*100</f>
        <v>6.0136598367482934</v>
      </c>
      <c r="AS80" s="23">
        <f t="shared" si="580"/>
        <v>-3.5329442716657833</v>
      </c>
      <c r="AT80" s="409">
        <f t="shared" si="596"/>
        <v>6.1558611656843487</v>
      </c>
      <c r="AU80" s="23">
        <f t="shared" si="581"/>
        <v>5.5469956716899693</v>
      </c>
      <c r="AV80" s="409">
        <f t="shared" ref="AV80:AX80" si="597">AV74/AV60*100</f>
        <v>6.0810810810810807</v>
      </c>
      <c r="AW80" s="23">
        <f t="shared" si="583"/>
        <v>-1.1371127224785837</v>
      </c>
      <c r="AX80" s="409">
        <f t="shared" si="597"/>
        <v>6.3545688545688552</v>
      </c>
      <c r="AY80" s="23">
        <f t="shared" si="584"/>
        <v>6.6052815689443545</v>
      </c>
      <c r="AZ80" s="409">
        <f t="shared" ref="AZ80" si="598">AZ74/AZ60*100</f>
        <v>6.5547303842428155</v>
      </c>
      <c r="BA80" s="23">
        <f t="shared" si="586"/>
        <v>8.9973587163701296</v>
      </c>
      <c r="BB80" s="409">
        <f t="shared" ref="BB80:BD80" si="599">BB74/BB60*100</f>
        <v>6.553708439897699</v>
      </c>
      <c r="BC80" s="23">
        <f t="shared" si="588"/>
        <v>6.4629019970615431</v>
      </c>
      <c r="BD80" s="409">
        <f t="shared" si="599"/>
        <v>6.5584009993753911</v>
      </c>
      <c r="BE80" s="23">
        <f t="shared" si="589"/>
        <v>7.8492608786175477</v>
      </c>
      <c r="BF80" s="47">
        <f>AX80</f>
        <v>6.3545688545688552</v>
      </c>
      <c r="BG80" s="23">
        <f t="shared" si="590"/>
        <v>0</v>
      </c>
      <c r="BH80" s="47">
        <f>BF80</f>
        <v>6.3545688545688552</v>
      </c>
      <c r="BI80" s="23">
        <f t="shared" si="591"/>
        <v>-3.0536958492623389</v>
      </c>
      <c r="BJ80" s="47">
        <f>BH80</f>
        <v>6.3545688545688552</v>
      </c>
      <c r="BK80" s="23">
        <f t="shared" si="592"/>
        <v>-3.0385786483347443</v>
      </c>
      <c r="BL80" s="47">
        <f>BJ80</f>
        <v>6.3545688545688552</v>
      </c>
      <c r="BM80" s="23">
        <f t="shared" si="593"/>
        <v>-3.1079548936691848</v>
      </c>
      <c r="BN80" s="35"/>
      <c r="BO80" s="138"/>
      <c r="BP80" s="35"/>
      <c r="BQ80" s="113"/>
      <c r="BR80" s="113"/>
      <c r="BS80" s="113"/>
      <c r="BT80" s="35"/>
      <c r="BU80" s="35">
        <f>BU74/BU60*100</f>
        <v>5.3151066015097861</v>
      </c>
      <c r="BV80" s="23" t="str">
        <f>IF(ISERROR((BU80/BS80-1)*100),"NA",IF(((BU80/BS80-1)*100)&gt;100,"NM",IF(((BU80/BS80-1)*100)&lt;-50,"NM",(BU80/BS80-1)*100)))</f>
        <v>NA</v>
      </c>
      <c r="BW80" s="35">
        <f>BW74/BW60*100</f>
        <v>5.2170607322488483</v>
      </c>
      <c r="BX80" s="23">
        <f>IF(ISERROR((BW80/BU80-1)*100),"NA",IF(((BW80/BU80-1)*100)&gt;100,"NM",IF(((BW80/BU80-1)*100)&lt;-50,"NM",(BW80/BU80-1)*100)))</f>
        <v>-1.844664211120195</v>
      </c>
      <c r="BY80" s="37">
        <f>BY74/BY60*100</f>
        <v>5.4336335574442884</v>
      </c>
      <c r="BZ80" s="23">
        <f>IF(ISERROR((BY80/BW80-1)*100),"NA",IF(((BY80/BW80-1)*100)&gt;100,"NM",IF(((BY80/BW80-1)*100)&lt;-50,"NM",(BY80/BW80-1)*100)))</f>
        <v>4.1512421708398417</v>
      </c>
      <c r="CA80" s="37">
        <f>CA74/CA60*100</f>
        <v>5.8642105707887957</v>
      </c>
      <c r="CB80" s="23">
        <f>IF(ISERROR((CA80/BY80-1)*100),"NA",IF(((CA80/BY80-1)*100)&gt;100,"NM",IF(((CA80/BY80-1)*100)&lt;-50,"NM",(CA80/BY80-1)*100)))</f>
        <v>7.9242924424780092</v>
      </c>
      <c r="CC80" s="37">
        <f>CC74/CC60*100</f>
        <v>6.0664030948433441</v>
      </c>
      <c r="CD80" s="23">
        <f>IF(ISERROR((CC80/CA80-1)*100),"NA",IF(((CC80/CA80-1)*100)&gt;100,"NM",IF(((CC80/CA80-1)*100)&lt;-50,"NM",(CC80/CA80-1)*100)))</f>
        <v>3.4479069537803442</v>
      </c>
      <c r="CE80" s="37">
        <f>CE74/CE60*100</f>
        <v>6.0544443522283986</v>
      </c>
      <c r="CF80" s="23">
        <f>IF(ISERROR((CE80/CC80-1)*100),"NA",IF(((CE80/CC80-1)*100)&gt;100,"NM",IF(((CE80/CC80-1)*100)&lt;-50,"NM",(CE80/CC80-1)*100)))</f>
        <v>-0.19713069553703999</v>
      </c>
      <c r="CG80" s="37">
        <f>CG74/CG60*100</f>
        <v>6.5057838053450334</v>
      </c>
      <c r="CH80" s="23">
        <f>IF(ISERROR((CG80/CE80-1)*100),"NA",IF(((CG80/CE80-1)*100)&gt;100,"NM",IF(((CG80/CE80-1)*100)&lt;-50,"NM",(CG80/CE80-1)*100)))</f>
        <v>7.45468001453371</v>
      </c>
      <c r="CI80" s="37">
        <f>CI74/CI60*100</f>
        <v>6.3545688545688552</v>
      </c>
      <c r="CJ80" s="23">
        <f>IF(ISERROR((CI80/CG80-1)*100),"NA",IF(((CI80/CG80-1)*100)&gt;100,"NM",IF(((CI80/CG80-1)*100)&lt;-50,"NM",(CI80/CG80-1)*100)))</f>
        <v>-2.3243156443646718</v>
      </c>
      <c r="CK80" s="114">
        <f>CI80</f>
        <v>6.3545688545688552</v>
      </c>
      <c r="CL80" s="23">
        <f>IF(ISERROR((CK80/CI80-1)*100),"NA",IF(((CK80/CI80-1)*100)&gt;100,"NM",IF(((CK80/CI80-1)*100)&lt;-50,"NM",(CK80/CI80-1)*100)))</f>
        <v>0</v>
      </c>
      <c r="CM80" s="114">
        <f>CK80</f>
        <v>6.3545688545688552</v>
      </c>
      <c r="CN80" s="23">
        <f>IF(ISERROR((CM80/CK80-1)*100),"NA",IF(((CM80/CK80-1)*100)&gt;100,"NM",IF(((CM80/CK80-1)*100)&lt;-50,"NM",(CM80/CK80-1)*100)))</f>
        <v>0</v>
      </c>
      <c r="CO80" s="114">
        <f>CM80</f>
        <v>6.3545688545688552</v>
      </c>
      <c r="CP80" s="23">
        <f>IF(ISERROR((CO80/CM80-1)*100),"NA",IF(((CO80/CM80-1)*100)&gt;100,"NM",IF(((CO80/CM80-1)*100)&lt;-50,"NM",(CO80/CM80-1)*100)))</f>
        <v>0</v>
      </c>
      <c r="CQ80" s="114">
        <f>CO80</f>
        <v>6.3545688545688552</v>
      </c>
      <c r="CR80" s="23">
        <f>IF(ISERROR((CQ80/CO80-1)*100),"NA",IF(((CQ80/CO80-1)*100)&gt;100,"NM",IF(((CQ80/CO80-1)*100)&lt;-50,"NM",(CQ80/CO80-1)*100)))</f>
        <v>0</v>
      </c>
      <c r="CS80" s="23">
        <f>IF(ISERROR(((CQ80/CG80)^0.2-1)*100),"NA",IF((((CQ80/CG80)^0.2-1)*100)&gt;100,"NM",IF((((CQ80/CG80)^0.2-1)*100)&lt;-50,"NM",((CQ80/CG80)^0.2-1)*100)))</f>
        <v>-0.46924635527885172</v>
      </c>
    </row>
    <row r="81" spans="1:97" ht="12.75" customHeight="1" x14ac:dyDescent="0.2">
      <c r="A81" s="4" t="s">
        <v>127</v>
      </c>
      <c r="B81" s="35">
        <f t="shared" ref="B81:N81" si="600">B75/B73*100</f>
        <v>13.20754716981132</v>
      </c>
      <c r="C81" s="59"/>
      <c r="D81" s="35">
        <f t="shared" si="600"/>
        <v>22.702407002188181</v>
      </c>
      <c r="E81" s="59"/>
      <c r="F81" s="35">
        <f t="shared" si="600"/>
        <v>30.217889908256883</v>
      </c>
      <c r="G81" s="59"/>
      <c r="H81" s="35">
        <f t="shared" si="600"/>
        <v>1.397428731134712</v>
      </c>
      <c r="I81" s="59"/>
      <c r="J81" s="35">
        <f t="shared" si="600"/>
        <v>20.26726057906459</v>
      </c>
      <c r="K81" s="23">
        <f t="shared" si="576"/>
        <v>53.452115812917626</v>
      </c>
      <c r="L81" s="35">
        <f t="shared" si="600"/>
        <v>29.865016872890887</v>
      </c>
      <c r="M81" s="23">
        <f t="shared" si="576"/>
        <v>31.550002032878432</v>
      </c>
      <c r="N81" s="35">
        <f t="shared" si="600"/>
        <v>17.513448894202032</v>
      </c>
      <c r="O81" s="23">
        <f t="shared" si="576"/>
        <v>-42.042780130003145</v>
      </c>
      <c r="P81" s="35">
        <f>P75/P73*100</f>
        <v>27.224824355971894</v>
      </c>
      <c r="Q81" s="23" t="str">
        <f t="shared" si="576"/>
        <v>NM</v>
      </c>
      <c r="R81" s="35">
        <f>R75/R73*100</f>
        <v>22.705882352941178</v>
      </c>
      <c r="S81" s="23">
        <f t="shared" si="576"/>
        <v>12.032320620555904</v>
      </c>
      <c r="T81" s="35">
        <f>T75/T73*100</f>
        <v>24.856815578465064</v>
      </c>
      <c r="U81" s="23">
        <f t="shared" si="576"/>
        <v>-16.769457441599091</v>
      </c>
      <c r="V81" s="35">
        <f>V75/V73*100</f>
        <v>0.52386495925495091</v>
      </c>
      <c r="W81" s="23" t="str">
        <f t="shared" si="576"/>
        <v>NM</v>
      </c>
      <c r="X81" s="35">
        <f>X75/X73*100</f>
        <v>21.122112211221118</v>
      </c>
      <c r="Y81" s="23">
        <f t="shared" si="576"/>
        <v>-22.41598353383726</v>
      </c>
      <c r="Z81" s="35">
        <f>Z75/Z73*100</f>
        <v>25.691489361702125</v>
      </c>
      <c r="AA81" s="23">
        <f>IF(ISERROR((Z81/R81-1)*100),"NA",IF(((Z81/R81-1)*100)&gt;100,"NM",IF(((Z81/R81-1)*100)&lt;-50,"NM",(Z81/R81-1)*100)))</f>
        <v>13.149046411641475</v>
      </c>
      <c r="AB81" s="35">
        <f>AB75/AB73*100</f>
        <v>17.871148459383754</v>
      </c>
      <c r="AC81" s="23">
        <f>IF(ISERROR((AB81/T81-1)*100),"NA",IF(((AB81/T81-1)*100)&gt;100,"NM",IF(((AB81/T81-1)*100)&lt;-50,"NM",(AB81/T81-1)*100)))</f>
        <v>-28.10362854819347</v>
      </c>
      <c r="AD81" s="35">
        <f>AD75/AD73*100</f>
        <v>42.477876106194692</v>
      </c>
      <c r="AE81" s="23" t="str">
        <f>IF(ISERROR((AD81/V81-1)*100),"NA",IF(((AD81/V81-1)*100)&gt;100,"NM",IF(((AD81/V81-1)*100)&lt;-50,"NM",(AD81/V81-1)*100)))</f>
        <v>NM</v>
      </c>
      <c r="AF81" s="35">
        <f>AF75/AF73*100</f>
        <v>20.940906483075157</v>
      </c>
      <c r="AG81" s="23">
        <f>IF(ISERROR((AF81/X81-1)*100),"NA",IF(((AF81/X81-1)*100)&gt;100,"NM",IF(((AF81/X81-1)*100)&lt;-50,"NM",(AF81/X81-1)*100)))</f>
        <v>-0.85789586919103877</v>
      </c>
      <c r="AH81" s="35">
        <f>AH75/AH73*100</f>
        <v>22.646733111849397</v>
      </c>
      <c r="AI81" s="23">
        <f>IF(ISERROR((AH81/Z81-1)*100),"NA",IF(((AH81/Z81-1)*100)&gt;100,"NM",IF(((AH81/Z81-1)*100)&lt;-50,"NM",(AH81/Z81-1)*100)))</f>
        <v>-11.851225154706269</v>
      </c>
      <c r="AJ81" s="35">
        <f>AJ75/AJ73*100</f>
        <v>17.108167770419428</v>
      </c>
      <c r="AK81" s="23">
        <f>IF(ISERROR((AJ81/AB81-1)*100),"NA",IF(((AJ81/AB81-1)*100)&gt;100,"NM",IF(((AJ81/AB81-1)*100)&lt;-50,"NM",(AJ81/AB81-1)*100)))</f>
        <v>-4.2693433536091563</v>
      </c>
      <c r="AL81" s="35">
        <f>AL75/AL73*100</f>
        <v>50.812064965197209</v>
      </c>
      <c r="AM81" s="23">
        <f>IF(ISERROR((AL81/AD81-1)*100),"NA",IF(((AL81/AD81-1)*100)&gt;100,"NM",IF(((AL81/AD81-1)*100)&lt;-50,"NM",(AL81/AD81-1)*100)))</f>
        <v>19.620069605568414</v>
      </c>
      <c r="AN81" s="409">
        <f t="shared" ref="AN81:AP81" si="601">AN75/AN73*100</f>
        <v>17.052512704686617</v>
      </c>
      <c r="AO81" s="23">
        <f>IF(ISERROR((AN81/AF81-1)*100),"NA",IF(((AN81/AF81-1)*100)&gt;100,"NM",IF(((AN81/AF81-1)*100)&lt;-50,"NM",(AN81/AF81-1)*100)))</f>
        <v>-18.568411933510209</v>
      </c>
      <c r="AP81" s="409">
        <f t="shared" si="601"/>
        <v>17.769477054429032</v>
      </c>
      <c r="AQ81" s="23">
        <f t="shared" si="578"/>
        <v>-21.536245573841505</v>
      </c>
      <c r="AR81" s="409">
        <f t="shared" ref="AR81:AT81" si="602">AR75/AR73*100</f>
        <v>15.229885057471265</v>
      </c>
      <c r="AS81" s="23">
        <f t="shared" si="580"/>
        <v>-10.978865406006676</v>
      </c>
      <c r="AT81" s="409">
        <f t="shared" si="602"/>
        <v>68.326334733053386</v>
      </c>
      <c r="AU81" s="23">
        <f t="shared" si="581"/>
        <v>34.468722693817419</v>
      </c>
      <c r="AV81" s="409">
        <f t="shared" ref="AV81:AX81" si="603">AV75/AV73*100</f>
        <v>24.652567975830813</v>
      </c>
      <c r="AW81" s="23">
        <f t="shared" si="583"/>
        <v>44.568536043696596</v>
      </c>
      <c r="AX81" s="409">
        <f t="shared" si="603"/>
        <v>10.663764961915126</v>
      </c>
      <c r="AY81" s="23">
        <f t="shared" si="584"/>
        <v>-39.98830168579898</v>
      </c>
      <c r="AZ81" s="409">
        <f t="shared" ref="AZ81" si="604">AZ75/AZ73*100</f>
        <v>91.120636864666267</v>
      </c>
      <c r="BA81" s="23" t="str">
        <f t="shared" si="586"/>
        <v>NM</v>
      </c>
      <c r="BB81" s="409">
        <f t="shared" ref="BB81:BD81" si="605">BB75/BB73*100</f>
        <v>51.50753768844222</v>
      </c>
      <c r="BC81" s="23">
        <f t="shared" si="588"/>
        <v>-24.615394796634604</v>
      </c>
      <c r="BD81" s="409">
        <f t="shared" si="605"/>
        <v>16.566626650660265</v>
      </c>
      <c r="BE81" s="23">
        <f t="shared" si="589"/>
        <v>-32.799590424405046</v>
      </c>
      <c r="BF81" s="252">
        <v>12</v>
      </c>
      <c r="BG81" s="23">
        <f t="shared" si="590"/>
        <v>12.530612244897954</v>
      </c>
      <c r="BH81" s="252">
        <v>25</v>
      </c>
      <c r="BI81" s="23" t="str">
        <f t="shared" si="591"/>
        <v>NM</v>
      </c>
      <c r="BJ81" s="252">
        <f>BH81</f>
        <v>25</v>
      </c>
      <c r="BK81" s="23" t="str">
        <f t="shared" si="592"/>
        <v>NM</v>
      </c>
      <c r="BL81" s="47">
        <f t="shared" ref="BL81" si="606">BJ81</f>
        <v>25</v>
      </c>
      <c r="BM81" s="23">
        <f t="shared" si="593"/>
        <v>50.905797101449267</v>
      </c>
      <c r="BN81" s="35"/>
      <c r="BO81" s="138"/>
      <c r="BP81" s="35"/>
      <c r="BQ81" s="113"/>
      <c r="BR81" s="113"/>
      <c r="BS81" s="113"/>
      <c r="BT81" s="35"/>
      <c r="BU81" s="35">
        <f>BU75/BU73*100</f>
        <v>16.822560379729165</v>
      </c>
      <c r="BV81" s="23" t="str">
        <f>IF(ISERROR((BU81/BS81-1)*100),"NA",IF(((BU81/BS81-1)*100)&gt;100,"NM",IF(((BU81/BS81-1)*100)&lt;-50,"NM",(BU81/BS81-1)*100)))</f>
        <v>NA</v>
      </c>
      <c r="BW81" s="35">
        <f>BW75/BW73*100</f>
        <v>23.767074047447881</v>
      </c>
      <c r="BX81" s="23">
        <f>IF(ISERROR((BW81/BU81-1)*100),"NA",IF(((BW81/BU81-1)*100)&gt;100,"NM",IF(((BW81/BU81-1)*100)&lt;-50,"NM",(BW81/BU81-1)*100)))</f>
        <v>41.280955520223372</v>
      </c>
      <c r="BY81" s="37">
        <f>BY75/BY73*100</f>
        <v>17.373245488398741</v>
      </c>
      <c r="BZ81" s="23">
        <f>IF(ISERROR((BY81/BW81-1)*100),"NA",IF(((BY81/BW81-1)*100)&gt;100,"NM",IF(((BY81/BW81-1)*100)&lt;-50,"NM",(BY81/BW81-1)*100)))</f>
        <v>-26.902043332236403</v>
      </c>
      <c r="CA81" s="37">
        <f>CA75/CA73*100</f>
        <v>26.566239617063214</v>
      </c>
      <c r="CB81" s="23">
        <f>IF(ISERROR((CA81/BY81-1)*100),"NA",IF(((CA81/BY81-1)*100)&gt;100,"NM",IF(((CA81/BY81-1)*100)&lt;-50,"NM",(CA81/BY81-1)*100)))</f>
        <v>52.914662000276458</v>
      </c>
      <c r="CC81" s="37">
        <f>CC75/CC73*100</f>
        <v>26.669478419794739</v>
      </c>
      <c r="CD81" s="23">
        <f>IF(ISERROR((CC81/CA81-1)*100),"NA",IF(((CC81/CA81-1)*100)&gt;100,"NM",IF(((CC81/CA81-1)*100)&lt;-50,"NM",(CC81/CA81-1)*100)))</f>
        <v>0.3886090173831569</v>
      </c>
      <c r="CE81" s="37">
        <f>CE75/CE73*100</f>
        <v>30.925605536332185</v>
      </c>
      <c r="CF81" s="23">
        <f>IF(ISERROR((CE81/CC81-1)*100),"NA",IF(((CE81/CC81-1)*100)&gt;100,"NM",IF(((CE81/CC81-1)*100)&lt;-50,"NM",(CE81/CC81-1)*100)))</f>
        <v>15.958793979931919</v>
      </c>
      <c r="CG81" s="37">
        <f>CG75/CG73*100</f>
        <v>41.313716748402442</v>
      </c>
      <c r="CH81" s="23">
        <f>IF(ISERROR((CG81/CE81-1)*100),"NA",IF(((CG81/CE81-1)*100)&gt;100,"NM",IF(((CG81/CE81-1)*100)&lt;-50,"NM",(CG81/CE81-1)*100)))</f>
        <v>33.590647723505505</v>
      </c>
      <c r="CI81" s="37">
        <f>CI75/CI73*100</f>
        <v>21.480206371325007</v>
      </c>
      <c r="CJ81" s="23">
        <f>IF(ISERROR((CI81/CG81-1)*100),"NA",IF(((CI81/CG81-1)*100)&gt;100,"NM",IF(((CI81/CG81-1)*100)&lt;-50,"NM",(CI81/CG81-1)*100)))</f>
        <v>-48.007083211278434</v>
      </c>
      <c r="CK81" s="210">
        <v>21</v>
      </c>
      <c r="CL81" s="23">
        <f>IF(ISERROR((CK81/CI81-1)*100),"NA",IF(((CK81/CI81-1)*100)&gt;100,"NM",IF(((CK81/CI81-1)*100)&lt;-50,"NM",(CK81/CI81-1)*100)))</f>
        <v>-2.2355761533374152</v>
      </c>
      <c r="CM81" s="210">
        <f>CK81</f>
        <v>21</v>
      </c>
      <c r="CN81" s="23">
        <f>IF(ISERROR((CM81/CK81-1)*100),"NA",IF(((CM81/CK81-1)*100)&gt;100,"NM",IF(((CM81/CK81-1)*100)&lt;-50,"NM",(CM81/CK81-1)*100)))</f>
        <v>0</v>
      </c>
      <c r="CO81" s="210">
        <f>CM81</f>
        <v>21</v>
      </c>
      <c r="CP81" s="23">
        <f>IF(ISERROR((CO81/CM81-1)*100),"NA",IF(((CO81/CM81-1)*100)&gt;100,"NM",IF(((CO81/CM81-1)*100)&lt;-50,"NM",(CO81/CM81-1)*100)))</f>
        <v>0</v>
      </c>
      <c r="CQ81" s="210">
        <f>CO81+0.3</f>
        <v>21.3</v>
      </c>
      <c r="CR81" s="23">
        <f>IF(ISERROR((CQ81/CO81-1)*100),"NA",IF(((CQ81/CO81-1)*100)&gt;100,"NM",IF(((CQ81/CO81-1)*100)&lt;-50,"NM",(CQ81/CO81-1)*100)))</f>
        <v>1.4285714285714235</v>
      </c>
      <c r="CS81" s="23">
        <f>IF(ISERROR(((CQ81/CG81)^0.2-1)*100),"NA",IF((((CQ81/CG81)^0.2-1)*100)&gt;100,"NM",IF((((CQ81/CG81)^0.2-1)*100)&lt;-50,"NM",((CQ81/CG81)^0.2-1)*100)))</f>
        <v>-12.409487556772792</v>
      </c>
    </row>
    <row r="82" spans="1:97" ht="12.75" customHeight="1" x14ac:dyDescent="0.2">
      <c r="B82" s="35"/>
      <c r="C82" s="60"/>
      <c r="D82" s="35"/>
      <c r="E82" s="60"/>
      <c r="F82" s="35"/>
      <c r="G82" s="60"/>
      <c r="H82" s="35"/>
      <c r="I82" s="60"/>
      <c r="J82" s="35"/>
      <c r="L82" s="35"/>
      <c r="N82" s="35"/>
      <c r="P82" s="35"/>
      <c r="R82" s="35"/>
      <c r="T82" s="35"/>
      <c r="V82" s="35"/>
      <c r="X82" s="35"/>
      <c r="Z82" s="35"/>
      <c r="AB82" s="35"/>
      <c r="AD82" s="35"/>
      <c r="AF82" s="35"/>
      <c r="AH82" s="35"/>
      <c r="AJ82" s="35"/>
      <c r="AL82" s="35"/>
      <c r="AN82" s="409"/>
      <c r="AP82" s="409"/>
      <c r="AR82" s="409"/>
      <c r="AT82" s="409"/>
      <c r="AV82" s="409"/>
      <c r="AX82" s="409"/>
      <c r="AZ82" s="409"/>
      <c r="BB82" s="409"/>
      <c r="BD82" s="409"/>
      <c r="BF82" s="35"/>
      <c r="BH82" s="35"/>
      <c r="BJ82" s="35"/>
      <c r="BL82" s="35"/>
      <c r="BN82" s="35"/>
      <c r="BO82" s="138"/>
      <c r="BP82" s="35"/>
      <c r="BQ82" s="35"/>
      <c r="BR82" s="35"/>
      <c r="BS82" s="35"/>
      <c r="BT82" s="35"/>
      <c r="BU82" s="35"/>
      <c r="BW82" s="35"/>
      <c r="BY82" s="37"/>
      <c r="CA82" s="37"/>
      <c r="CC82" s="37"/>
      <c r="CE82" s="37"/>
      <c r="CG82" s="37"/>
      <c r="CI82" s="37"/>
      <c r="CK82" s="35"/>
      <c r="CM82" s="35"/>
      <c r="CO82" s="35"/>
      <c r="CQ82" s="35"/>
    </row>
    <row r="83" spans="1:97" ht="12.75" customHeight="1" x14ac:dyDescent="0.2">
      <c r="A83" s="3" t="s">
        <v>128</v>
      </c>
      <c r="B83" s="72">
        <f>B60-B76</f>
        <v>125.46500000000009</v>
      </c>
      <c r="C83" s="59"/>
      <c r="D83" s="72">
        <f>D60-D76</f>
        <v>148.72800000000001</v>
      </c>
      <c r="E83" s="59"/>
      <c r="F83" s="72">
        <f>F60-F76</f>
        <v>97.669999999999959</v>
      </c>
      <c r="G83" s="59"/>
      <c r="H83" s="72">
        <f>H60-H76</f>
        <v>70.007000000000062</v>
      </c>
      <c r="I83" s="59"/>
      <c r="J83" s="72">
        <f>J60-J76</f>
        <v>124.08499999999992</v>
      </c>
      <c r="K83" s="23">
        <f t="shared" ref="K83:Y84" si="607">IF(ISERROR((J83/B83-1)*100),"NA",IF(((J83/B83-1)*100)&gt;100,"NM",IF(((J83/B83-1)*100)&lt;-50,"NM",(J83/B83-1)*100)))</f>
        <v>-1.0999083409717225</v>
      </c>
      <c r="L83" s="72">
        <f>L60-L76</f>
        <v>71.1099999999999</v>
      </c>
      <c r="M83" s="23" t="str">
        <f t="shared" si="607"/>
        <v>NM</v>
      </c>
      <c r="N83" s="72">
        <f>N60-N76</f>
        <v>145.29600000000011</v>
      </c>
      <c r="O83" s="23">
        <f t="shared" si="607"/>
        <v>48.762158288113213</v>
      </c>
      <c r="P83" s="72">
        <f>P60-P76</f>
        <v>107.80000000000007</v>
      </c>
      <c r="Q83" s="23">
        <f t="shared" si="607"/>
        <v>53.984601539845968</v>
      </c>
      <c r="R83" s="72">
        <f>R60-R76</f>
        <v>137.80000000000007</v>
      </c>
      <c r="S83" s="23">
        <f t="shared" si="607"/>
        <v>11.052907281299241</v>
      </c>
      <c r="T83" s="73">
        <f>T60-T76</f>
        <v>132.2000000000001</v>
      </c>
      <c r="U83" s="23">
        <f t="shared" si="607"/>
        <v>85.909154830544637</v>
      </c>
      <c r="V83" s="73">
        <f>V60-V76</f>
        <v>187.29999999999995</v>
      </c>
      <c r="W83" s="23">
        <f t="shared" si="607"/>
        <v>28.909261094592974</v>
      </c>
      <c r="X83" s="73">
        <f>X60-X76</f>
        <v>138.59999999999991</v>
      </c>
      <c r="Y83" s="23">
        <f t="shared" si="607"/>
        <v>28.571428571428402</v>
      </c>
      <c r="Z83" s="73">
        <f>Z60-Z76</f>
        <v>114.90000000000003</v>
      </c>
      <c r="AA83" s="23">
        <f>IF(ISERROR((Z83/R83-1)*100),"NA",IF(((Z83/R83-1)*100)&gt;100,"NM",IF(((Z83/R83-1)*100)&lt;-50,"NM",(Z83/R83-1)*100)))</f>
        <v>-16.618287373004371</v>
      </c>
      <c r="AB83" s="73">
        <f>AB60-AB76</f>
        <v>135.7000000000001</v>
      </c>
      <c r="AC83" s="23">
        <f>IF(ISERROR((AB83/T83-1)*100),"NA",IF(((AB83/T83-1)*100)&gt;100,"NM",IF(((AB83/T83-1)*100)&lt;-50,"NM",(AB83/T83-1)*100)))</f>
        <v>2.6475037821482639</v>
      </c>
      <c r="AD83" s="73">
        <f>AD60-AD76</f>
        <v>117.30000000000001</v>
      </c>
      <c r="AE83" s="23">
        <f>IF(ISERROR((AD83/V83-1)*100),"NA",IF(((AD83/V83-1)*100)&gt;100,"NM",IF(((AD83/V83-1)*100)&lt;-50,"NM",(AD83/V83-1)*100)))</f>
        <v>-37.373198077949787</v>
      </c>
      <c r="AF83" s="73">
        <f>AF60-AF76</f>
        <v>149.99999999999983</v>
      </c>
      <c r="AG83" s="23">
        <f>IF(ISERROR((AF83/X83-1)*100),"NA",IF(((AF83/X83-1)*100)&gt;100,"NM",IF(((AF83/X83-1)*100)&lt;-50,"NM",(AF83/X83-1)*100)))</f>
        <v>8.2251082251081797</v>
      </c>
      <c r="AH83" s="73">
        <f>AH60-AH76</f>
        <v>124.60000000000002</v>
      </c>
      <c r="AI83" s="23">
        <f>IF(ISERROR((AH83/Z83-1)*100),"NA",IF(((AH83/Z83-1)*100)&gt;100,"NM",IF(((AH83/Z83-1)*100)&lt;-50,"NM",(AH83/Z83-1)*100)))</f>
        <v>8.4421235857267121</v>
      </c>
      <c r="AJ83" s="73">
        <f>AJ60-AJ76</f>
        <v>128.40000000000003</v>
      </c>
      <c r="AK83" s="23">
        <f>IF(ISERROR((AJ83/AB83-1)*100),"NA",IF(((AJ83/AB83-1)*100)&gt;100,"NM",IF(((AJ83/AB83-1)*100)&lt;-50,"NM",(AJ83/AB83-1)*100)))</f>
        <v>-5.3795136330140441</v>
      </c>
      <c r="AL83" s="73">
        <f>AL60-AL76</f>
        <v>80.499999999999886</v>
      </c>
      <c r="AM83" s="23">
        <f>IF(ISERROR((AL83/AD83-1)*100),"NA",IF(((AL83/AD83-1)*100)&gt;100,"NM",IF(((AL83/AD83-1)*100)&lt;-50,"NM",(AL83/AD83-1)*100)))</f>
        <v>-31.372549019607941</v>
      </c>
      <c r="AN83" s="73">
        <f t="shared" ref="AN83:AP83" si="608">AN60-AN76</f>
        <v>137.10000000000002</v>
      </c>
      <c r="AO83" s="23">
        <f>IF(ISERROR((AN83/AF83-1)*100),"NA",IF(((AN83/AF83-1)*100)&gt;100,"NM",IF(((AN83/AF83-1)*100)&lt;-50,"NM",(AN83/AF83-1)*100)))</f>
        <v>-8.599999999999886</v>
      </c>
      <c r="AP83" s="73">
        <f t="shared" si="608"/>
        <v>103.69999999999987</v>
      </c>
      <c r="AQ83" s="23">
        <f t="shared" ref="AQ83:AQ84" si="609">IF(ISERROR((AP83/AH83-1)*100),"NA",IF(((AP83/AH83-1)*100)&gt;100,"NM",IF(((AP83/AH83-1)*100)&lt;-50,"NM",(AP83/AH83-1)*100)))</f>
        <v>-16.773675762439922</v>
      </c>
      <c r="AR83" s="72">
        <f t="shared" ref="AR83:AT83" si="610">AR60-AR76</f>
        <v>140.49999999999994</v>
      </c>
      <c r="AS83" s="23">
        <f t="shared" ref="AS83:AS84" si="611">IF(ISERROR((AR83/AJ83-1)*100),"NA",IF(((AR83/AJ83-1)*100)&gt;100,"NM",IF(((AR83/AJ83-1)*100)&lt;-50,"NM",(AR83/AJ83-1)*100)))</f>
        <v>9.4236760124609908</v>
      </c>
      <c r="AT83" s="72">
        <f t="shared" si="610"/>
        <v>62.899999999999977</v>
      </c>
      <c r="AU83" s="23">
        <f t="shared" ref="AU83:AU84" si="612">IF(ISERROR((AT83/AL83-1)*100),"NA",IF(((AT83/AL83-1)*100)&gt;100,"NM",IF(((AT83/AL83-1)*100)&lt;-50,"NM",(AT83/AL83-1)*100)))</f>
        <v>-21.863354037267001</v>
      </c>
      <c r="AV83" s="72">
        <f t="shared" ref="AV83:AX83" si="613">AV60-AV76</f>
        <v>142.69999999999999</v>
      </c>
      <c r="AW83" s="23">
        <f t="shared" ref="AW83:AW84" si="614">IF(ISERROR((AV83/AN83-1)*100),"NA",IF(((AV83/AN83-1)*100)&gt;100,"NM",IF(((AV83/AN83-1)*100)&lt;-50,"NM",(AV83/AN83-1)*100)))</f>
        <v>4.0846097738876486</v>
      </c>
      <c r="AX83" s="72">
        <f t="shared" si="613"/>
        <v>148.79999999999984</v>
      </c>
      <c r="AY83" s="23">
        <f t="shared" ref="AY83:AY84" si="615">IF(ISERROR((AX83/AP83-1)*100),"NA",IF(((AX83/AP83-1)*100)&gt;100,"NM",IF(((AX83/AP83-1)*100)&lt;-50,"NM",(AX83/AP83-1)*100)))</f>
        <v>43.490838958534248</v>
      </c>
      <c r="AZ83" s="72">
        <f t="shared" ref="AZ83" si="616">AZ60-AZ76</f>
        <v>33.499999999999886</v>
      </c>
      <c r="BA83" s="23" t="str">
        <f t="shared" ref="BA83:BA84" si="617">IF(ISERROR((AZ83/AR83-1)*100),"NA",IF(((AZ83/AR83-1)*100)&gt;100,"NM",IF(((AZ83/AR83-1)*100)&lt;-50,"NM",(AZ83/AR83-1)*100)))</f>
        <v>NM</v>
      </c>
      <c r="BB83" s="72">
        <f t="shared" ref="BB83" si="618">BB60-BB76</f>
        <v>106.80000000000007</v>
      </c>
      <c r="BC83" s="23">
        <f t="shared" ref="BC83:BC84" si="619">IF(ISERROR((BB83/AT83-1)*100),"NA",IF(((BB83/AT83-1)*100)&gt;100,"NM",IF(((BB83/AT83-1)*100)&lt;-50,"NM",(BB83/AT83-1)*100)))</f>
        <v>69.793322734499384</v>
      </c>
      <c r="BD83" s="72">
        <f>BD60-BD76</f>
        <v>168.19999999999993</v>
      </c>
      <c r="BE83" s="23">
        <f t="shared" ref="BE83:BE84" si="620">IF(ISERROR((BD83/AV83-1)*100),"NA",IF(((BD83/AV83-1)*100)&gt;100,"NM",IF(((BD83/AV83-1)*100)&lt;-50,"NM",(BD83/AV83-1)*100)))</f>
        <v>17.869656622284481</v>
      </c>
      <c r="BF83" s="72">
        <f t="shared" ref="BF83" si="621">BF60-BF76</f>
        <v>146.08209365133052</v>
      </c>
      <c r="BG83" s="23">
        <f t="shared" ref="BG83:BG84" si="622">IF(ISERROR((BF83/AX83-1)*100),"NA",IF(((BF83/AX83-1)*100)&gt;100,"NM",IF(((BF83/AX83-1)*100)&lt;-50,"NM",(BF83/AX83-1)*100)))</f>
        <v>-1.8265499655035766</v>
      </c>
      <c r="BH83" s="72">
        <f t="shared" ref="BH83" si="623">BH60-BH76</f>
        <v>144.52612268654821</v>
      </c>
      <c r="BI83" s="23" t="str">
        <f t="shared" ref="BI83:BI84" si="624">IF(ISERROR((BH83/AZ83-1)*100),"NA",IF(((BH83/AZ83-1)*100)&gt;100,"NM",IF(((BH83/AZ83-1)*100)&lt;-50,"NM",(BH83/AZ83-1)*100)))</f>
        <v>NM</v>
      </c>
      <c r="BJ83" s="72">
        <f t="shared" ref="BJ83" si="625">BJ60-BJ76</f>
        <v>147.28583837809941</v>
      </c>
      <c r="BK83" s="23">
        <f t="shared" ref="BK83:BK84" si="626">IF(ISERROR((BJ83/BB83-1)*100),"NA",IF(((BJ83/BB83-1)*100)&gt;100,"NM",IF(((BJ83/BB83-1)*100)&lt;-50,"NM",(BJ83/BB83-1)*100)))</f>
        <v>37.908088369006855</v>
      </c>
      <c r="BL83" s="72">
        <f t="shared" ref="BL83" si="627">BL60-BL76</f>
        <v>153.07992156593758</v>
      </c>
      <c r="BM83" s="23">
        <f t="shared" ref="BM83:BM84" si="628">IF(ISERROR((BL83/BD83-1)*100),"NA",IF(((BL83/BD83-1)*100)&gt;100,"NM",IF(((BL83/BD83-1)*100)&lt;-50,"NM",(BL83/BD83-1)*100)))</f>
        <v>-8.9893450856494361</v>
      </c>
      <c r="BN83" s="35"/>
      <c r="BO83" s="137"/>
      <c r="BP83" s="35"/>
      <c r="BQ83" s="73">
        <f>BQ58-BQ76</f>
        <v>358.30000000000007</v>
      </c>
      <c r="BR83" s="33"/>
      <c r="BS83" s="73">
        <f>BS58-BS76</f>
        <v>469.60000000000025</v>
      </c>
      <c r="BT83" s="33"/>
      <c r="BU83" s="72">
        <f>BU60-BU76</f>
        <v>441.86999999999944</v>
      </c>
      <c r="BV83" s="23">
        <f>IF(ISERROR((BU83/BS83-1)*100),"NA",IF(((BU83/BS83-1)*100)&gt;100,"NM",IF(((BU83/BS83-1)*100)&lt;-50,"NM",(BU83/BS83-1)*100)))</f>
        <v>-5.9050255536628571</v>
      </c>
      <c r="BW83" s="72">
        <f>BW60-BW76</f>
        <v>448.29100000000062</v>
      </c>
      <c r="BX83" s="23">
        <f>IF(ISERROR((BW83/BU83-1)*100),"NA",IF(((BW83/BU83-1)*100)&gt;100,"NM",IF(((BW83/BU83-1)*100)&lt;-50,"NM",(BW83/BU83-1)*100)))</f>
        <v>1.4531423269290134</v>
      </c>
      <c r="BY83" s="72">
        <f>BY60-BY76</f>
        <v>595.90000000000009</v>
      </c>
      <c r="BZ83" s="23">
        <f>IF(ISERROR((BY83/BW83-1)*100),"NA",IF(((BY83/BW83-1)*100)&gt;100,"NM",IF(((BY83/BW83-1)*100)&lt;-50,"NM",(BY83/BW83-1)*100)))</f>
        <v>32.927049617324286</v>
      </c>
      <c r="CA83" s="72">
        <f>CA60-CA76</f>
        <v>517.90000000000009</v>
      </c>
      <c r="CB83" s="23">
        <f>IF(ISERROR((CA83/BY83-1)*100),"NA",IF(((CA83/BY83-1)*100)&gt;100,"NM",IF(((CA83/BY83-1)*100)&lt;-50,"NM",(CA83/BY83-1)*100)))</f>
        <v>-13.089444537674099</v>
      </c>
      <c r="CC83" s="72">
        <f>CC60-CC76</f>
        <v>470.59999999999991</v>
      </c>
      <c r="CD83" s="23">
        <f>IF(ISERROR((CC83/CA83-1)*100),"NA",IF(((CC83/CA83-1)*100)&gt;100,"NM",IF(((CC83/CA83-1)*100)&lt;-50,"NM",(CC83/CA83-1)*100)))</f>
        <v>-9.1330372658814838</v>
      </c>
      <c r="CE83" s="72">
        <f>CE60-CE76</f>
        <v>449.80000000000018</v>
      </c>
      <c r="CF83" s="23">
        <f>IF(ISERROR((CE83/CC83-1)*100),"NA",IF(((CE83/CC83-1)*100)&gt;100,"NM",IF(((CE83/CC83-1)*100)&lt;-50,"NM",(CE83/CC83-1)*100)))</f>
        <v>-4.4198895027623752</v>
      </c>
      <c r="CG83" s="72">
        <f>CG60-CG76</f>
        <v>457.30000000000018</v>
      </c>
      <c r="CH83" s="23">
        <f>IF(ISERROR((CG83/CE83-1)*100),"NA",IF(((CG83/CE83-1)*100)&gt;100,"NM",IF(((CG83/CE83-1)*100)&lt;-50,"NM",(CG83/CE83-1)*100)))</f>
        <v>1.6674077367718976</v>
      </c>
      <c r="CI83" s="72">
        <f>CI60-CI76</f>
        <v>590.97397628191584</v>
      </c>
      <c r="CJ83" s="23">
        <f>IF(ISERROR((CI83/CG83-1)*100),"NA",IF(((CI83/CG83-1)*100)&gt;100,"NM",IF(((CI83/CG83-1)*100)&lt;-50,"NM",(CI83/CG83-1)*100)))</f>
        <v>29.231134109318969</v>
      </c>
      <c r="CK83" s="72">
        <f>CK60-CK76</f>
        <v>617.18412268518705</v>
      </c>
      <c r="CL83" s="23">
        <f>IF(ISERROR((CK83/CI83-1)*100),"NA",IF(((CK83/CI83-1)*100)&gt;100,"NM",IF(((CK83/CI83-1)*100)&lt;-50,"NM",(CK83/CI83-1)*100)))</f>
        <v>4.4350762394261611</v>
      </c>
      <c r="CM83" s="72">
        <f>CM60-CM76</f>
        <v>646.89799005747</v>
      </c>
      <c r="CN83" s="23">
        <f>IF(ISERROR((CM83/CK83-1)*100),"NA",IF(((CM83/CK83-1)*100)&gt;100,"NM",IF(((CM83/CK83-1)*100)&lt;-50,"NM",(CM83/CK83-1)*100)))</f>
        <v>4.814425109156506</v>
      </c>
      <c r="CO83" s="72">
        <f>CO60-CO76</f>
        <v>677.64068580846333</v>
      </c>
      <c r="CP83" s="23">
        <f>IF(ISERROR((CO83/CM83-1)*100),"NA",IF(((CO83/CM83-1)*100)&gt;100,"NM",IF(((CO83/CM83-1)*100)&lt;-50,"NM",(CO83/CM83-1)*100)))</f>
        <v>4.7523251306225589</v>
      </c>
      <c r="CQ83" s="72">
        <f>CQ60-CQ76</f>
        <v>707.23859556709749</v>
      </c>
      <c r="CR83" s="23">
        <f>IF(ISERROR((CQ83/CO83-1)*100),"NA",IF(((CQ83/CO83-1)*100)&gt;100,"NM",IF(((CQ83/CO83-1)*100)&lt;-50,"NM",(CQ83/CO83-1)*100)))</f>
        <v>4.3677881771992721</v>
      </c>
      <c r="CS83" s="23">
        <f>IF(ISERROR(((CQ83/CG83)^0.2-1)*100),"NA",IF((((CQ83/CG83)^0.2-1)*100)&gt;100,"NM",IF((((CQ83/CG83)^0.2-1)*100)&lt;-50,"NM",((CQ83/CG83)^0.2-1)*100)))</f>
        <v>9.1121090284214112</v>
      </c>
    </row>
    <row r="84" spans="1:97" ht="12.75" customHeight="1" x14ac:dyDescent="0.2">
      <c r="A84" s="4" t="s">
        <v>129</v>
      </c>
      <c r="B84" s="35">
        <f t="shared" ref="B84:Z84" si="629">B83/B60*100</f>
        <v>23.022579431706639</v>
      </c>
      <c r="C84" s="59"/>
      <c r="D84" s="35">
        <f t="shared" si="629"/>
        <v>25.092116451390854</v>
      </c>
      <c r="E84" s="59"/>
      <c r="F84" s="35">
        <f t="shared" si="629"/>
        <v>17.755921973566995</v>
      </c>
      <c r="G84" s="59"/>
      <c r="H84" s="35">
        <f t="shared" si="629"/>
        <v>14.481999640054871</v>
      </c>
      <c r="I84" s="59"/>
      <c r="J84" s="35">
        <f t="shared" si="629"/>
        <v>21.915981525473111</v>
      </c>
      <c r="K84" s="23">
        <f t="shared" si="607"/>
        <v>-4.8065765589650811</v>
      </c>
      <c r="L84" s="35">
        <f t="shared" si="629"/>
        <v>13.482869115109668</v>
      </c>
      <c r="M84" s="23">
        <f t="shared" si="607"/>
        <v>-46.266513065053495</v>
      </c>
      <c r="N84" s="35">
        <f t="shared" si="629"/>
        <v>25.450519884532401</v>
      </c>
      <c r="O84" s="23">
        <f t="shared" si="607"/>
        <v>43.335389299526383</v>
      </c>
      <c r="P84" s="35">
        <f t="shared" si="629"/>
        <v>19.219112141201649</v>
      </c>
      <c r="Q84" s="23">
        <f t="shared" si="607"/>
        <v>32.710348148640264</v>
      </c>
      <c r="R84" s="35">
        <f t="shared" si="629"/>
        <v>23.915307185005215</v>
      </c>
      <c r="S84" s="23">
        <f t="shared" si="607"/>
        <v>9.122683632527572</v>
      </c>
      <c r="T84" s="35">
        <f t="shared" si="629"/>
        <v>22.57128222639578</v>
      </c>
      <c r="U84" s="23">
        <f t="shared" si="607"/>
        <v>67.407115159941156</v>
      </c>
      <c r="V84" s="35">
        <f t="shared" si="629"/>
        <v>31.27400233761896</v>
      </c>
      <c r="W84" s="23">
        <f t="shared" si="607"/>
        <v>22.881585443076901</v>
      </c>
      <c r="X84" s="35">
        <f t="shared" si="629"/>
        <v>22.943221320973336</v>
      </c>
      <c r="Y84" s="23">
        <f t="shared" si="607"/>
        <v>19.377113533710009</v>
      </c>
      <c r="Z84" s="35">
        <f t="shared" si="629"/>
        <v>19.501018329938905</v>
      </c>
      <c r="AA84" s="23">
        <f>IF(ISERROR((Z84/R84-1)*100),"NA",IF(((Z84/R84-1)*100)&gt;100,"NM",IF(((Z84/R84-1)*100)&lt;-50,"NM",(Z84/R84-1)*100)))</f>
        <v>-18.458006083375956</v>
      </c>
      <c r="AB84" s="35">
        <f t="shared" ref="AB84:AD84" si="630">AB83/AB60*100</f>
        <v>23.360302978137387</v>
      </c>
      <c r="AC84" s="23">
        <f>IF(ISERROR((AB84/T84-1)*100),"NA",IF(((AB84/T84-1)*100)&gt;100,"NM",IF(((AB84/T84-1)*100)&lt;-50,"NM",(AB84/T84-1)*100)))</f>
        <v>3.4956842231093743</v>
      </c>
      <c r="AD84" s="35">
        <f t="shared" si="630"/>
        <v>19.668008048289742</v>
      </c>
      <c r="AE84" s="23">
        <f>IF(ISERROR((AD84/V84-1)*100),"NA",IF(((AD84/V84-1)*100)&gt;100,"NM",IF(((AD84/V84-1)*100)&lt;-50,"NM",(AD84/V84-1)*100)))</f>
        <v>-37.110677949168561</v>
      </c>
      <c r="AF84" s="35">
        <f t="shared" ref="AF84:AH84" si="631">AF83/AF60*100</f>
        <v>24.98334443704195</v>
      </c>
      <c r="AG84" s="23">
        <f>IF(ISERROR((AF84/X84-1)*100),"NA",IF(((AF84/X84-1)*100)&gt;100,"NM",IF(((AF84/X84-1)*100)&lt;-50,"NM",(AF84/X84-1)*100)))</f>
        <v>8.8920517634707874</v>
      </c>
      <c r="AH84" s="35">
        <f t="shared" si="631"/>
        <v>21.408934707903786</v>
      </c>
      <c r="AI84" s="23">
        <f>IF(ISERROR((AH84/Z84-1)*100),"NA",IF(((AH84/Z84-1)*100)&gt;100,"NM",IF(((AH84/Z84-1)*100)&lt;-50,"NM",(AH84/Z84-1)*100)))</f>
        <v>9.7836756300862184</v>
      </c>
      <c r="AJ84" s="35">
        <f t="shared" ref="AJ84:AL84" si="632">AJ83/AJ60*100</f>
        <v>22.0504894384338</v>
      </c>
      <c r="AK84" s="23">
        <f>IF(ISERROR((AJ84/AB84-1)*100),"NA",IF(((AJ84/AB84-1)*100)&gt;100,"NM",IF(((AJ84/AB84-1)*100)&lt;-50,"NM",(AJ84/AB84-1)*100)))</f>
        <v>-5.6070057863950806</v>
      </c>
      <c r="AL84" s="35">
        <f t="shared" si="632"/>
        <v>13.688148274103026</v>
      </c>
      <c r="AM84" s="23">
        <f>IF(ISERROR((AL84/AD84-1)*100),"NA",IF(((AL84/AD84-1)*100)&gt;100,"NM",IF(((AL84/AD84-1)*100)&lt;-50,"NM",(AL84/AD84-1)*100)))</f>
        <v>-30.403992918371326</v>
      </c>
      <c r="AN84" s="409">
        <f t="shared" ref="AN84:AP84" si="633">AN83/AN60*100</f>
        <v>22.853808968161367</v>
      </c>
      <c r="AO84" s="23">
        <f>IF(ISERROR((AN84/AF84-1)*100),"NA",IF(((AN84/AF84-1)*100)&gt;100,"NM",IF(((AN84/AF84-1)*100)&lt;-50,"NM",(AN84/AF84-1)*100)))</f>
        <v>-8.5238206367726832</v>
      </c>
      <c r="AP84" s="409">
        <f t="shared" si="633"/>
        <v>17.969156125454841</v>
      </c>
      <c r="AQ84" s="23">
        <f t="shared" si="609"/>
        <v>-16.067023555259109</v>
      </c>
      <c r="AR84" s="409">
        <f t="shared" ref="AR84:AT84" si="634">AR83/AR60*100</f>
        <v>23.404964184574371</v>
      </c>
      <c r="AS84" s="23">
        <f t="shared" si="611"/>
        <v>6.1426062669599268</v>
      </c>
      <c r="AT84" s="409">
        <f t="shared" si="634"/>
        <v>10.297969875573015</v>
      </c>
      <c r="AU84" s="23">
        <f t="shared" si="612"/>
        <v>-24.767253617086983</v>
      </c>
      <c r="AV84" s="409">
        <f t="shared" ref="AV84:AX84" si="635">AV83/AV60*100</f>
        <v>22.956885456885452</v>
      </c>
      <c r="AW84" s="23">
        <f t="shared" si="614"/>
        <v>0.4510254236730793</v>
      </c>
      <c r="AX84" s="409">
        <f t="shared" si="635"/>
        <v>23.938223938223917</v>
      </c>
      <c r="AY84" s="23">
        <f t="shared" si="615"/>
        <v>33.218409206837386</v>
      </c>
      <c r="AZ84" s="409">
        <f t="shared" ref="AZ84" si="636">AZ83/AZ60*100</f>
        <v>5.4084597998062458</v>
      </c>
      <c r="BA84" s="23" t="str">
        <f t="shared" si="617"/>
        <v>NM</v>
      </c>
      <c r="BB84" s="409">
        <f t="shared" ref="BB84:BD84" si="637">BB83/BB60*100</f>
        <v>17.071611253196942</v>
      </c>
      <c r="BC84" s="23">
        <f t="shared" si="619"/>
        <v>65.776473027864796</v>
      </c>
      <c r="BD84" s="409">
        <f t="shared" si="637"/>
        <v>26.264834478450961</v>
      </c>
      <c r="BE84" s="23">
        <f t="shared" si="620"/>
        <v>14.409398120568472</v>
      </c>
      <c r="BF84" s="35">
        <f t="shared" ref="BF84" si="638">BF83/BF60*100</f>
        <v>22.633463625131334</v>
      </c>
      <c r="BG84" s="23">
        <f t="shared" si="622"/>
        <v>-5.450530985338375</v>
      </c>
      <c r="BH84" s="35">
        <f t="shared" ref="BH84" si="639">BH83/BH60*100</f>
        <v>22.379179511519965</v>
      </c>
      <c r="BI84" s="23" t="str">
        <f t="shared" si="624"/>
        <v>NM</v>
      </c>
      <c r="BJ84" s="35">
        <f t="shared" ref="BJ84" si="640">BJ83/BJ60*100</f>
        <v>22.686865540648903</v>
      </c>
      <c r="BK84" s="23">
        <f t="shared" si="626"/>
        <v>32.892350957209217</v>
      </c>
      <c r="BL84" s="35">
        <f t="shared" ref="BL84" si="641">BL83/BL60*100</f>
        <v>23.135823037160446</v>
      </c>
      <c r="BM84" s="23">
        <f t="shared" si="628"/>
        <v>-11.91331109989564</v>
      </c>
      <c r="BN84" s="35"/>
      <c r="BO84" s="138"/>
      <c r="BP84" s="35"/>
      <c r="BQ84" s="113"/>
      <c r="BR84" s="113"/>
      <c r="BS84" s="113"/>
      <c r="BT84" s="35"/>
      <c r="BU84" s="35">
        <f t="shared" ref="BU84:CA84" si="642">BU83/BU60*100</f>
        <v>20.351699774775788</v>
      </c>
      <c r="BV84" s="23" t="str">
        <f>IF(ISERROR((BU84/BS84-1)*100),"NA",IF(((BU84/BS84-1)*100)&gt;100,"NM",IF(((BU84/BS84-1)*100)&lt;-50,"NM",(BU84/BS84-1)*100)))</f>
        <v>NA</v>
      </c>
      <c r="BW84" s="35">
        <f t="shared" si="642"/>
        <v>20.144370135405442</v>
      </c>
      <c r="BX84" s="23">
        <f>IF(ISERROR((BW84/BU84-1)*100),"NA",IF(((BW84/BU84-1)*100)&gt;100,"NM",IF(((BW84/BU84-1)*100)&lt;-50,"NM",(BW84/BU84-1)*100)))</f>
        <v>-1.0187337748924219</v>
      </c>
      <c r="BY84" s="37">
        <f t="shared" si="642"/>
        <v>25.197682777284452</v>
      </c>
      <c r="BZ84" s="23">
        <f>IF(ISERROR((BY84/BW84-1)*100),"NA",IF(((BY84/BW84-1)*100)&gt;100,"NM",IF(((BY84/BW84-1)*100)&lt;-50,"NM",(BY84/BW84-1)*100)))</f>
        <v>25.085483477080196</v>
      </c>
      <c r="CA84" s="37">
        <f t="shared" si="642"/>
        <v>21.880941315644939</v>
      </c>
      <c r="CB84" s="23">
        <f>IF(ISERROR((CA84/BY84-1)*100),"NA",IF(((CA84/BY84-1)*100)&gt;100,"NM",IF(((CA84/BY84-1)*100)&lt;-50,"NM",(CA84/BY84-1)*100)))</f>
        <v>-13.162882837105695</v>
      </c>
      <c r="CC84" s="37">
        <f t="shared" ref="CC84" si="643">CC83/CC60*100</f>
        <v>20.005951621816941</v>
      </c>
      <c r="CD84" s="23">
        <f>IF(ISERROR((CC84/CA84-1)*100),"NA",IF(((CC84/CA84-1)*100)&gt;100,"NM",IF(((CC84/CA84-1)*100)&lt;-50,"NM",(CC84/CA84-1)*100)))</f>
        <v>-8.5690540766972241</v>
      </c>
      <c r="CE84" s="37">
        <f t="shared" ref="CE84" si="644">CE83/CE60*100</f>
        <v>18.66544941488921</v>
      </c>
      <c r="CF84" s="23">
        <f>IF(ISERROR((CE84/CC84-1)*100),"NA",IF(((CE84/CC84-1)*100)&gt;100,"NM",IF(((CE84/CC84-1)*100)&lt;-50,"NM",(CE84/CC84-1)*100)))</f>
        <v>-6.7005170874545268</v>
      </c>
      <c r="CG84" s="37">
        <f t="shared" ref="CG84" si="645">CG83/CG60*100</f>
        <v>18.240925408855212</v>
      </c>
      <c r="CH84" s="23">
        <f>IF(ISERROR((CG84/CE84-1)*100),"NA",IF(((CG84/CE84-1)*100)&gt;100,"NM",IF(((CG84/CE84-1)*100)&lt;-50,"NM",(CG84/CE84-1)*100)))</f>
        <v>-2.2743840590056186</v>
      </c>
      <c r="CI84" s="37">
        <f t="shared" ref="CI84" si="646">CI83/CI60*100</f>
        <v>22.711416332304658</v>
      </c>
      <c r="CJ84" s="23">
        <f>IF(ISERROR((CI84/CG84-1)*100),"NA",IF(((CI84/CG84-1)*100)&gt;100,"NM",IF(((CI84/CG84-1)*100)&lt;-50,"NM",(CI84/CG84-1)*100)))</f>
        <v>24.508026995599728</v>
      </c>
      <c r="CK84" s="35">
        <f>CK83/CK60*100</f>
        <v>22.887016119770507</v>
      </c>
      <c r="CL84" s="23">
        <f>IF(ISERROR((CK84/CI84-1)*100),"NA",IF(((CK84/CI84-1)*100)&gt;100,"NM",IF(((CK84/CI84-1)*100)&lt;-50,"NM",(CK84/CI84-1)*100)))</f>
        <v>0.77317849708948838</v>
      </c>
      <c r="CM84" s="35">
        <f>CM83/CM60*100</f>
        <v>22.92625258467076</v>
      </c>
      <c r="CN84" s="23">
        <f>IF(ISERROR((CM84/CK84-1)*100),"NA",IF(((CM84/CK84-1)*100)&gt;100,"NM",IF(((CM84/CK84-1)*100)&lt;-50,"NM",(CM84/CK84-1)*100)))</f>
        <v>0.17143547544564708</v>
      </c>
      <c r="CO84" s="35">
        <f>CO83/CO60*100</f>
        <v>22.963266036613426</v>
      </c>
      <c r="CP84" s="23">
        <f>IF(ISERROR((CO84/CM84-1)*100),"NA",IF(((CO84/CM84-1)*100)&gt;100,"NM",IF(((CO84/CM84-1)*100)&lt;-50,"NM",(CO84/CM84-1)*100)))</f>
        <v>0.16144571297018739</v>
      </c>
      <c r="CQ84" s="35">
        <f>CQ83/CQ60*100</f>
        <v>22.916595582477552</v>
      </c>
      <c r="CR84" s="23">
        <f>IF(ISERROR((CQ84/CO84-1)*100),"NA",IF(((CQ84/CO84-1)*100)&gt;100,"NM",IF(((CQ84/CO84-1)*100)&lt;-50,"NM",(CQ84/CO84-1)*100)))</f>
        <v>-0.20323961783772493</v>
      </c>
      <c r="CS84" s="23">
        <f>IF(ISERROR(((CQ84/CG84)^0.2-1)*100),"NA",IF((((CQ84/CG84)^0.2-1)*100)&gt;100,"NM",IF((((CQ84/CG84)^0.2-1)*100)&lt;-50,"NM",((CQ84/CG84)^0.2-1)*100)))</f>
        <v>4.669619800123237</v>
      </c>
    </row>
    <row r="85" spans="1:97" ht="12.75" customHeight="1" x14ac:dyDescent="0.2">
      <c r="B85" s="35"/>
      <c r="C85" s="60"/>
      <c r="D85" s="35"/>
      <c r="E85" s="60"/>
      <c r="F85" s="35"/>
      <c r="G85" s="60"/>
      <c r="H85" s="35"/>
      <c r="I85" s="60"/>
      <c r="J85" s="35"/>
      <c r="K85" s="23"/>
      <c r="L85" s="35"/>
      <c r="M85" s="23"/>
      <c r="N85" s="35"/>
      <c r="O85" s="23"/>
      <c r="P85" s="35"/>
      <c r="Q85" s="23"/>
      <c r="R85" s="35"/>
      <c r="S85" s="23"/>
      <c r="T85" s="35"/>
      <c r="U85" s="23"/>
      <c r="V85" s="35"/>
      <c r="W85" s="23"/>
      <c r="X85" s="35"/>
      <c r="Y85" s="23"/>
      <c r="Z85" s="35"/>
      <c r="AA85" s="23"/>
      <c r="AB85" s="35"/>
      <c r="AC85" s="23"/>
      <c r="AD85" s="35"/>
      <c r="AE85" s="23"/>
      <c r="AF85" s="35"/>
      <c r="AG85" s="23"/>
      <c r="AH85" s="35"/>
      <c r="AI85" s="23"/>
      <c r="AJ85" s="35"/>
      <c r="AK85" s="23"/>
      <c r="AL85" s="35"/>
      <c r="AM85" s="23"/>
      <c r="AN85" s="409"/>
      <c r="AO85" s="23"/>
      <c r="AP85" s="409"/>
      <c r="AQ85" s="23"/>
      <c r="AR85" s="409"/>
      <c r="AS85" s="23"/>
      <c r="AT85" s="409"/>
      <c r="AU85" s="23"/>
      <c r="AV85" s="409"/>
      <c r="AW85" s="23"/>
      <c r="AX85" s="409"/>
      <c r="AY85" s="23"/>
      <c r="AZ85" s="409"/>
      <c r="BA85" s="23"/>
      <c r="BB85" s="409"/>
      <c r="BC85" s="23"/>
      <c r="BD85" s="409"/>
      <c r="BE85" s="23"/>
      <c r="BF85" s="35"/>
      <c r="BG85" s="23"/>
      <c r="BH85" s="35"/>
      <c r="BI85" s="23"/>
      <c r="BJ85" s="35"/>
      <c r="BK85" s="23"/>
      <c r="BL85" s="35"/>
      <c r="BM85" s="23"/>
      <c r="BN85" s="35"/>
      <c r="BO85" s="138"/>
      <c r="BP85" s="35"/>
      <c r="BQ85" s="35"/>
      <c r="BR85" s="35"/>
      <c r="BS85" s="35"/>
      <c r="BT85" s="35"/>
      <c r="BU85" s="35"/>
      <c r="BV85" s="23"/>
      <c r="BW85" s="35"/>
      <c r="BX85" s="23"/>
      <c r="BY85" s="37"/>
      <c r="BZ85" s="23"/>
      <c r="CA85" s="37"/>
      <c r="CB85" s="23"/>
      <c r="CC85" s="37"/>
      <c r="CD85" s="23"/>
      <c r="CE85" s="37"/>
      <c r="CF85" s="23"/>
      <c r="CG85" s="37"/>
      <c r="CH85" s="23"/>
      <c r="CI85" s="37"/>
      <c r="CJ85" s="23"/>
      <c r="CK85" s="35"/>
      <c r="CL85" s="23"/>
      <c r="CM85" s="35"/>
      <c r="CN85" s="23"/>
      <c r="CO85" s="35"/>
      <c r="CP85" s="23"/>
      <c r="CQ85" s="35"/>
      <c r="CR85" s="23"/>
      <c r="CS85" s="23"/>
    </row>
    <row r="86" spans="1:97" ht="12.75" customHeight="1" x14ac:dyDescent="0.2">
      <c r="A86" s="12" t="s">
        <v>163</v>
      </c>
      <c r="B86" s="49">
        <v>17.100000000000001</v>
      </c>
      <c r="C86" s="59"/>
      <c r="D86" s="49">
        <v>15.8</v>
      </c>
      <c r="E86" s="59"/>
      <c r="F86" s="49">
        <v>-17.2</v>
      </c>
      <c r="G86" s="59"/>
      <c r="H86" s="49">
        <v>28.5</v>
      </c>
      <c r="I86" s="59"/>
      <c r="J86" s="49">
        <v>3.8</v>
      </c>
      <c r="K86" s="23" t="str">
        <f>IF(ISERROR((J86/B86-1)*100),"NA",IF(((J86/B86-1)*100)&gt;100,"NM",IF(((J86/B86-1)*100)&lt;-50,"NM",(J86/B86-1)*100)))</f>
        <v>NM</v>
      </c>
      <c r="L86" s="49">
        <v>-5.0999999999999996</v>
      </c>
      <c r="M86" s="23" t="str">
        <f>IF(ISERROR((L86/D86-1)*100),"NA",IF(((L86/D86-1)*100)&gt;100,"NM",IF(((L86/D86-1)*100)&lt;-50,"NM",(L86/D86-1)*100)))</f>
        <v>NM</v>
      </c>
      <c r="N86" s="49">
        <v>15.9</v>
      </c>
      <c r="O86" s="23" t="str">
        <f>IF(ISERROR((N86/F86-1)*100),"NA",IF(((N86/F86-1)*100)&gt;100,"NM",IF(((N86/F86-1)*100)&lt;-50,"NM",(N86/F86-1)*100)))</f>
        <v>NM</v>
      </c>
      <c r="P86" s="48">
        <v>-8.9</v>
      </c>
      <c r="Q86" s="23" t="str">
        <f>IF(ISERROR((P86/H86-1)*100),"NA",IF(((P86/H86-1)*100)&gt;100,"NM",IF(((P86/H86-1)*100)&lt;-50,"NM",(P86/H86-1)*100)))</f>
        <v>NM</v>
      </c>
      <c r="R86" s="48">
        <v>3</v>
      </c>
      <c r="S86" s="23">
        <f>IF(ISERROR((R86/J86-1)*100),"NA",IF(((R86/J86-1)*100)&gt;100,"NM",IF(((R86/J86-1)*100)&lt;-50,"NM",(R86/J86-1)*100)))</f>
        <v>-21.052631578947366</v>
      </c>
      <c r="T86" s="48">
        <f>1.6-R86</f>
        <v>-1.4</v>
      </c>
      <c r="U86" s="23" t="str">
        <f>IF(ISERROR((T86/L86-1)*100),"NA",IF(((T86/L86-1)*100)&gt;100,"NM",IF(((T86/L86-1)*100)&lt;-50,"NM",(T86/L86-1)*100)))</f>
        <v>NM</v>
      </c>
      <c r="V86" s="48">
        <f>41.6-T86-R86</f>
        <v>40</v>
      </c>
      <c r="W86" s="23" t="str">
        <f>IF(ISERROR((V86/N86-1)*100),"NA",IF(((V86/N86-1)*100)&gt;100,"NM",IF(((V86/N86-1)*100)&lt;-50,"NM",(V86/N86-1)*100)))</f>
        <v>NM</v>
      </c>
      <c r="X86" s="48">
        <v>4</v>
      </c>
      <c r="Y86" s="23" t="str">
        <f>IF(ISERROR((X86/P86-1)*100),"NA",IF(((X86/P86-1)*100)&gt;100,"NM",IF(((X86/P86-1)*100)&lt;-50,"NM",(X86/P86-1)*100)))</f>
        <v>NM</v>
      </c>
      <c r="Z86" s="48">
        <v>-11.3</v>
      </c>
      <c r="AA86" s="23" t="str">
        <f>IF(ISERROR((Z86/R86-1)*100),"NA",IF(((Z86/R86-1)*100)&gt;100,"NM",IF(((Z86/R86-1)*100)&lt;-50,"NM",(Z86/R86-1)*100)))</f>
        <v>NM</v>
      </c>
      <c r="AB86" s="48">
        <v>7.1</v>
      </c>
      <c r="AC86" s="23" t="str">
        <f>IF(ISERROR((AB86/T86-1)*100),"NA",IF(((AB86/T86-1)*100)&gt;100,"NM",IF(((AB86/T86-1)*100)&lt;-50,"NM",(AB86/T86-1)*100)))</f>
        <v>NM</v>
      </c>
      <c r="AD86" s="48">
        <v>-30.4</v>
      </c>
      <c r="AE86" s="23" t="str">
        <f>IF(ISERROR((AD86/V86-1)*100),"NA",IF(((AD86/V86-1)*100)&gt;100,"NM",IF(((AD86/V86-1)*100)&lt;-50,"NM",(AD86/V86-1)*100)))</f>
        <v>NM</v>
      </c>
      <c r="AF86" s="48">
        <v>4.5999999999999996</v>
      </c>
      <c r="AG86" s="23">
        <f>IF(ISERROR((AF86/X86-1)*100),"NA",IF(((AF86/X86-1)*100)&gt;100,"NM",IF(((AF86/X86-1)*100)&lt;-50,"NM",(AF86/X86-1)*100)))</f>
        <v>14.999999999999991</v>
      </c>
      <c r="AH86" s="48">
        <v>-4.2</v>
      </c>
      <c r="AI86" s="23" t="str">
        <f>IF(ISERROR((AH86/Z86-1)*100),"NA",IF(((AH86/Z86-1)*100)&gt;100,"NM",IF(((AH86/Z86-1)*100)&lt;-50,"NM",(AH86/Z86-1)*100)))</f>
        <v>NM</v>
      </c>
      <c r="AJ86" s="48">
        <v>3.5</v>
      </c>
      <c r="AK86" s="23" t="str">
        <f>IF(ISERROR((AJ86/AB86-1)*100),"NA",IF(((AJ86/AB86-1)*100)&gt;100,"NM",IF(((AJ86/AB86-1)*100)&lt;-50,"NM",(AJ86/AB86-1)*100)))</f>
        <v>NM</v>
      </c>
      <c r="AL86" s="48">
        <v>-48.2</v>
      </c>
      <c r="AM86" s="23">
        <f>IF(ISERROR((AL86/AD86-1)*100),"NA",IF(((AL86/AD86-1)*100)&gt;100,"NM",IF(((AL86/AD86-1)*100)&lt;-50,"NM",(AL86/AD86-1)*100)))</f>
        <v>58.552631578947391</v>
      </c>
      <c r="AN86" s="287">
        <v>11.7</v>
      </c>
      <c r="AO86" s="23" t="str">
        <f>IF(ISERROR((AN86/AF86-1)*100),"NA",IF(((AN86/AF86-1)*100)&gt;100,"NM",IF(((AN86/AF86-1)*100)&lt;-50,"NM",(AN86/AF86-1)*100)))</f>
        <v>NM</v>
      </c>
      <c r="AP86" s="287">
        <v>1.8</v>
      </c>
      <c r="AQ86" s="23" t="str">
        <f t="shared" ref="AQ86:AQ87" si="647">IF(ISERROR((AP86/AH86-1)*100),"NA",IF(((AP86/AH86-1)*100)&gt;100,"NM",IF(((AP86/AH86-1)*100)&lt;-50,"NM",(AP86/AH86-1)*100)))</f>
        <v>NM</v>
      </c>
      <c r="AR86" s="287">
        <v>10.7</v>
      </c>
      <c r="AS86" s="23" t="str">
        <f t="shared" ref="AS86:AS87" si="648">IF(ISERROR((AR86/AJ86-1)*100),"NA",IF(((AR86/AJ86-1)*100)&gt;100,"NM",IF(((AR86/AJ86-1)*100)&lt;-50,"NM",(AR86/AJ86-1)*100)))</f>
        <v>NM</v>
      </c>
      <c r="AT86" s="287">
        <v>-74.099999999999994</v>
      </c>
      <c r="AU86" s="23">
        <f t="shared" ref="AU86:AU87" si="649">IF(ISERROR((AT86/AL86-1)*100),"NA",IF(((AT86/AL86-1)*100)&gt;100,"NM",IF(((AT86/AL86-1)*100)&lt;-50,"NM",(AT86/AL86-1)*100)))</f>
        <v>53.734439834024883</v>
      </c>
      <c r="AV86" s="287">
        <v>-4</v>
      </c>
      <c r="AW86" s="23" t="str">
        <f t="shared" ref="AW86:AW87" si="650">IF(ISERROR((AV86/AN86-1)*100),"NA",IF(((AV86/AN86-1)*100)&gt;100,"NM",IF(((AV86/AN86-1)*100)&lt;-50,"NM",(AV86/AN86-1)*100)))</f>
        <v>NM</v>
      </c>
      <c r="AX86" s="287">
        <v>13.4</v>
      </c>
      <c r="AY86" s="23" t="str">
        <f t="shared" ref="AY86:AY87" si="651">IF(ISERROR((AX86/AP86-1)*100),"NA",IF(((AX86/AP86-1)*100)&gt;100,"NM",IF(((AX86/AP86-1)*100)&lt;-50,"NM",(AX86/AP86-1)*100)))</f>
        <v>NM</v>
      </c>
      <c r="AZ86" s="287">
        <v>-114</v>
      </c>
      <c r="BA86" s="23" t="str">
        <f t="shared" ref="BA86:BA87" si="652">IF(ISERROR((AZ86/AR86-1)*100),"NA",IF(((AZ86/AR86-1)*100)&gt;100,"NM",IF(((AZ86/AR86-1)*100)&lt;-50,"NM",(AZ86/AR86-1)*100)))</f>
        <v>NM</v>
      </c>
      <c r="BB86" s="287">
        <f>-92+48</f>
        <v>-44</v>
      </c>
      <c r="BC86" s="23">
        <f t="shared" ref="BC86:BC87" si="653">IF(ISERROR((BB86/AT86-1)*100),"NA",IF(((BB86/AT86-1)*100)&gt;100,"NM",IF(((BB86/AT86-1)*100)&lt;-50,"NM",(BB86/AT86-1)*100)))</f>
        <v>-40.620782726045881</v>
      </c>
      <c r="BD86" s="287">
        <v>7</v>
      </c>
      <c r="BE86" s="23" t="str">
        <f t="shared" ref="BE86:BE87" si="654">IF(ISERROR((BD86/AV86-1)*100),"NA",IF(((BD86/AV86-1)*100)&gt;100,"NM",IF(((BD86/AV86-1)*100)&lt;-50,"NM",(BD86/AV86-1)*100)))</f>
        <v>NM</v>
      </c>
      <c r="BF86" s="48">
        <v>0</v>
      </c>
      <c r="BG86" s="23" t="str">
        <f t="shared" ref="BG86:BG87" si="655">IF(ISERROR((BF86/AX86-1)*100),"NA",IF(((BF86/AX86-1)*100)&gt;100,"NM",IF(((BF86/AX86-1)*100)&lt;-50,"NM",(BF86/AX86-1)*100)))</f>
        <v>NM</v>
      </c>
      <c r="BH86" s="48">
        <v>0</v>
      </c>
      <c r="BI86" s="23" t="str">
        <f t="shared" ref="BI86:BI87" si="656">IF(ISERROR((BH86/AZ86-1)*100),"NA",IF(((BH86/AZ86-1)*100)&gt;100,"NM",IF(((BH86/AZ86-1)*100)&lt;-50,"NM",(BH86/AZ86-1)*100)))</f>
        <v>NM</v>
      </c>
      <c r="BJ86" s="48">
        <v>0</v>
      </c>
      <c r="BK86" s="23" t="str">
        <f t="shared" ref="BK86:BK87" si="657">IF(ISERROR((BJ86/BB86-1)*100),"NA",IF(((BJ86/BB86-1)*100)&gt;100,"NM",IF(((BJ86/BB86-1)*100)&lt;-50,"NM",(BJ86/BB86-1)*100)))</f>
        <v>NM</v>
      </c>
      <c r="BL86" s="48">
        <v>0</v>
      </c>
      <c r="BM86" s="23" t="str">
        <f t="shared" ref="BM86:BM87" si="658">IF(ISERROR((BL86/BD86-1)*100),"NA",IF(((BL86/BD86-1)*100)&gt;100,"NM",IF(((BL86/BD86-1)*100)&lt;-50,"NM",(BL86/BD86-1)*100)))</f>
        <v>NM</v>
      </c>
      <c r="BN86" s="35"/>
      <c r="BO86" s="137"/>
      <c r="BP86" s="35"/>
      <c r="BQ86" s="48">
        <v>67.2</v>
      </c>
      <c r="BR86" s="35"/>
      <c r="BS86" s="48">
        <v>160.4</v>
      </c>
      <c r="BT86" s="35"/>
      <c r="BU86" s="56">
        <f>B86+D86+F86+H86</f>
        <v>44.2</v>
      </c>
      <c r="BV86" s="23" t="str">
        <f>IF(ISERROR((BU86/BS86-1)*100),"NA",IF(((BU86/BS86-1)*100)&gt;100,"NM",IF(((BU86/BS86-1)*100)&lt;-50,"NM",(BU86/BS86-1)*100)))</f>
        <v>NM</v>
      </c>
      <c r="BW86" s="56">
        <f>J86+L86+N86+P86</f>
        <v>5.7000000000000011</v>
      </c>
      <c r="BX86" s="23" t="str">
        <f>IF(ISERROR((BW86/BU86-1)*100),"NA",IF(((BW86/BU86-1)*100)&gt;100,"NM",IF(((BW86/BU86-1)*100)&lt;-50,"NM",(BW86/BU86-1)*100)))</f>
        <v>NM</v>
      </c>
      <c r="BY86" s="56">
        <f>R86+T86+V86+X86</f>
        <v>45.6</v>
      </c>
      <c r="BZ86" s="23" t="str">
        <f>IF(ISERROR((BY86/BW86-1)*100),"NA",IF(((BY86/BW86-1)*100)&gt;100,"NM",IF(((BY86/BW86-1)*100)&lt;-50,"NM",(BY86/BW86-1)*100)))</f>
        <v>NM</v>
      </c>
      <c r="CA86" s="56">
        <f>Z86+AB86+AD86+AF86</f>
        <v>-30</v>
      </c>
      <c r="CB86" s="23" t="str">
        <f>IF(ISERROR((CA86/BY86-1)*100),"NA",IF(((CA86/BY86-1)*100)&gt;100,"NM",IF(((CA86/BY86-1)*100)&lt;-50,"NM",(CA86/BY86-1)*100)))</f>
        <v>NM</v>
      </c>
      <c r="CC86" s="56">
        <f>AH86+AJ86+AL86+AN86</f>
        <v>-37.200000000000003</v>
      </c>
      <c r="CD86" s="23">
        <f>IF(ISERROR((CC86/CA86-1)*100),"NA",IF(((CC86/CA86-1)*100)&gt;100,"NM",IF(((CC86/CA86-1)*100)&lt;-50,"NM",(CC86/CA86-1)*100)))</f>
        <v>24</v>
      </c>
      <c r="CE86" s="56">
        <f>AP86+AR86+AT86+AV86</f>
        <v>-65.599999999999994</v>
      </c>
      <c r="CF86" s="23">
        <f>IF(ISERROR((CE86/CC86-1)*100),"NA",IF(((CE86/CC86-1)*100)&gt;100,"NM",IF(((CE86/CC86-1)*100)&lt;-50,"NM",(CE86/CC86-1)*100)))</f>
        <v>76.344086021505348</v>
      </c>
      <c r="CG86" s="56">
        <f>AX86+AZ86+BB86+BD86</f>
        <v>-137.6</v>
      </c>
      <c r="CH86" s="23" t="str">
        <f>IF(ISERROR((CG86/CE86-1)*100),"NA",IF(((CG86/CE86-1)*100)&gt;100,"NM",IF(((CG86/CE86-1)*100)&lt;-50,"NM",(CG86/CE86-1)*100)))</f>
        <v>NM</v>
      </c>
      <c r="CI86" s="56">
        <f>BF86+BH86+BJ86+BL86</f>
        <v>0</v>
      </c>
      <c r="CJ86" s="23" t="str">
        <f>IF(ISERROR((CI86/CG86-1)*100),"NA",IF(((CI86/CG86-1)*100)&gt;100,"NM",IF(((CI86/CG86-1)*100)&lt;-50,"NM",(CI86/CG86-1)*100)))</f>
        <v>NM</v>
      </c>
      <c r="CK86" s="56">
        <v>0</v>
      </c>
      <c r="CL86" s="23" t="str">
        <f>IF(ISERROR((CK86/CI86-1)*100),"NA",IF(((CK86/CI86-1)*100)&gt;100,"NM",IF(((CK86/CI86-1)*100)&lt;-50,"NM",(CK86/CI86-1)*100)))</f>
        <v>NA</v>
      </c>
      <c r="CM86" s="56">
        <v>0</v>
      </c>
      <c r="CN86" s="23" t="str">
        <f>IF(ISERROR((CM86/CK86-1)*100),"NA",IF(((CM86/CK86-1)*100)&gt;100,"NM",IF(((CM86/CK86-1)*100)&lt;-50,"NM",(CM86/CK86-1)*100)))</f>
        <v>NA</v>
      </c>
      <c r="CO86" s="56">
        <v>0</v>
      </c>
      <c r="CP86" s="23" t="str">
        <f>IF(ISERROR((CO86/CM86-1)*100),"NA",IF(((CO86/CM86-1)*100)&gt;100,"NM",IF(((CO86/CM86-1)*100)&lt;-50,"NM",(CO86/CM86-1)*100)))</f>
        <v>NA</v>
      </c>
      <c r="CQ86" s="56">
        <v>0</v>
      </c>
      <c r="CR86" s="23" t="str">
        <f>IF(ISERROR((CQ86/CO86-1)*100),"NA",IF(((CQ86/CO86-1)*100)&gt;100,"NM",IF(((CQ86/CO86-1)*100)&lt;-50,"NM",(CQ86/CO86-1)*100)))</f>
        <v>NA</v>
      </c>
      <c r="CS86" s="23" t="str">
        <f t="shared" ref="CS86:CS92" si="659">IF(ISERROR(((CQ86/CG86)^0.2-1)*100),"NA",IF((((CQ86/CG86)^0.2-1)*100)&gt;100,"NM",IF((((CQ86/CG86)^0.2-1)*100)&lt;-50,"NM",((CQ86/CG86)^0.2-1)*100)))</f>
        <v>NM</v>
      </c>
    </row>
    <row r="87" spans="1:97" ht="12.75" customHeight="1" x14ac:dyDescent="0.2">
      <c r="A87" s="12" t="s">
        <v>164</v>
      </c>
      <c r="B87" s="49">
        <v>0</v>
      </c>
      <c r="C87" s="59"/>
      <c r="D87" s="49">
        <v>0</v>
      </c>
      <c r="E87" s="59"/>
      <c r="F87" s="49">
        <v>0</v>
      </c>
      <c r="G87" s="59"/>
      <c r="H87" s="49">
        <v>0</v>
      </c>
      <c r="I87" s="59"/>
      <c r="J87" s="49">
        <v>19.8</v>
      </c>
      <c r="K87" s="23" t="str">
        <f>IF(ISERROR((J87/B87-1)*100),"NA",IF(((J87/B87-1)*100)&gt;100,"NM",IF(((J87/B87-1)*100)&lt;-50,"NM",(J87/B87-1)*100)))</f>
        <v>NA</v>
      </c>
      <c r="L87" s="49">
        <v>-50</v>
      </c>
      <c r="M87" s="23" t="str">
        <f>IF(ISERROR((L87/D87-1)*100),"NA",IF(((L87/D87-1)*100)&gt;100,"NM",IF(((L87/D87-1)*100)&lt;-50,"NM",(L87/D87-1)*100)))</f>
        <v>NA</v>
      </c>
      <c r="N87" s="49">
        <v>-1</v>
      </c>
      <c r="O87" s="23" t="str">
        <f>IF(ISERROR((N87/F87-1)*100),"NA",IF(((N87/F87-1)*100)&gt;100,"NM",IF(((N87/F87-1)*100)&lt;-50,"NM",(N87/F87-1)*100)))</f>
        <v>NA</v>
      </c>
      <c r="P87" s="48">
        <v>0</v>
      </c>
      <c r="Q87" s="23" t="str">
        <f>IF(ISERROR((P87/H87-1)*100),"NA",IF(((P87/H87-1)*100)&gt;100,"NM",IF(((P87/H87-1)*100)&lt;-50,"NM",(P87/H87-1)*100)))</f>
        <v>NA</v>
      </c>
      <c r="R87" s="48">
        <v>0</v>
      </c>
      <c r="S87" s="23" t="str">
        <f>IF(ISERROR((R87/J87-1)*100),"NA",IF(((R87/J87-1)*100)&gt;100,"NM",IF(((R87/J87-1)*100)&lt;-50,"NM",(R87/J87-1)*100)))</f>
        <v>NM</v>
      </c>
      <c r="T87" s="48">
        <v>0</v>
      </c>
      <c r="U87" s="23" t="str">
        <f>IF(ISERROR((T87/L87-1)*100),"NA",IF(((T87/L87-1)*100)&gt;100,"NM",IF(((T87/L87-1)*100)&lt;-50,"NM",(T87/L87-1)*100)))</f>
        <v>NM</v>
      </c>
      <c r="V87" s="48">
        <v>0</v>
      </c>
      <c r="W87" s="23" t="str">
        <f>IF(ISERROR((V87/N87-1)*100),"NA",IF(((V87/N87-1)*100)&gt;100,"NM",IF(((V87/N87-1)*100)&lt;-50,"NM",(V87/N87-1)*100)))</f>
        <v>NM</v>
      </c>
      <c r="X87" s="48">
        <v>0</v>
      </c>
      <c r="Y87" s="23" t="str">
        <f>IF(ISERROR((X87/P87-1)*100),"NA",IF(((X87/P87-1)*100)&gt;100,"NM",IF(((X87/P87-1)*100)&lt;-50,"NM",(X87/P87-1)*100)))</f>
        <v>NA</v>
      </c>
      <c r="Z87" s="48">
        <v>0</v>
      </c>
      <c r="AA87" s="23" t="str">
        <f>IF(ISERROR((Z87/R87-1)*100),"NA",IF(((Z87/R87-1)*100)&gt;100,"NM",IF(((Z87/R87-1)*100)&lt;-50,"NM",(Z87/R87-1)*100)))</f>
        <v>NA</v>
      </c>
      <c r="AB87" s="48">
        <v>0</v>
      </c>
      <c r="AC87" s="23" t="str">
        <f>IF(ISERROR((AB87/T87-1)*100),"NA",IF(((AB87/T87-1)*100)&gt;100,"NM",IF(((AB87/T87-1)*100)&lt;-50,"NM",(AB87/T87-1)*100)))</f>
        <v>NA</v>
      </c>
      <c r="AD87" s="48">
        <v>0</v>
      </c>
      <c r="AE87" s="23" t="str">
        <f>IF(ISERROR((AD87/V87-1)*100),"NA",IF(((AD87/V87-1)*100)&gt;100,"NM",IF(((AD87/V87-1)*100)&lt;-50,"NM",(AD87/V87-1)*100)))</f>
        <v>NA</v>
      </c>
      <c r="AF87" s="48">
        <v>0</v>
      </c>
      <c r="AG87" s="23" t="str">
        <f>IF(ISERROR((AF87/X87-1)*100),"NA",IF(((AF87/X87-1)*100)&gt;100,"NM",IF(((AF87/X87-1)*100)&lt;-50,"NM",(AF87/X87-1)*100)))</f>
        <v>NA</v>
      </c>
      <c r="AH87" s="48">
        <v>0</v>
      </c>
      <c r="AI87" s="23" t="str">
        <f>IF(ISERROR((AH87/Z87-1)*100),"NA",IF(((AH87/Z87-1)*100)&gt;100,"NM",IF(((AH87/Z87-1)*100)&lt;-50,"NM",(AH87/Z87-1)*100)))</f>
        <v>NA</v>
      </c>
      <c r="AJ87" s="48">
        <v>0</v>
      </c>
      <c r="AK87" s="23" t="str">
        <f>IF(ISERROR((AJ87/AB87-1)*100),"NA",IF(((AJ87/AB87-1)*100)&gt;100,"NM",IF(((AJ87/AB87-1)*100)&lt;-50,"NM",(AJ87/AB87-1)*100)))</f>
        <v>NA</v>
      </c>
      <c r="AL87" s="48">
        <v>0</v>
      </c>
      <c r="AM87" s="23" t="str">
        <f>IF(ISERROR((AL87/AD87-1)*100),"NA",IF(((AL87/AD87-1)*100)&gt;100,"NM",IF(((AL87/AD87-1)*100)&lt;-50,"NM",(AL87/AD87-1)*100)))</f>
        <v>NA</v>
      </c>
      <c r="AN87" s="287">
        <v>0</v>
      </c>
      <c r="AO87" s="23" t="str">
        <f>IF(ISERROR((AN87/AF87-1)*100),"NA",IF(((AN87/AF87-1)*100)&gt;100,"NM",IF(((AN87/AF87-1)*100)&lt;-50,"NM",(AN87/AF87-1)*100)))</f>
        <v>NA</v>
      </c>
      <c r="AP87" s="287">
        <v>0</v>
      </c>
      <c r="AQ87" s="23" t="str">
        <f t="shared" si="647"/>
        <v>NA</v>
      </c>
      <c r="AR87" s="287">
        <v>0</v>
      </c>
      <c r="AS87" s="23" t="str">
        <f t="shared" si="648"/>
        <v>NA</v>
      </c>
      <c r="AT87" s="287">
        <v>0</v>
      </c>
      <c r="AU87" s="23" t="str">
        <f t="shared" si="649"/>
        <v>NA</v>
      </c>
      <c r="AV87" s="287">
        <v>0</v>
      </c>
      <c r="AW87" s="23" t="str">
        <f t="shared" si="650"/>
        <v>NA</v>
      </c>
      <c r="AX87" s="287">
        <v>0</v>
      </c>
      <c r="AY87" s="23" t="str">
        <f t="shared" si="651"/>
        <v>NA</v>
      </c>
      <c r="AZ87" s="287">
        <v>0</v>
      </c>
      <c r="BA87" s="23" t="str">
        <f t="shared" si="652"/>
        <v>NA</v>
      </c>
      <c r="BB87" s="287">
        <v>0</v>
      </c>
      <c r="BC87" s="23" t="str">
        <f t="shared" si="653"/>
        <v>NA</v>
      </c>
      <c r="BD87" s="287">
        <v>0</v>
      </c>
      <c r="BE87" s="23" t="str">
        <f t="shared" si="654"/>
        <v>NA</v>
      </c>
      <c r="BF87" s="48">
        <v>0</v>
      </c>
      <c r="BG87" s="23" t="str">
        <f t="shared" si="655"/>
        <v>NA</v>
      </c>
      <c r="BH87" s="48">
        <v>0</v>
      </c>
      <c r="BI87" s="23" t="str">
        <f t="shared" si="656"/>
        <v>NA</v>
      </c>
      <c r="BJ87" s="48">
        <v>0</v>
      </c>
      <c r="BK87" s="23" t="str">
        <f t="shared" si="657"/>
        <v>NA</v>
      </c>
      <c r="BL87" s="48">
        <v>0</v>
      </c>
      <c r="BM87" s="23" t="str">
        <f t="shared" si="658"/>
        <v>NA</v>
      </c>
      <c r="BN87" s="35"/>
      <c r="BO87" s="137"/>
      <c r="BP87" s="35"/>
      <c r="BQ87" s="48">
        <v>0</v>
      </c>
      <c r="BR87" s="35"/>
      <c r="BS87" s="48">
        <v>0</v>
      </c>
      <c r="BT87" s="35"/>
      <c r="BU87" s="56">
        <f>B87+D87+F87+H87</f>
        <v>0</v>
      </c>
      <c r="BV87" s="23" t="str">
        <f>IF(ISERROR((BU87/BS87-1)*100),"NA",IF(((BU87/BS87-1)*100)&gt;100,"NM",IF(((BU87/BS87-1)*100)&lt;-50,"NM",(BU87/BS87-1)*100)))</f>
        <v>NA</v>
      </c>
      <c r="BW87" s="56">
        <f>J87+L87+N87+P87</f>
        <v>-31.2</v>
      </c>
      <c r="BX87" s="23" t="str">
        <f>IF(ISERROR((BW87/BU87-1)*100),"NA",IF(((BW87/BU87-1)*100)&gt;100,"NM",IF(((BW87/BU87-1)*100)&lt;-50,"NM",(BW87/BU87-1)*100)))</f>
        <v>NA</v>
      </c>
      <c r="BY87" s="56">
        <f>R87+T87+V87+X87</f>
        <v>0</v>
      </c>
      <c r="BZ87" s="23" t="str">
        <f>IF(ISERROR((BY87/BW87-1)*100),"NA",IF(((BY87/BW87-1)*100)&gt;100,"NM",IF(((BY87/BW87-1)*100)&lt;-50,"NM",(BY87/BW87-1)*100)))</f>
        <v>NM</v>
      </c>
      <c r="CA87" s="56">
        <f>Z87+AB87+AD87+AF87</f>
        <v>0</v>
      </c>
      <c r="CB87" s="23" t="str">
        <f>IF(ISERROR((CA87/BY87-1)*100),"NA",IF(((CA87/BY87-1)*100)&gt;100,"NM",IF(((CA87/BY87-1)*100)&lt;-50,"NM",(CA87/BY87-1)*100)))</f>
        <v>NA</v>
      </c>
      <c r="CC87" s="56">
        <f>AH87+AJ87+AL87+AN87</f>
        <v>0</v>
      </c>
      <c r="CD87" s="23" t="str">
        <f>IF(ISERROR((CC87/CA87-1)*100),"NA",IF(((CC87/CA87-1)*100)&gt;100,"NM",IF(((CC87/CA87-1)*100)&lt;-50,"NM",(CC87/CA87-1)*100)))</f>
        <v>NA</v>
      </c>
      <c r="CE87" s="56">
        <f>AP87+AR87+AT87+AV87</f>
        <v>0</v>
      </c>
      <c r="CF87" s="23" t="str">
        <f>IF(ISERROR((CE87/CC87-1)*100),"NA",IF(((CE87/CC87-1)*100)&gt;100,"NM",IF(((CE87/CC87-1)*100)&lt;-50,"NM",(CE87/CC87-1)*100)))</f>
        <v>NA</v>
      </c>
      <c r="CG87" s="56">
        <f>AX87+AZ87+BB87+BD87</f>
        <v>0</v>
      </c>
      <c r="CH87" s="23" t="str">
        <f>IF(ISERROR((CG87/CE87-1)*100),"NA",IF(((CG87/CE87-1)*100)&gt;100,"NM",IF(((CG87/CE87-1)*100)&lt;-50,"NM",(CG87/CE87-1)*100)))</f>
        <v>NA</v>
      </c>
      <c r="CI87" s="56">
        <f>BF87+BH87+BJ87+BL87</f>
        <v>0</v>
      </c>
      <c r="CJ87" s="23" t="str">
        <f>IF(ISERROR((CI87/CG87-1)*100),"NA",IF(((CI87/CG87-1)*100)&gt;100,"NM",IF(((CI87/CG87-1)*100)&lt;-50,"NM",(CI87/CG87-1)*100)))</f>
        <v>NA</v>
      </c>
      <c r="CK87" s="56">
        <v>0</v>
      </c>
      <c r="CL87" s="23" t="str">
        <f>IF(ISERROR((CK87/CI87-1)*100),"NA",IF(((CK87/CI87-1)*100)&gt;100,"NM",IF(((CK87/CI87-1)*100)&lt;-50,"NM",(CK87/CI87-1)*100)))</f>
        <v>NA</v>
      </c>
      <c r="CM87" s="56">
        <v>0</v>
      </c>
      <c r="CN87" s="23" t="str">
        <f>IF(ISERROR((CM87/CK87-1)*100),"NA",IF(((CM87/CK87-1)*100)&gt;100,"NM",IF(((CM87/CK87-1)*100)&lt;-50,"NM",(CM87/CK87-1)*100)))</f>
        <v>NA</v>
      </c>
      <c r="CO87" s="56">
        <v>0</v>
      </c>
      <c r="CP87" s="23" t="str">
        <f>IF(ISERROR((CO87/CM87-1)*100),"NA",IF(((CO87/CM87-1)*100)&gt;100,"NM",IF(((CO87/CM87-1)*100)&lt;-50,"NM",(CO87/CM87-1)*100)))</f>
        <v>NA</v>
      </c>
      <c r="CQ87" s="56">
        <v>0</v>
      </c>
      <c r="CR87" s="23" t="str">
        <f>IF(ISERROR((CQ87/CO87-1)*100),"NA",IF(((CQ87/CO87-1)*100)&gt;100,"NM",IF(((CQ87/CO87-1)*100)&lt;-50,"NM",(CQ87/CO87-1)*100)))</f>
        <v>NA</v>
      </c>
      <c r="CS87" s="23" t="str">
        <f t="shared" si="659"/>
        <v>NA</v>
      </c>
    </row>
    <row r="88" spans="1:97" ht="12.75" customHeight="1" x14ac:dyDescent="0.2">
      <c r="A88" s="12" t="s">
        <v>14</v>
      </c>
      <c r="B88" s="49"/>
      <c r="C88" s="59"/>
      <c r="D88" s="49"/>
      <c r="E88" s="59"/>
      <c r="F88" s="49"/>
      <c r="G88" s="59"/>
      <c r="H88" s="49"/>
      <c r="I88" s="59"/>
      <c r="J88" s="49"/>
      <c r="K88" s="23"/>
      <c r="L88" s="49"/>
      <c r="M88" s="23"/>
      <c r="N88" s="49"/>
      <c r="O88" s="23"/>
      <c r="P88" s="48"/>
      <c r="Q88" s="23"/>
      <c r="R88" s="48">
        <f>13*0.5</f>
        <v>6.5</v>
      </c>
      <c r="S88" s="23"/>
      <c r="T88" s="48">
        <f>(7.9-5)+(60.3*0.06)</f>
        <v>6.5180000000000007</v>
      </c>
      <c r="U88" s="23"/>
      <c r="V88" s="48">
        <f>52.7-V86</f>
        <v>12.700000000000003</v>
      </c>
      <c r="W88" s="23"/>
      <c r="X88" s="48">
        <v>0.2</v>
      </c>
      <c r="Y88" s="23"/>
      <c r="Z88" s="48">
        <v>0</v>
      </c>
      <c r="AA88" s="23"/>
      <c r="AB88" s="48">
        <v>0</v>
      </c>
      <c r="AC88" s="23"/>
      <c r="AD88" s="48">
        <v>9.9600000000000009</v>
      </c>
      <c r="AE88" s="23"/>
      <c r="AF88" s="48">
        <v>0</v>
      </c>
      <c r="AG88" s="23"/>
      <c r="AH88" s="48">
        <v>-1.1100000000000001</v>
      </c>
      <c r="AI88" s="23"/>
      <c r="AJ88" s="48"/>
      <c r="AK88" s="23"/>
      <c r="AL88" s="48">
        <v>0.7</v>
      </c>
      <c r="AM88" s="23"/>
      <c r="AN88" s="48">
        <v>0</v>
      </c>
      <c r="AO88" s="23"/>
      <c r="AP88" s="48">
        <v>0</v>
      </c>
      <c r="AQ88" s="23"/>
      <c r="AR88" s="287">
        <v>0</v>
      </c>
      <c r="AS88" s="23"/>
      <c r="AT88" s="287">
        <v>6</v>
      </c>
      <c r="AU88" s="23"/>
      <c r="AV88" s="287">
        <v>4.0999999999999996</v>
      </c>
      <c r="AW88" s="23"/>
      <c r="AX88" s="287">
        <v>3</v>
      </c>
      <c r="AY88" s="23"/>
      <c r="AZ88" s="287">
        <v>4</v>
      </c>
      <c r="BA88" s="23"/>
      <c r="BB88" s="287">
        <f>3+3</f>
        <v>6</v>
      </c>
      <c r="BC88" s="23"/>
      <c r="BD88" s="287">
        <v>12</v>
      </c>
      <c r="BE88" s="23"/>
      <c r="BF88" s="48"/>
      <c r="BG88" s="23"/>
      <c r="BH88" s="48"/>
      <c r="BI88" s="23"/>
      <c r="BJ88" s="48"/>
      <c r="BK88" s="23"/>
      <c r="BL88" s="48"/>
      <c r="BM88" s="23"/>
      <c r="BN88" s="35"/>
      <c r="BO88" s="137"/>
      <c r="BP88" s="35"/>
      <c r="BQ88" s="48"/>
      <c r="BR88" s="35"/>
      <c r="BS88" s="48"/>
      <c r="BT88" s="35"/>
      <c r="BU88" s="56"/>
      <c r="BV88" s="23"/>
      <c r="BW88" s="56">
        <f>J88+L88+N88+P88</f>
        <v>0</v>
      </c>
      <c r="BX88" s="23"/>
      <c r="BY88" s="56">
        <f>R88+T88+V88+X88</f>
        <v>25.918000000000003</v>
      </c>
      <c r="BZ88" s="23"/>
      <c r="CA88" s="56">
        <f>Z88+AB88+AD88+AF88</f>
        <v>9.9600000000000009</v>
      </c>
      <c r="CB88" s="23"/>
      <c r="CC88" s="56">
        <f>AH88+AJ88+AL88+AN88</f>
        <v>-0.41000000000000014</v>
      </c>
      <c r="CD88" s="23"/>
      <c r="CE88" s="56">
        <f>AP88+AR88+AT88+AV88</f>
        <v>10.1</v>
      </c>
      <c r="CF88" s="23"/>
      <c r="CG88" s="56">
        <f>AX88+AZ88+BB88+BD88</f>
        <v>25</v>
      </c>
      <c r="CH88" s="23"/>
      <c r="CI88" s="56">
        <f>BF88+BH88+BJ88+BL88</f>
        <v>0</v>
      </c>
      <c r="CJ88" s="23"/>
      <c r="CK88" s="56">
        <v>0</v>
      </c>
      <c r="CL88" s="23"/>
      <c r="CM88" s="56">
        <v>0</v>
      </c>
      <c r="CN88" s="23"/>
      <c r="CO88" s="56">
        <v>0</v>
      </c>
      <c r="CP88" s="23"/>
      <c r="CQ88" s="56">
        <v>0</v>
      </c>
      <c r="CR88" s="23"/>
      <c r="CS88" s="23" t="str">
        <f t="shared" si="659"/>
        <v>NM</v>
      </c>
    </row>
    <row r="89" spans="1:97" ht="12.75" customHeight="1" x14ac:dyDescent="0.2">
      <c r="A89" s="4" t="s">
        <v>12</v>
      </c>
      <c r="B89" s="36">
        <f>B86+B87+B88</f>
        <v>17.100000000000001</v>
      </c>
      <c r="C89" s="59"/>
      <c r="D89" s="36">
        <f>D86+D87+D88</f>
        <v>15.8</v>
      </c>
      <c r="E89" s="59"/>
      <c r="F89" s="36">
        <f>F86+F87+F88</f>
        <v>-17.2</v>
      </c>
      <c r="G89" s="59"/>
      <c r="H89" s="36">
        <f>H86+H87+H88</f>
        <v>28.5</v>
      </c>
      <c r="I89" s="59"/>
      <c r="J89" s="56">
        <f>J86+J87+J88</f>
        <v>23.6</v>
      </c>
      <c r="K89" s="23">
        <f>IF(ISERROR((J89/B89-1)*100),"NA",IF(((J89/B89-1)*100)&gt;100,"NM",IF(((J89/B89-1)*100)&lt;-50,"NM",(J89/B89-1)*100)))</f>
        <v>38.011695906432742</v>
      </c>
      <c r="L89" s="36">
        <f>L86+L87+L88</f>
        <v>-55.1</v>
      </c>
      <c r="M89" s="23" t="str">
        <f>IF(ISERROR((L89/D89-1)*100),"NA",IF(((L89/D89-1)*100)&gt;100,"NM",IF(((L89/D89-1)*100)&lt;-50,"NM",(L89/D89-1)*100)))</f>
        <v>NM</v>
      </c>
      <c r="N89" s="36">
        <f>N86+N87+N88</f>
        <v>14.9</v>
      </c>
      <c r="O89" s="23" t="str">
        <f>IF(ISERROR((N89/F89-1)*100),"NA",IF(((N89/F89-1)*100)&gt;100,"NM",IF(((N89/F89-1)*100)&lt;-50,"NM",(N89/F89-1)*100)))</f>
        <v>NM</v>
      </c>
      <c r="P89" s="36">
        <f>P86+P87+P88</f>
        <v>-8.9</v>
      </c>
      <c r="Q89" s="23" t="str">
        <f>IF(ISERROR((P89/H89-1)*100),"NA",IF(((P89/H89-1)*100)&gt;100,"NM",IF(((P89/H89-1)*100)&lt;-50,"NM",(P89/H89-1)*100)))</f>
        <v>NM</v>
      </c>
      <c r="R89" s="36">
        <f>R86+R87+R88</f>
        <v>9.5</v>
      </c>
      <c r="S89" s="23" t="str">
        <f>IF(ISERROR((R89/J89-1)*100),"NA",IF(((R89/J89-1)*100)&gt;100,"NM",IF(((R89/J89-1)*100)&lt;-50,"NM",(R89/J89-1)*100)))</f>
        <v>NM</v>
      </c>
      <c r="T89" s="36">
        <f>T86+T87+T88</f>
        <v>5.1180000000000003</v>
      </c>
      <c r="U89" s="23" t="str">
        <f>IF(ISERROR((T89/L89-1)*100),"NA",IF(((T89/L89-1)*100)&gt;100,"NM",IF(((T89/L89-1)*100)&lt;-50,"NM",(T89/L89-1)*100)))</f>
        <v>NM</v>
      </c>
      <c r="V89" s="36">
        <f>V86+V87+V88</f>
        <v>52.7</v>
      </c>
      <c r="W89" s="23" t="str">
        <f>IF(ISERROR((V89/N89-1)*100),"NA",IF(((V89/N89-1)*100)&gt;100,"NM",IF(((V89/N89-1)*100)&lt;-50,"NM",(V89/N89-1)*100)))</f>
        <v>NM</v>
      </c>
      <c r="X89" s="36">
        <f>X86+X87+X88</f>
        <v>4.2</v>
      </c>
      <c r="Y89" s="23" t="str">
        <f>IF(ISERROR((X89/P89-1)*100),"NA",IF(((X89/P89-1)*100)&gt;100,"NM",IF(((X89/P89-1)*100)&lt;-50,"NM",(X89/P89-1)*100)))</f>
        <v>NM</v>
      </c>
      <c r="Z89" s="36">
        <f>Z86+Z87+Z88</f>
        <v>-11.3</v>
      </c>
      <c r="AA89" s="23" t="str">
        <f>IF(ISERROR((Z89/R89-1)*100),"NA",IF(((Z89/R89-1)*100)&gt;100,"NM",IF(((Z89/R89-1)*100)&lt;-50,"NM",(Z89/R89-1)*100)))</f>
        <v>NM</v>
      </c>
      <c r="AB89" s="36">
        <f>AB86+AB87+AB88</f>
        <v>7.1</v>
      </c>
      <c r="AC89" s="23">
        <f>IF(ISERROR((AB89/T89-1)*100),"NA",IF(((AB89/T89-1)*100)&gt;100,"NM",IF(((AB89/T89-1)*100)&lt;-50,"NM",(AB89/T89-1)*100)))</f>
        <v>38.72606486908947</v>
      </c>
      <c r="AD89" s="36">
        <f>AD86+AD87+AD88</f>
        <v>-20.439999999999998</v>
      </c>
      <c r="AE89" s="23" t="str">
        <f>IF(ISERROR((AD89/V89-1)*100),"NA",IF(((AD89/V89-1)*100)&gt;100,"NM",IF(((AD89/V89-1)*100)&lt;-50,"NM",(AD89/V89-1)*100)))</f>
        <v>NM</v>
      </c>
      <c r="AF89" s="36">
        <f>AF86+AF87+AF88</f>
        <v>4.5999999999999996</v>
      </c>
      <c r="AG89" s="23">
        <f>IF(ISERROR((AF89/X89-1)*100),"NA",IF(((AF89/X89-1)*100)&gt;100,"NM",IF(((AF89/X89-1)*100)&lt;-50,"NM",(AF89/X89-1)*100)))</f>
        <v>9.5238095238095113</v>
      </c>
      <c r="AH89" s="36">
        <f>AH86+AH87+AH88</f>
        <v>-5.3100000000000005</v>
      </c>
      <c r="AI89" s="23" t="str">
        <f>IF(ISERROR((AH89/Z89-1)*100),"NA",IF(((AH89/Z89-1)*100)&gt;100,"NM",IF(((AH89/Z89-1)*100)&lt;-50,"NM",(AH89/Z89-1)*100)))</f>
        <v>NM</v>
      </c>
      <c r="AJ89" s="36">
        <f>AJ86+AJ87+AJ88</f>
        <v>3.5</v>
      </c>
      <c r="AK89" s="23" t="str">
        <f>IF(ISERROR((AJ89/AB89-1)*100),"NA",IF(((AJ89/AB89-1)*100)&gt;100,"NM",IF(((AJ89/AB89-1)*100)&lt;-50,"NM",(AJ89/AB89-1)*100)))</f>
        <v>NM</v>
      </c>
      <c r="AL89" s="36">
        <f>AL86+AL87+AL88</f>
        <v>-47.5</v>
      </c>
      <c r="AM89" s="23" t="str">
        <f>IF(ISERROR((AL89/AD89-1)*100),"NA",IF(((AL89/AD89-1)*100)&gt;100,"NM",IF(((AL89/AD89-1)*100)&lt;-50,"NM",(AL89/AD89-1)*100)))</f>
        <v>NM</v>
      </c>
      <c r="AN89" s="410">
        <f t="shared" ref="AN89:AP89" si="660">AN86+AN87+AN88</f>
        <v>11.7</v>
      </c>
      <c r="AO89" s="23" t="str">
        <f>IF(ISERROR((AN89/AF89-1)*100),"NA",IF(((AN89/AF89-1)*100)&gt;100,"NM",IF(((AN89/AF89-1)*100)&lt;-50,"NM",(AN89/AF89-1)*100)))</f>
        <v>NM</v>
      </c>
      <c r="AP89" s="410">
        <f t="shared" si="660"/>
        <v>1.8</v>
      </c>
      <c r="AQ89" s="23" t="str">
        <f t="shared" ref="AQ89:AQ91" si="661">IF(ISERROR((AP89/AH89-1)*100),"NA",IF(((AP89/AH89-1)*100)&gt;100,"NM",IF(((AP89/AH89-1)*100)&lt;-50,"NM",(AP89/AH89-1)*100)))</f>
        <v>NM</v>
      </c>
      <c r="AR89" s="410">
        <f>AR86+AR87+AR88</f>
        <v>10.7</v>
      </c>
      <c r="AS89" s="23" t="str">
        <f t="shared" ref="AS89:AS91" si="662">IF(ISERROR((AR89/AJ89-1)*100),"NA",IF(((AR89/AJ89-1)*100)&gt;100,"NM",IF(((AR89/AJ89-1)*100)&lt;-50,"NM",(AR89/AJ89-1)*100)))</f>
        <v>NM</v>
      </c>
      <c r="AT89" s="410">
        <f>AT86+AT87+AT88</f>
        <v>-68.099999999999994</v>
      </c>
      <c r="AU89" s="23">
        <f t="shared" ref="AU89:AU91" si="663">IF(ISERROR((AT89/AL89-1)*100),"NA",IF(((AT89/AL89-1)*100)&gt;100,"NM",IF(((AT89/AL89-1)*100)&lt;-50,"NM",(AT89/AL89-1)*100)))</f>
        <v>43.368421052631568</v>
      </c>
      <c r="AV89" s="410">
        <f t="shared" ref="AV89:AX89" si="664">AV86+AV87+AV88</f>
        <v>9.9999999999999645E-2</v>
      </c>
      <c r="AW89" s="23" t="str">
        <f t="shared" ref="AW89:AW91" si="665">IF(ISERROR((AV89/AN89-1)*100),"NA",IF(((AV89/AN89-1)*100)&gt;100,"NM",IF(((AV89/AN89-1)*100)&lt;-50,"NM",(AV89/AN89-1)*100)))</f>
        <v>NM</v>
      </c>
      <c r="AX89" s="410">
        <f t="shared" si="664"/>
        <v>16.399999999999999</v>
      </c>
      <c r="AY89" s="23" t="str">
        <f t="shared" ref="AY89:AY91" si="666">IF(ISERROR((AX89/AP89-1)*100),"NA",IF(((AX89/AP89-1)*100)&gt;100,"NM",IF(((AX89/AP89-1)*100)&lt;-50,"NM",(AX89/AP89-1)*100)))</f>
        <v>NM</v>
      </c>
      <c r="AZ89" s="410">
        <f t="shared" ref="AZ89" si="667">AZ86+AZ87+AZ88</f>
        <v>-110</v>
      </c>
      <c r="BA89" s="23" t="str">
        <f t="shared" ref="BA89:BA91" si="668">IF(ISERROR((AZ89/AR89-1)*100),"NA",IF(((AZ89/AR89-1)*100)&gt;100,"NM",IF(((AZ89/AR89-1)*100)&lt;-50,"NM",(AZ89/AR89-1)*100)))</f>
        <v>NM</v>
      </c>
      <c r="BB89" s="410">
        <f t="shared" ref="BB89:BD89" si="669">BB86+BB87+BB88</f>
        <v>-38</v>
      </c>
      <c r="BC89" s="23">
        <f t="shared" ref="BC89:BC91" si="670">IF(ISERROR((BB89/AT89-1)*100),"NA",IF(((BB89/AT89-1)*100)&gt;100,"NM",IF(((BB89/AT89-1)*100)&lt;-50,"NM",(BB89/AT89-1)*100)))</f>
        <v>-44.199706314243755</v>
      </c>
      <c r="BD89" s="410">
        <f t="shared" si="669"/>
        <v>19</v>
      </c>
      <c r="BE89" s="23" t="str">
        <f t="shared" ref="BE89:BE91" si="671">IF(ISERROR((BD89/AV89-1)*100),"NA",IF(((BD89/AV89-1)*100)&gt;100,"NM",IF(((BD89/AV89-1)*100)&lt;-50,"NM",(BD89/AV89-1)*100)))</f>
        <v>NM</v>
      </c>
      <c r="BF89" s="36">
        <f t="shared" ref="BF89" si="672">BF86+BF87+BF88</f>
        <v>0</v>
      </c>
      <c r="BG89" s="23" t="str">
        <f t="shared" ref="BG89:BG91" si="673">IF(ISERROR((BF89/AX89-1)*100),"NA",IF(((BF89/AX89-1)*100)&gt;100,"NM",IF(((BF89/AX89-1)*100)&lt;-50,"NM",(BF89/AX89-1)*100)))</f>
        <v>NM</v>
      </c>
      <c r="BH89" s="36">
        <f t="shared" ref="BH89" si="674">BH86+BH87+BH88</f>
        <v>0</v>
      </c>
      <c r="BI89" s="23" t="str">
        <f t="shared" ref="BI89:BI91" si="675">IF(ISERROR((BH89/AZ89-1)*100),"NA",IF(((BH89/AZ89-1)*100)&gt;100,"NM",IF(((BH89/AZ89-1)*100)&lt;-50,"NM",(BH89/AZ89-1)*100)))</f>
        <v>NM</v>
      </c>
      <c r="BJ89" s="36">
        <f t="shared" ref="BJ89" si="676">BJ86+BJ87+BJ88</f>
        <v>0</v>
      </c>
      <c r="BK89" s="23" t="str">
        <f t="shared" ref="BK89:BK91" si="677">IF(ISERROR((BJ89/BB89-1)*100),"NA",IF(((BJ89/BB89-1)*100)&gt;100,"NM",IF(((BJ89/BB89-1)*100)&lt;-50,"NM",(BJ89/BB89-1)*100)))</f>
        <v>NM</v>
      </c>
      <c r="BL89" s="36">
        <f t="shared" ref="BL89" si="678">BL86+BL87+BL88</f>
        <v>0</v>
      </c>
      <c r="BM89" s="23" t="str">
        <f t="shared" ref="BM89:BM91" si="679">IF(ISERROR((BL89/BD89-1)*100),"NA",IF(((BL89/BD89-1)*100)&gt;100,"NM",IF(((BL89/BD89-1)*100)&lt;-50,"NM",(BL89/BD89-1)*100)))</f>
        <v>NM</v>
      </c>
      <c r="BN89" s="35"/>
      <c r="BO89" s="137"/>
      <c r="BP89" s="35"/>
      <c r="BQ89" s="56">
        <f>BQ86+BQ87</f>
        <v>67.2</v>
      </c>
      <c r="BR89" s="37"/>
      <c r="BS89" s="56">
        <f>BS86+BS87</f>
        <v>160.4</v>
      </c>
      <c r="BT89" s="35"/>
      <c r="BU89" s="36">
        <f>BU86+BU87+BU88</f>
        <v>44.2</v>
      </c>
      <c r="BV89" s="23" t="str">
        <f>IF(ISERROR((BU89/BS89-1)*100),"NA",IF(((BU89/BS89-1)*100)&gt;100,"NM",IF(((BU89/BS89-1)*100)&lt;-50,"NM",(BU89/BS89-1)*100)))</f>
        <v>NM</v>
      </c>
      <c r="BW89" s="36">
        <f>BW86+BW87+BW88</f>
        <v>-25.5</v>
      </c>
      <c r="BX89" s="23" t="str">
        <f>IF(ISERROR((BW89/BU89-1)*100),"NA",IF(((BW89/BU89-1)*100)&gt;100,"NM",IF(((BW89/BU89-1)*100)&lt;-50,"NM",(BW89/BU89-1)*100)))</f>
        <v>NM</v>
      </c>
      <c r="BY89" s="36">
        <f>BY86+BY87+BY88</f>
        <v>71.518000000000001</v>
      </c>
      <c r="BZ89" s="23" t="str">
        <f>IF(ISERROR((BY89/BW89-1)*100),"NA",IF(((BY89/BW89-1)*100)&gt;100,"NM",IF(((BY89/BW89-1)*100)&lt;-50,"NM",(BY89/BW89-1)*100)))</f>
        <v>NM</v>
      </c>
      <c r="CA89" s="36">
        <f>CA86+CA87+CA88</f>
        <v>-20.04</v>
      </c>
      <c r="CB89" s="23" t="str">
        <f>IF(ISERROR((CA89/BY89-1)*100),"NA",IF(((CA89/BY89-1)*100)&gt;100,"NM",IF(((CA89/BY89-1)*100)&lt;-50,"NM",(CA89/BY89-1)*100)))</f>
        <v>NM</v>
      </c>
      <c r="CC89" s="36">
        <f>CC86+CC87+CC88</f>
        <v>-37.61</v>
      </c>
      <c r="CD89" s="23">
        <f>IF(ISERROR((CC89/CA89-1)*100),"NA",IF(((CC89/CA89-1)*100)&gt;100,"NM",IF(((CC89/CA89-1)*100)&lt;-50,"NM",(CC89/CA89-1)*100)))</f>
        <v>87.674650698602804</v>
      </c>
      <c r="CE89" s="36">
        <f>CE86+CE87+CE88</f>
        <v>-55.499999999999993</v>
      </c>
      <c r="CF89" s="23">
        <f>IF(ISERROR((CE89/CC89-1)*100),"NA",IF(((CE89/CC89-1)*100)&gt;100,"NM",IF(((CE89/CC89-1)*100)&lt;-50,"NM",(CE89/CC89-1)*100)))</f>
        <v>47.567136399893627</v>
      </c>
      <c r="CG89" s="36">
        <f>CG86+CG87+CG88</f>
        <v>-112.6</v>
      </c>
      <c r="CH89" s="23" t="str">
        <f>IF(ISERROR((CG89/CE89-1)*100),"NA",IF(((CG89/CE89-1)*100)&gt;100,"NM",IF(((CG89/CE89-1)*100)&lt;-50,"NM",(CG89/CE89-1)*100)))</f>
        <v>NM</v>
      </c>
      <c r="CI89" s="36">
        <f>CI86+CI87+CI88</f>
        <v>0</v>
      </c>
      <c r="CJ89" s="23" t="str">
        <f>IF(ISERROR((CI89/CG89-1)*100),"NA",IF(((CI89/CG89-1)*100)&gt;100,"NM",IF(((CI89/CG89-1)*100)&lt;-50,"NM",(CI89/CG89-1)*100)))</f>
        <v>NM</v>
      </c>
      <c r="CK89" s="36">
        <f>CK86+CK87+CK88</f>
        <v>0</v>
      </c>
      <c r="CL89" s="23" t="str">
        <f>IF(ISERROR((CK89/CI89-1)*100),"NA",IF(((CK89/CI89-1)*100)&gt;100,"NM",IF(((CK89/CI89-1)*100)&lt;-50,"NM",(CK89/CI89-1)*100)))</f>
        <v>NA</v>
      </c>
      <c r="CM89" s="36">
        <f>CM86+CM87+CM88</f>
        <v>0</v>
      </c>
      <c r="CN89" s="23" t="str">
        <f>IF(ISERROR((CM89/CK89-1)*100),"NA",IF(((CM89/CK89-1)*100)&gt;100,"NM",IF(((CM89/CK89-1)*100)&lt;-50,"NM",(CM89/CK89-1)*100)))</f>
        <v>NA</v>
      </c>
      <c r="CO89" s="36">
        <f>CO86+CO87+CO88</f>
        <v>0</v>
      </c>
      <c r="CP89" s="23" t="str">
        <f>IF(ISERROR((CO89/CM89-1)*100),"NA",IF(((CO89/CM89-1)*100)&gt;100,"NM",IF(((CO89/CM89-1)*100)&lt;-50,"NM",(CO89/CM89-1)*100)))</f>
        <v>NA</v>
      </c>
      <c r="CQ89" s="36">
        <f>CQ86+CQ87+CQ88</f>
        <v>0</v>
      </c>
      <c r="CR89" s="23" t="str">
        <f>IF(ISERROR((CQ89/CO89-1)*100),"NA",IF(((CQ89/CO89-1)*100)&gt;100,"NM",IF(((CQ89/CO89-1)*100)&lt;-50,"NM",(CQ89/CO89-1)*100)))</f>
        <v>NA</v>
      </c>
      <c r="CS89" s="23" t="str">
        <f t="shared" si="659"/>
        <v>NM</v>
      </c>
    </row>
    <row r="90" spans="1:97" ht="12.75" customHeight="1" x14ac:dyDescent="0.2">
      <c r="A90" s="3" t="s">
        <v>130</v>
      </c>
      <c r="B90" s="72">
        <f t="shared" ref="B90:Z90" si="680">B83-B89</f>
        <v>108.36500000000009</v>
      </c>
      <c r="C90" s="59"/>
      <c r="D90" s="72">
        <f t="shared" si="680"/>
        <v>132.928</v>
      </c>
      <c r="E90" s="59"/>
      <c r="F90" s="72">
        <f t="shared" si="680"/>
        <v>114.86999999999996</v>
      </c>
      <c r="G90" s="59"/>
      <c r="H90" s="72">
        <f t="shared" si="680"/>
        <v>41.507000000000062</v>
      </c>
      <c r="I90" s="59"/>
      <c r="J90" s="72">
        <f t="shared" si="680"/>
        <v>100.48499999999993</v>
      </c>
      <c r="K90" s="23">
        <f>IF(ISERROR((J90/B90-1)*100),"NA",IF(((J90/B90-1)*100)&gt;100,"NM",IF(((J90/B90-1)*100)&lt;-50,"NM",(J90/B90-1)*100)))</f>
        <v>-7.2717205739862179</v>
      </c>
      <c r="L90" s="72">
        <f t="shared" si="680"/>
        <v>126.20999999999989</v>
      </c>
      <c r="M90" s="23">
        <f>IF(ISERROR((L90/D90-1)*100),"NA",IF(((L90/D90-1)*100)&gt;100,"NM",IF(((L90/D90-1)*100)&lt;-50,"NM",(L90/D90-1)*100)))</f>
        <v>-5.0538637457872682</v>
      </c>
      <c r="N90" s="72">
        <f t="shared" si="680"/>
        <v>130.3960000000001</v>
      </c>
      <c r="O90" s="23">
        <f>IF(ISERROR((N90/F90-1)*100),"NA",IF(((N90/F90-1)*100)&gt;100,"NM",IF(((N90/F90-1)*100)&lt;-50,"NM",(N90/F90-1)*100)))</f>
        <v>13.516148689823403</v>
      </c>
      <c r="P90" s="72">
        <f t="shared" si="680"/>
        <v>116.70000000000007</v>
      </c>
      <c r="Q90" s="23" t="str">
        <f>IF(ISERROR((P90/H90-1)*100),"NA",IF(((P90/H90-1)*100)&gt;100,"NM",IF(((P90/H90-1)*100)&lt;-50,"NM",(P90/H90-1)*100)))</f>
        <v>NM</v>
      </c>
      <c r="R90" s="72">
        <f t="shared" si="680"/>
        <v>128.30000000000007</v>
      </c>
      <c r="S90" s="23">
        <f>IF(ISERROR((R90/J90-1)*100),"NA",IF(((R90/J90-1)*100)&gt;100,"NM",IF(((R90/J90-1)*100)&lt;-50,"NM",(R90/J90-1)*100)))</f>
        <v>27.680748370403705</v>
      </c>
      <c r="T90" s="72">
        <f t="shared" si="680"/>
        <v>127.08200000000011</v>
      </c>
      <c r="U90" s="23">
        <f>IF(ISERROR((T90/L90-1)*100),"NA",IF(((T90/L90-1)*100)&gt;100,"NM",IF(((T90/L90-1)*100)&lt;-50,"NM",(T90/L90-1)*100)))</f>
        <v>0.69091197211015309</v>
      </c>
      <c r="V90" s="72">
        <f t="shared" si="680"/>
        <v>134.59999999999997</v>
      </c>
      <c r="W90" s="23">
        <f>IF(ISERROR((V90/N90-1)*100),"NA",IF(((V90/N90-1)*100)&gt;100,"NM",IF(((V90/N90-1)*100)&lt;-50,"NM",(V90/N90-1)*100)))</f>
        <v>3.2240252768488853</v>
      </c>
      <c r="X90" s="72">
        <f t="shared" si="680"/>
        <v>134.39999999999992</v>
      </c>
      <c r="Y90" s="23">
        <f>IF(ISERROR((X90/P90-1)*100),"NA",IF(((X90/P90-1)*100)&gt;100,"NM",IF(((X90/P90-1)*100)&lt;-50,"NM",(X90/P90-1)*100)))</f>
        <v>15.167095115681084</v>
      </c>
      <c r="Z90" s="72">
        <f t="shared" si="680"/>
        <v>126.20000000000003</v>
      </c>
      <c r="AA90" s="23">
        <f>IF(ISERROR((Z90/R90-1)*100),"NA",IF(((Z90/R90-1)*100)&gt;100,"NM",IF(((Z90/R90-1)*100)&lt;-50,"NM",(Z90/R90-1)*100)))</f>
        <v>-1.6367887763055644</v>
      </c>
      <c r="AB90" s="72">
        <f t="shared" ref="AB90:AD90" si="681">AB83-AB89</f>
        <v>128.60000000000011</v>
      </c>
      <c r="AC90" s="23">
        <f>IF(ISERROR((AB90/T90-1)*100),"NA",IF(((AB90/T90-1)*100)&gt;100,"NM",IF(((AB90/T90-1)*100)&lt;-50,"NM",(AB90/T90-1)*100)))</f>
        <v>1.1945043357831864</v>
      </c>
      <c r="AD90" s="72">
        <f t="shared" si="681"/>
        <v>137.74</v>
      </c>
      <c r="AE90" s="23">
        <f>IF(ISERROR((AD90/V90-1)*100),"NA",IF(((AD90/V90-1)*100)&gt;100,"NM",IF(((AD90/V90-1)*100)&lt;-50,"NM",(AD90/V90-1)*100)))</f>
        <v>2.3328380386330227</v>
      </c>
      <c r="AF90" s="72">
        <f t="shared" ref="AF90:AH90" si="682">AF83-AF89</f>
        <v>145.39999999999984</v>
      </c>
      <c r="AG90" s="23">
        <f>IF(ISERROR((AF90/X90-1)*100),"NA",IF(((AF90/X90-1)*100)&gt;100,"NM",IF(((AF90/X90-1)*100)&lt;-50,"NM",(AF90/X90-1)*100)))</f>
        <v>8.1845238095237463</v>
      </c>
      <c r="AH90" s="72">
        <f t="shared" si="682"/>
        <v>129.91000000000003</v>
      </c>
      <c r="AI90" s="23">
        <f>IF(ISERROR((AH90/Z90-1)*100),"NA",IF(((AH90/Z90-1)*100)&gt;100,"NM",IF(((AH90/Z90-1)*100)&lt;-50,"NM",(AH90/Z90-1)*100)))</f>
        <v>2.9397781299524528</v>
      </c>
      <c r="AJ90" s="72">
        <f t="shared" ref="AJ90:AL90" si="683">AJ83-AJ89</f>
        <v>124.90000000000003</v>
      </c>
      <c r="AK90" s="23">
        <f>IF(ISERROR((AJ90/AB90-1)*100),"NA",IF(((AJ90/AB90-1)*100)&gt;100,"NM",IF(((AJ90/AB90-1)*100)&lt;-50,"NM",(AJ90/AB90-1)*100)))</f>
        <v>-2.877138413685898</v>
      </c>
      <c r="AL90" s="72">
        <f t="shared" si="683"/>
        <v>127.99999999999989</v>
      </c>
      <c r="AM90" s="23">
        <f>IF(ISERROR((AL90/AD90-1)*100),"NA",IF(((AL90/AD90-1)*100)&gt;100,"NM",IF(((AL90/AD90-1)*100)&lt;-50,"NM",(AL90/AD90-1)*100)))</f>
        <v>-7.0712937418325295</v>
      </c>
      <c r="AN90" s="72">
        <f t="shared" ref="AN90:AP90" si="684">AN83-AN89</f>
        <v>125.40000000000002</v>
      </c>
      <c r="AO90" s="23">
        <f>IF(ISERROR((AN90/AF90-1)*100),"NA",IF(((AN90/AF90-1)*100)&gt;100,"NM",IF(((AN90/AF90-1)*100)&lt;-50,"NM",(AN90/AF90-1)*100)))</f>
        <v>-13.755158184319004</v>
      </c>
      <c r="AP90" s="72">
        <f t="shared" si="684"/>
        <v>101.89999999999988</v>
      </c>
      <c r="AQ90" s="23">
        <f t="shared" si="661"/>
        <v>-21.561080748210404</v>
      </c>
      <c r="AR90" s="72">
        <f t="shared" ref="AR90" si="685">AR83-AR89</f>
        <v>129.79999999999995</v>
      </c>
      <c r="AS90" s="23">
        <f t="shared" si="662"/>
        <v>3.9231385108085881</v>
      </c>
      <c r="AT90" s="72">
        <f t="shared" ref="AT90" si="686">AT83-AT89</f>
        <v>130.99999999999997</v>
      </c>
      <c r="AU90" s="23">
        <f t="shared" si="663"/>
        <v>2.3437500000000666</v>
      </c>
      <c r="AV90" s="72">
        <f t="shared" ref="AV90:AX90" si="687">AV83-AV89</f>
        <v>142.6</v>
      </c>
      <c r="AW90" s="23">
        <f t="shared" si="665"/>
        <v>13.716108452950525</v>
      </c>
      <c r="AX90" s="72">
        <f t="shared" si="687"/>
        <v>132.39999999999984</v>
      </c>
      <c r="AY90" s="23">
        <f t="shared" si="666"/>
        <v>29.931305201177615</v>
      </c>
      <c r="AZ90" s="72">
        <f t="shared" ref="AZ90" si="688">AZ83-AZ89</f>
        <v>143.49999999999989</v>
      </c>
      <c r="BA90" s="23">
        <f t="shared" si="668"/>
        <v>10.554699537750345</v>
      </c>
      <c r="BB90" s="72">
        <f t="shared" ref="BB90:BD90" si="689">BB83-BB89</f>
        <v>144.80000000000007</v>
      </c>
      <c r="BC90" s="23">
        <f t="shared" si="670"/>
        <v>10.534351145038245</v>
      </c>
      <c r="BD90" s="72">
        <f t="shared" si="689"/>
        <v>149.19999999999993</v>
      </c>
      <c r="BE90" s="23">
        <f t="shared" si="671"/>
        <v>4.6283309957923846</v>
      </c>
      <c r="BF90" s="72">
        <f t="shared" ref="BF90" si="690">BF83-BF89</f>
        <v>146.08209365133052</v>
      </c>
      <c r="BG90" s="23">
        <f t="shared" si="673"/>
        <v>10.333907591639502</v>
      </c>
      <c r="BH90" s="72">
        <f t="shared" ref="BH90" si="691">BH83-BH89</f>
        <v>144.52612268654821</v>
      </c>
      <c r="BI90" s="23">
        <f t="shared" si="675"/>
        <v>0.71506807424970287</v>
      </c>
      <c r="BJ90" s="72">
        <f t="shared" ref="BJ90" si="692">BJ83-BJ89</f>
        <v>147.28583837809941</v>
      </c>
      <c r="BK90" s="23">
        <f t="shared" si="677"/>
        <v>1.716739211394569</v>
      </c>
      <c r="BL90" s="72">
        <f t="shared" ref="BL90" si="693">BL83-BL89</f>
        <v>153.07992156593758</v>
      </c>
      <c r="BM90" s="23">
        <f t="shared" si="679"/>
        <v>2.6004836232826012</v>
      </c>
      <c r="BN90" s="35"/>
      <c r="BO90" s="137"/>
      <c r="BP90" s="35"/>
      <c r="BQ90" s="73">
        <f t="shared" ref="BQ90:CA90" si="694">BQ83-BQ89</f>
        <v>291.10000000000008</v>
      </c>
      <c r="BR90" s="42"/>
      <c r="BS90" s="73">
        <f t="shared" si="694"/>
        <v>309.20000000000027</v>
      </c>
      <c r="BT90" s="33"/>
      <c r="BU90" s="73">
        <f t="shared" si="694"/>
        <v>397.66999999999945</v>
      </c>
      <c r="BV90" s="23">
        <f>IF(ISERROR((BU90/BS90-1)*100),"NA",IF(((BU90/BS90-1)*100)&gt;100,"NM",IF(((BU90/BS90-1)*100)&lt;-50,"NM",(BU90/BS90-1)*100)))</f>
        <v>28.612548512289493</v>
      </c>
      <c r="BW90" s="73">
        <f t="shared" si="694"/>
        <v>473.79100000000062</v>
      </c>
      <c r="BX90" s="23">
        <f>IF(ISERROR((BW90/BU90-1)*100),"NA",IF(((BW90/BU90-1)*100)&gt;100,"NM",IF(((BW90/BU90-1)*100)&lt;-50,"NM",(BW90/BU90-1)*100)))</f>
        <v>19.141750697815098</v>
      </c>
      <c r="BY90" s="73">
        <f t="shared" si="694"/>
        <v>524.38200000000006</v>
      </c>
      <c r="BZ90" s="23">
        <f>IF(ISERROR((BY90/BW90-1)*100),"NA",IF(((BY90/BW90-1)*100)&gt;100,"NM",IF(((BY90/BW90-1)*100)&lt;-50,"NM",(BY90/BW90-1)*100)))</f>
        <v>10.67791494561936</v>
      </c>
      <c r="CA90" s="73">
        <f t="shared" si="694"/>
        <v>537.94000000000005</v>
      </c>
      <c r="CB90" s="23">
        <f>IF(ISERROR((CA90/BY90-1)*100),"NA",IF(((CA90/BY90-1)*100)&gt;100,"NM",IF(((CA90/BY90-1)*100)&lt;-50,"NM",(CA90/BY90-1)*100)))</f>
        <v>2.5855197165425281</v>
      </c>
      <c r="CC90" s="73">
        <f t="shared" ref="CC90" si="695">CC83-CC89</f>
        <v>508.20999999999992</v>
      </c>
      <c r="CD90" s="23">
        <f>IF(ISERROR((CC90/CA90-1)*100),"NA",IF(((CC90/CA90-1)*100)&gt;100,"NM",IF(((CC90/CA90-1)*100)&lt;-50,"NM",(CC90/CA90-1)*100)))</f>
        <v>-5.5266386585864797</v>
      </c>
      <c r="CE90" s="73">
        <f t="shared" ref="CE90" si="696">CE83-CE89</f>
        <v>505.30000000000018</v>
      </c>
      <c r="CF90" s="23">
        <f>IF(ISERROR((CE90/CC90-1)*100),"NA",IF(((CE90/CC90-1)*100)&gt;100,"NM",IF(((CE90/CC90-1)*100)&lt;-50,"NM",(CE90/CC90-1)*100)))</f>
        <v>-0.57259794179566059</v>
      </c>
      <c r="CG90" s="73">
        <f t="shared" ref="CG90" si="697">CG83-CG89</f>
        <v>569.9000000000002</v>
      </c>
      <c r="CH90" s="23">
        <f>IF(ISERROR((CG90/CE90-1)*100),"NA",IF(((CG90/CE90-1)*100)&gt;100,"NM",IF(((CG90/CE90-1)*100)&lt;-50,"NM",(CG90/CE90-1)*100)))</f>
        <v>12.784484464674462</v>
      </c>
      <c r="CI90" s="73">
        <f t="shared" ref="CI90" si="698">CI83-CI89</f>
        <v>590.97397628191584</v>
      </c>
      <c r="CJ90" s="23">
        <f>IF(ISERROR((CI90/CG90-1)*100),"NA",IF(((CI90/CG90-1)*100)&gt;100,"NM",IF(((CI90/CG90-1)*100)&lt;-50,"NM",(CI90/CG90-1)*100)))</f>
        <v>3.6978375648211381</v>
      </c>
      <c r="CK90" s="73">
        <f>CK83-CK89</f>
        <v>617.18412268518705</v>
      </c>
      <c r="CL90" s="23">
        <f>IF(ISERROR((CK90/CI90-1)*100),"NA",IF(((CK90/CI90-1)*100)&gt;100,"NM",IF(((CK90/CI90-1)*100)&lt;-50,"NM",(CK90/CI90-1)*100)))</f>
        <v>4.4350762394261611</v>
      </c>
      <c r="CM90" s="73">
        <f>CM83-CM89</f>
        <v>646.89799005747</v>
      </c>
      <c r="CN90" s="23">
        <f>IF(ISERROR((CM90/CK90-1)*100),"NA",IF(((CM90/CK90-1)*100)&gt;100,"NM",IF(((CM90/CK90-1)*100)&lt;-50,"NM",(CM90/CK90-1)*100)))</f>
        <v>4.814425109156506</v>
      </c>
      <c r="CO90" s="73">
        <f>CO83-CO89</f>
        <v>677.64068580846333</v>
      </c>
      <c r="CP90" s="23">
        <f>IF(ISERROR((CO90/CM90-1)*100),"NA",IF(((CO90/CM90-1)*100)&gt;100,"NM",IF(((CO90/CM90-1)*100)&lt;-50,"NM",(CO90/CM90-1)*100)))</f>
        <v>4.7523251306225589</v>
      </c>
      <c r="CQ90" s="73">
        <f>CQ83-CQ89</f>
        <v>707.23859556709749</v>
      </c>
      <c r="CR90" s="23">
        <f>IF(ISERROR((CQ90/CO90-1)*100),"NA",IF(((CQ90/CO90-1)*100)&gt;100,"NM",IF(((CQ90/CO90-1)*100)&lt;-50,"NM",(CQ90/CO90-1)*100)))</f>
        <v>4.3677881771992721</v>
      </c>
      <c r="CS90" s="23">
        <f t="shared" si="659"/>
        <v>4.4127319568730838</v>
      </c>
    </row>
    <row r="91" spans="1:97" ht="12.75" customHeight="1" x14ac:dyDescent="0.2">
      <c r="A91" s="4" t="s">
        <v>131</v>
      </c>
      <c r="B91" s="35">
        <f t="shared" ref="B91:Z91" si="699">B90/B60*100</f>
        <v>19.884763241676087</v>
      </c>
      <c r="C91" s="59"/>
      <c r="D91" s="35">
        <f t="shared" si="699"/>
        <v>22.426475550336743</v>
      </c>
      <c r="E91" s="59"/>
      <c r="F91" s="35">
        <f t="shared" si="699"/>
        <v>20.882796734961001</v>
      </c>
      <c r="G91" s="59"/>
      <c r="H91" s="35">
        <f t="shared" si="699"/>
        <v>8.5863464947756363</v>
      </c>
      <c r="I91" s="59"/>
      <c r="J91" s="35">
        <f t="shared" si="699"/>
        <v>17.747732631560346</v>
      </c>
      <c r="K91" s="23">
        <f>IF(ISERROR((J91/B91-1)*100),"NA",IF(((J91/B91-1)*100)&gt;100,"NM",IF(((J91/B91-1)*100)&lt;-50,"NM",(J91/B91-1)*100)))</f>
        <v>-10.747075960335195</v>
      </c>
      <c r="L91" s="35">
        <f t="shared" si="699"/>
        <v>23.930149219772076</v>
      </c>
      <c r="M91" s="23">
        <f>IF(ISERROR((L91/D91-1)*100),"NA",IF(((L91/D91-1)*100)&gt;100,"NM",IF(((L91/D91-1)*100)&lt;-50,"NM",(L91/D91-1)*100)))</f>
        <v>6.7049040588669451</v>
      </c>
      <c r="N91" s="35">
        <f t="shared" si="699"/>
        <v>22.840587427482429</v>
      </c>
      <c r="O91" s="23">
        <f>IF(ISERROR((N91/F91-1)*100),"NA",IF(((N91/F91-1)*100)&gt;100,"NM",IF(((N91/F91-1)*100)&lt;-50,"NM",(N91/F91-1)*100)))</f>
        <v>9.3751364693589458</v>
      </c>
      <c r="P91" s="35">
        <f t="shared" si="699"/>
        <v>20.805847744696035</v>
      </c>
      <c r="Q91" s="23" t="str">
        <f>IF(ISERROR((P91/H91-1)*100),"NA",IF(((P91/H91-1)*100)&gt;100,"NM",IF(((P91/H91-1)*100)&lt;-50,"NM",(P91/H91-1)*100)))</f>
        <v>NM</v>
      </c>
      <c r="R91" s="35">
        <f t="shared" si="699"/>
        <v>22.266574106213131</v>
      </c>
      <c r="S91" s="23">
        <f>IF(ISERROR((R91/J91-1)*100),"NA",IF(((R91/J91-1)*100)&gt;100,"NM",IF(((R91/J91-1)*100)&lt;-50,"NM",(R91/J91-1)*100)))</f>
        <v>25.46151425910621</v>
      </c>
      <c r="T91" s="35">
        <f t="shared" si="699"/>
        <v>21.697456035513078</v>
      </c>
      <c r="U91" s="23">
        <f>IF(ISERROR((T91/L91-1)*100),"NA",IF(((T91/L91-1)*100)&gt;100,"NM",IF(((T91/L91-1)*100)&lt;-50,"NM",(T91/L91-1)*100)))</f>
        <v>-9.3300428833693054</v>
      </c>
      <c r="V91" s="35">
        <f t="shared" si="699"/>
        <v>22.474536650525959</v>
      </c>
      <c r="W91" s="23">
        <f>IF(ISERROR((V91/N91-1)*100),"NA",IF(((V91/N91-1)*100)&gt;100,"NM",IF(((V91/N91-1)*100)&lt;-50,"NM",(V91/N91-1)*100)))</f>
        <v>-1.6026329362966774</v>
      </c>
      <c r="X91" s="35">
        <f t="shared" si="699"/>
        <v>22.247972190034755</v>
      </c>
      <c r="Y91" s="23">
        <f>IF(ISERROR((X91/P91-1)*100),"NA",IF(((X91/P91-1)*100)&gt;100,"NM",IF(((X91/P91-1)*100)&lt;-50,"NM",(X91/P91-1)*100)))</f>
        <v>6.9313419142286836</v>
      </c>
      <c r="Z91" s="35">
        <f t="shared" si="699"/>
        <v>21.418873048200954</v>
      </c>
      <c r="AA91" s="23">
        <f>IF(ISERROR((Z91/R91-1)*100),"NA",IF(((Z91/R91-1)*100)&gt;100,"NM",IF(((Z91/R91-1)*100)&lt;-50,"NM",(Z91/R91-1)*100)))</f>
        <v>-3.8070565052737093</v>
      </c>
      <c r="AB91" s="35">
        <f t="shared" ref="AB91:AD91" si="700">AB90/AB60*100</f>
        <v>22.138061628507501</v>
      </c>
      <c r="AC91" s="23">
        <f>IF(ISERROR((AB91/T91-1)*100),"NA",IF(((AB91/T91-1)*100)&gt;100,"NM",IF(((AB91/T91-1)*100)&lt;-50,"NM",(AB91/T91-1)*100)))</f>
        <v>2.0306785840389141</v>
      </c>
      <c r="AD91" s="35">
        <f t="shared" si="700"/>
        <v>23.095238095238095</v>
      </c>
      <c r="AE91" s="23">
        <f>IF(ISERROR((AD91/V91-1)*100),"NA",IF(((AD91/V91-1)*100)&gt;100,"NM",IF(((AD91/V91-1)*100)&lt;-50,"NM",(AD91/V91-1)*100)))</f>
        <v>2.7617986273261286</v>
      </c>
      <c r="AF91" s="35">
        <f t="shared" ref="AF91:AH91" si="701">AF90/AF60*100</f>
        <v>24.217188540972661</v>
      </c>
      <c r="AG91" s="23">
        <f>IF(ISERROR((AF91/X91-1)*100),"NA",IF(((AF91/X91-1)*100)&gt;100,"NM",IF(((AF91/X91-1)*100)&lt;-50,"NM",(AF91/X91-1)*100)))</f>
        <v>8.8512172440594394</v>
      </c>
      <c r="AH91" s="35">
        <f t="shared" si="701"/>
        <v>22.321305841924403</v>
      </c>
      <c r="AI91" s="23">
        <f>IF(ISERROR((AH91/Z91-1)*100),"NA",IF(((AH91/Z91-1)*100)&gt;100,"NM",IF(((AH91/Z91-1)*100)&lt;-50,"NM",(AH91/Z91-1)*100)))</f>
        <v>4.2132599212508337</v>
      </c>
      <c r="AJ91" s="35">
        <f t="shared" ref="AJ91:AL91" si="702">AJ90/AJ60*100</f>
        <v>21.449424695174311</v>
      </c>
      <c r="AK91" s="23">
        <f>IF(ISERROR((AJ91/AB91-1)*100),"NA",IF(((AJ91/AB91-1)*100)&gt;100,"NM",IF(((AJ91/AB91-1)*100)&lt;-50,"NM",(AJ91/AB91-1)*100)))</f>
        <v>-3.1106469251419133</v>
      </c>
      <c r="AL91" s="35">
        <f t="shared" si="702"/>
        <v>21.765005951368799</v>
      </c>
      <c r="AM91" s="23">
        <f>IF(ISERROR((AL91/AD91-1)*100),"NA",IF(((AL91/AD91-1)*100)&gt;100,"NM",IF(((AL91/AD91-1)*100)&lt;-50,"NM",(AL91/AD91-1)*100)))</f>
        <v>-5.7597680456196283</v>
      </c>
      <c r="AN91" s="409">
        <f t="shared" ref="AN91:AP91" si="703">AN90/AN60*100</f>
        <v>20.903483913985667</v>
      </c>
      <c r="AO91" s="23">
        <f>IF(ISERROR((AN91/AF91-1)*100),"NA",IF(((AN91/AF91-1)*100)&gt;100,"NM",IF(((AN91/AF91-1)*100)&lt;-50,"NM",(AN91/AF91-1)*100)))</f>
        <v>-13.68327550235896</v>
      </c>
      <c r="AP91" s="409">
        <f t="shared" si="703"/>
        <v>17.657251776121971</v>
      </c>
      <c r="AQ91" s="23">
        <f t="shared" si="661"/>
        <v>-20.89507710181676</v>
      </c>
      <c r="AR91" s="409">
        <f t="shared" ref="AR91:AT91" si="704">AR90/AR60*100</f>
        <v>21.62252207229718</v>
      </c>
      <c r="AS91" s="23">
        <f t="shared" si="662"/>
        <v>0.80700242352800267</v>
      </c>
      <c r="AT91" s="409">
        <f t="shared" si="704"/>
        <v>21.447282252783232</v>
      </c>
      <c r="AU91" s="23">
        <f t="shared" si="663"/>
        <v>-1.4597914620169683</v>
      </c>
      <c r="AV91" s="409">
        <f t="shared" ref="AV91:AX91" si="705">AV90/AV60*100</f>
        <v>22.940797940797939</v>
      </c>
      <c r="AW91" s="23">
        <f t="shared" si="665"/>
        <v>9.746289351552484</v>
      </c>
      <c r="AX91" s="409">
        <f t="shared" si="705"/>
        <v>21.299871299871278</v>
      </c>
      <c r="AY91" s="23">
        <f t="shared" si="666"/>
        <v>20.629594967180843</v>
      </c>
      <c r="AZ91" s="409">
        <f t="shared" ref="AZ91" si="706">AZ90/AZ60*100</f>
        <v>23.167581530513381</v>
      </c>
      <c r="BA91" s="23">
        <f t="shared" si="668"/>
        <v>7.1456024096085091</v>
      </c>
      <c r="BB91" s="409">
        <f t="shared" ref="BB91:BD91" si="707">BB90/BB60*100</f>
        <v>23.145780051150904</v>
      </c>
      <c r="BC91" s="23">
        <f t="shared" si="670"/>
        <v>7.9194080552898782</v>
      </c>
      <c r="BD91" s="409">
        <f t="shared" si="707"/>
        <v>23.29793878825733</v>
      </c>
      <c r="BE91" s="23">
        <f t="shared" si="671"/>
        <v>1.5567934837360298</v>
      </c>
      <c r="BF91" s="35">
        <f t="shared" ref="BF91" si="708">BF90/BF60*100</f>
        <v>22.633463625131334</v>
      </c>
      <c r="BG91" s="23">
        <f t="shared" si="673"/>
        <v>6.2610346630034064</v>
      </c>
      <c r="BH91" s="35">
        <f t="shared" ref="BH91" si="709">BH90/BH60*100</f>
        <v>22.379179511519965</v>
      </c>
      <c r="BI91" s="23">
        <f t="shared" si="675"/>
        <v>-3.4030397948747182</v>
      </c>
      <c r="BJ91" s="35">
        <f t="shared" ref="BJ91" si="710">BJ90/BJ60*100</f>
        <v>22.686865540648903</v>
      </c>
      <c r="BK91" s="23">
        <f t="shared" si="677"/>
        <v>-1.9827135205114144</v>
      </c>
      <c r="BL91" s="35">
        <f t="shared" ref="BL91" si="711">BL90/BL60*100</f>
        <v>23.135823037160446</v>
      </c>
      <c r="BM91" s="23">
        <f t="shared" si="679"/>
        <v>-0.69583731234882373</v>
      </c>
      <c r="BN91" s="35"/>
      <c r="BO91" s="138"/>
      <c r="BP91" s="35"/>
      <c r="BQ91" s="113"/>
      <c r="BR91" s="113"/>
      <c r="BS91" s="113"/>
      <c r="BT91" s="35"/>
      <c r="BU91" s="37">
        <f>BU90/BU60*100</f>
        <v>18.315931041788506</v>
      </c>
      <c r="BV91" s="23" t="str">
        <f>IF(ISERROR((BU91/BS91-1)*100),"NA",IF(((BU91/BS91-1)*100)&gt;100,"NM",IF(((BU91/BS91-1)*100)&lt;-50,"NM",(BU91/BS91-1)*100)))</f>
        <v>NA</v>
      </c>
      <c r="BW91" s="37">
        <f t="shared" ref="BW91:CA91" si="712">BW90/BW60*100</f>
        <v>21.29023618770816</v>
      </c>
      <c r="BX91" s="23">
        <f>IF(ISERROR((BW91/BU91-1)*100),"NA",IF(((BW91/BU91-1)*100)&gt;100,"NM",IF(((BW91/BU91-1)*100)&lt;-50,"NM",(BW91/BU91-1)*100)))</f>
        <v>16.238896833219464</v>
      </c>
      <c r="BY91" s="37">
        <f t="shared" si="712"/>
        <v>22.173537993149818</v>
      </c>
      <c r="BZ91" s="23">
        <f>IF(ISERROR((BY91/BW91-1)*100),"NA",IF(((BY91/BW91-1)*100)&gt;100,"NM",IF(((BY91/BW91-1)*100)&lt;-50,"NM",(BY91/BW91-1)*100)))</f>
        <v>4.148858648884457</v>
      </c>
      <c r="CA91" s="37">
        <f t="shared" si="712"/>
        <v>22.727618403819346</v>
      </c>
      <c r="CC91" s="37">
        <f t="shared" ref="CC91" si="713">CC90/CC60*100</f>
        <v>21.604812311354841</v>
      </c>
      <c r="CD91" s="23">
        <f>IF(ISERROR((CC91/CA91-1)*100),"NA",IF(((CC91/CA91-1)*100)&gt;100,"NM",IF(((CC91/CA91-1)*100)&lt;-50,"NM",(CC91/CA91-1)*100)))</f>
        <v>-4.9402716664576634</v>
      </c>
      <c r="CE91" s="37">
        <f t="shared" ref="CE91" si="714">CE90/CE60*100</f>
        <v>20.968545107477805</v>
      </c>
      <c r="CF91" s="23">
        <f>IF(ISERROR((CE91/CC91-1)*100),"NA",IF(((CE91/CC91-1)*100)&gt;100,"NM",IF(((CE91/CC91-1)*100)&lt;-50,"NM",(CE91/CC91-1)*100)))</f>
        <v>-2.9450253707718366</v>
      </c>
      <c r="CG91" s="37">
        <f t="shared" ref="CG91" si="715">CG90/CG60*100</f>
        <v>22.732349421619475</v>
      </c>
      <c r="CH91" s="23">
        <f>IF(ISERROR((CG91/CE91-1)*100),"NA",IF(((CG91/CE91-1)*100)&gt;100,"NM",IF(((CG91/CE91-1)*100)&lt;-50,"NM",(CG91/CE91-1)*100)))</f>
        <v>8.4116675959204237</v>
      </c>
      <c r="CI91" s="37">
        <f t="shared" ref="CI91" si="716">CI90/CI60*100</f>
        <v>22.711416332304658</v>
      </c>
      <c r="CJ91" s="23">
        <f>IF(ISERROR((CI91/CG91-1)*100),"NA",IF(((CI91/CG91-1)*100)&gt;100,"NM",IF(((CI91/CG91-1)*100)&lt;-50,"NM",(CI91/CG91-1)*100)))</f>
        <v>-9.2085023534382859E-2</v>
      </c>
      <c r="CK91" s="37">
        <f>CK90/CK60*100</f>
        <v>22.887016119770507</v>
      </c>
      <c r="CL91" s="23">
        <f>IF(ISERROR((CK91/CI91-1)*100),"NA",IF(((CK91/CI91-1)*100)&gt;100,"NM",IF(((CK91/CI91-1)*100)&lt;-50,"NM",(CK91/CI91-1)*100)))</f>
        <v>0.77317849708948838</v>
      </c>
      <c r="CM91" s="37">
        <f>CM90/CM60*100</f>
        <v>22.92625258467076</v>
      </c>
      <c r="CN91" s="23">
        <f>IF(ISERROR((CM91/CK91-1)*100),"NA",IF(((CM91/CK91-1)*100)&gt;100,"NM",IF(((CM91/CK91-1)*100)&lt;-50,"NM",(CM91/CK91-1)*100)))</f>
        <v>0.17143547544564708</v>
      </c>
      <c r="CO91" s="37">
        <f>CO90/CO60*100</f>
        <v>22.963266036613426</v>
      </c>
      <c r="CP91" s="23">
        <f>IF(ISERROR((CO91/CM91-1)*100),"NA",IF(((CO91/CM91-1)*100)&gt;100,"NM",IF(((CO91/CM91-1)*100)&lt;-50,"NM",(CO91/CM91-1)*100)))</f>
        <v>0.16144571297018739</v>
      </c>
      <c r="CQ91" s="37">
        <f>CQ90/CQ60*100</f>
        <v>22.916595582477552</v>
      </c>
      <c r="CR91" s="23">
        <f>IF(ISERROR((CQ91/CO91-1)*100),"NA",IF(((CQ91/CO91-1)*100)&gt;100,"NM",IF(((CQ91/CO91-1)*100)&lt;-50,"NM",(CQ91/CO91-1)*100)))</f>
        <v>-0.20323961783772493</v>
      </c>
      <c r="CS91" s="23">
        <f t="shared" si="659"/>
        <v>0.16157742282618681</v>
      </c>
    </row>
    <row r="92" spans="1:97" ht="12.75" customHeight="1" x14ac:dyDescent="0.2">
      <c r="A92" s="4" t="s">
        <v>402</v>
      </c>
      <c r="B92" s="115">
        <f>B90/B36*400</f>
        <v>0.55658493679256837</v>
      </c>
      <c r="C92" s="59"/>
      <c r="D92" s="115">
        <f>D90/D36*400</f>
        <v>0.66833505744887056</v>
      </c>
      <c r="E92" s="59"/>
      <c r="F92" s="115">
        <f>F90/F36*400</f>
        <v>0.59513971820623945</v>
      </c>
      <c r="G92" s="59"/>
      <c r="H92" s="115">
        <f>H90/H36*400</f>
        <v>0.21563156079881957</v>
      </c>
      <c r="I92" s="59"/>
      <c r="J92" s="115">
        <f>J90/J36*400</f>
        <v>0.48851009525545758</v>
      </c>
      <c r="K92" s="23"/>
      <c r="L92" s="115">
        <f>L90/L36*400</f>
        <v>0.59640589955586121</v>
      </c>
      <c r="M92" s="23"/>
      <c r="N92" s="115">
        <f>N90/N36*400</f>
        <v>0.60690727275477618</v>
      </c>
      <c r="O92" s="23"/>
      <c r="P92" s="115">
        <f>P90/P36*400</f>
        <v>0.5240842419387528</v>
      </c>
      <c r="Q92" s="23"/>
      <c r="R92" s="115">
        <f>R90/R36*400</f>
        <v>0.55161116786897224</v>
      </c>
      <c r="S92" s="23"/>
      <c r="T92" s="115">
        <f>T90/T36*400</f>
        <v>0.52929055232482514</v>
      </c>
      <c r="U92" s="23">
        <f>IF(ISERROR((T92/L92-1)*100),"NA",IF(((T92/L92-1)*100)&gt;100,"NM",IF(((T92/L92-1)*100)&lt;-50,"NM",(T92/L92-1)*100)))</f>
        <v>-11.253300358198393</v>
      </c>
      <c r="V92" s="115">
        <f>V90/V36*400</f>
        <v>0.5468938077278207</v>
      </c>
      <c r="W92" s="23"/>
      <c r="X92" s="115">
        <f>X90/X36*400</f>
        <v>0.52282089883182181</v>
      </c>
      <c r="Y92" s="23"/>
      <c r="Z92" s="115">
        <f>Z90/Z36*400</f>
        <v>0.47678506325335923</v>
      </c>
      <c r="AA92" s="23"/>
      <c r="AB92" s="115">
        <f>AB90/AB36*400</f>
        <v>0.47863874545286245</v>
      </c>
      <c r="AC92" s="23"/>
      <c r="AD92" s="115">
        <f>AD90/AD36*400</f>
        <v>0.5099533742899125</v>
      </c>
      <c r="AE92" s="23"/>
      <c r="AF92" s="115">
        <f>AF90/AF36*400</f>
        <v>0.53517959250527669</v>
      </c>
      <c r="AG92" s="23"/>
      <c r="AH92" s="115">
        <f>AH90/AH36*400</f>
        <v>0.46773287631776034</v>
      </c>
      <c r="AI92" s="23"/>
      <c r="AJ92" s="115">
        <f>AJ90/AJ36*400</f>
        <v>0.44313290350506085</v>
      </c>
      <c r="AK92" s="23"/>
      <c r="AL92" s="115">
        <f>AL90/AL36*400</f>
        <v>0.46487155426444715</v>
      </c>
      <c r="AM92" s="23"/>
      <c r="AN92" s="457">
        <f t="shared" ref="AN92:AP92" si="717">AN90/AN36*400</f>
        <v>0.45997354418510822</v>
      </c>
      <c r="AO92" s="23"/>
      <c r="AP92" s="457">
        <f t="shared" si="717"/>
        <v>0.36517751112174229</v>
      </c>
      <c r="AQ92" s="23"/>
      <c r="AR92" s="457">
        <f t="shared" ref="AR92:AT92" si="718">AR90/AR36*400</f>
        <v>0.45676300888233362</v>
      </c>
      <c r="AS92" s="23"/>
      <c r="AT92" s="457">
        <f t="shared" si="718"/>
        <v>0.44694605344075949</v>
      </c>
      <c r="AU92" s="23"/>
      <c r="AV92" s="457">
        <f t="shared" ref="AV92:AX92" si="719">AV90/AV36*400</f>
        <v>0.47340715795938609</v>
      </c>
      <c r="AW92" s="23"/>
      <c r="AX92" s="457">
        <f t="shared" si="719"/>
        <v>0.42735370337569833</v>
      </c>
      <c r="AY92" s="23"/>
      <c r="AZ92" s="457">
        <f t="shared" ref="AZ92" si="720">AZ90/AZ36*400</f>
        <v>0.44812678709098147</v>
      </c>
      <c r="BA92" s="23"/>
      <c r="BB92" s="457">
        <f t="shared" ref="BB92:BD92" si="721">BB90/BB36*400</f>
        <v>0.43825765342990358</v>
      </c>
      <c r="BC92" s="23"/>
      <c r="BD92" s="457">
        <f t="shared" si="721"/>
        <v>0.43757643656754697</v>
      </c>
      <c r="BE92" s="23"/>
      <c r="BF92" s="115">
        <f t="shared" ref="BF92" si="722">BF90/BF36*400</f>
        <v>0.42509641948488291</v>
      </c>
      <c r="BG92" s="23"/>
      <c r="BH92" s="115">
        <f t="shared" ref="BH92" si="723">BH90/BH36*400</f>
        <v>0.41987293115384849</v>
      </c>
      <c r="BI92" s="23"/>
      <c r="BJ92" s="115">
        <f t="shared" ref="BJ92" si="724">BJ90/BJ36*400</f>
        <v>0.42201576597327101</v>
      </c>
      <c r="BK92" s="23"/>
      <c r="BL92" s="115">
        <f t="shared" ref="BL92" si="725">BL90/BL36*400</f>
        <v>0.43268075060889077</v>
      </c>
      <c r="BM92" s="23"/>
      <c r="BN92" s="35"/>
      <c r="BO92" s="138"/>
      <c r="BP92" s="35"/>
      <c r="BQ92" s="113"/>
      <c r="BR92" s="113"/>
      <c r="BS92" s="113"/>
      <c r="BT92" s="35"/>
      <c r="BU92" s="115">
        <f>BU90/BU36*100</f>
        <v>0.50978268184891817</v>
      </c>
      <c r="BV92" s="23"/>
      <c r="BW92" s="115">
        <f>BW90/BW36*100</f>
        <v>0.55756943124601799</v>
      </c>
      <c r="BX92" s="23"/>
      <c r="BY92" s="115">
        <f>BY90/BY36*100</f>
        <v>0.53588284978056577</v>
      </c>
      <c r="BZ92" s="23"/>
      <c r="CA92" s="115">
        <f>CA90/CA36*100</f>
        <v>0.50057274514748551</v>
      </c>
      <c r="CB92" s="23"/>
      <c r="CC92" s="115">
        <f>CC90/CC36*100</f>
        <v>0.46096145124716559</v>
      </c>
      <c r="CD92" s="23"/>
      <c r="CE92" s="115">
        <f>CE90/CE36*100</f>
        <v>0.43519995039082315</v>
      </c>
      <c r="CF92" s="23"/>
      <c r="CG92" s="115">
        <f>CG90/CG36*100</f>
        <v>0.43906212201289091</v>
      </c>
      <c r="CH92" s="23"/>
      <c r="CI92" s="115">
        <f>CI90/CI36*100</f>
        <v>0.42112023736780552</v>
      </c>
      <c r="CJ92" s="23"/>
      <c r="CK92" s="115">
        <f>CK90/CK36*100</f>
        <v>0.42208754687804867</v>
      </c>
      <c r="CL92" s="23"/>
      <c r="CM92" s="115">
        <f>CM90/CM36*100</f>
        <v>0.42051852941236872</v>
      </c>
      <c r="CN92" s="23"/>
      <c r="CO92" s="115">
        <f>CO90/CO36*100</f>
        <v>0.418901111946689</v>
      </c>
      <c r="CP92" s="23"/>
      <c r="CQ92" s="115">
        <f>CQ90/CQ36*100</f>
        <v>0.41575807936940279</v>
      </c>
      <c r="CR92" s="23"/>
      <c r="CS92" s="23">
        <f t="shared" si="659"/>
        <v>-1.0848201209662456</v>
      </c>
    </row>
    <row r="93" spans="1:97" ht="12.75" customHeight="1" x14ac:dyDescent="0.2">
      <c r="B93" s="115"/>
      <c r="C93" s="59"/>
      <c r="D93" s="115"/>
      <c r="E93" s="59"/>
      <c r="F93" s="115"/>
      <c r="G93" s="59"/>
      <c r="H93" s="115"/>
      <c r="I93" s="59"/>
      <c r="J93" s="115"/>
      <c r="K93" s="23"/>
      <c r="L93" s="115"/>
      <c r="M93" s="23"/>
      <c r="N93" s="115"/>
      <c r="O93" s="23"/>
      <c r="P93" s="115"/>
      <c r="Q93" s="23"/>
      <c r="R93" s="115"/>
      <c r="S93" s="23"/>
      <c r="T93" s="115"/>
      <c r="U93" s="23"/>
      <c r="V93" s="115"/>
      <c r="W93" s="23"/>
      <c r="X93" s="115"/>
      <c r="Y93" s="23"/>
      <c r="Z93" s="115"/>
      <c r="AA93" s="23"/>
      <c r="AB93" s="115"/>
      <c r="AC93" s="23"/>
      <c r="AD93" s="115"/>
      <c r="AE93" s="23"/>
      <c r="AF93" s="115"/>
      <c r="AG93" s="23"/>
      <c r="AH93" s="115"/>
      <c r="AI93" s="23"/>
      <c r="AJ93" s="115"/>
      <c r="AK93" s="23"/>
      <c r="AL93" s="115"/>
      <c r="AM93" s="23"/>
      <c r="AN93" s="457"/>
      <c r="AO93" s="23"/>
      <c r="AP93" s="457"/>
      <c r="AQ93" s="23"/>
      <c r="AR93" s="457"/>
      <c r="AS93" s="23"/>
      <c r="AT93" s="457"/>
      <c r="AU93" s="23"/>
      <c r="AV93" s="457"/>
      <c r="AW93" s="23"/>
      <c r="AX93" s="457"/>
      <c r="AY93" s="23"/>
      <c r="AZ93" s="457"/>
      <c r="BA93" s="23"/>
      <c r="BB93" s="457"/>
      <c r="BC93" s="23"/>
      <c r="BD93" s="457"/>
      <c r="BE93" s="23"/>
      <c r="BF93" s="115"/>
      <c r="BG93" s="23"/>
      <c r="BH93" s="115"/>
      <c r="BI93" s="23"/>
      <c r="BJ93" s="115"/>
      <c r="BK93" s="23"/>
      <c r="BL93" s="115"/>
      <c r="BM93" s="23"/>
      <c r="BN93" s="35"/>
      <c r="BO93" s="138"/>
      <c r="BP93" s="35"/>
      <c r="BQ93" s="113"/>
      <c r="BR93" s="113"/>
      <c r="BS93" s="113"/>
      <c r="BT93" s="35"/>
      <c r="BU93" s="115"/>
      <c r="BV93" s="23"/>
      <c r="BW93" s="115"/>
      <c r="BX93" s="23"/>
      <c r="BY93" s="115"/>
      <c r="BZ93" s="23"/>
      <c r="CA93" s="115"/>
      <c r="CB93" s="23"/>
      <c r="CC93" s="115"/>
      <c r="CD93" s="23"/>
      <c r="CE93" s="115"/>
      <c r="CF93" s="23"/>
      <c r="CG93" s="115"/>
      <c r="CH93" s="23"/>
      <c r="CI93" s="115"/>
      <c r="CJ93" s="23"/>
      <c r="CK93" s="115"/>
      <c r="CL93" s="23"/>
      <c r="CM93" s="115"/>
      <c r="CN93" s="23"/>
      <c r="CO93" s="115"/>
      <c r="CP93" s="23"/>
      <c r="CQ93" s="115"/>
      <c r="CR93" s="23"/>
      <c r="CS93" s="23"/>
    </row>
    <row r="94" spans="1:97" ht="12.75" customHeight="1" x14ac:dyDescent="0.2">
      <c r="A94" s="3" t="s">
        <v>506</v>
      </c>
      <c r="B94" s="115"/>
      <c r="C94" s="59"/>
      <c r="D94" s="115"/>
      <c r="E94" s="59"/>
      <c r="F94" s="115"/>
      <c r="G94" s="59"/>
      <c r="H94" s="115"/>
      <c r="I94" s="59"/>
      <c r="J94" s="115"/>
      <c r="K94" s="23"/>
      <c r="L94" s="115"/>
      <c r="M94" s="23"/>
      <c r="N94" s="115"/>
      <c r="O94" s="23"/>
      <c r="P94" s="115"/>
      <c r="Q94" s="23"/>
      <c r="R94" s="526"/>
      <c r="S94" s="23"/>
      <c r="T94" s="526"/>
      <c r="U94" s="23"/>
      <c r="V94" s="526"/>
      <c r="W94" s="23" t="str">
        <f t="shared" ref="W94:W97" si="726">IF(ISERROR((V94/N94-1)*100),"NA",IF(((V94/N94-1)*100)&gt;100,"NM",IF(((V94/N94-1)*100)&lt;-50,"NM",(V94/N94-1)*100)))</f>
        <v>NA</v>
      </c>
      <c r="X94" s="526">
        <v>9.1999999999999993</v>
      </c>
      <c r="Y94" s="23" t="str">
        <f t="shared" ref="Y94:Y97" si="727">IF(ISERROR((X94/P94-1)*100),"NA",IF(((X94/P94-1)*100)&gt;100,"NM",IF(((X94/P94-1)*100)&lt;-50,"NM",(X94/P94-1)*100)))</f>
        <v>NA</v>
      </c>
      <c r="Z94" s="526">
        <v>9</v>
      </c>
      <c r="AA94" s="23" t="str">
        <f t="shared" ref="AA94:AA97" si="728">IF(ISERROR((Z94/R94-1)*100),"NA",IF(((Z94/R94-1)*100)&gt;100,"NM",IF(((Z94/R94-1)*100)&lt;-50,"NM",(Z94/R94-1)*100)))</f>
        <v>NA</v>
      </c>
      <c r="AB94" s="526">
        <v>8.6</v>
      </c>
      <c r="AC94" s="23" t="str">
        <f t="shared" ref="AC94:AC97" si="729">IF(ISERROR((AB94/T94-1)*100),"NA",IF(((AB94/T94-1)*100)&gt;100,"NM",IF(((AB94/T94-1)*100)&lt;-50,"NM",(AB94/T94-1)*100)))</f>
        <v>NA</v>
      </c>
      <c r="AD94" s="526">
        <v>8.9</v>
      </c>
      <c r="AE94" s="23" t="str">
        <f t="shared" ref="AE94:AE97" si="730">IF(ISERROR((AD94/V94-1)*100),"NA",IF(((AD94/V94-1)*100)&gt;100,"NM",IF(((AD94/V94-1)*100)&lt;-50,"NM",(AD94/V94-1)*100)))</f>
        <v>NA</v>
      </c>
      <c r="AF94" s="526">
        <v>9.1999999999999993</v>
      </c>
      <c r="AG94" s="23">
        <f t="shared" ref="AG94:AG97" si="731">IF(ISERROR((AF94/X94-1)*100),"NA",IF(((AF94/X94-1)*100)&gt;100,"NM",IF(((AF94/X94-1)*100)&lt;-50,"NM",(AF94/X94-1)*100)))</f>
        <v>0</v>
      </c>
      <c r="AH94" s="526">
        <v>9.3000000000000007</v>
      </c>
      <c r="AI94" s="23">
        <f t="shared" ref="AI94:AI97" si="732">IF(ISERROR((AH94/Z94-1)*100),"NA",IF(((AH94/Z94-1)*100)&gt;100,"NM",IF(((AH94/Z94-1)*100)&lt;-50,"NM",(AH94/Z94-1)*100)))</f>
        <v>3.3333333333333437</v>
      </c>
      <c r="AJ94" s="526">
        <v>9.3000000000000007</v>
      </c>
      <c r="AK94" s="23">
        <f t="shared" ref="AK94:AK97" si="733">IF(ISERROR((AJ94/AB94-1)*100),"NA",IF(((AJ94/AB94-1)*100)&gt;100,"NM",IF(((AJ94/AB94-1)*100)&lt;-50,"NM",(AJ94/AB94-1)*100)))</f>
        <v>8.1395348837209447</v>
      </c>
      <c r="AL94" s="526">
        <v>9</v>
      </c>
      <c r="AM94" s="23">
        <f t="shared" ref="AM94:AM97" si="734">IF(ISERROR((AL94/AD94-1)*100),"NA",IF(((AL94/AD94-1)*100)&gt;100,"NM",IF(((AL94/AD94-1)*100)&lt;-50,"NM",(AL94/AD94-1)*100)))</f>
        <v>1.1235955056179803</v>
      </c>
      <c r="AN94" s="526">
        <v>8.6999999999999993</v>
      </c>
      <c r="AO94" s="23">
        <f t="shared" ref="AO94:AO97" si="735">IF(ISERROR((AN94/AF94-1)*100),"NA",IF(((AN94/AF94-1)*100)&gt;100,"NM",IF(((AN94/AF94-1)*100)&lt;-50,"NM",(AN94/AF94-1)*100)))</f>
        <v>-5.4347826086956541</v>
      </c>
      <c r="AP94" s="526">
        <v>8.1999999999999993</v>
      </c>
      <c r="AQ94" s="23">
        <f t="shared" ref="AQ94:AQ97" si="736">IF(ISERROR((AP94/AH94-1)*100),"NA",IF(((AP94/AH94-1)*100)&gt;100,"NM",IF(((AP94/AH94-1)*100)&lt;-50,"NM",(AP94/AH94-1)*100)))</f>
        <v>-11.827956989247323</v>
      </c>
      <c r="AR94" s="530">
        <v>8.3000000000000007</v>
      </c>
      <c r="AS94" s="23">
        <f t="shared" ref="AS94:AS97" si="737">IF(ISERROR((AR94/AJ94-1)*100),"NA",IF(((AR94/AJ94-1)*100)&gt;100,"NM",IF(((AR94/AJ94-1)*100)&lt;-50,"NM",(AR94/AJ94-1)*100)))</f>
        <v>-10.752688172043012</v>
      </c>
      <c r="AT94" s="530">
        <v>8.5</v>
      </c>
      <c r="AU94" s="549">
        <f t="shared" ref="AU94:AU97" si="738">IF(ISERROR((AT94/AL94-1)*100),"NA",IF(((AT94/AL94-1)*100)&gt;100,"NM",IF(((AT94/AL94-1)*100)&lt;-50,"NM",(AT94/AL94-1)*100)))</f>
        <v>-5.555555555555558</v>
      </c>
      <c r="AV94" s="530">
        <v>8.8000000000000007</v>
      </c>
      <c r="AW94" s="23"/>
      <c r="AX94" s="530">
        <v>9.3000000000000007</v>
      </c>
      <c r="AY94" s="23"/>
      <c r="AZ94" s="530">
        <v>9.6</v>
      </c>
      <c r="BA94" s="23"/>
      <c r="BB94" s="530">
        <v>9.9</v>
      </c>
      <c r="BC94" s="23"/>
      <c r="BD94" s="530">
        <v>10.3</v>
      </c>
      <c r="BE94" s="23"/>
      <c r="BF94" s="548">
        <f t="shared" ref="BF94:BJ94" si="739">((BF90+BD90+BB90+AZ90)*(1-0.32))/BF97*100</f>
        <v>9.9190853589945984</v>
      </c>
      <c r="BG94" s="23"/>
      <c r="BH94" s="548">
        <f t="shared" si="739"/>
        <v>9.8594379236016554</v>
      </c>
      <c r="BI94" s="23"/>
      <c r="BJ94" s="548">
        <f t="shared" si="739"/>
        <v>9.7370207750825841</v>
      </c>
      <c r="BK94" s="23"/>
      <c r="BL94" s="548">
        <f t="shared" ref="BL94" si="740">((BL90+BJ90+BH90+BF90)*(1-0.32))/BL97*100</f>
        <v>9.6335042049917536</v>
      </c>
      <c r="BM94" s="23"/>
      <c r="BN94" s="35"/>
      <c r="BO94" s="138"/>
      <c r="BP94" s="35"/>
      <c r="BQ94" s="113"/>
      <c r="BR94" s="113"/>
      <c r="BS94" s="113"/>
      <c r="BT94" s="35"/>
      <c r="BU94" s="115"/>
      <c r="BV94" s="23"/>
      <c r="BW94" s="115"/>
      <c r="BX94" s="23"/>
      <c r="BY94" s="533">
        <f>X94</f>
        <v>9.1999999999999993</v>
      </c>
      <c r="BZ94" s="23" t="str">
        <f t="shared" ref="BZ94:BZ97" si="741">IF(ISERROR((BY94/BW94-1)*100),"NA",IF(((BY94/BW94-1)*100)&gt;100,"NM",IF(((BY94/BW94-1)*100)&lt;-50,"NM",(BY94/BW94-1)*100)))</f>
        <v>NA</v>
      </c>
      <c r="CA94" s="533">
        <f>AF94</f>
        <v>9.1999999999999993</v>
      </c>
      <c r="CB94" s="23">
        <f t="shared" ref="CB94:CB97" si="742">IF(ISERROR((CA94/BY94-1)*100),"NA",IF(((CA94/BY94-1)*100)&gt;100,"NM",IF(((CA94/BY94-1)*100)&lt;-50,"NM",(CA94/BY94-1)*100)))</f>
        <v>0</v>
      </c>
      <c r="CC94" s="533">
        <f>AN94</f>
        <v>8.6999999999999993</v>
      </c>
      <c r="CD94" s="23">
        <f t="shared" ref="CD94:CD97" si="743">IF(ISERROR((CC94/CA94-1)*100),"NA",IF(((CC94/CA94-1)*100)&gt;100,"NM",IF(((CC94/CA94-1)*100)&lt;-50,"NM",(CC94/CA94-1)*100)))</f>
        <v>-5.4347826086956541</v>
      </c>
      <c r="CE94" s="533">
        <f>(CE90*0.68)/CE97*100</f>
        <v>8.5601395117090231</v>
      </c>
      <c r="CF94" s="23"/>
      <c r="CG94" s="533">
        <f>(CG90*0.68)/CG97*100</f>
        <v>9.4543059282751933</v>
      </c>
      <c r="CH94" s="23"/>
      <c r="CI94" s="533">
        <f>(CI90*0.68)/CI97*100</f>
        <v>9.6332645757172486</v>
      </c>
      <c r="CJ94" s="23"/>
      <c r="CK94" s="533">
        <f>(CK90*0.68)/CK97*100</f>
        <v>9.9511960328526836</v>
      </c>
      <c r="CL94" s="23"/>
      <c r="CM94" s="533">
        <f>(CM90*0.68)/CM97*100</f>
        <v>10.409469973372985</v>
      </c>
      <c r="CN94" s="23"/>
      <c r="CO94" s="533">
        <f>(CO90*0.68)/CO97*100</f>
        <v>10.882397036808582</v>
      </c>
      <c r="CP94" s="23"/>
      <c r="CQ94" s="533">
        <f>(CQ90*0.68)/CQ97*100</f>
        <v>11.335046993990211</v>
      </c>
      <c r="CR94" s="23"/>
      <c r="CS94" s="23">
        <f>IF(ISERROR(((CQ94/CG94)^0.2-1)*100),"NA",IF((((CQ94/CG94)^0.2-1)*100)&gt;100,"NM",IF((((CQ94/CG94)^0.2-1)*100)&lt;-50,"NM",((CQ94/CG94)^0.2-1)*100)))</f>
        <v>3.6952193767683772</v>
      </c>
    </row>
    <row r="95" spans="1:97" ht="12.75" customHeight="1" x14ac:dyDescent="0.2">
      <c r="A95" s="408" t="s">
        <v>503</v>
      </c>
      <c r="B95" s="115"/>
      <c r="C95" s="59"/>
      <c r="D95" s="115"/>
      <c r="E95" s="59"/>
      <c r="F95" s="115"/>
      <c r="G95" s="59"/>
      <c r="H95" s="115"/>
      <c r="I95" s="59"/>
      <c r="J95" s="115"/>
      <c r="K95" s="23"/>
      <c r="L95" s="115"/>
      <c r="M95" s="23"/>
      <c r="N95" s="115"/>
      <c r="O95" s="23"/>
      <c r="P95" s="115"/>
      <c r="Q95" s="23"/>
      <c r="R95" s="115"/>
      <c r="S95" s="23"/>
      <c r="T95" s="529"/>
      <c r="U95" s="23"/>
      <c r="V95" s="529"/>
      <c r="W95" s="23" t="str">
        <f t="shared" si="726"/>
        <v>NA</v>
      </c>
      <c r="X95" s="528">
        <v>3822</v>
      </c>
      <c r="Y95" s="23" t="str">
        <f t="shared" si="727"/>
        <v>NA</v>
      </c>
      <c r="Z95" s="529">
        <f t="shared" ref="Z95:AP95" si="744">X96</f>
        <v>4007</v>
      </c>
      <c r="AA95" s="23" t="str">
        <f t="shared" si="728"/>
        <v>NA</v>
      </c>
      <c r="AB95" s="529">
        <f t="shared" si="744"/>
        <v>3919</v>
      </c>
      <c r="AC95" s="23" t="str">
        <f t="shared" si="729"/>
        <v>NA</v>
      </c>
      <c r="AD95" s="529">
        <f t="shared" si="744"/>
        <v>3835</v>
      </c>
      <c r="AE95" s="23" t="str">
        <f t="shared" si="730"/>
        <v>NA</v>
      </c>
      <c r="AF95" s="529">
        <f t="shared" si="744"/>
        <v>3843</v>
      </c>
      <c r="AG95" s="23">
        <f t="shared" si="731"/>
        <v>0.5494505494505475</v>
      </c>
      <c r="AH95" s="529">
        <f t="shared" si="744"/>
        <v>3929</v>
      </c>
      <c r="AI95" s="23">
        <f t="shared" si="732"/>
        <v>-1.9465934614424807</v>
      </c>
      <c r="AJ95" s="529">
        <f t="shared" si="744"/>
        <v>4009</v>
      </c>
      <c r="AK95" s="23">
        <f t="shared" si="733"/>
        <v>2.2965042102577105</v>
      </c>
      <c r="AL95" s="529">
        <f t="shared" si="744"/>
        <v>3989</v>
      </c>
      <c r="AM95" s="23">
        <f t="shared" si="734"/>
        <v>4.0156453715775697</v>
      </c>
      <c r="AN95" s="529">
        <f t="shared" si="744"/>
        <v>3919</v>
      </c>
      <c r="AO95" s="23">
        <f t="shared" si="735"/>
        <v>1.9776216497527921</v>
      </c>
      <c r="AP95" s="529">
        <f t="shared" si="744"/>
        <v>3960</v>
      </c>
      <c r="AQ95" s="23">
        <f t="shared" si="736"/>
        <v>0.78900483583608239</v>
      </c>
      <c r="AR95" s="527">
        <f t="shared" ref="AR95:AT95" si="745">AP96</f>
        <v>3983</v>
      </c>
      <c r="AS95" s="23">
        <f t="shared" si="737"/>
        <v>-0.64854078323771658</v>
      </c>
      <c r="AT95" s="527">
        <f t="shared" si="745"/>
        <v>3941</v>
      </c>
      <c r="AU95" s="23">
        <f t="shared" si="738"/>
        <v>-1.203309100025074</v>
      </c>
      <c r="AV95" s="527">
        <f>AT96</f>
        <v>3919</v>
      </c>
      <c r="AW95" s="23"/>
      <c r="AX95" s="527">
        <f>AV96</f>
        <v>4068</v>
      </c>
      <c r="AY95" s="23"/>
      <c r="AZ95" s="527">
        <f t="shared" ref="AZ95" si="746">AX96</f>
        <v>4015</v>
      </c>
      <c r="BA95" s="23"/>
      <c r="BB95" s="527">
        <f t="shared" ref="BB95:BD95" si="747">AZ96</f>
        <v>3852</v>
      </c>
      <c r="BC95" s="23"/>
      <c r="BD95" s="527">
        <f t="shared" si="747"/>
        <v>3856</v>
      </c>
      <c r="BE95" s="23"/>
      <c r="BF95" s="529">
        <f t="shared" ref="BF95:BJ95" si="748">BD96</f>
        <v>4130</v>
      </c>
      <c r="BG95" s="23"/>
      <c r="BH95" s="529">
        <f t="shared" si="748"/>
        <v>4150.6499999999996</v>
      </c>
      <c r="BI95" s="23"/>
      <c r="BJ95" s="529">
        <f t="shared" si="748"/>
        <v>4171.4032499999994</v>
      </c>
      <c r="BK95" s="23"/>
      <c r="BL95" s="529">
        <f t="shared" ref="BL95" si="749">BJ96</f>
        <v>4192.2602662499985</v>
      </c>
      <c r="BM95" s="23"/>
      <c r="BN95" s="35"/>
      <c r="BO95" s="138"/>
      <c r="BP95" s="35"/>
      <c r="BQ95" s="113"/>
      <c r="BR95" s="113"/>
      <c r="BS95" s="113"/>
      <c r="BT95" s="35"/>
      <c r="BU95" s="115"/>
      <c r="BV95" s="23"/>
      <c r="BW95" s="115"/>
      <c r="BX95" s="23"/>
      <c r="BY95" s="527">
        <f>X95</f>
        <v>3822</v>
      </c>
      <c r="BZ95" s="23" t="str">
        <f t="shared" si="741"/>
        <v>NA</v>
      </c>
      <c r="CA95" s="527">
        <f>AF95</f>
        <v>3843</v>
      </c>
      <c r="CB95" s="23">
        <f t="shared" si="742"/>
        <v>0.5494505494505475</v>
      </c>
      <c r="CC95" s="527">
        <f>AN95</f>
        <v>3919</v>
      </c>
      <c r="CD95" s="23">
        <f t="shared" si="743"/>
        <v>1.9776216497527921</v>
      </c>
      <c r="CE95" s="527">
        <f>CC96</f>
        <v>3960</v>
      </c>
      <c r="CF95" s="23"/>
      <c r="CG95" s="527">
        <f>CE96</f>
        <v>4068</v>
      </c>
      <c r="CH95" s="23"/>
      <c r="CI95" s="527">
        <f>CG96</f>
        <v>4130</v>
      </c>
      <c r="CJ95" s="23"/>
      <c r="CK95" s="410">
        <f>CI96</f>
        <v>4213.2215675812477</v>
      </c>
      <c r="CL95" s="23"/>
      <c r="CM95" s="410">
        <f>CK96</f>
        <v>4221.6480107164098</v>
      </c>
      <c r="CN95" s="23"/>
      <c r="CO95" s="410">
        <f>CM96</f>
        <v>4230.0913067378424</v>
      </c>
      <c r="CP95" s="23"/>
      <c r="CQ95" s="410">
        <f>CO96</f>
        <v>4238.5514893513182</v>
      </c>
      <c r="CR95" s="23"/>
      <c r="CS95" s="23">
        <f>IF(ISERROR(((CQ95/CG95)^0.2-1)*100),"NA",IF((((CQ95/CG95)^0.2-1)*100)&gt;100,"NM",IF((((CQ95/CG95)^0.2-1)*100)&lt;-50,"NM",((CQ95/CG95)^0.2-1)*100)))</f>
        <v>0.82478481875036813</v>
      </c>
    </row>
    <row r="96" spans="1:97" ht="12.75" customHeight="1" x14ac:dyDescent="0.2">
      <c r="A96" s="408" t="s">
        <v>504</v>
      </c>
      <c r="B96" s="115"/>
      <c r="C96" s="59"/>
      <c r="D96" s="115"/>
      <c r="E96" s="59"/>
      <c r="F96" s="115"/>
      <c r="G96" s="59"/>
      <c r="H96" s="115"/>
      <c r="I96" s="59"/>
      <c r="J96" s="115"/>
      <c r="K96" s="23"/>
      <c r="L96" s="115"/>
      <c r="M96" s="23"/>
      <c r="N96" s="115"/>
      <c r="O96" s="23"/>
      <c r="P96" s="115"/>
      <c r="Q96" s="23"/>
      <c r="R96" s="528"/>
      <c r="S96" s="23"/>
      <c r="T96" s="528"/>
      <c r="U96" s="23"/>
      <c r="V96" s="528"/>
      <c r="W96" s="23" t="str">
        <f t="shared" si="726"/>
        <v>NA</v>
      </c>
      <c r="X96" s="528">
        <v>4007</v>
      </c>
      <c r="Y96" s="23" t="str">
        <f t="shared" si="727"/>
        <v>NA</v>
      </c>
      <c r="Z96" s="528">
        <v>3919</v>
      </c>
      <c r="AA96" s="23" t="str">
        <f t="shared" si="728"/>
        <v>NA</v>
      </c>
      <c r="AB96" s="528">
        <v>3835</v>
      </c>
      <c r="AC96" s="23" t="str">
        <f t="shared" si="729"/>
        <v>NA</v>
      </c>
      <c r="AD96" s="528">
        <v>3843</v>
      </c>
      <c r="AE96" s="23" t="str">
        <f t="shared" si="730"/>
        <v>NA</v>
      </c>
      <c r="AF96" s="528">
        <v>3929</v>
      </c>
      <c r="AG96" s="23">
        <f t="shared" si="731"/>
        <v>-1.9465934614424807</v>
      </c>
      <c r="AH96" s="528">
        <v>4009</v>
      </c>
      <c r="AI96" s="23">
        <f t="shared" si="732"/>
        <v>2.2965042102577105</v>
      </c>
      <c r="AJ96" s="528">
        <v>3989</v>
      </c>
      <c r="AK96" s="23">
        <f t="shared" si="733"/>
        <v>4.0156453715775697</v>
      </c>
      <c r="AL96" s="528">
        <v>3919</v>
      </c>
      <c r="AM96" s="23">
        <f t="shared" si="734"/>
        <v>1.9776216497527921</v>
      </c>
      <c r="AN96" s="528">
        <v>3960</v>
      </c>
      <c r="AO96" s="23">
        <f t="shared" si="735"/>
        <v>0.78900483583608239</v>
      </c>
      <c r="AP96" s="528">
        <v>3983</v>
      </c>
      <c r="AQ96" s="23">
        <f t="shared" si="736"/>
        <v>-0.64854078323771658</v>
      </c>
      <c r="AR96" s="528">
        <v>3941</v>
      </c>
      <c r="AS96" s="23">
        <f t="shared" si="737"/>
        <v>-1.203309100025074</v>
      </c>
      <c r="AT96" s="528">
        <v>3919</v>
      </c>
      <c r="AU96" s="23">
        <f t="shared" si="738"/>
        <v>0</v>
      </c>
      <c r="AV96" s="528">
        <v>4068</v>
      </c>
      <c r="AW96" s="23"/>
      <c r="AX96" s="528">
        <v>4015</v>
      </c>
      <c r="AY96" s="23"/>
      <c r="AZ96" s="528">
        <v>3852</v>
      </c>
      <c r="BA96" s="23"/>
      <c r="BB96" s="528">
        <v>3856</v>
      </c>
      <c r="BC96" s="23"/>
      <c r="BD96" s="528">
        <v>4130</v>
      </c>
      <c r="BE96" s="23"/>
      <c r="BF96" s="528">
        <f>BF95*(1+0.02/4)</f>
        <v>4150.6499999999996</v>
      </c>
      <c r="BG96" s="23"/>
      <c r="BH96" s="528">
        <f>BH95*(1+0.02/4)</f>
        <v>4171.4032499999994</v>
      </c>
      <c r="BI96" s="23"/>
      <c r="BJ96" s="528">
        <f>BJ95*(1+0.02/4)</f>
        <v>4192.2602662499985</v>
      </c>
      <c r="BK96" s="23"/>
      <c r="BL96" s="528">
        <f>BL95*(1+0.02/4)</f>
        <v>4213.2215675812477</v>
      </c>
      <c r="BM96" s="23"/>
      <c r="BN96" s="35"/>
      <c r="BO96" s="138"/>
      <c r="BP96" s="35"/>
      <c r="BQ96" s="113"/>
      <c r="BR96" s="113"/>
      <c r="BS96" s="113"/>
      <c r="BT96" s="35"/>
      <c r="BU96" s="115"/>
      <c r="BV96" s="23"/>
      <c r="BW96" s="115"/>
      <c r="BX96" s="23"/>
      <c r="BY96" s="527">
        <f>X96</f>
        <v>4007</v>
      </c>
      <c r="BZ96" s="23" t="str">
        <f t="shared" si="741"/>
        <v>NA</v>
      </c>
      <c r="CA96" s="527">
        <f>AF96</f>
        <v>3929</v>
      </c>
      <c r="CB96" s="23">
        <f t="shared" si="742"/>
        <v>-1.9465934614424807</v>
      </c>
      <c r="CC96" s="527">
        <f>AN96</f>
        <v>3960</v>
      </c>
      <c r="CD96" s="23">
        <f t="shared" si="743"/>
        <v>0.78900483583608239</v>
      </c>
      <c r="CE96" s="527">
        <f>AV96</f>
        <v>4068</v>
      </c>
      <c r="CF96" s="23">
        <f>IF(ISERROR((CE96/CC96-1)*100),"NA",IF(((CE96/CC96-1)*100)&gt;100,"NM",IF(((CE96/CC96-1)*100)&lt;-50,"NM",(CE96/CC96-1)*100)))</f>
        <v>2.7272727272727337</v>
      </c>
      <c r="CG96" s="527">
        <f>BD96</f>
        <v>4130</v>
      </c>
      <c r="CH96" s="23">
        <f>IF(ISERROR((CG96/CE96-1)*100),"NA",IF(((CG96/CE96-1)*100)&gt;100,"NM",IF(((CG96/CE96-1)*100)&lt;-50,"NM",(CG96/CE96-1)*100)))</f>
        <v>1.524090462143568</v>
      </c>
      <c r="CI96" s="527">
        <f>BL96</f>
        <v>4213.2215675812477</v>
      </c>
      <c r="CJ96" s="23">
        <f>IF(ISERROR((CI96/CG96-1)*100),"NA",IF(((CI96/CG96-1)*100)&gt;100,"NM",IF(((CI96/CG96-1)*100)&lt;-50,"NM",(CI96/CG96-1)*100)))</f>
        <v>2.0150500624999346</v>
      </c>
      <c r="CK96" s="538">
        <f>CI96*1.002</f>
        <v>4221.6480107164098</v>
      </c>
      <c r="CL96" s="23">
        <f>IF(ISERROR((CK96/CI96-1)*100),"NA",IF(((CK96/CI96-1)*100)&gt;100,"NM",IF(((CK96/CI96-1)*100)&lt;-50,"NM",(CK96/CI96-1)*100)))</f>
        <v>0.20000000000000018</v>
      </c>
      <c r="CM96" s="538">
        <f>CK96*1.002</f>
        <v>4230.0913067378424</v>
      </c>
      <c r="CN96" s="23">
        <f>IF(ISERROR((CM96/CK96-1)*100),"NA",IF(((CM96/CK96-1)*100)&gt;100,"NM",IF(((CM96/CK96-1)*100)&lt;-50,"NM",(CM96/CK96-1)*100)))</f>
        <v>0.20000000000000018</v>
      </c>
      <c r="CO96" s="538">
        <f>CM96*1.002</f>
        <v>4238.5514893513182</v>
      </c>
      <c r="CP96" s="23">
        <f>IF(ISERROR((CO96/CM96-1)*100),"NA",IF(((CO96/CM96-1)*100)&gt;100,"NM",IF(((CO96/CM96-1)*100)&lt;-50,"NM",(CO96/CM96-1)*100)))</f>
        <v>0.20000000000000018</v>
      </c>
      <c r="CQ96" s="538">
        <f>CO96*1.002</f>
        <v>4247.0285923300207</v>
      </c>
      <c r="CR96" s="23">
        <f>IF(ISERROR((CQ96/CO96-1)*100),"NA",IF(((CQ96/CO96-1)*100)&gt;100,"NM",IF(((CQ96/CO96-1)*100)&lt;-50,"NM",(CQ96/CO96-1)*100)))</f>
        <v>0.20000000000000018</v>
      </c>
      <c r="CS96" s="23">
        <f>IF(ISERROR(((CQ96/CG96)^0.2-1)*100),"NA",IF((((CQ96/CG96)^0.2-1)*100)&gt;100,"NM",IF((((CQ96/CG96)^0.2-1)*100)&lt;-50,"NM",((CQ96/CG96)^0.2-1)*100)))</f>
        <v>0.56040797727971992</v>
      </c>
    </row>
    <row r="97" spans="1:105" ht="12.75" customHeight="1" x14ac:dyDescent="0.2">
      <c r="A97" s="408" t="s">
        <v>505</v>
      </c>
      <c r="B97" s="115"/>
      <c r="C97" s="59"/>
      <c r="D97" s="115"/>
      <c r="E97" s="59"/>
      <c r="F97" s="115"/>
      <c r="G97" s="59"/>
      <c r="H97" s="115"/>
      <c r="I97" s="59"/>
      <c r="J97" s="115"/>
      <c r="K97" s="23"/>
      <c r="L97" s="115"/>
      <c r="M97" s="23"/>
      <c r="N97" s="115"/>
      <c r="O97" s="23"/>
      <c r="P97" s="115"/>
      <c r="Q97" s="23"/>
      <c r="R97" s="528"/>
      <c r="S97" s="23"/>
      <c r="T97" s="528"/>
      <c r="U97" s="23"/>
      <c r="V97" s="528"/>
      <c r="W97" s="23" t="str">
        <f t="shared" si="726"/>
        <v>NA</v>
      </c>
      <c r="X97" s="528">
        <v>3915</v>
      </c>
      <c r="Y97" s="23" t="str">
        <f t="shared" si="727"/>
        <v>NA</v>
      </c>
      <c r="Z97" s="528">
        <v>3952</v>
      </c>
      <c r="AA97" s="23" t="str">
        <f t="shared" si="728"/>
        <v>NA</v>
      </c>
      <c r="AB97" s="528">
        <v>3946</v>
      </c>
      <c r="AC97" s="23" t="str">
        <f t="shared" si="729"/>
        <v>NA</v>
      </c>
      <c r="AD97" s="528">
        <v>3921</v>
      </c>
      <c r="AE97" s="23" t="str">
        <f t="shared" si="730"/>
        <v>NA</v>
      </c>
      <c r="AF97" s="528">
        <v>3891</v>
      </c>
      <c r="AG97" s="23">
        <f t="shared" si="731"/>
        <v>-0.61302681992336794</v>
      </c>
      <c r="AH97" s="528">
        <v>3893</v>
      </c>
      <c r="AI97" s="23">
        <f t="shared" si="732"/>
        <v>-1.4929149797570873</v>
      </c>
      <c r="AJ97" s="528">
        <v>3923</v>
      </c>
      <c r="AK97" s="23">
        <f t="shared" si="733"/>
        <v>-0.58286872782564725</v>
      </c>
      <c r="AL97" s="528">
        <v>3952</v>
      </c>
      <c r="AM97" s="23">
        <f t="shared" si="734"/>
        <v>0.7906146391226665</v>
      </c>
      <c r="AN97" s="528">
        <v>3966</v>
      </c>
      <c r="AO97" s="23">
        <f t="shared" si="735"/>
        <v>1.9275250578257408</v>
      </c>
      <c r="AP97" s="528">
        <v>3966</v>
      </c>
      <c r="AQ97" s="23">
        <f t="shared" si="736"/>
        <v>1.8751605445671782</v>
      </c>
      <c r="AR97" s="528">
        <v>3957</v>
      </c>
      <c r="AS97" s="23">
        <f t="shared" si="737"/>
        <v>0.86668366046394052</v>
      </c>
      <c r="AT97" s="528">
        <v>3951</v>
      </c>
      <c r="AU97" s="23">
        <f t="shared" si="738"/>
        <v>-2.5303643724694513E-2</v>
      </c>
      <c r="AV97" s="528">
        <v>3964</v>
      </c>
      <c r="AW97" s="23"/>
      <c r="AX97" s="528">
        <v>3982</v>
      </c>
      <c r="AY97" s="23"/>
      <c r="AZ97" s="528">
        <v>3974</v>
      </c>
      <c r="BA97" s="23"/>
      <c r="BB97" s="528">
        <v>3956</v>
      </c>
      <c r="BC97" s="23"/>
      <c r="BD97" s="528">
        <v>3928</v>
      </c>
      <c r="BE97" s="23"/>
      <c r="BF97" s="528">
        <f t="shared" ref="BF97:BJ97" si="750">AVERAGE(BF96,BD96,BB96,AZ96,AX96)</f>
        <v>4000.7300000000005</v>
      </c>
      <c r="BG97" s="23"/>
      <c r="BH97" s="528">
        <f t="shared" si="750"/>
        <v>4032.0106499999993</v>
      </c>
      <c r="BI97" s="23"/>
      <c r="BJ97" s="528">
        <f t="shared" si="750"/>
        <v>4100.0627032499997</v>
      </c>
      <c r="BK97" s="23"/>
      <c r="BL97" s="528">
        <f t="shared" ref="BL97" si="751">AVERAGE(BL96,BJ96,BH96,BF96,BD96)</f>
        <v>4171.5070167662489</v>
      </c>
      <c r="BM97" s="23"/>
      <c r="BN97" s="35"/>
      <c r="BO97" s="138"/>
      <c r="BP97" s="35"/>
      <c r="BQ97" s="113"/>
      <c r="BR97" s="113"/>
      <c r="BS97" s="113"/>
      <c r="BT97" s="35"/>
      <c r="BU97" s="115"/>
      <c r="BV97" s="23"/>
      <c r="BW97" s="115"/>
      <c r="BX97" s="23"/>
      <c r="BY97" s="527">
        <f>X97</f>
        <v>3915</v>
      </c>
      <c r="BZ97" s="23" t="str">
        <f t="shared" si="741"/>
        <v>NA</v>
      </c>
      <c r="CA97" s="527">
        <f>AF97</f>
        <v>3891</v>
      </c>
      <c r="CB97" s="23">
        <f t="shared" si="742"/>
        <v>-0.61302681992336794</v>
      </c>
      <c r="CC97" s="527">
        <f>AN97</f>
        <v>3966</v>
      </c>
      <c r="CD97" s="23">
        <f t="shared" si="743"/>
        <v>1.9275250578257408</v>
      </c>
      <c r="CE97" s="527">
        <f>AVERAGE(CE96,CE95)</f>
        <v>4014</v>
      </c>
      <c r="CF97" s="23"/>
      <c r="CG97" s="527">
        <f>AVERAGE(CG96,CG95)</f>
        <v>4099</v>
      </c>
      <c r="CH97" s="23"/>
      <c r="CI97" s="527">
        <f>AVERAGE(CI96,CI95)</f>
        <v>4171.6107837906238</v>
      </c>
      <c r="CJ97" s="23"/>
      <c r="CK97" s="410">
        <f>AVERAGE(CK96,CK95)</f>
        <v>4217.4347891488287</v>
      </c>
      <c r="CL97" s="23"/>
      <c r="CM97" s="410">
        <f>AVERAGE(CM96,CM95)</f>
        <v>4225.8696587271261</v>
      </c>
      <c r="CN97" s="23"/>
      <c r="CO97" s="410">
        <f>AVERAGE(CO96,CO95)</f>
        <v>4234.3213980445798</v>
      </c>
      <c r="CP97" s="23"/>
      <c r="CQ97" s="410">
        <f>AVERAGE(CQ96,CQ95)</f>
        <v>4242.7900408406695</v>
      </c>
      <c r="CR97" s="23"/>
      <c r="CS97" s="23">
        <f>IF(ISERROR(((CQ97/CG97)^0.2-1)*100),"NA",IF((((CQ97/CG97)^0.2-1)*100)&gt;100,"NM",IF((((CQ97/CG97)^0.2-1)*100)&lt;-50,"NM",((CQ97/CG97)^0.2-1)*100)))</f>
        <v>0.69194374091412492</v>
      </c>
    </row>
    <row r="98" spans="1:105" ht="12.75" customHeight="1" x14ac:dyDescent="0.2">
      <c r="A98" s="408"/>
      <c r="B98" s="115"/>
      <c r="C98" s="59"/>
      <c r="D98" s="115"/>
      <c r="E98" s="59"/>
      <c r="F98" s="115"/>
      <c r="G98" s="59"/>
      <c r="H98" s="115"/>
      <c r="I98" s="59"/>
      <c r="J98" s="115"/>
      <c r="K98" s="23"/>
      <c r="L98" s="115"/>
      <c r="M98" s="23"/>
      <c r="N98" s="115"/>
      <c r="O98" s="23"/>
      <c r="P98" s="115"/>
      <c r="Q98" s="23"/>
      <c r="R98" s="115"/>
      <c r="S98" s="23"/>
      <c r="T98" s="115"/>
      <c r="U98" s="23"/>
      <c r="V98" s="115"/>
      <c r="W98" s="23"/>
      <c r="X98" s="115"/>
      <c r="Y98" s="23"/>
      <c r="Z98" s="115"/>
      <c r="AA98" s="23"/>
      <c r="AB98" s="115"/>
      <c r="AC98" s="23"/>
      <c r="AD98" s="115"/>
      <c r="AE98" s="23"/>
      <c r="AF98" s="115"/>
      <c r="AG98" s="23"/>
      <c r="AH98" s="115"/>
      <c r="AI98" s="23"/>
      <c r="AJ98" s="115"/>
      <c r="AK98" s="23"/>
      <c r="AL98" s="115"/>
      <c r="AM98" s="23"/>
      <c r="AN98" s="457"/>
      <c r="AO98" s="23"/>
      <c r="AP98" s="457"/>
      <c r="AQ98" s="23"/>
      <c r="AR98" s="457"/>
      <c r="AS98" s="23"/>
      <c r="AT98" s="457"/>
      <c r="AU98" s="23"/>
      <c r="AV98" s="457"/>
      <c r="AW98" s="23"/>
      <c r="AX98" s="457"/>
      <c r="AY98" s="23"/>
      <c r="AZ98" s="457"/>
      <c r="BA98" s="23"/>
      <c r="BB98" s="457"/>
      <c r="BC98" s="23"/>
      <c r="BD98" s="457"/>
      <c r="BE98" s="23"/>
      <c r="BF98" s="115"/>
      <c r="BG98" s="23"/>
      <c r="BH98" s="115"/>
      <c r="BI98" s="23"/>
      <c r="BJ98" s="115"/>
      <c r="BK98" s="23"/>
      <c r="BL98" s="115"/>
      <c r="BM98" s="23"/>
      <c r="BN98" s="35"/>
      <c r="BO98" s="138"/>
      <c r="BP98" s="35"/>
      <c r="BQ98" s="113"/>
      <c r="BR98" s="113"/>
      <c r="BS98" s="113"/>
      <c r="BT98" s="35"/>
      <c r="BU98" s="115"/>
      <c r="BV98" s="23"/>
      <c r="BW98" s="115"/>
      <c r="BX98" s="23"/>
      <c r="BY98" s="115"/>
      <c r="BZ98" s="23"/>
      <c r="CA98" s="115"/>
      <c r="CB98" s="23"/>
      <c r="CC98" s="115"/>
      <c r="CD98" s="23"/>
      <c r="CE98" s="115"/>
      <c r="CF98" s="23"/>
      <c r="CG98" s="115"/>
      <c r="CH98" s="23"/>
      <c r="CI98" s="115"/>
      <c r="CJ98" s="23"/>
      <c r="CK98" s="115"/>
      <c r="CL98" s="23"/>
      <c r="CM98" s="115"/>
      <c r="CN98" s="23"/>
      <c r="CO98" s="115"/>
      <c r="CP98" s="23"/>
      <c r="CQ98" s="115"/>
      <c r="CR98" s="23"/>
      <c r="CS98" s="23"/>
    </row>
    <row r="99" spans="1:105" s="129" customFormat="1" ht="12.75" hidden="1" customHeight="1" outlineLevel="1" x14ac:dyDescent="0.2">
      <c r="A99" s="126" t="s">
        <v>132</v>
      </c>
      <c r="B99" s="127"/>
      <c r="C99" s="128"/>
      <c r="D99" s="127"/>
      <c r="E99" s="128"/>
      <c r="F99" s="127"/>
      <c r="G99" s="128"/>
      <c r="H99" s="127"/>
      <c r="I99" s="128"/>
      <c r="K99" s="130"/>
      <c r="M99" s="130"/>
      <c r="O99" s="130"/>
      <c r="Q99" s="130"/>
      <c r="S99" s="130"/>
      <c r="U99" s="130"/>
      <c r="W99" s="130"/>
      <c r="Y99" s="130"/>
      <c r="AA99" s="130"/>
      <c r="AC99" s="130"/>
      <c r="AE99" s="130"/>
      <c r="AG99" s="130"/>
      <c r="AI99" s="130"/>
      <c r="AK99" s="130"/>
      <c r="AM99" s="130"/>
      <c r="AO99" s="130"/>
      <c r="AQ99" s="130"/>
      <c r="AS99" s="130"/>
      <c r="AU99" s="130"/>
      <c r="AW99" s="130"/>
      <c r="AY99" s="130"/>
      <c r="BA99" s="130"/>
      <c r="BC99" s="130"/>
      <c r="BE99" s="130"/>
      <c r="BG99" s="130"/>
      <c r="BI99" s="130"/>
      <c r="BK99" s="130"/>
      <c r="BM99" s="130"/>
      <c r="BO99" s="135"/>
      <c r="BV99" s="130"/>
      <c r="BX99" s="130"/>
      <c r="BZ99" s="130"/>
      <c r="CB99" s="130"/>
      <c r="CD99" s="130"/>
      <c r="CF99" s="130"/>
      <c r="CH99" s="130"/>
      <c r="CJ99" s="130"/>
      <c r="CL99" s="130"/>
      <c r="CN99" s="130"/>
      <c r="CP99" s="130"/>
      <c r="CR99" s="130"/>
      <c r="CS99" s="130"/>
      <c r="CV99"/>
      <c r="CW99"/>
      <c r="CX99"/>
      <c r="CY99"/>
      <c r="CZ99"/>
      <c r="DA99"/>
    </row>
    <row r="100" spans="1:105" ht="12.75" hidden="1" customHeight="1" outlineLevel="1" x14ac:dyDescent="0.2">
      <c r="J100" s="5"/>
      <c r="L100" s="5"/>
      <c r="N100" s="5"/>
      <c r="P100" s="5"/>
      <c r="R100" s="5"/>
      <c r="T100" s="5"/>
      <c r="V100" s="5"/>
      <c r="X100" s="5"/>
      <c r="Z100" s="5"/>
      <c r="AB100" s="5"/>
      <c r="AD100" s="5"/>
      <c r="AF100" s="5"/>
      <c r="AH100" s="5"/>
      <c r="AJ100" s="5"/>
      <c r="AL100" s="5"/>
      <c r="AN100" s="475"/>
      <c r="AP100" s="475"/>
      <c r="AR100" s="475"/>
      <c r="AT100" s="475"/>
      <c r="AV100" s="475"/>
      <c r="AX100" s="475"/>
      <c r="AZ100" s="475"/>
      <c r="BB100" s="475"/>
      <c r="BD100" s="475"/>
      <c r="BF100" s="5"/>
      <c r="BH100" s="5"/>
      <c r="BJ100" s="5"/>
      <c r="BL100" s="5"/>
      <c r="BN100" s="5"/>
      <c r="BO100" s="136"/>
      <c r="BP100" s="5"/>
      <c r="BQ100" s="5"/>
      <c r="BR100" s="5"/>
      <c r="BS100" s="5"/>
      <c r="BT100" s="5"/>
      <c r="BU100" s="5"/>
      <c r="BW100" s="5"/>
    </row>
    <row r="101" spans="1:105" ht="12.75" hidden="1" customHeight="1" outlineLevel="1" x14ac:dyDescent="0.2">
      <c r="A101" s="3" t="s">
        <v>487</v>
      </c>
      <c r="J101" s="5"/>
      <c r="L101" s="5"/>
      <c r="N101" s="5"/>
      <c r="P101" s="5"/>
      <c r="R101" s="5"/>
      <c r="T101" s="5"/>
      <c r="V101" s="5"/>
      <c r="X101" s="5"/>
      <c r="Z101" s="5"/>
      <c r="AB101" s="5"/>
      <c r="AD101" s="5"/>
      <c r="AF101" s="5"/>
      <c r="AH101" s="5"/>
      <c r="AJ101" s="5"/>
      <c r="AL101" s="5"/>
      <c r="AN101" s="475"/>
      <c r="AP101" s="475"/>
      <c r="AR101" s="475"/>
      <c r="AT101" s="475"/>
      <c r="AV101" s="475"/>
      <c r="AX101" s="475"/>
      <c r="AZ101" s="475"/>
      <c r="BB101" s="475"/>
      <c r="BD101" s="475"/>
      <c r="BF101" s="5"/>
      <c r="BH101" s="5"/>
      <c r="BJ101" s="5"/>
      <c r="BL101" s="5"/>
      <c r="BN101" s="5"/>
      <c r="BO101" s="136"/>
      <c r="BP101" s="5"/>
      <c r="BQ101" s="5"/>
      <c r="BR101" s="5"/>
      <c r="BS101" s="5"/>
      <c r="BT101" s="5"/>
      <c r="BU101" s="5"/>
      <c r="BW101" s="5"/>
    </row>
    <row r="102" spans="1:105" ht="12.75" hidden="1" customHeight="1" outlineLevel="1" x14ac:dyDescent="0.2">
      <c r="A102" s="4" t="s">
        <v>184</v>
      </c>
      <c r="B102" s="49"/>
      <c r="C102" s="59"/>
      <c r="D102" s="56"/>
      <c r="E102" s="59"/>
      <c r="F102" s="56"/>
      <c r="G102" s="59"/>
      <c r="H102" s="56"/>
      <c r="I102" s="59"/>
      <c r="J102" s="486">
        <v>27690.2</v>
      </c>
      <c r="K102" s="23" t="str">
        <f t="shared" ref="K102:S107" si="752">IF(ISERROR((J102/B102-1)*100),"NA",IF(((J102/B102-1)*100)&gt;100,"NM",IF(((J102/B102-1)*100)&lt;-50,"NM",(J102/B102-1)*100)))</f>
        <v>NA</v>
      </c>
      <c r="L102" s="56">
        <f>J106</f>
        <v>27592.6</v>
      </c>
      <c r="M102" s="23" t="str">
        <f t="shared" si="752"/>
        <v>NA</v>
      </c>
      <c r="N102" s="56">
        <f>L106</f>
        <v>26496.600000000002</v>
      </c>
      <c r="O102" s="23" t="str">
        <f t="shared" si="752"/>
        <v>NA</v>
      </c>
      <c r="P102" s="56">
        <f>N106</f>
        <v>26251.700000000004</v>
      </c>
      <c r="Q102" s="23" t="str">
        <f t="shared" si="752"/>
        <v>NA</v>
      </c>
      <c r="R102" s="56">
        <f>P106</f>
        <v>26100.800000000007</v>
      </c>
      <c r="S102" s="23">
        <f t="shared" si="752"/>
        <v>-5.7399368729730842</v>
      </c>
      <c r="T102" s="56">
        <f>R106</f>
        <v>26227.800000000007</v>
      </c>
      <c r="U102" s="23">
        <f t="shared" ref="U102:U107" si="753">IF(ISERROR((T102/L102-1)*100),"NA",IF(((T102/L102-1)*100)&gt;100,"NM",IF(((T102/L102-1)*100)&lt;-50,"NM",(T102/L102-1)*100)))</f>
        <v>-4.9462537057036737</v>
      </c>
      <c r="V102" s="56">
        <f>T106</f>
        <v>26233.300000000007</v>
      </c>
      <c r="W102" s="23">
        <f t="shared" ref="W102:W107" si="754">IF(ISERROR((V102/N102-1)*100),"NA",IF(((V102/N102-1)*100)&gt;100,"NM",IF(((V102/N102-1)*100)&lt;-50,"NM",(V102/N102-1)*100)))</f>
        <v>-0.99371240083632184</v>
      </c>
      <c r="X102" s="56">
        <f>V106</f>
        <v>26379.000000000007</v>
      </c>
      <c r="Y102" s="23">
        <f t="shared" ref="Y102:Y107" si="755">IF(ISERROR((X102/P102-1)*100),"NA",IF(((X102/P102-1)*100)&gt;100,"NM",IF(((X102/P102-1)*100)&lt;-50,"NM",(X102/P102-1)*100)))</f>
        <v>0.48492097654628807</v>
      </c>
      <c r="Z102" s="56">
        <f>X106</f>
        <v>26646.500000000011</v>
      </c>
      <c r="AA102" s="23">
        <f t="shared" ref="AA102:AA107" si="756">IF(ISERROR((Z102/R102-1)*100),"NA",IF(((Z102/R102-1)*100)&gt;100,"NM",IF(((Z102/R102-1)*100)&lt;-50,"NM",(Z102/R102-1)*100)))</f>
        <v>2.0907405137007506</v>
      </c>
      <c r="AB102" s="56">
        <f>Z106</f>
        <v>26967.500000000011</v>
      </c>
      <c r="AC102" s="23">
        <f t="shared" ref="AC102:AC107" si="757">IF(ISERROR((AB102/T102-1)*100),"NA",IF(((AB102/T102-1)*100)&gt;100,"NM",IF(((AB102/T102-1)*100)&lt;-50,"NM",(AB102/T102-1)*100)))</f>
        <v>2.8202899213811472</v>
      </c>
      <c r="AD102" s="56">
        <f>AB106</f>
        <v>27264.80000000001</v>
      </c>
      <c r="AE102" s="23">
        <f t="shared" ref="AE102:AE107" si="758">IF(ISERROR((AD102/V102-1)*100),"NA",IF(((AD102/V102-1)*100)&gt;100,"NM",IF(((AD102/V102-1)*100)&lt;-50,"NM",(AD102/V102-1)*100)))</f>
        <v>3.9320253265887395</v>
      </c>
      <c r="AF102" s="56">
        <f>AD106</f>
        <v>26790.000000000007</v>
      </c>
      <c r="AG102" s="23">
        <f t="shared" ref="AG102:AG107" si="759">IF(ISERROR((AF102/X102-1)*100),"NA",IF(((AF102/X102-1)*100)&gt;100,"NM",IF(((AF102/X102-1)*100)&lt;-50,"NM",(AF102/X102-1)*100)))</f>
        <v>1.558057545775049</v>
      </c>
      <c r="AH102" s="56">
        <f>AF106</f>
        <v>26649.80000000001</v>
      </c>
      <c r="AI102" s="23">
        <f t="shared" ref="AI102:AI107" si="760">IF(ISERROR((AH102/Z102-1)*100),"NA",IF(((AH102/Z102-1)*100)&gt;100,"NM",IF(((AH102/Z102-1)*100)&lt;-50,"NM",(AH102/Z102-1)*100)))</f>
        <v>1.2384365676543219E-2</v>
      </c>
      <c r="AJ102" s="56">
        <f>AH106</f>
        <v>26818.000000000007</v>
      </c>
      <c r="AK102" s="23"/>
      <c r="AL102" s="56">
        <f>AJ106</f>
        <v>26889.500000000007</v>
      </c>
      <c r="AM102" s="23"/>
      <c r="AN102" s="413">
        <f t="shared" ref="AN102" si="761">AL106</f>
        <v>26700.900000000009</v>
      </c>
      <c r="AO102" s="23"/>
      <c r="AP102" s="413"/>
      <c r="AQ102" s="23"/>
      <c r="AR102" s="413"/>
      <c r="AS102" s="23"/>
      <c r="AT102" s="413"/>
      <c r="AU102" s="23"/>
      <c r="AV102" s="413"/>
      <c r="AW102" s="23"/>
      <c r="AX102" s="413"/>
      <c r="AY102" s="23"/>
      <c r="AZ102" s="413"/>
      <c r="BA102" s="23"/>
      <c r="BB102" s="413"/>
      <c r="BC102" s="23"/>
      <c r="BD102" s="413"/>
      <c r="BE102" s="23"/>
      <c r="BF102" s="36"/>
      <c r="BG102" s="23"/>
      <c r="BH102" s="36"/>
      <c r="BI102" s="23"/>
      <c r="BJ102" s="36"/>
      <c r="BK102" s="23"/>
      <c r="BL102" s="36"/>
      <c r="BM102" s="23"/>
      <c r="BN102" s="36"/>
      <c r="BO102" s="137"/>
      <c r="BP102" s="36"/>
      <c r="BQ102" s="112"/>
      <c r="BR102" s="112"/>
      <c r="BS102" s="112"/>
      <c r="BT102" s="36"/>
      <c r="BU102" s="56"/>
      <c r="BV102" s="23"/>
      <c r="BW102" s="56"/>
      <c r="BX102" s="23"/>
      <c r="BY102" s="56">
        <f>R102</f>
        <v>26100.800000000007</v>
      </c>
      <c r="BZ102" s="23" t="str">
        <f t="shared" ref="BZ102:BZ107" si="762">IF(ISERROR((BY102/BW102-1)*100),"NA",IF(((BY102/BW102-1)*100)&gt;100,"NM",IF(((BY102/BW102-1)*100)&lt;-50,"NM",(BY102/BW102-1)*100)))</f>
        <v>NA</v>
      </c>
      <c r="CA102" s="56">
        <f>BY106</f>
        <v>26646.500000000004</v>
      </c>
      <c r="CB102" s="23">
        <f t="shared" ref="CB102:CB107" si="763">IF(ISERROR((CA102/BY102-1)*100),"NA",IF(((CA102/BY102-1)*100)&gt;100,"NM",IF(((CA102/BY102-1)*100)&lt;-50,"NM",(CA102/BY102-1)*100)))</f>
        <v>2.0907405137007284</v>
      </c>
      <c r="CC102" s="56"/>
      <c r="CD102" s="23"/>
      <c r="CE102" s="56"/>
      <c r="CF102" s="23"/>
      <c r="CG102" s="56"/>
      <c r="CH102" s="23"/>
      <c r="CI102" s="56"/>
      <c r="CJ102" s="23"/>
      <c r="CK102" s="56"/>
      <c r="CL102" s="23"/>
      <c r="CM102" s="56"/>
      <c r="CN102" s="23"/>
      <c r="CO102" s="56"/>
      <c r="CP102" s="23"/>
      <c r="CQ102" s="56"/>
      <c r="CR102" s="23"/>
      <c r="CS102" s="23"/>
    </row>
    <row r="103" spans="1:105" ht="12.75" hidden="1" customHeight="1" outlineLevel="1" x14ac:dyDescent="0.2">
      <c r="A103" s="4" t="s">
        <v>13</v>
      </c>
      <c r="B103" s="49"/>
      <c r="C103" s="59"/>
      <c r="D103" s="49"/>
      <c r="E103" s="59"/>
      <c r="F103" s="49"/>
      <c r="G103" s="59"/>
      <c r="H103" s="49"/>
      <c r="I103" s="59"/>
      <c r="J103" s="49">
        <v>596.1</v>
      </c>
      <c r="K103" s="23" t="str">
        <f t="shared" si="752"/>
        <v>NA</v>
      </c>
      <c r="L103" s="49">
        <v>633.9</v>
      </c>
      <c r="M103" s="23" t="str">
        <f t="shared" si="752"/>
        <v>NA</v>
      </c>
      <c r="N103" s="49">
        <v>567.9</v>
      </c>
      <c r="O103" s="23" t="str">
        <f t="shared" si="752"/>
        <v>NA</v>
      </c>
      <c r="P103" s="48">
        <v>555.70000000000005</v>
      </c>
      <c r="Q103" s="23" t="str">
        <f t="shared" si="752"/>
        <v>NA</v>
      </c>
      <c r="R103" s="48">
        <v>554.79999999999995</v>
      </c>
      <c r="S103" s="23">
        <f t="shared" si="752"/>
        <v>-6.9283677235363328</v>
      </c>
      <c r="T103" s="48">
        <v>624.6</v>
      </c>
      <c r="U103" s="23">
        <f t="shared" si="753"/>
        <v>-1.4671083767155646</v>
      </c>
      <c r="V103" s="48">
        <v>671.7</v>
      </c>
      <c r="W103" s="23">
        <f t="shared" si="754"/>
        <v>18.27786582144746</v>
      </c>
      <c r="X103" s="48">
        <v>780.9</v>
      </c>
      <c r="Y103" s="23">
        <f t="shared" si="755"/>
        <v>40.525463379521298</v>
      </c>
      <c r="Z103" s="48">
        <v>861.7</v>
      </c>
      <c r="AA103" s="23">
        <f t="shared" si="756"/>
        <v>55.317231434751292</v>
      </c>
      <c r="AB103" s="48">
        <v>796.9</v>
      </c>
      <c r="AC103" s="23">
        <f t="shared" si="757"/>
        <v>27.585654819084215</v>
      </c>
      <c r="AD103" s="48">
        <v>687.1</v>
      </c>
      <c r="AE103" s="23">
        <f t="shared" si="758"/>
        <v>2.2926901890724993</v>
      </c>
      <c r="AF103" s="48">
        <v>699</v>
      </c>
      <c r="AG103" s="23">
        <f t="shared" si="759"/>
        <v>-10.487898578563193</v>
      </c>
      <c r="AH103" s="48">
        <v>688.8</v>
      </c>
      <c r="AI103" s="23">
        <f t="shared" si="760"/>
        <v>-20.06498781478474</v>
      </c>
      <c r="AJ103" s="48">
        <v>738.4</v>
      </c>
      <c r="AK103" s="23"/>
      <c r="AL103" s="48">
        <v>875.5</v>
      </c>
      <c r="AM103" s="23"/>
      <c r="AN103" s="287">
        <v>922</v>
      </c>
      <c r="AO103" s="23"/>
      <c r="AP103" s="287"/>
      <c r="AQ103" s="23"/>
      <c r="AR103" s="287"/>
      <c r="AS103" s="23"/>
      <c r="AT103" s="287"/>
      <c r="AU103" s="23"/>
      <c r="AV103" s="287"/>
      <c r="AW103" s="23"/>
      <c r="AX103" s="287"/>
      <c r="AY103" s="23"/>
      <c r="AZ103" s="287"/>
      <c r="BA103" s="23"/>
      <c r="BB103" s="287"/>
      <c r="BC103" s="23"/>
      <c r="BD103" s="287"/>
      <c r="BE103" s="23"/>
      <c r="BF103" s="36"/>
      <c r="BG103" s="23"/>
      <c r="BH103" s="36"/>
      <c r="BI103" s="23"/>
      <c r="BJ103" s="36"/>
      <c r="BK103" s="23"/>
      <c r="BL103" s="36"/>
      <c r="BM103" s="23"/>
      <c r="BN103" s="36"/>
      <c r="BO103" s="137"/>
      <c r="BP103" s="36"/>
      <c r="BQ103" s="112"/>
      <c r="BR103" s="112"/>
      <c r="BS103" s="112"/>
      <c r="BT103" s="36"/>
      <c r="BU103" s="56"/>
      <c r="BV103" s="23"/>
      <c r="BW103" s="56"/>
      <c r="BX103" s="23"/>
      <c r="BY103" s="56">
        <f>R103+T103+V103+X103</f>
        <v>2632</v>
      </c>
      <c r="BZ103" s="23" t="str">
        <f t="shared" si="762"/>
        <v>NA</v>
      </c>
      <c r="CA103" s="56">
        <f>Z103+AB103+AD103+AF103</f>
        <v>3044.7</v>
      </c>
      <c r="CB103" s="23">
        <f t="shared" si="763"/>
        <v>15.680091185410316</v>
      </c>
      <c r="CC103" s="56"/>
      <c r="CD103" s="23"/>
      <c r="CE103" s="56"/>
      <c r="CF103" s="23"/>
      <c r="CG103" s="56"/>
      <c r="CH103" s="23"/>
      <c r="CI103" s="56"/>
      <c r="CJ103" s="23"/>
      <c r="CK103" s="56"/>
      <c r="CL103" s="23"/>
      <c r="CM103" s="56"/>
      <c r="CN103" s="23"/>
      <c r="CO103" s="56"/>
      <c r="CP103" s="23"/>
      <c r="CQ103" s="56"/>
      <c r="CR103" s="23"/>
      <c r="CS103" s="23"/>
    </row>
    <row r="104" spans="1:105" ht="12.75" hidden="1" customHeight="1" outlineLevel="1" x14ac:dyDescent="0.2">
      <c r="A104" s="4" t="s">
        <v>96</v>
      </c>
      <c r="B104" s="49"/>
      <c r="C104" s="59"/>
      <c r="D104" s="49"/>
      <c r="E104" s="59"/>
      <c r="F104" s="49"/>
      <c r="G104" s="59"/>
      <c r="H104" s="49"/>
      <c r="I104" s="59"/>
      <c r="J104" s="49">
        <v>-1107.7</v>
      </c>
      <c r="K104" s="23" t="str">
        <f t="shared" si="752"/>
        <v>NA</v>
      </c>
      <c r="L104" s="49">
        <v>-1850.8</v>
      </c>
      <c r="M104" s="23" t="str">
        <f t="shared" si="752"/>
        <v>NA</v>
      </c>
      <c r="N104" s="49">
        <v>-1175</v>
      </c>
      <c r="O104" s="23" t="str">
        <f t="shared" si="752"/>
        <v>NA</v>
      </c>
      <c r="P104" s="48">
        <v>-951.8</v>
      </c>
      <c r="Q104" s="23" t="str">
        <f t="shared" si="752"/>
        <v>NA</v>
      </c>
      <c r="R104" s="48">
        <v>-775.1</v>
      </c>
      <c r="S104" s="23">
        <f t="shared" si="752"/>
        <v>-30.026180373747401</v>
      </c>
      <c r="T104" s="48">
        <v>-868.3</v>
      </c>
      <c r="U104" s="23" t="str">
        <f t="shared" si="753"/>
        <v>NM</v>
      </c>
      <c r="V104" s="48">
        <v>-932.7</v>
      </c>
      <c r="W104" s="23">
        <f t="shared" si="754"/>
        <v>-20.621276595744675</v>
      </c>
      <c r="X104" s="48">
        <v>-952.8</v>
      </c>
      <c r="Y104" s="23">
        <f t="shared" si="755"/>
        <v>0.10506408909434217</v>
      </c>
      <c r="Z104" s="48">
        <v>-806.8</v>
      </c>
      <c r="AA104" s="23">
        <f t="shared" si="756"/>
        <v>4.0897948651786864</v>
      </c>
      <c r="AB104" s="48">
        <v>-888.7</v>
      </c>
      <c r="AC104" s="23">
        <f t="shared" si="757"/>
        <v>2.3494184037775145</v>
      </c>
      <c r="AD104" s="48">
        <v>-1310</v>
      </c>
      <c r="AE104" s="23">
        <f t="shared" si="758"/>
        <v>40.452449876702048</v>
      </c>
      <c r="AF104" s="48">
        <v>-1109.5999999999999</v>
      </c>
      <c r="AG104" s="23">
        <f t="shared" si="759"/>
        <v>16.456759026028543</v>
      </c>
      <c r="AH104" s="48">
        <v>-797.7</v>
      </c>
      <c r="AI104" s="23">
        <f t="shared" si="760"/>
        <v>-1.1279127416955803</v>
      </c>
      <c r="AJ104" s="48">
        <v>-842</v>
      </c>
      <c r="AK104" s="23"/>
      <c r="AL104" s="48">
        <v>-841.5</v>
      </c>
      <c r="AM104" s="23"/>
      <c r="AN104" s="287">
        <v>-869.4</v>
      </c>
      <c r="AO104" s="23"/>
      <c r="AP104" s="287"/>
      <c r="AQ104" s="23"/>
      <c r="AR104" s="287"/>
      <c r="AS104" s="23"/>
      <c r="AT104" s="287"/>
      <c r="AU104" s="23"/>
      <c r="AV104" s="287"/>
      <c r="AW104" s="23"/>
      <c r="AX104" s="287"/>
      <c r="AY104" s="23"/>
      <c r="AZ104" s="287"/>
      <c r="BA104" s="23"/>
      <c r="BB104" s="287"/>
      <c r="BC104" s="23"/>
      <c r="BD104" s="287"/>
      <c r="BE104" s="23"/>
      <c r="BF104" s="36"/>
      <c r="BG104" s="23"/>
      <c r="BH104" s="36"/>
      <c r="BI104" s="23"/>
      <c r="BJ104" s="36"/>
      <c r="BK104" s="23"/>
      <c r="BL104" s="36"/>
      <c r="BM104" s="23"/>
      <c r="BN104" s="36"/>
      <c r="BO104" s="137"/>
      <c r="BP104" s="36"/>
      <c r="BQ104" s="112"/>
      <c r="BR104" s="112"/>
      <c r="BS104" s="112"/>
      <c r="BT104" s="36"/>
      <c r="BU104" s="56"/>
      <c r="BV104" s="23"/>
      <c r="BW104" s="56"/>
      <c r="BX104" s="23"/>
      <c r="BY104" s="56">
        <f>R104+T104+V104+X104</f>
        <v>-3528.9000000000005</v>
      </c>
      <c r="BZ104" s="23" t="str">
        <f t="shared" si="762"/>
        <v>NA</v>
      </c>
      <c r="CA104" s="56">
        <f>Z104+AB104+AD104+AF104</f>
        <v>-4115.1000000000004</v>
      </c>
      <c r="CB104" s="23">
        <f t="shared" si="763"/>
        <v>16.611408654254856</v>
      </c>
      <c r="CC104" s="56"/>
      <c r="CD104" s="23"/>
      <c r="CE104" s="56"/>
      <c r="CF104" s="23"/>
      <c r="CG104" s="56"/>
      <c r="CH104" s="23"/>
      <c r="CI104" s="56"/>
      <c r="CJ104" s="23"/>
      <c r="CK104" s="56"/>
      <c r="CL104" s="23"/>
      <c r="CM104" s="56"/>
      <c r="CN104" s="23"/>
      <c r="CO104" s="56"/>
      <c r="CP104" s="23"/>
      <c r="CQ104" s="56"/>
      <c r="CR104" s="23"/>
      <c r="CS104" s="23"/>
    </row>
    <row r="105" spans="1:105" ht="12.75" hidden="1" customHeight="1" outlineLevel="1" x14ac:dyDescent="0.2">
      <c r="A105" s="4" t="s">
        <v>97</v>
      </c>
      <c r="B105" s="49"/>
      <c r="C105" s="59"/>
      <c r="D105" s="49"/>
      <c r="E105" s="59"/>
      <c r="F105" s="49"/>
      <c r="G105" s="59"/>
      <c r="H105" s="49"/>
      <c r="I105" s="59"/>
      <c r="J105" s="49">
        <v>414</v>
      </c>
      <c r="K105" s="23" t="str">
        <f t="shared" si="752"/>
        <v>NA</v>
      </c>
      <c r="L105" s="49">
        <v>120.9</v>
      </c>
      <c r="M105" s="23" t="str">
        <f t="shared" si="752"/>
        <v>NA</v>
      </c>
      <c r="N105" s="49">
        <v>362.2</v>
      </c>
      <c r="O105" s="23" t="str">
        <f t="shared" si="752"/>
        <v>NA</v>
      </c>
      <c r="P105" s="48">
        <v>245.2</v>
      </c>
      <c r="Q105" s="23" t="str">
        <f t="shared" si="752"/>
        <v>NA</v>
      </c>
      <c r="R105" s="48">
        <v>347.3</v>
      </c>
      <c r="S105" s="23">
        <f t="shared" si="752"/>
        <v>-16.111111111111111</v>
      </c>
      <c r="T105" s="48">
        <v>249.2</v>
      </c>
      <c r="U105" s="23" t="str">
        <f t="shared" si="753"/>
        <v>NM</v>
      </c>
      <c r="V105" s="48">
        <v>406.7</v>
      </c>
      <c r="W105" s="23">
        <f t="shared" si="754"/>
        <v>12.286029817780243</v>
      </c>
      <c r="X105" s="48">
        <v>439.4</v>
      </c>
      <c r="Y105" s="23">
        <f t="shared" si="755"/>
        <v>79.200652528548133</v>
      </c>
      <c r="Z105" s="48">
        <v>266.10000000000002</v>
      </c>
      <c r="AA105" s="23">
        <f t="shared" si="756"/>
        <v>-23.380362798733078</v>
      </c>
      <c r="AB105" s="48">
        <v>389.1</v>
      </c>
      <c r="AC105" s="23">
        <f t="shared" si="757"/>
        <v>56.139646869983963</v>
      </c>
      <c r="AD105" s="48">
        <v>148.1</v>
      </c>
      <c r="AE105" s="23" t="str">
        <f t="shared" si="758"/>
        <v>NM</v>
      </c>
      <c r="AF105" s="48">
        <v>270.39999999999998</v>
      </c>
      <c r="AG105" s="23">
        <f t="shared" si="759"/>
        <v>-38.46153846153846</v>
      </c>
      <c r="AH105" s="48">
        <v>277.10000000000002</v>
      </c>
      <c r="AI105" s="23">
        <f t="shared" si="760"/>
        <v>4.1337842916197021</v>
      </c>
      <c r="AJ105" s="48">
        <v>175.1</v>
      </c>
      <c r="AK105" s="23"/>
      <c r="AL105" s="48">
        <v>-222.6</v>
      </c>
      <c r="AM105" s="23"/>
      <c r="AN105" s="287">
        <v>282.3</v>
      </c>
      <c r="AO105" s="23"/>
      <c r="AP105" s="287"/>
      <c r="AQ105" s="23"/>
      <c r="AR105" s="287"/>
      <c r="AS105" s="23"/>
      <c r="AT105" s="287"/>
      <c r="AU105" s="23"/>
      <c r="AV105" s="287"/>
      <c r="AW105" s="23"/>
      <c r="AX105" s="287"/>
      <c r="AY105" s="23"/>
      <c r="AZ105" s="287"/>
      <c r="BA105" s="23"/>
      <c r="BB105" s="287"/>
      <c r="BC105" s="23"/>
      <c r="BD105" s="287"/>
      <c r="BE105" s="23"/>
      <c r="BF105" s="36"/>
      <c r="BG105" s="23"/>
      <c r="BH105" s="36"/>
      <c r="BI105" s="23"/>
      <c r="BJ105" s="36"/>
      <c r="BK105" s="23"/>
      <c r="BL105" s="36"/>
      <c r="BM105" s="23"/>
      <c r="BN105" s="36"/>
      <c r="BO105" s="137"/>
      <c r="BP105" s="36"/>
      <c r="BQ105" s="112"/>
      <c r="BR105" s="112"/>
      <c r="BS105" s="112"/>
      <c r="BT105" s="36"/>
      <c r="BU105" s="56"/>
      <c r="BV105" s="23"/>
      <c r="BW105" s="56"/>
      <c r="BX105" s="23"/>
      <c r="BY105" s="56">
        <f>R105+T105+V105+X105</f>
        <v>1442.6</v>
      </c>
      <c r="BZ105" s="23" t="str">
        <f t="shared" si="762"/>
        <v>NA</v>
      </c>
      <c r="CA105" s="56">
        <f>Z105+AB105+AD105+AF105</f>
        <v>1073.7</v>
      </c>
      <c r="CB105" s="23">
        <f t="shared" si="763"/>
        <v>-25.571884098156094</v>
      </c>
      <c r="CC105" s="56"/>
      <c r="CD105" s="23"/>
      <c r="CE105" s="56"/>
      <c r="CF105" s="23"/>
      <c r="CG105" s="56"/>
      <c r="CH105" s="23"/>
      <c r="CI105" s="56"/>
      <c r="CJ105" s="23"/>
      <c r="CK105" s="56"/>
      <c r="CL105" s="23"/>
      <c r="CM105" s="56"/>
      <c r="CN105" s="23"/>
      <c r="CO105" s="56"/>
      <c r="CP105" s="23"/>
      <c r="CQ105" s="56"/>
      <c r="CR105" s="23"/>
      <c r="CS105" s="23"/>
    </row>
    <row r="106" spans="1:105" ht="12.75" hidden="1" customHeight="1" outlineLevel="1" x14ac:dyDescent="0.2">
      <c r="A106" s="4" t="s">
        <v>183</v>
      </c>
      <c r="B106" s="36"/>
      <c r="C106" s="59"/>
      <c r="D106" s="56"/>
      <c r="E106" s="59"/>
      <c r="F106" s="36"/>
      <c r="G106" s="59"/>
      <c r="H106" s="36"/>
      <c r="I106" s="59"/>
      <c r="J106" s="36">
        <f t="shared" ref="J106:L106" si="764">SUM(J102:J105)</f>
        <v>27592.6</v>
      </c>
      <c r="K106" s="23" t="str">
        <f t="shared" si="752"/>
        <v>NA</v>
      </c>
      <c r="L106" s="36">
        <f t="shared" si="764"/>
        <v>26496.600000000002</v>
      </c>
      <c r="M106" s="23" t="str">
        <f t="shared" si="752"/>
        <v>NA</v>
      </c>
      <c r="N106" s="36">
        <f t="shared" ref="N106" si="765">SUM(N102:N105)</f>
        <v>26251.700000000004</v>
      </c>
      <c r="O106" s="23" t="str">
        <f t="shared" si="752"/>
        <v>NA</v>
      </c>
      <c r="P106" s="36">
        <f t="shared" ref="P106" si="766">SUM(P102:P105)</f>
        <v>26100.800000000007</v>
      </c>
      <c r="Q106" s="23" t="str">
        <f t="shared" si="752"/>
        <v>NA</v>
      </c>
      <c r="R106" s="36">
        <f t="shared" ref="R106:T106" si="767">SUM(R102:R105)</f>
        <v>26227.800000000007</v>
      </c>
      <c r="S106" s="23">
        <f t="shared" si="752"/>
        <v>-4.9462537057036737</v>
      </c>
      <c r="T106" s="36">
        <f t="shared" si="767"/>
        <v>26233.300000000007</v>
      </c>
      <c r="U106" s="23">
        <f t="shared" si="753"/>
        <v>-0.99371240083632184</v>
      </c>
      <c r="V106" s="36">
        <f t="shared" ref="V106" si="768">SUM(V102:V105)</f>
        <v>26379.000000000007</v>
      </c>
      <c r="W106" s="23">
        <f t="shared" si="754"/>
        <v>0.48492097654628807</v>
      </c>
      <c r="X106" s="36">
        <f t="shared" ref="X106" si="769">SUM(X102:X105)</f>
        <v>26646.500000000011</v>
      </c>
      <c r="Y106" s="23">
        <f t="shared" si="755"/>
        <v>2.0907405137007506</v>
      </c>
      <c r="Z106" s="36">
        <f t="shared" ref="Z106" si="770">SUM(Z102:Z105)</f>
        <v>26967.500000000011</v>
      </c>
      <c r="AA106" s="23">
        <f t="shared" si="756"/>
        <v>2.8202899213811472</v>
      </c>
      <c r="AB106" s="36">
        <f t="shared" ref="AB106" si="771">SUM(AB102:AB105)</f>
        <v>27264.80000000001</v>
      </c>
      <c r="AC106" s="23">
        <f t="shared" si="757"/>
        <v>3.9320253265887395</v>
      </c>
      <c r="AD106" s="36">
        <f t="shared" ref="AD106" si="772">SUM(AD102:AD105)</f>
        <v>26790.000000000007</v>
      </c>
      <c r="AE106" s="23">
        <f t="shared" si="758"/>
        <v>1.558057545775049</v>
      </c>
      <c r="AF106" s="36">
        <f t="shared" ref="AF106" si="773">SUM(AF102:AF105)</f>
        <v>26649.80000000001</v>
      </c>
      <c r="AG106" s="23">
        <f t="shared" si="759"/>
        <v>1.2384365676543219E-2</v>
      </c>
      <c r="AH106" s="36">
        <f t="shared" ref="AH106:AJ106" si="774">SUM(AH102:AH105)</f>
        <v>26818.000000000007</v>
      </c>
      <c r="AI106" s="23">
        <f t="shared" si="760"/>
        <v>-0.55437100213221457</v>
      </c>
      <c r="AJ106" s="36">
        <f t="shared" si="774"/>
        <v>26889.500000000007</v>
      </c>
      <c r="AK106" s="23"/>
      <c r="AL106" s="36">
        <f t="shared" ref="AL106" si="775">SUM(AL102:AL105)</f>
        <v>26700.900000000009</v>
      </c>
      <c r="AM106" s="23"/>
      <c r="AN106" s="410">
        <f t="shared" ref="AN106" si="776">SUM(AN102:AN105)</f>
        <v>27035.800000000007</v>
      </c>
      <c r="AO106" s="23"/>
      <c r="AP106" s="410"/>
      <c r="AQ106" s="23"/>
      <c r="AR106" s="409"/>
      <c r="AS106" s="23"/>
      <c r="AT106" s="410"/>
      <c r="AU106" s="23"/>
      <c r="AV106" s="409"/>
      <c r="AW106" s="23"/>
      <c r="AX106" s="409"/>
      <c r="AY106" s="23"/>
      <c r="AZ106" s="409"/>
      <c r="BA106" s="23"/>
      <c r="BB106" s="409"/>
      <c r="BC106" s="23"/>
      <c r="BD106" s="409"/>
      <c r="BE106" s="23"/>
      <c r="BF106" s="36"/>
      <c r="BG106" s="23"/>
      <c r="BH106" s="36"/>
      <c r="BI106" s="23"/>
      <c r="BJ106" s="36"/>
      <c r="BK106" s="23"/>
      <c r="BL106" s="36"/>
      <c r="BM106" s="23"/>
      <c r="BN106" s="36"/>
      <c r="BO106" s="137"/>
      <c r="BP106" s="36"/>
      <c r="BQ106" s="112"/>
      <c r="BR106" s="112"/>
      <c r="BS106" s="112"/>
      <c r="BT106" s="36"/>
      <c r="BU106" s="56"/>
      <c r="BV106" s="23"/>
      <c r="BW106" s="56"/>
      <c r="BX106" s="23"/>
      <c r="BY106" s="56">
        <f t="shared" ref="BY106" si="777">SUM(BY102:BY105)</f>
        <v>26646.500000000004</v>
      </c>
      <c r="BZ106" s="23" t="str">
        <f t="shared" si="762"/>
        <v>NA</v>
      </c>
      <c r="CA106" s="56">
        <f t="shared" ref="CA106" si="778">SUM(CA102:CA105)</f>
        <v>26649.800000000007</v>
      </c>
      <c r="CB106" s="23">
        <f t="shared" si="763"/>
        <v>1.2384365676543219E-2</v>
      </c>
      <c r="CC106" s="56"/>
      <c r="CD106" s="23"/>
      <c r="CE106" s="56"/>
      <c r="CF106" s="23"/>
      <c r="CG106" s="56"/>
      <c r="CH106" s="23"/>
      <c r="CI106" s="56"/>
      <c r="CJ106" s="23"/>
      <c r="CK106" s="56"/>
      <c r="CL106" s="23"/>
      <c r="CM106" s="56"/>
      <c r="CN106" s="23"/>
      <c r="CO106" s="56"/>
      <c r="CP106" s="23"/>
      <c r="CQ106" s="56"/>
      <c r="CR106" s="23"/>
      <c r="CS106" s="23"/>
    </row>
    <row r="107" spans="1:105" ht="12.75" hidden="1" customHeight="1" outlineLevel="1" x14ac:dyDescent="0.2">
      <c r="A107" s="4" t="s">
        <v>98</v>
      </c>
      <c r="B107" s="36"/>
      <c r="C107" s="59"/>
      <c r="D107" s="36"/>
      <c r="E107" s="59"/>
      <c r="F107" s="36"/>
      <c r="G107" s="59"/>
      <c r="H107" s="36"/>
      <c r="I107" s="59"/>
      <c r="J107" s="36">
        <f t="shared" ref="J107:L107" si="779">AVERAGE(J106,J102)</f>
        <v>27641.4</v>
      </c>
      <c r="K107" s="23" t="str">
        <f t="shared" si="752"/>
        <v>NA</v>
      </c>
      <c r="L107" s="36">
        <f t="shared" si="779"/>
        <v>27044.6</v>
      </c>
      <c r="M107" s="23" t="str">
        <f t="shared" si="752"/>
        <v>NA</v>
      </c>
      <c r="N107" s="36">
        <f t="shared" ref="N107" si="780">AVERAGE(N106,N102)</f>
        <v>26374.15</v>
      </c>
      <c r="O107" s="23" t="str">
        <f t="shared" si="752"/>
        <v>NA</v>
      </c>
      <c r="P107" s="36">
        <f t="shared" ref="P107" si="781">AVERAGE(P106,P102)</f>
        <v>26176.250000000007</v>
      </c>
      <c r="Q107" s="23" t="str">
        <f t="shared" si="752"/>
        <v>NA</v>
      </c>
      <c r="R107" s="36">
        <f t="shared" ref="R107:T107" si="782">AVERAGE(R106,R102)</f>
        <v>26164.300000000007</v>
      </c>
      <c r="S107" s="23">
        <f t="shared" si="752"/>
        <v>-5.3437959003523545</v>
      </c>
      <c r="T107" s="36">
        <f t="shared" si="782"/>
        <v>26230.550000000007</v>
      </c>
      <c r="U107" s="23">
        <f t="shared" si="753"/>
        <v>-3.0100278798724789</v>
      </c>
      <c r="V107" s="36">
        <f t="shared" ref="V107" si="783">AVERAGE(V106,V102)</f>
        <v>26306.150000000009</v>
      </c>
      <c r="W107" s="23">
        <f t="shared" si="754"/>
        <v>-0.25782821436897141</v>
      </c>
      <c r="X107" s="36">
        <f t="shared" ref="X107" si="784">AVERAGE(X106,X102)</f>
        <v>26512.750000000007</v>
      </c>
      <c r="Y107" s="23">
        <f t="shared" si="755"/>
        <v>1.2855164509813388</v>
      </c>
      <c r="Z107" s="36">
        <f t="shared" ref="Z107" si="785">AVERAGE(Z106,Z102)</f>
        <v>26807.000000000011</v>
      </c>
      <c r="AA107" s="23">
        <f t="shared" si="756"/>
        <v>2.4564005152058588</v>
      </c>
      <c r="AB107" s="36">
        <f t="shared" ref="AB107" si="786">AVERAGE(AB106,AB102)</f>
        <v>27116.150000000009</v>
      </c>
      <c r="AC107" s="23">
        <f t="shared" si="757"/>
        <v>3.376215900924695</v>
      </c>
      <c r="AD107" s="36">
        <f t="shared" ref="AD107" si="787">AVERAGE(AD106,AD102)</f>
        <v>27027.400000000009</v>
      </c>
      <c r="AE107" s="23">
        <f t="shared" si="758"/>
        <v>2.7417543046017734</v>
      </c>
      <c r="AF107" s="36">
        <f t="shared" ref="AF107" si="788">AVERAGE(AF106,AF102)</f>
        <v>26719.900000000009</v>
      </c>
      <c r="AG107" s="23">
        <f t="shared" si="759"/>
        <v>0.78132219403872494</v>
      </c>
      <c r="AH107" s="36">
        <f t="shared" ref="AH107:AJ107" si="789">AVERAGE(AH106,AH102)</f>
        <v>26733.900000000009</v>
      </c>
      <c r="AI107" s="23">
        <f t="shared" si="760"/>
        <v>-0.27268996903794251</v>
      </c>
      <c r="AJ107" s="36">
        <f t="shared" si="789"/>
        <v>26853.750000000007</v>
      </c>
      <c r="AK107" s="23"/>
      <c r="AL107" s="36">
        <f t="shared" ref="AL107" si="790">AVERAGE(AL106,AL102)</f>
        <v>26795.200000000008</v>
      </c>
      <c r="AM107" s="23"/>
      <c r="AN107" s="410">
        <f t="shared" ref="AN107" si="791">AVERAGE(AN106,AN102)</f>
        <v>26868.350000000006</v>
      </c>
      <c r="AO107" s="23"/>
      <c r="AP107" s="410"/>
      <c r="AQ107" s="23"/>
      <c r="AR107" s="410"/>
      <c r="AS107" s="23"/>
      <c r="AT107" s="410"/>
      <c r="AU107" s="23"/>
      <c r="AV107" s="410"/>
      <c r="AW107" s="23"/>
      <c r="AX107" s="410"/>
      <c r="AY107" s="23"/>
      <c r="AZ107" s="410"/>
      <c r="BA107" s="23"/>
      <c r="BB107" s="410"/>
      <c r="BC107" s="23"/>
      <c r="BD107" s="410"/>
      <c r="BE107" s="23"/>
      <c r="BF107" s="36"/>
      <c r="BG107" s="23"/>
      <c r="BH107" s="36"/>
      <c r="BI107" s="23"/>
      <c r="BJ107" s="36"/>
      <c r="BK107" s="23"/>
      <c r="BL107" s="36"/>
      <c r="BM107" s="23"/>
      <c r="BN107" s="36"/>
      <c r="BO107" s="137"/>
      <c r="BP107" s="36"/>
      <c r="BQ107" s="112"/>
      <c r="BR107" s="112"/>
      <c r="BS107" s="112"/>
      <c r="BT107" s="36"/>
      <c r="BU107" s="56"/>
      <c r="BV107" s="23"/>
      <c r="BW107" s="56"/>
      <c r="BX107" s="23"/>
      <c r="BY107" s="56">
        <f t="shared" ref="BY107" si="792">AVERAGE(BY106,BY102)</f>
        <v>26373.650000000005</v>
      </c>
      <c r="BZ107" s="23" t="str">
        <f t="shared" si="762"/>
        <v>NA</v>
      </c>
      <c r="CA107" s="56">
        <f t="shared" ref="CA107" si="793">AVERAGE(CA106,CA102)</f>
        <v>26648.150000000005</v>
      </c>
      <c r="CB107" s="23">
        <f t="shared" si="763"/>
        <v>1.0408115676063145</v>
      </c>
      <c r="CC107" s="56"/>
      <c r="CD107" s="23"/>
      <c r="CE107" s="56"/>
      <c r="CF107" s="23"/>
      <c r="CG107" s="56"/>
      <c r="CH107" s="23"/>
      <c r="CI107" s="56"/>
      <c r="CJ107" s="23"/>
      <c r="CK107" s="56"/>
      <c r="CL107" s="23"/>
      <c r="CM107" s="56"/>
      <c r="CN107" s="23"/>
      <c r="CO107" s="56"/>
      <c r="CP107" s="23"/>
      <c r="CQ107" s="56"/>
      <c r="CR107" s="23"/>
      <c r="CS107" s="23"/>
    </row>
    <row r="108" spans="1:105" ht="12.75" hidden="1" customHeight="1" outlineLevel="1" x14ac:dyDescent="0.2">
      <c r="B108" s="36"/>
      <c r="C108" s="60"/>
      <c r="D108" s="36"/>
      <c r="E108" s="60"/>
      <c r="F108" s="36"/>
      <c r="G108" s="60"/>
      <c r="H108" s="36"/>
      <c r="I108" s="60"/>
      <c r="J108" s="36"/>
      <c r="L108" s="36"/>
      <c r="N108" s="36"/>
      <c r="P108" s="36"/>
      <c r="R108" s="36"/>
      <c r="T108" s="36"/>
      <c r="V108" s="36"/>
      <c r="X108" s="36"/>
      <c r="Z108" s="36"/>
      <c r="AB108" s="36"/>
      <c r="AD108" s="36"/>
      <c r="AF108" s="36"/>
      <c r="AH108" s="36"/>
      <c r="AJ108" s="36"/>
      <c r="AL108" s="36"/>
      <c r="AN108" s="410"/>
      <c r="AP108" s="410"/>
      <c r="AR108" s="410"/>
      <c r="AT108" s="410"/>
      <c r="AV108" s="410"/>
      <c r="AX108" s="410"/>
      <c r="AZ108" s="410"/>
      <c r="BB108" s="410"/>
      <c r="BD108" s="410"/>
      <c r="BF108" s="36"/>
      <c r="BH108" s="36"/>
      <c r="BJ108" s="36"/>
      <c r="BL108" s="36"/>
      <c r="BN108" s="36"/>
      <c r="BO108" s="137"/>
      <c r="BP108" s="36"/>
      <c r="BQ108" s="36"/>
      <c r="BR108" s="36"/>
      <c r="BS108" s="36"/>
      <c r="BT108" s="36"/>
      <c r="BU108" s="56"/>
      <c r="BW108" s="56"/>
      <c r="BY108" s="56"/>
      <c r="CA108" s="56"/>
      <c r="CC108" s="56"/>
      <c r="CE108" s="56"/>
      <c r="CG108" s="56"/>
      <c r="CI108" s="56"/>
      <c r="CK108" s="56"/>
      <c r="CM108" s="56"/>
      <c r="CO108" s="56"/>
      <c r="CQ108" s="56"/>
    </row>
    <row r="109" spans="1:105" ht="12.75" hidden="1" customHeight="1" outlineLevel="1" x14ac:dyDescent="0.2">
      <c r="A109" s="3" t="s">
        <v>486</v>
      </c>
      <c r="J109" s="5"/>
      <c r="L109" s="5"/>
      <c r="N109" s="5"/>
      <c r="P109" s="5"/>
      <c r="R109" s="5"/>
      <c r="T109" s="5"/>
      <c r="V109" s="5"/>
      <c r="X109" s="5"/>
      <c r="Z109" s="5"/>
      <c r="AB109" s="5"/>
      <c r="AD109" s="5"/>
      <c r="AF109" s="5"/>
      <c r="AH109" s="5"/>
      <c r="AJ109" s="5"/>
      <c r="AL109" s="5"/>
      <c r="AN109" s="475"/>
      <c r="AP109" s="475"/>
      <c r="AR109" s="475"/>
      <c r="AT109" s="475"/>
      <c r="AV109" s="475"/>
      <c r="AX109" s="475"/>
      <c r="AZ109" s="475"/>
      <c r="BB109" s="475"/>
      <c r="BD109" s="475"/>
      <c r="BF109" s="5"/>
      <c r="BH109" s="5"/>
      <c r="BJ109" s="5"/>
      <c r="BL109" s="5"/>
      <c r="BN109" s="5"/>
      <c r="BO109" s="136"/>
      <c r="BP109" s="5"/>
      <c r="BQ109" s="5"/>
      <c r="BR109" s="5"/>
      <c r="BS109" s="5"/>
      <c r="BT109" s="5"/>
      <c r="BU109" s="5"/>
      <c r="BW109" s="5"/>
    </row>
    <row r="110" spans="1:105" ht="12.75" hidden="1" customHeight="1" outlineLevel="1" x14ac:dyDescent="0.2">
      <c r="A110" s="4" t="s">
        <v>184</v>
      </c>
      <c r="B110" s="49"/>
      <c r="C110" s="59"/>
      <c r="D110" s="56"/>
      <c r="E110" s="59"/>
      <c r="F110" s="56"/>
      <c r="G110" s="59"/>
      <c r="H110" s="56"/>
      <c r="I110" s="59"/>
      <c r="J110" s="486">
        <v>2831</v>
      </c>
      <c r="K110" s="23" t="str">
        <f t="shared" ref="K110:S115" si="794">IF(ISERROR((J110/B110-1)*100),"NA",IF(((J110/B110-1)*100)&gt;100,"NM",IF(((J110/B110-1)*100)&lt;-50,"NM",(J110/B110-1)*100)))</f>
        <v>NA</v>
      </c>
      <c r="L110" s="56">
        <f>J114</f>
        <v>2850.3</v>
      </c>
      <c r="M110" s="23" t="str">
        <f t="shared" ref="M110:M115" si="795">IF(ISERROR((L110/D110-1)*100),"NA",IF(((L110/D110-1)*100)&gt;100,"NM",IF(((L110/D110-1)*100)&lt;-50,"NM",(L110/D110-1)*100)))</f>
        <v>NA</v>
      </c>
      <c r="N110" s="56">
        <f>L114</f>
        <v>2847.5</v>
      </c>
      <c r="O110" s="23" t="str">
        <f t="shared" ref="O110:O115" si="796">IF(ISERROR((N110/F110-1)*100),"NA",IF(((N110/F110-1)*100)&gt;100,"NM",IF(((N110/F110-1)*100)&lt;-50,"NM",(N110/F110-1)*100)))</f>
        <v>NA</v>
      </c>
      <c r="P110" s="56">
        <f>N114</f>
        <v>2851</v>
      </c>
      <c r="Q110" s="23" t="str">
        <f t="shared" ref="Q110:Q115" si="797">IF(ISERROR((P110/H110-1)*100),"NA",IF(((P110/H110-1)*100)&gt;100,"NM",IF(((P110/H110-1)*100)&lt;-50,"NM",(P110/H110-1)*100)))</f>
        <v>NA</v>
      </c>
      <c r="R110" s="56">
        <f>P114</f>
        <v>2806.6</v>
      </c>
      <c r="S110" s="23">
        <f t="shared" si="794"/>
        <v>-0.86188625927234863</v>
      </c>
      <c r="T110" s="56">
        <f>R114</f>
        <v>2794.9</v>
      </c>
      <c r="U110" s="23">
        <f t="shared" ref="U110:U115" si="798">IF(ISERROR((T110/L110-1)*100),"NA",IF(((T110/L110-1)*100)&gt;100,"NM",IF(((T110/L110-1)*100)&lt;-50,"NM",(T110/L110-1)*100)))</f>
        <v>-1.9436550538539876</v>
      </c>
      <c r="V110" s="56">
        <f>T114</f>
        <v>2762.9</v>
      </c>
      <c r="W110" s="23">
        <f t="shared" ref="W110:W115" si="799">IF(ISERROR((V110/N110-1)*100),"NA",IF(((V110/N110-1)*100)&gt;100,"NM",IF(((V110/N110-1)*100)&lt;-50,"NM",(V110/N110-1)*100)))</f>
        <v>-2.9710272168568919</v>
      </c>
      <c r="X110" s="56">
        <f>V114</f>
        <v>2760.4</v>
      </c>
      <c r="Y110" s="23">
        <f t="shared" ref="Y110:Y115" si="800">IF(ISERROR((X110/P110-1)*100),"NA",IF(((X110/P110-1)*100)&gt;100,"NM",IF(((X110/P110-1)*100)&lt;-50,"NM",(X110/P110-1)*100)))</f>
        <v>-3.1778323395299846</v>
      </c>
      <c r="Z110" s="56">
        <f>X114</f>
        <v>2803.5000000000005</v>
      </c>
      <c r="AA110" s="23">
        <f t="shared" ref="AA110:AA115" si="801">IF(ISERROR((Z110/R110-1)*100),"NA",IF(((Z110/R110-1)*100)&gt;100,"NM",IF(((Z110/R110-1)*100)&lt;-50,"NM",(Z110/R110-1)*100)))</f>
        <v>-0.11045393002206971</v>
      </c>
      <c r="AB110" s="56">
        <f>Z114</f>
        <v>2871.1000000000004</v>
      </c>
      <c r="AC110" s="23">
        <f t="shared" ref="AC110:AC115" si="802">IF(ISERROR((AB110/T110-1)*100),"NA",IF(((AB110/T110-1)*100)&gt;100,"NM",IF(((AB110/T110-1)*100)&lt;-50,"NM",(AB110/T110-1)*100)))</f>
        <v>2.7263945042756532</v>
      </c>
      <c r="AD110" s="56">
        <f>AB114</f>
        <v>2886.1000000000004</v>
      </c>
      <c r="AE110" s="23">
        <f t="shared" ref="AE110:AE115" si="803">IF(ISERROR((AD110/V110-1)*100),"NA",IF(((AD110/V110-1)*100)&gt;100,"NM",IF(((AD110/V110-1)*100)&lt;-50,"NM",(AD110/V110-1)*100)))</f>
        <v>4.4590828477324651</v>
      </c>
      <c r="AF110" s="56">
        <f>AD114</f>
        <v>2892.1000000000004</v>
      </c>
      <c r="AG110" s="23">
        <f t="shared" ref="AG110:AG115" si="804">IF(ISERROR((AF110/X110-1)*100),"NA",IF(((AF110/X110-1)*100)&gt;100,"NM",IF(((AF110/X110-1)*100)&lt;-50,"NM",(AF110/X110-1)*100)))</f>
        <v>4.7710476742501173</v>
      </c>
      <c r="AH110" s="56">
        <f>AF114</f>
        <v>2878.5000000000005</v>
      </c>
      <c r="AI110" s="23">
        <f t="shared" ref="AI110:AI115" si="805">IF(ISERROR((AH110/Z110-1)*100),"NA",IF(((AH110/Z110-1)*100)&gt;100,"NM",IF(((AH110/Z110-1)*100)&lt;-50,"NM",(AH110/Z110-1)*100)))</f>
        <v>2.6752273943285276</v>
      </c>
      <c r="AJ110" s="56">
        <f>AH114</f>
        <v>2874</v>
      </c>
      <c r="AK110" s="23"/>
      <c r="AL110" s="56">
        <f>AJ114</f>
        <v>2856.7000000000003</v>
      </c>
      <c r="AM110" s="23"/>
      <c r="AN110" s="413">
        <f t="shared" ref="AN110" si="806">AL114</f>
        <v>2819.6000000000004</v>
      </c>
      <c r="AO110" s="23"/>
      <c r="AP110" s="413"/>
      <c r="AQ110" s="23"/>
      <c r="AR110" s="413"/>
      <c r="AS110" s="23"/>
      <c r="AT110" s="413"/>
      <c r="AU110" s="23"/>
      <c r="AV110" s="413"/>
      <c r="AW110" s="23"/>
      <c r="AX110" s="413"/>
      <c r="AY110" s="23"/>
      <c r="AZ110" s="413"/>
      <c r="BA110" s="23"/>
      <c r="BB110" s="413"/>
      <c r="BC110" s="23"/>
      <c r="BD110" s="413"/>
      <c r="BE110" s="23"/>
      <c r="BF110" s="36"/>
      <c r="BG110" s="23"/>
      <c r="BH110" s="36"/>
      <c r="BI110" s="23"/>
      <c r="BJ110" s="36"/>
      <c r="BK110" s="23"/>
      <c r="BL110" s="36"/>
      <c r="BM110" s="23"/>
      <c r="BN110" s="36"/>
      <c r="BO110" s="137"/>
      <c r="BP110" s="36"/>
      <c r="BQ110" s="112"/>
      <c r="BR110" s="112"/>
      <c r="BS110" s="112"/>
      <c r="BT110" s="36"/>
      <c r="BU110" s="56"/>
      <c r="BV110" s="23"/>
      <c r="BW110" s="56"/>
      <c r="BX110" s="23"/>
      <c r="BY110" s="56">
        <f>R110</f>
        <v>2806.6</v>
      </c>
      <c r="BZ110" s="23" t="str">
        <f t="shared" ref="BZ110:BZ115" si="807">IF(ISERROR((BY110/BW110-1)*100),"NA",IF(((BY110/BW110-1)*100)&gt;100,"NM",IF(((BY110/BW110-1)*100)&lt;-50,"NM",(BY110/BW110-1)*100)))</f>
        <v>NA</v>
      </c>
      <c r="CA110" s="56">
        <f>BY114</f>
        <v>2803.5</v>
      </c>
      <c r="CB110" s="23">
        <f t="shared" ref="CB110:CB115" si="808">IF(ISERROR((CA110/BY110-1)*100),"NA",IF(((CA110/BY110-1)*100)&gt;100,"NM",IF(((CA110/BY110-1)*100)&lt;-50,"NM",(CA110/BY110-1)*100)))</f>
        <v>-0.11045393002209192</v>
      </c>
      <c r="CC110" s="56"/>
      <c r="CD110" s="23"/>
      <c r="CE110" s="56"/>
      <c r="CF110" s="23"/>
      <c r="CG110" s="56"/>
      <c r="CH110" s="23"/>
      <c r="CI110" s="56"/>
      <c r="CJ110" s="23"/>
      <c r="CK110" s="56"/>
      <c r="CL110" s="23"/>
      <c r="CM110" s="56"/>
      <c r="CN110" s="23"/>
      <c r="CO110" s="56"/>
      <c r="CP110" s="23"/>
      <c r="CQ110" s="56"/>
      <c r="CR110" s="23"/>
      <c r="CS110" s="23"/>
    </row>
    <row r="111" spans="1:105" ht="12.75" hidden="1" customHeight="1" outlineLevel="1" x14ac:dyDescent="0.2">
      <c r="A111" s="4" t="s">
        <v>13</v>
      </c>
      <c r="B111" s="49"/>
      <c r="C111" s="59"/>
      <c r="D111" s="49"/>
      <c r="E111" s="59"/>
      <c r="F111" s="49"/>
      <c r="G111" s="59"/>
      <c r="H111" s="49"/>
      <c r="I111" s="59"/>
      <c r="J111" s="49">
        <v>61.8</v>
      </c>
      <c r="K111" s="23" t="str">
        <f t="shared" si="794"/>
        <v>NA</v>
      </c>
      <c r="L111" s="49">
        <v>85.1</v>
      </c>
      <c r="M111" s="23" t="str">
        <f t="shared" si="795"/>
        <v>NA</v>
      </c>
      <c r="N111" s="49">
        <v>57.4</v>
      </c>
      <c r="O111" s="23" t="str">
        <f t="shared" si="796"/>
        <v>NA</v>
      </c>
      <c r="P111" s="48">
        <v>38.700000000000003</v>
      </c>
      <c r="Q111" s="23" t="str">
        <f t="shared" si="797"/>
        <v>NA</v>
      </c>
      <c r="R111" s="48">
        <v>39.799999999999997</v>
      </c>
      <c r="S111" s="23">
        <f t="shared" si="794"/>
        <v>-35.59870550161812</v>
      </c>
      <c r="T111" s="48">
        <v>37.200000000000003</v>
      </c>
      <c r="U111" s="23" t="str">
        <f t="shared" si="798"/>
        <v>NM</v>
      </c>
      <c r="V111" s="48">
        <v>51.1</v>
      </c>
      <c r="W111" s="23">
        <f t="shared" si="799"/>
        <v>-10.97560975609756</v>
      </c>
      <c r="X111" s="48">
        <v>94.5</v>
      </c>
      <c r="Y111" s="23" t="str">
        <f t="shared" si="800"/>
        <v>NM</v>
      </c>
      <c r="Z111" s="48">
        <v>119.6</v>
      </c>
      <c r="AA111" s="23" t="str">
        <f t="shared" si="801"/>
        <v>NM</v>
      </c>
      <c r="AB111" s="48">
        <v>81.400000000000006</v>
      </c>
      <c r="AC111" s="23" t="str">
        <f t="shared" si="802"/>
        <v>NM</v>
      </c>
      <c r="AD111" s="48">
        <v>76.599999999999994</v>
      </c>
      <c r="AE111" s="23">
        <f t="shared" si="803"/>
        <v>49.902152641878651</v>
      </c>
      <c r="AF111" s="48">
        <v>63.1</v>
      </c>
      <c r="AG111" s="23">
        <f t="shared" si="804"/>
        <v>-33.227513227513228</v>
      </c>
      <c r="AH111" s="48">
        <v>64.599999999999994</v>
      </c>
      <c r="AI111" s="23">
        <f t="shared" si="805"/>
        <v>-45.986622073578602</v>
      </c>
      <c r="AJ111" s="48">
        <v>62.3</v>
      </c>
      <c r="AK111" s="23"/>
      <c r="AL111" s="48">
        <v>76.3</v>
      </c>
      <c r="AM111" s="23"/>
      <c r="AN111" s="287">
        <v>59.5</v>
      </c>
      <c r="AO111" s="23"/>
      <c r="AP111" s="287"/>
      <c r="AQ111" s="23"/>
      <c r="AR111" s="287"/>
      <c r="AS111" s="23"/>
      <c r="AT111" s="287"/>
      <c r="AU111" s="23"/>
      <c r="AV111" s="287"/>
      <c r="AW111" s="23"/>
      <c r="AX111" s="287"/>
      <c r="AY111" s="23"/>
      <c r="AZ111" s="287"/>
      <c r="BA111" s="23"/>
      <c r="BB111" s="287"/>
      <c r="BC111" s="23"/>
      <c r="BD111" s="287"/>
      <c r="BE111" s="23"/>
      <c r="BF111" s="36"/>
      <c r="BG111" s="23"/>
      <c r="BH111" s="36"/>
      <c r="BI111" s="23"/>
      <c r="BJ111" s="36"/>
      <c r="BK111" s="23"/>
      <c r="BL111" s="36"/>
      <c r="BM111" s="23"/>
      <c r="BN111" s="36"/>
      <c r="BO111" s="137"/>
      <c r="BP111" s="36"/>
      <c r="BQ111" s="112"/>
      <c r="BR111" s="112"/>
      <c r="BS111" s="112"/>
      <c r="BT111" s="36"/>
      <c r="BU111" s="56"/>
      <c r="BV111" s="23"/>
      <c r="BW111" s="56"/>
      <c r="BX111" s="23"/>
      <c r="BY111" s="56">
        <f>R111+T111+V111+X111</f>
        <v>222.6</v>
      </c>
      <c r="BZ111" s="23" t="str">
        <f t="shared" si="807"/>
        <v>NA</v>
      </c>
      <c r="CA111" s="56">
        <f>Z111+AB111+AD111+AF111</f>
        <v>340.70000000000005</v>
      </c>
      <c r="CB111" s="23">
        <f t="shared" si="808"/>
        <v>53.054806828391762</v>
      </c>
      <c r="CC111" s="56"/>
      <c r="CD111" s="23"/>
      <c r="CE111" s="56"/>
      <c r="CF111" s="23"/>
      <c r="CG111" s="56"/>
      <c r="CH111" s="23"/>
      <c r="CI111" s="56"/>
      <c r="CJ111" s="23"/>
      <c r="CK111" s="56"/>
      <c r="CL111" s="23"/>
      <c r="CM111" s="56"/>
      <c r="CN111" s="23"/>
      <c r="CO111" s="56"/>
      <c r="CP111" s="23"/>
      <c r="CQ111" s="56"/>
      <c r="CR111" s="23"/>
      <c r="CS111" s="23"/>
    </row>
    <row r="112" spans="1:105" ht="12.75" hidden="1" customHeight="1" outlineLevel="1" x14ac:dyDescent="0.2">
      <c r="A112" s="4" t="s">
        <v>96</v>
      </c>
      <c r="B112" s="49"/>
      <c r="C112" s="59"/>
      <c r="D112" s="49"/>
      <c r="E112" s="59"/>
      <c r="F112" s="49"/>
      <c r="G112" s="59"/>
      <c r="H112" s="49"/>
      <c r="I112" s="59"/>
      <c r="J112" s="49">
        <v>-109.3</v>
      </c>
      <c r="K112" s="23" t="str">
        <f t="shared" si="794"/>
        <v>NA</v>
      </c>
      <c r="L112" s="49">
        <v>-109.4</v>
      </c>
      <c r="M112" s="23" t="str">
        <f t="shared" si="795"/>
        <v>NA</v>
      </c>
      <c r="N112" s="49">
        <v>-109.5</v>
      </c>
      <c r="O112" s="23" t="str">
        <f t="shared" si="796"/>
        <v>NA</v>
      </c>
      <c r="P112" s="48">
        <v>-112.7</v>
      </c>
      <c r="Q112" s="23" t="str">
        <f t="shared" si="797"/>
        <v>NA</v>
      </c>
      <c r="R112" s="48">
        <v>-101</v>
      </c>
      <c r="S112" s="23">
        <f t="shared" si="794"/>
        <v>-7.5937785910338507</v>
      </c>
      <c r="T112" s="48">
        <v>-107.7</v>
      </c>
      <c r="U112" s="23">
        <f t="shared" si="798"/>
        <v>-1.5539305301645379</v>
      </c>
      <c r="V112" s="48">
        <v>-110.6</v>
      </c>
      <c r="W112" s="23">
        <f t="shared" si="799"/>
        <v>1.0045662100456543</v>
      </c>
      <c r="X112" s="48">
        <v>-108.7</v>
      </c>
      <c r="Y112" s="23">
        <f t="shared" si="800"/>
        <v>-3.5492457852706272</v>
      </c>
      <c r="Z112" s="48">
        <v>-86.4</v>
      </c>
      <c r="AA112" s="23">
        <f t="shared" si="801"/>
        <v>-14.455445544554447</v>
      </c>
      <c r="AB112" s="48">
        <v>-107.6</v>
      </c>
      <c r="AC112" s="23">
        <f t="shared" si="802"/>
        <v>-9.2850510677822129E-2</v>
      </c>
      <c r="AD112" s="48">
        <v>-103.2</v>
      </c>
      <c r="AE112" s="23">
        <f t="shared" si="803"/>
        <v>-6.6907775768535238</v>
      </c>
      <c r="AF112" s="48">
        <v>-111.2</v>
      </c>
      <c r="AG112" s="23">
        <f t="shared" si="804"/>
        <v>2.2999080036798514</v>
      </c>
      <c r="AH112" s="48">
        <v>-106.3</v>
      </c>
      <c r="AI112" s="23">
        <f t="shared" si="805"/>
        <v>23.032407407407398</v>
      </c>
      <c r="AJ112" s="48">
        <v>-108.9</v>
      </c>
      <c r="AK112" s="23"/>
      <c r="AL112" s="48">
        <v>-100.5</v>
      </c>
      <c r="AM112" s="23"/>
      <c r="AN112" s="287">
        <v>-99.8</v>
      </c>
      <c r="AO112" s="23"/>
      <c r="AP112" s="287"/>
      <c r="AQ112" s="23"/>
      <c r="AR112" s="287"/>
      <c r="AS112" s="23"/>
      <c r="AT112" s="287"/>
      <c r="AU112" s="23"/>
      <c r="AV112" s="287"/>
      <c r="AW112" s="23"/>
      <c r="AX112" s="287"/>
      <c r="AY112" s="23"/>
      <c r="AZ112" s="287"/>
      <c r="BA112" s="23"/>
      <c r="BB112" s="287"/>
      <c r="BC112" s="23"/>
      <c r="BD112" s="287"/>
      <c r="BE112" s="23"/>
      <c r="BF112" s="36"/>
      <c r="BG112" s="23"/>
      <c r="BH112" s="36"/>
      <c r="BI112" s="23"/>
      <c r="BJ112" s="36"/>
      <c r="BK112" s="23"/>
      <c r="BL112" s="36"/>
      <c r="BM112" s="23"/>
      <c r="BN112" s="36"/>
      <c r="BO112" s="137"/>
      <c r="BP112" s="36"/>
      <c r="BQ112" s="112"/>
      <c r="BR112" s="112"/>
      <c r="BS112" s="112"/>
      <c r="BT112" s="36"/>
      <c r="BU112" s="56"/>
      <c r="BV112" s="23"/>
      <c r="BW112" s="56"/>
      <c r="BX112" s="23"/>
      <c r="BY112" s="56">
        <f>R112+T112+V112+X112</f>
        <v>-427.99999999999994</v>
      </c>
      <c r="BZ112" s="23" t="str">
        <f t="shared" si="807"/>
        <v>NA</v>
      </c>
      <c r="CA112" s="56">
        <f>Z112+AB112+AD112+AF112</f>
        <v>-408.4</v>
      </c>
      <c r="CB112" s="23">
        <f t="shared" si="808"/>
        <v>-4.5794392523364369</v>
      </c>
      <c r="CC112" s="56"/>
      <c r="CD112" s="23"/>
      <c r="CE112" s="56"/>
      <c r="CF112" s="23"/>
      <c r="CG112" s="56"/>
      <c r="CH112" s="23"/>
      <c r="CI112" s="56"/>
      <c r="CJ112" s="23"/>
      <c r="CK112" s="56"/>
      <c r="CL112" s="23"/>
      <c r="CM112" s="56"/>
      <c r="CN112" s="23"/>
      <c r="CO112" s="56"/>
      <c r="CP112" s="23"/>
      <c r="CQ112" s="56"/>
      <c r="CR112" s="23"/>
      <c r="CS112" s="23"/>
    </row>
    <row r="113" spans="1:97" ht="12.75" hidden="1" customHeight="1" outlineLevel="1" x14ac:dyDescent="0.2">
      <c r="A113" s="4" t="s">
        <v>97</v>
      </c>
      <c r="B113" s="49"/>
      <c r="C113" s="59"/>
      <c r="D113" s="49"/>
      <c r="E113" s="59"/>
      <c r="F113" s="49"/>
      <c r="G113" s="59"/>
      <c r="H113" s="49"/>
      <c r="I113" s="59"/>
      <c r="J113" s="49">
        <v>66.8</v>
      </c>
      <c r="K113" s="23" t="str">
        <f t="shared" si="794"/>
        <v>NA</v>
      </c>
      <c r="L113" s="49">
        <v>21.5</v>
      </c>
      <c r="M113" s="23" t="str">
        <f t="shared" si="795"/>
        <v>NA</v>
      </c>
      <c r="N113" s="49">
        <v>55.6</v>
      </c>
      <c r="O113" s="23" t="str">
        <f t="shared" si="796"/>
        <v>NA</v>
      </c>
      <c r="P113" s="48">
        <v>29.6</v>
      </c>
      <c r="Q113" s="23" t="str">
        <f t="shared" si="797"/>
        <v>NA</v>
      </c>
      <c r="R113" s="48">
        <v>49.5</v>
      </c>
      <c r="S113" s="23">
        <f t="shared" si="794"/>
        <v>-25.898203592814372</v>
      </c>
      <c r="T113" s="48">
        <v>38.5</v>
      </c>
      <c r="U113" s="23">
        <f t="shared" si="798"/>
        <v>79.069767441860478</v>
      </c>
      <c r="V113" s="48">
        <v>57</v>
      </c>
      <c r="W113" s="23">
        <f t="shared" si="799"/>
        <v>2.5179856115107979</v>
      </c>
      <c r="X113" s="48">
        <v>57.3</v>
      </c>
      <c r="Y113" s="23">
        <f t="shared" si="800"/>
        <v>93.581081081081052</v>
      </c>
      <c r="Z113" s="48">
        <v>34.4</v>
      </c>
      <c r="AA113" s="23">
        <f t="shared" si="801"/>
        <v>-30.505050505050512</v>
      </c>
      <c r="AB113" s="48">
        <v>41.2</v>
      </c>
      <c r="AC113" s="23">
        <f t="shared" si="802"/>
        <v>7.0129870129870264</v>
      </c>
      <c r="AD113" s="48">
        <v>32.6</v>
      </c>
      <c r="AE113" s="23">
        <f t="shared" si="803"/>
        <v>-42.807017543859651</v>
      </c>
      <c r="AF113" s="48">
        <v>34.5</v>
      </c>
      <c r="AG113" s="23">
        <f t="shared" si="804"/>
        <v>-39.790575916230367</v>
      </c>
      <c r="AH113" s="48">
        <v>37.200000000000003</v>
      </c>
      <c r="AI113" s="23">
        <f t="shared" si="805"/>
        <v>8.1395348837209447</v>
      </c>
      <c r="AJ113" s="48">
        <v>29.3</v>
      </c>
      <c r="AK113" s="23"/>
      <c r="AL113" s="48">
        <v>-12.9</v>
      </c>
      <c r="AM113" s="23"/>
      <c r="AN113" s="287">
        <v>43.5</v>
      </c>
      <c r="AO113" s="23"/>
      <c r="AP113" s="287"/>
      <c r="AQ113" s="23"/>
      <c r="AR113" s="287"/>
      <c r="AS113" s="23"/>
      <c r="AT113" s="287"/>
      <c r="AU113" s="23"/>
      <c r="AV113" s="287"/>
      <c r="AW113" s="23"/>
      <c r="AX113" s="287"/>
      <c r="AY113" s="23"/>
      <c r="AZ113" s="287"/>
      <c r="BA113" s="23"/>
      <c r="BB113" s="287"/>
      <c r="BC113" s="23"/>
      <c r="BD113" s="287"/>
      <c r="BE113" s="23"/>
      <c r="BF113" s="36"/>
      <c r="BG113" s="23"/>
      <c r="BH113" s="36"/>
      <c r="BI113" s="23"/>
      <c r="BJ113" s="36"/>
      <c r="BK113" s="23"/>
      <c r="BL113" s="36"/>
      <c r="BM113" s="23"/>
      <c r="BN113" s="36"/>
      <c r="BO113" s="137"/>
      <c r="BP113" s="36"/>
      <c r="BQ113" s="112"/>
      <c r="BR113" s="112"/>
      <c r="BS113" s="112"/>
      <c r="BT113" s="36"/>
      <c r="BU113" s="56"/>
      <c r="BV113" s="23"/>
      <c r="BW113" s="56"/>
      <c r="BX113" s="23"/>
      <c r="BY113" s="56">
        <f>R113+T113+V113+X113</f>
        <v>202.3</v>
      </c>
      <c r="BZ113" s="23" t="str">
        <f t="shared" si="807"/>
        <v>NA</v>
      </c>
      <c r="CA113" s="56">
        <f>Z113+AB113+AD113+AF113</f>
        <v>142.69999999999999</v>
      </c>
      <c r="CB113" s="23">
        <f t="shared" si="808"/>
        <v>-29.461196243203169</v>
      </c>
      <c r="CC113" s="56"/>
      <c r="CD113" s="23"/>
      <c r="CE113" s="56"/>
      <c r="CF113" s="23"/>
      <c r="CG113" s="56"/>
      <c r="CH113" s="23"/>
      <c r="CI113" s="56"/>
      <c r="CJ113" s="23"/>
      <c r="CK113" s="56"/>
      <c r="CL113" s="23"/>
      <c r="CM113" s="56"/>
      <c r="CN113" s="23"/>
      <c r="CO113" s="56"/>
      <c r="CP113" s="23"/>
      <c r="CQ113" s="56"/>
      <c r="CR113" s="23"/>
      <c r="CS113" s="23"/>
    </row>
    <row r="114" spans="1:97" ht="12.75" hidden="1" customHeight="1" outlineLevel="1" x14ac:dyDescent="0.2">
      <c r="A114" s="4" t="s">
        <v>183</v>
      </c>
      <c r="B114" s="36"/>
      <c r="C114" s="59"/>
      <c r="D114" s="56"/>
      <c r="E114" s="59"/>
      <c r="F114" s="36"/>
      <c r="G114" s="59"/>
      <c r="H114" s="36"/>
      <c r="I114" s="59"/>
      <c r="J114" s="36">
        <f t="shared" ref="J114" si="809">SUM(J110:J113)</f>
        <v>2850.3</v>
      </c>
      <c r="K114" s="23" t="str">
        <f t="shared" si="794"/>
        <v>NA</v>
      </c>
      <c r="L114" s="36">
        <f t="shared" ref="L114" si="810">SUM(L110:L113)</f>
        <v>2847.5</v>
      </c>
      <c r="M114" s="23" t="str">
        <f t="shared" si="795"/>
        <v>NA</v>
      </c>
      <c r="N114" s="36">
        <f t="shared" ref="N114" si="811">SUM(N110:N113)</f>
        <v>2851</v>
      </c>
      <c r="O114" s="23" t="str">
        <f t="shared" si="796"/>
        <v>NA</v>
      </c>
      <c r="P114" s="36">
        <f t="shared" ref="P114" si="812">SUM(P110:P113)</f>
        <v>2806.6</v>
      </c>
      <c r="Q114" s="23" t="str">
        <f t="shared" si="797"/>
        <v>NA</v>
      </c>
      <c r="R114" s="36">
        <f t="shared" ref="R114:T114" si="813">SUM(R110:R113)</f>
        <v>2794.9</v>
      </c>
      <c r="S114" s="23">
        <f t="shared" si="794"/>
        <v>-1.9436550538539876</v>
      </c>
      <c r="T114" s="36">
        <f t="shared" si="813"/>
        <v>2762.9</v>
      </c>
      <c r="U114" s="23">
        <f t="shared" si="798"/>
        <v>-2.9710272168568919</v>
      </c>
      <c r="V114" s="36">
        <f t="shared" ref="V114" si="814">SUM(V110:V113)</f>
        <v>2760.4</v>
      </c>
      <c r="W114" s="23">
        <f t="shared" si="799"/>
        <v>-3.1778323395299846</v>
      </c>
      <c r="X114" s="36">
        <f t="shared" ref="X114" si="815">SUM(X110:X113)</f>
        <v>2803.5000000000005</v>
      </c>
      <c r="Y114" s="23">
        <f t="shared" si="800"/>
        <v>-0.11045393002206971</v>
      </c>
      <c r="Z114" s="36">
        <f t="shared" ref="Z114" si="816">SUM(Z110:Z113)</f>
        <v>2871.1000000000004</v>
      </c>
      <c r="AA114" s="23">
        <f t="shared" si="801"/>
        <v>2.7263945042756532</v>
      </c>
      <c r="AB114" s="36">
        <f t="shared" ref="AB114" si="817">SUM(AB110:AB113)</f>
        <v>2886.1000000000004</v>
      </c>
      <c r="AC114" s="23">
        <f t="shared" si="802"/>
        <v>4.4590828477324651</v>
      </c>
      <c r="AD114" s="36">
        <f t="shared" ref="AD114" si="818">SUM(AD110:AD113)</f>
        <v>2892.1000000000004</v>
      </c>
      <c r="AE114" s="23">
        <f t="shared" si="803"/>
        <v>4.7710476742501173</v>
      </c>
      <c r="AF114" s="36">
        <f t="shared" ref="AF114" si="819">SUM(AF110:AF113)</f>
        <v>2878.5000000000005</v>
      </c>
      <c r="AG114" s="23">
        <f t="shared" si="804"/>
        <v>2.6752273943285276</v>
      </c>
      <c r="AH114" s="36">
        <f t="shared" ref="AH114:AJ114" si="820">SUM(AH110:AH113)</f>
        <v>2874</v>
      </c>
      <c r="AI114" s="23">
        <f t="shared" si="805"/>
        <v>0.10100658284279973</v>
      </c>
      <c r="AJ114" s="36">
        <f t="shared" si="820"/>
        <v>2856.7000000000003</v>
      </c>
      <c r="AK114" s="23"/>
      <c r="AL114" s="36">
        <f t="shared" ref="AL114" si="821">SUM(AL110:AL113)</f>
        <v>2819.6000000000004</v>
      </c>
      <c r="AM114" s="23"/>
      <c r="AN114" s="410">
        <f t="shared" ref="AN114" si="822">SUM(AN110:AN113)</f>
        <v>2822.8</v>
      </c>
      <c r="AO114" s="23"/>
      <c r="AP114" s="410"/>
      <c r="AQ114" s="23"/>
      <c r="AR114" s="410"/>
      <c r="AS114" s="23"/>
      <c r="AT114" s="410"/>
      <c r="AU114" s="23"/>
      <c r="AV114" s="410"/>
      <c r="AW114" s="23"/>
      <c r="AX114" s="410"/>
      <c r="AY114" s="23"/>
      <c r="AZ114" s="410"/>
      <c r="BA114" s="23"/>
      <c r="BB114" s="410"/>
      <c r="BC114" s="23"/>
      <c r="BD114" s="410"/>
      <c r="BE114" s="23"/>
      <c r="BF114" s="36"/>
      <c r="BG114" s="23"/>
      <c r="BH114" s="36"/>
      <c r="BI114" s="23"/>
      <c r="BJ114" s="36"/>
      <c r="BK114" s="23"/>
      <c r="BL114" s="36"/>
      <c r="BM114" s="23"/>
      <c r="BN114" s="36"/>
      <c r="BO114" s="137"/>
      <c r="BP114" s="36"/>
      <c r="BQ114" s="112"/>
      <c r="BR114" s="112"/>
      <c r="BS114" s="112"/>
      <c r="BT114" s="36"/>
      <c r="BU114" s="56"/>
      <c r="BV114" s="23"/>
      <c r="BW114" s="56"/>
      <c r="BX114" s="23"/>
      <c r="BY114" s="56">
        <f t="shared" ref="BY114" si="823">SUM(BY110:BY113)</f>
        <v>2803.5</v>
      </c>
      <c r="BZ114" s="23" t="str">
        <f t="shared" si="807"/>
        <v>NA</v>
      </c>
      <c r="CA114" s="56">
        <f t="shared" ref="CA114" si="824">SUM(CA110:CA113)</f>
        <v>2878.4999999999995</v>
      </c>
      <c r="CB114" s="23">
        <f t="shared" si="808"/>
        <v>2.6752273943285054</v>
      </c>
      <c r="CC114" s="56"/>
      <c r="CD114" s="23"/>
      <c r="CE114" s="56"/>
      <c r="CF114" s="23"/>
      <c r="CG114" s="56"/>
      <c r="CH114" s="23"/>
      <c r="CI114" s="56"/>
      <c r="CJ114" s="23"/>
      <c r="CK114" s="56"/>
      <c r="CL114" s="23"/>
      <c r="CM114" s="56"/>
      <c r="CN114" s="23"/>
      <c r="CO114" s="56"/>
      <c r="CP114" s="23"/>
      <c r="CQ114" s="56"/>
      <c r="CR114" s="23"/>
      <c r="CS114" s="23"/>
    </row>
    <row r="115" spans="1:97" ht="12.75" hidden="1" customHeight="1" outlineLevel="1" x14ac:dyDescent="0.2">
      <c r="A115" s="4" t="s">
        <v>98</v>
      </c>
      <c r="B115" s="36"/>
      <c r="C115" s="59"/>
      <c r="D115" s="36"/>
      <c r="E115" s="59"/>
      <c r="F115" s="36"/>
      <c r="G115" s="59"/>
      <c r="H115" s="36"/>
      <c r="I115" s="59"/>
      <c r="J115" s="36">
        <f t="shared" ref="J115" si="825">AVERAGE(J114,J110)</f>
        <v>2840.65</v>
      </c>
      <c r="K115" s="23" t="str">
        <f t="shared" si="794"/>
        <v>NA</v>
      </c>
      <c r="L115" s="36">
        <f t="shared" ref="L115" si="826">AVERAGE(L114,L110)</f>
        <v>2848.9</v>
      </c>
      <c r="M115" s="23" t="str">
        <f t="shared" si="795"/>
        <v>NA</v>
      </c>
      <c r="N115" s="36">
        <f t="shared" ref="N115" si="827">AVERAGE(N114,N110)</f>
        <v>2849.25</v>
      </c>
      <c r="O115" s="23" t="str">
        <f t="shared" si="796"/>
        <v>NA</v>
      </c>
      <c r="P115" s="36">
        <f t="shared" ref="P115" si="828">AVERAGE(P114,P110)</f>
        <v>2828.8</v>
      </c>
      <c r="Q115" s="23" t="str">
        <f t="shared" si="797"/>
        <v>NA</v>
      </c>
      <c r="R115" s="36">
        <f t="shared" ref="R115:T115" si="829">AVERAGE(R114,R110)</f>
        <v>2800.75</v>
      </c>
      <c r="S115" s="23">
        <f t="shared" si="794"/>
        <v>-1.4046081002587418</v>
      </c>
      <c r="T115" s="36">
        <f t="shared" si="829"/>
        <v>2778.9</v>
      </c>
      <c r="U115" s="23">
        <f t="shared" si="798"/>
        <v>-2.4570887009020992</v>
      </c>
      <c r="V115" s="36">
        <f t="shared" ref="V115" si="830">AVERAGE(V114,V110)</f>
        <v>2761.65</v>
      </c>
      <c r="W115" s="23">
        <f t="shared" si="799"/>
        <v>-3.0744932877072917</v>
      </c>
      <c r="X115" s="36">
        <f t="shared" ref="X115" si="831">AVERAGE(X114,X110)</f>
        <v>2781.9500000000003</v>
      </c>
      <c r="Y115" s="23">
        <f t="shared" si="800"/>
        <v>-1.656179298642535</v>
      </c>
      <c r="Z115" s="36">
        <f t="shared" ref="Z115" si="832">AVERAGE(Z114,Z110)</f>
        <v>2837.3</v>
      </c>
      <c r="AA115" s="23">
        <f t="shared" si="801"/>
        <v>1.3050075872534261</v>
      </c>
      <c r="AB115" s="36">
        <f t="shared" ref="AB115" si="833">AVERAGE(AB114,AB110)</f>
        <v>2878.6000000000004</v>
      </c>
      <c r="AC115" s="23">
        <f t="shared" si="802"/>
        <v>3.5877505487783123</v>
      </c>
      <c r="AD115" s="36">
        <f t="shared" ref="AD115" si="834">AVERAGE(AD114,AD110)</f>
        <v>2889.1000000000004</v>
      </c>
      <c r="AE115" s="23">
        <f t="shared" si="803"/>
        <v>4.6149946589901125</v>
      </c>
      <c r="AF115" s="36">
        <f t="shared" ref="AF115" si="835">AVERAGE(AF114,AF110)</f>
        <v>2885.3</v>
      </c>
      <c r="AG115" s="23">
        <f t="shared" si="804"/>
        <v>3.7150200399000743</v>
      </c>
      <c r="AH115" s="36">
        <f t="shared" ref="AH115:AJ115" si="836">AVERAGE(AH114,AH110)</f>
        <v>2876.25</v>
      </c>
      <c r="AI115" s="23">
        <f t="shared" si="805"/>
        <v>1.3727839847742507</v>
      </c>
      <c r="AJ115" s="36">
        <f t="shared" si="836"/>
        <v>2865.3500000000004</v>
      </c>
      <c r="AK115" s="23"/>
      <c r="AL115" s="36">
        <f t="shared" ref="AL115" si="837">AVERAGE(AL114,AL110)</f>
        <v>2838.1500000000005</v>
      </c>
      <c r="AM115" s="23"/>
      <c r="AN115" s="410">
        <f t="shared" ref="AN115" si="838">AVERAGE(AN114,AN110)</f>
        <v>2821.2000000000003</v>
      </c>
      <c r="AO115" s="23"/>
      <c r="AP115" s="410"/>
      <c r="AQ115" s="23"/>
      <c r="AR115" s="410"/>
      <c r="AS115" s="23"/>
      <c r="AT115" s="410"/>
      <c r="AU115" s="23"/>
      <c r="AV115" s="410"/>
      <c r="AW115" s="23"/>
      <c r="AX115" s="410"/>
      <c r="AY115" s="23"/>
      <c r="AZ115" s="410"/>
      <c r="BA115" s="23"/>
      <c r="BB115" s="410"/>
      <c r="BC115" s="23"/>
      <c r="BD115" s="410"/>
      <c r="BE115" s="23"/>
      <c r="BF115" s="36"/>
      <c r="BG115" s="23"/>
      <c r="BH115" s="36"/>
      <c r="BI115" s="23"/>
      <c r="BJ115" s="36"/>
      <c r="BK115" s="23"/>
      <c r="BL115" s="36"/>
      <c r="BM115" s="23"/>
      <c r="BN115" s="36"/>
      <c r="BO115" s="137"/>
      <c r="BP115" s="36"/>
      <c r="BQ115" s="112"/>
      <c r="BR115" s="112"/>
      <c r="BS115" s="112"/>
      <c r="BT115" s="36"/>
      <c r="BU115" s="56"/>
      <c r="BV115" s="23"/>
      <c r="BW115" s="56"/>
      <c r="BX115" s="23"/>
      <c r="BY115" s="56">
        <f t="shared" ref="BY115" si="839">AVERAGE(BY114,BY110)</f>
        <v>2805.05</v>
      </c>
      <c r="BZ115" s="23" t="str">
        <f t="shared" si="807"/>
        <v>NA</v>
      </c>
      <c r="CA115" s="56">
        <f t="shared" ref="CA115" si="840">AVERAGE(CA114,CA110)</f>
        <v>2841</v>
      </c>
      <c r="CB115" s="23">
        <f t="shared" si="808"/>
        <v>1.2816170834744511</v>
      </c>
      <c r="CC115" s="56"/>
      <c r="CD115" s="23"/>
      <c r="CE115" s="56"/>
      <c r="CF115" s="23"/>
      <c r="CG115" s="56"/>
      <c r="CH115" s="23"/>
      <c r="CI115" s="56"/>
      <c r="CJ115" s="23"/>
      <c r="CK115" s="56"/>
      <c r="CL115" s="23"/>
      <c r="CM115" s="56"/>
      <c r="CN115" s="23"/>
      <c r="CO115" s="56"/>
      <c r="CP115" s="23"/>
      <c r="CQ115" s="56"/>
      <c r="CR115" s="23"/>
      <c r="CS115" s="23"/>
    </row>
    <row r="116" spans="1:97" ht="12.75" hidden="1" customHeight="1" outlineLevel="1" x14ac:dyDescent="0.2">
      <c r="B116" s="36"/>
      <c r="C116" s="60"/>
      <c r="D116" s="36"/>
      <c r="E116" s="60"/>
      <c r="F116" s="36"/>
      <c r="G116" s="60"/>
      <c r="H116" s="36"/>
      <c r="I116" s="60"/>
      <c r="J116" s="36"/>
      <c r="L116" s="36"/>
      <c r="N116" s="36"/>
      <c r="P116" s="36"/>
      <c r="R116" s="36"/>
      <c r="T116" s="36"/>
      <c r="V116" s="36"/>
      <c r="X116" s="36"/>
      <c r="Z116" s="36"/>
      <c r="AB116" s="36"/>
      <c r="AD116" s="36"/>
      <c r="AF116" s="36"/>
      <c r="AH116" s="36"/>
      <c r="AJ116" s="36"/>
      <c r="AL116" s="36"/>
      <c r="AN116" s="410"/>
      <c r="AP116" s="410"/>
      <c r="AR116" s="410"/>
      <c r="AT116" s="410"/>
      <c r="AV116" s="410"/>
      <c r="AX116" s="410"/>
      <c r="AZ116" s="410"/>
      <c r="BB116" s="410"/>
      <c r="BD116" s="410"/>
      <c r="BF116" s="36"/>
      <c r="BH116" s="36"/>
      <c r="BJ116" s="36"/>
      <c r="BL116" s="36"/>
      <c r="BN116" s="36"/>
      <c r="BO116" s="137"/>
      <c r="BP116" s="36"/>
      <c r="BQ116" s="36"/>
      <c r="BR116" s="36"/>
      <c r="BS116" s="36"/>
      <c r="BT116" s="36"/>
      <c r="BU116" s="56"/>
      <c r="BW116" s="56"/>
      <c r="BY116" s="56"/>
      <c r="CA116" s="56"/>
      <c r="CC116" s="56"/>
      <c r="CE116" s="56"/>
      <c r="CG116" s="56"/>
      <c r="CI116" s="56"/>
      <c r="CK116" s="56"/>
      <c r="CM116" s="56"/>
      <c r="CO116" s="56"/>
      <c r="CQ116" s="56"/>
    </row>
    <row r="117" spans="1:97" ht="12.75" hidden="1" customHeight="1" outlineLevel="1" x14ac:dyDescent="0.2">
      <c r="A117" s="3" t="s">
        <v>5</v>
      </c>
      <c r="J117" s="5"/>
      <c r="L117" s="5"/>
      <c r="N117" s="5"/>
      <c r="P117" s="5"/>
      <c r="R117" s="5"/>
      <c r="T117" s="5"/>
      <c r="V117" s="5"/>
      <c r="X117" s="5"/>
      <c r="Z117" s="5"/>
      <c r="AB117" s="5"/>
      <c r="AD117" s="5"/>
      <c r="AF117" s="5"/>
      <c r="AH117" s="5"/>
      <c r="AJ117" s="5"/>
      <c r="AL117" s="5"/>
      <c r="AN117" s="475"/>
      <c r="AP117" s="475"/>
      <c r="AR117" s="475"/>
      <c r="AT117" s="475"/>
      <c r="AV117" s="475"/>
      <c r="AX117" s="475"/>
      <c r="AZ117" s="475"/>
      <c r="BB117" s="475"/>
      <c r="BD117" s="475"/>
      <c r="BF117" s="5"/>
      <c r="BH117" s="5"/>
      <c r="BJ117" s="5"/>
      <c r="BL117" s="5"/>
      <c r="BN117" s="5"/>
      <c r="BO117" s="136"/>
      <c r="BP117" s="5"/>
      <c r="BQ117" s="5"/>
      <c r="BR117" s="5"/>
      <c r="BS117" s="5"/>
      <c r="BT117" s="5"/>
      <c r="BU117" s="5"/>
      <c r="BW117" s="5"/>
    </row>
    <row r="118" spans="1:97" ht="12.75" hidden="1" customHeight="1" outlineLevel="1" x14ac:dyDescent="0.2">
      <c r="A118" s="4" t="s">
        <v>184</v>
      </c>
      <c r="B118" s="49">
        <v>24886.3</v>
      </c>
      <c r="C118" s="59"/>
      <c r="D118" s="56">
        <f>B122</f>
        <v>25071.1</v>
      </c>
      <c r="E118" s="59"/>
      <c r="F118" s="56">
        <f>D122</f>
        <v>25335.5</v>
      </c>
      <c r="G118" s="59"/>
      <c r="H118" s="56">
        <f>F122</f>
        <v>25145.4</v>
      </c>
      <c r="I118" s="59"/>
      <c r="J118" s="56">
        <f>J102-J110</f>
        <v>24859.200000000001</v>
      </c>
      <c r="K118" s="23">
        <f t="shared" ref="K118:Y123" si="841">IF(ISERROR((J118/B118-1)*100),"NA",IF(((J118/B118-1)*100)&gt;100,"NM",IF(((J118/B118-1)*100)&lt;-50,"NM",(J118/B118-1)*100)))</f>
        <v>-0.1088952556225653</v>
      </c>
      <c r="L118" s="56">
        <f>L102-L110</f>
        <v>24742.3</v>
      </c>
      <c r="M118" s="23">
        <f t="shared" si="841"/>
        <v>-1.311470178811458</v>
      </c>
      <c r="N118" s="56">
        <f>N102-N110</f>
        <v>23649.100000000002</v>
      </c>
      <c r="O118" s="23">
        <f t="shared" si="841"/>
        <v>-6.6562728187720683</v>
      </c>
      <c r="P118" s="56">
        <f>P102-P110</f>
        <v>23400.700000000004</v>
      </c>
      <c r="Q118" s="23">
        <f t="shared" si="841"/>
        <v>-6.9384459980751823</v>
      </c>
      <c r="R118" s="56">
        <f>R102-R110</f>
        <v>23294.200000000008</v>
      </c>
      <c r="S118" s="23">
        <f t="shared" si="841"/>
        <v>-6.2954560082383644</v>
      </c>
      <c r="T118" s="56">
        <f>T102-T110</f>
        <v>23432.900000000005</v>
      </c>
      <c r="U118" s="23">
        <f t="shared" si="841"/>
        <v>-5.2921514976376205</v>
      </c>
      <c r="V118" s="56">
        <f>V102-V110</f>
        <v>23470.400000000005</v>
      </c>
      <c r="W118" s="23">
        <f t="shared" si="841"/>
        <v>-0.75563129252275152</v>
      </c>
      <c r="X118" s="56">
        <f>X102-X110</f>
        <v>23618.600000000006</v>
      </c>
      <c r="Y118" s="23">
        <f t="shared" si="841"/>
        <v>0.93116872572187592</v>
      </c>
      <c r="Z118" s="56">
        <f>Z102-Z110</f>
        <v>23843.000000000011</v>
      </c>
      <c r="AA118" s="23">
        <f t="shared" ref="AA118:AA123" si="842">IF(ISERROR((Z118/R118-1)*100),"NA",IF(((Z118/R118-1)*100)&gt;100,"NM",IF(((Z118/R118-1)*100)&lt;-50,"NM",(Z118/R118-1)*100)))</f>
        <v>2.3559512668389626</v>
      </c>
      <c r="AB118" s="56">
        <f>AB102-AB110</f>
        <v>24096.400000000009</v>
      </c>
      <c r="AC118" s="23">
        <f t="shared" ref="AC118:AC123" si="843">IF(ISERROR((AB118/T118-1)*100),"NA",IF(((AB118/T118-1)*100)&gt;100,"NM",IF(((AB118/T118-1)*100)&lt;-50,"NM",(AB118/T118-1)*100)))</f>
        <v>2.8314890602529008</v>
      </c>
      <c r="AD118" s="56">
        <f>AD102-AD110</f>
        <v>24378.700000000012</v>
      </c>
      <c r="AE118" s="23">
        <f t="shared" ref="AE118:AE123" si="844">IF(ISERROR((AD118/V118-1)*100),"NA",IF(((AD118/V118-1)*100)&gt;100,"NM",IF(((AD118/V118-1)*100)&lt;-50,"NM",(AD118/V118-1)*100)))</f>
        <v>3.8699809121276463</v>
      </c>
      <c r="AF118" s="56">
        <f>AF102-AF110</f>
        <v>23897.900000000009</v>
      </c>
      <c r="AG118" s="23">
        <f t="shared" ref="AG118:AG123" si="845">IF(ISERROR((AF118/X118-1)*100),"NA",IF(((AF118/X118-1)*100)&gt;100,"NM",IF(((AF118/X118-1)*100)&lt;-50,"NM",(AF118/X118-1)*100)))</f>
        <v>1.182542572379397</v>
      </c>
      <c r="AH118" s="56">
        <f>AH102-AH110</f>
        <v>23771.30000000001</v>
      </c>
      <c r="AI118" s="23">
        <f t="shared" ref="AI118:AI123" si="846">IF(ISERROR((AH118/Z118-1)*100),"NA",IF(((AH118/Z118-1)*100)&gt;100,"NM",IF(((AH118/Z118-1)*100)&lt;-50,"NM",(AH118/Z118-1)*100)))</f>
        <v>-0.30071719162857447</v>
      </c>
      <c r="AJ118" s="56">
        <f>AJ102-AJ110</f>
        <v>23944.000000000007</v>
      </c>
      <c r="AK118" s="23">
        <f t="shared" ref="AK118:AK123" si="847">IF(ISERROR((AJ118/AB118-1)*100),"NA",IF(((AJ118/AB118-1)*100)&gt;100,"NM",IF(((AJ118/AB118-1)*100)&lt;-50,"NM",(AJ118/AB118-1)*100)))</f>
        <v>-0.63245962052422833</v>
      </c>
      <c r="AL118" s="56">
        <f>AL102-AL110</f>
        <v>24032.800000000007</v>
      </c>
      <c r="AM118" s="23">
        <f t="shared" ref="AM118:AM123" si="848">IF(ISERROR((AL118/AD118-1)*100),"NA",IF(((AL118/AD118-1)*100)&gt;100,"NM",IF(((AL118/AD118-1)*100)&lt;-50,"NM",(AL118/AD118-1)*100)))</f>
        <v>-1.4188615471702914</v>
      </c>
      <c r="AN118" s="413">
        <f t="shared" ref="AN118:AN121" si="849">AN102-AN110</f>
        <v>23881.30000000001</v>
      </c>
      <c r="AO118" s="23">
        <f t="shared" ref="AO118:AO123" si="850">IF(ISERROR((AN118/AF118-1)*100),"NA",IF(((AN118/AF118-1)*100)&gt;100,"NM",IF(((AN118/AF118-1)*100)&lt;-50,"NM",(AN118/AF118-1)*100)))</f>
        <v>-6.94621703162146E-2</v>
      </c>
      <c r="AP118" s="413"/>
      <c r="AQ118" s="23"/>
      <c r="AR118" s="413"/>
      <c r="AS118" s="23"/>
      <c r="AT118" s="413"/>
      <c r="AU118" s="23"/>
      <c r="AV118" s="413"/>
      <c r="AW118" s="23" t="str">
        <f t="shared" ref="AW118:AW123" si="851">IF(ISERROR((AV118/AN118-1)*100),"NA",IF(((AV118/AN118-1)*100)&gt;100,"NM",IF(((AV118/AN118-1)*100)&lt;-50,"NM",(AV118/AN118-1)*100)))</f>
        <v>NM</v>
      </c>
      <c r="AX118" s="413"/>
      <c r="AY118" s="23"/>
      <c r="AZ118" s="413"/>
      <c r="BA118" s="23"/>
      <c r="BB118" s="413"/>
      <c r="BC118" s="23" t="str">
        <f t="shared" ref="BC118:BC123" si="852">IF(ISERROR((BB118/AT118-1)*100),"NA",IF(((BB118/AT118-1)*100)&gt;100,"NM",IF(((BB118/AT118-1)*100)&lt;-50,"NM",(BB118/AT118-1)*100)))</f>
        <v>NA</v>
      </c>
      <c r="BD118" s="413"/>
      <c r="BE118" s="23" t="str">
        <f t="shared" ref="BE118:BE123" si="853">IF(ISERROR((BD118/AV118-1)*100),"NA",IF(((BD118/AV118-1)*100)&gt;100,"NM",IF(((BD118/AV118-1)*100)&lt;-50,"NM",(BD118/AV118-1)*100)))</f>
        <v>NA</v>
      </c>
      <c r="BF118" s="36"/>
      <c r="BG118" s="23"/>
      <c r="BH118" s="36"/>
      <c r="BI118" s="23"/>
      <c r="BJ118" s="36"/>
      <c r="BK118" s="23"/>
      <c r="BL118" s="36"/>
      <c r="BM118" s="23" t="str">
        <f t="shared" ref="BM118:BM123" si="854">IF(ISERROR((BL118/BD118-1)*100),"NA",IF(((BL118/BD118-1)*100)&gt;100,"NM",IF(((BL118/BD118-1)*100)&lt;-50,"NM",(BL118/BD118-1)*100)))</f>
        <v>NA</v>
      </c>
      <c r="BN118" s="36"/>
      <c r="BO118" s="137"/>
      <c r="BP118" s="36"/>
      <c r="BQ118" s="112"/>
      <c r="BR118" s="112"/>
      <c r="BS118" s="112"/>
      <c r="BT118" s="36"/>
      <c r="BU118" s="56">
        <f>B118</f>
        <v>24886.3</v>
      </c>
      <c r="BV118" s="23" t="str">
        <f t="shared" ref="BV118:BV123" si="855">IF(ISERROR((BU118/BS118-1)*100),"NA",IF(((BU118/BS118-1)*100)&gt;100,"NM",IF(((BU118/BS118-1)*100)&lt;-50,"NM",(BU118/BS118-1)*100)))</f>
        <v>NA</v>
      </c>
      <c r="BW118" s="56">
        <f>BU122</f>
        <v>24859.200000000001</v>
      </c>
      <c r="BX118" s="23">
        <f t="shared" ref="BX118:BX123" si="856">IF(ISERROR((BW118/BU118-1)*100),"NA",IF(((BW118/BU118-1)*100)&gt;100,"NM",IF(((BW118/BU118-1)*100)&lt;-50,"NM",(BW118/BU118-1)*100)))</f>
        <v>-0.1088952556225653</v>
      </c>
      <c r="BY118" s="56">
        <f>BY102-BY110</f>
        <v>23294.200000000008</v>
      </c>
      <c r="BZ118" s="23">
        <f t="shared" ref="BZ118:CH123" si="857">IF(ISERROR((BY118/BW118-1)*100),"NA",IF(((BY118/BW118-1)*100)&gt;100,"NM",IF(((BY118/BW118-1)*100)&lt;-50,"NM",(BY118/BW118-1)*100)))</f>
        <v>-6.2954560082383644</v>
      </c>
      <c r="CA118" s="56">
        <f>CA102-CA110</f>
        <v>23843.000000000004</v>
      </c>
      <c r="CB118" s="23">
        <f t="shared" si="857"/>
        <v>2.3559512668389404</v>
      </c>
      <c r="CC118" s="56">
        <f>CA122</f>
        <v>23771.300000000003</v>
      </c>
      <c r="CD118" s="23">
        <f t="shared" si="857"/>
        <v>-0.30071719162857447</v>
      </c>
      <c r="CE118" s="56">
        <f>CC122</f>
        <v>24213.000000000004</v>
      </c>
      <c r="CF118" s="23">
        <f t="shared" si="857"/>
        <v>1.8581230307135099</v>
      </c>
      <c r="CG118" s="56"/>
      <c r="CH118" s="23" t="str">
        <f t="shared" si="857"/>
        <v>NM</v>
      </c>
      <c r="CI118" s="56"/>
      <c r="CJ118" s="23"/>
      <c r="CK118" s="56"/>
      <c r="CL118" s="23"/>
      <c r="CM118" s="56"/>
      <c r="CN118" s="23"/>
      <c r="CO118" s="56"/>
      <c r="CP118" s="23"/>
      <c r="CQ118" s="56"/>
      <c r="CR118" s="23"/>
      <c r="CS118" s="23"/>
    </row>
    <row r="119" spans="1:97" ht="12.75" hidden="1" customHeight="1" outlineLevel="1" x14ac:dyDescent="0.2">
      <c r="A119" s="4" t="s">
        <v>13</v>
      </c>
      <c r="B119" s="49">
        <v>712.3</v>
      </c>
      <c r="C119" s="59"/>
      <c r="D119" s="49">
        <v>742.2</v>
      </c>
      <c r="E119" s="59"/>
      <c r="F119" s="49">
        <v>590.5</v>
      </c>
      <c r="G119" s="59"/>
      <c r="H119" s="49">
        <v>473.7</v>
      </c>
      <c r="I119" s="59"/>
      <c r="J119" s="56">
        <f t="shared" ref="J119:L121" si="858">J103-J111</f>
        <v>534.30000000000007</v>
      </c>
      <c r="K119" s="23">
        <f t="shared" si="841"/>
        <v>-24.989470728625562</v>
      </c>
      <c r="L119" s="56">
        <f t="shared" si="858"/>
        <v>548.79999999999995</v>
      </c>
      <c r="M119" s="23">
        <f t="shared" si="841"/>
        <v>-26.057666397197533</v>
      </c>
      <c r="N119" s="56">
        <f t="shared" ref="N119" si="859">N103-N111</f>
        <v>510.5</v>
      </c>
      <c r="O119" s="23">
        <f t="shared" si="841"/>
        <v>-13.547840812870449</v>
      </c>
      <c r="P119" s="56">
        <f t="shared" ref="P119" si="860">P103-P111</f>
        <v>517</v>
      </c>
      <c r="Q119" s="23">
        <f t="shared" si="841"/>
        <v>9.1408064175638515</v>
      </c>
      <c r="R119" s="56">
        <f t="shared" ref="R119:T119" si="861">R103-R111</f>
        <v>515</v>
      </c>
      <c r="S119" s="23">
        <f t="shared" si="841"/>
        <v>-3.6122028822758834</v>
      </c>
      <c r="T119" s="56">
        <f t="shared" si="861"/>
        <v>587.4</v>
      </c>
      <c r="U119" s="23">
        <f t="shared" si="841"/>
        <v>7.0335276967930183</v>
      </c>
      <c r="V119" s="56">
        <f t="shared" ref="V119" si="862">V103-V111</f>
        <v>620.6</v>
      </c>
      <c r="W119" s="23">
        <f t="shared" si="841"/>
        <v>21.567091087169455</v>
      </c>
      <c r="X119" s="56">
        <f t="shared" ref="X119" si="863">X103-X111</f>
        <v>686.4</v>
      </c>
      <c r="Y119" s="23">
        <f t="shared" si="841"/>
        <v>32.7659574468085</v>
      </c>
      <c r="Z119" s="56">
        <f t="shared" ref="Z119:AB119" si="864">Z103-Z111</f>
        <v>742.1</v>
      </c>
      <c r="AA119" s="23">
        <f t="shared" si="842"/>
        <v>44.097087378640779</v>
      </c>
      <c r="AB119" s="56">
        <f t="shared" si="864"/>
        <v>715.5</v>
      </c>
      <c r="AC119" s="23">
        <f t="shared" si="843"/>
        <v>21.807967313585298</v>
      </c>
      <c r="AD119" s="56">
        <f t="shared" ref="AD119" si="865">AD103-AD111</f>
        <v>610.5</v>
      </c>
      <c r="AE119" s="23">
        <f t="shared" si="844"/>
        <v>-1.6274572993876912</v>
      </c>
      <c r="AF119" s="56">
        <f t="shared" ref="AF119" si="866">AF103-AF111</f>
        <v>635.9</v>
      </c>
      <c r="AG119" s="23">
        <f t="shared" si="845"/>
        <v>-7.3572261072261114</v>
      </c>
      <c r="AH119" s="56">
        <f t="shared" ref="AH119:AJ119" si="867">AH103-AH111</f>
        <v>624.19999999999993</v>
      </c>
      <c r="AI119" s="23">
        <f t="shared" si="846"/>
        <v>-15.887346718771067</v>
      </c>
      <c r="AJ119" s="56">
        <f t="shared" si="867"/>
        <v>676.1</v>
      </c>
      <c r="AK119" s="23">
        <f t="shared" si="847"/>
        <v>-5.5066387141858852</v>
      </c>
      <c r="AL119" s="56">
        <f t="shared" ref="AL119" si="868">AL103-AL111</f>
        <v>799.2</v>
      </c>
      <c r="AM119" s="23">
        <f t="shared" si="848"/>
        <v>30.909090909090907</v>
      </c>
      <c r="AN119" s="413">
        <f t="shared" si="849"/>
        <v>862.5</v>
      </c>
      <c r="AO119" s="23">
        <f t="shared" si="850"/>
        <v>35.634533731718832</v>
      </c>
      <c r="AP119" s="413"/>
      <c r="AQ119" s="23"/>
      <c r="AR119" s="413"/>
      <c r="AS119" s="23"/>
      <c r="AT119" s="413"/>
      <c r="AU119" s="23"/>
      <c r="AV119" s="413"/>
      <c r="AW119" s="23" t="str">
        <f t="shared" si="851"/>
        <v>NM</v>
      </c>
      <c r="AX119" s="413"/>
      <c r="AY119" s="23"/>
      <c r="AZ119" s="413"/>
      <c r="BA119" s="23"/>
      <c r="BB119" s="413"/>
      <c r="BC119" s="23" t="str">
        <f t="shared" si="852"/>
        <v>NA</v>
      </c>
      <c r="BD119" s="413"/>
      <c r="BE119" s="23" t="str">
        <f t="shared" si="853"/>
        <v>NA</v>
      </c>
      <c r="BF119" s="36"/>
      <c r="BG119" s="23"/>
      <c r="BH119" s="36"/>
      <c r="BI119" s="23"/>
      <c r="BJ119" s="36"/>
      <c r="BK119" s="23"/>
      <c r="BL119" s="36"/>
      <c r="BM119" s="23" t="str">
        <f t="shared" si="854"/>
        <v>NA</v>
      </c>
      <c r="BN119" s="36"/>
      <c r="BO119" s="137"/>
      <c r="BP119" s="36"/>
      <c r="BQ119" s="112"/>
      <c r="BR119" s="112"/>
      <c r="BS119" s="112"/>
      <c r="BT119" s="36"/>
      <c r="BU119" s="56">
        <f>B119+D119+F119+H119</f>
        <v>2518.6999999999998</v>
      </c>
      <c r="BV119" s="23" t="str">
        <f t="shared" si="855"/>
        <v>NA</v>
      </c>
      <c r="BW119" s="56">
        <f>J119+L119+N119+P119</f>
        <v>2110.6</v>
      </c>
      <c r="BX119" s="23">
        <f t="shared" si="856"/>
        <v>-16.202803033310829</v>
      </c>
      <c r="BY119" s="56">
        <f t="shared" ref="BY119:BY121" si="869">BY103-BY111</f>
        <v>2409.4</v>
      </c>
      <c r="BZ119" s="23">
        <f t="shared" si="857"/>
        <v>14.157111721785288</v>
      </c>
      <c r="CA119" s="56">
        <f t="shared" ref="CA119:CA121" si="870">CA103-CA111</f>
        <v>2704</v>
      </c>
      <c r="CB119" s="23">
        <f t="shared" si="857"/>
        <v>12.227110483937897</v>
      </c>
      <c r="CC119" s="56">
        <f>AH119+AJ119+AL119+AN119</f>
        <v>2962</v>
      </c>
      <c r="CD119" s="23">
        <f t="shared" si="857"/>
        <v>9.5414201183432024</v>
      </c>
      <c r="CE119" s="56">
        <f>AP119+AR119+AT119+AV119</f>
        <v>0</v>
      </c>
      <c r="CF119" s="23" t="str">
        <f t="shared" si="857"/>
        <v>NM</v>
      </c>
      <c r="CG119" s="56"/>
      <c r="CH119" s="23" t="str">
        <f t="shared" si="857"/>
        <v>NA</v>
      </c>
      <c r="CI119" s="56"/>
      <c r="CJ119" s="23"/>
      <c r="CK119" s="56"/>
      <c r="CL119" s="23"/>
      <c r="CM119" s="56"/>
      <c r="CN119" s="23"/>
      <c r="CO119" s="56"/>
      <c r="CP119" s="23"/>
      <c r="CQ119" s="56"/>
      <c r="CR119" s="23"/>
      <c r="CS119" s="23"/>
    </row>
    <row r="120" spans="1:97" ht="12.75" hidden="1" customHeight="1" outlineLevel="1" x14ac:dyDescent="0.2">
      <c r="A120" s="4" t="s">
        <v>96</v>
      </c>
      <c r="B120" s="49">
        <v>-831.4</v>
      </c>
      <c r="C120" s="59"/>
      <c r="D120" s="49">
        <v>-787.8</v>
      </c>
      <c r="E120" s="59"/>
      <c r="F120" s="49">
        <v>-785</v>
      </c>
      <c r="G120" s="59"/>
      <c r="H120" s="49">
        <v>-1097.4000000000001</v>
      </c>
      <c r="I120" s="59"/>
      <c r="J120" s="56">
        <f t="shared" si="858"/>
        <v>-998.40000000000009</v>
      </c>
      <c r="K120" s="23">
        <f t="shared" si="841"/>
        <v>20.08660091412078</v>
      </c>
      <c r="L120" s="56">
        <f t="shared" si="858"/>
        <v>-1741.3999999999999</v>
      </c>
      <c r="M120" s="23" t="str">
        <f t="shared" si="841"/>
        <v>NM</v>
      </c>
      <c r="N120" s="56">
        <f t="shared" ref="N120" si="871">N104-N112</f>
        <v>-1065.5</v>
      </c>
      <c r="O120" s="23">
        <f t="shared" si="841"/>
        <v>35.732484076433124</v>
      </c>
      <c r="P120" s="56">
        <f t="shared" ref="P120" si="872">P104-P112</f>
        <v>-839.09999999999991</v>
      </c>
      <c r="Q120" s="23">
        <f t="shared" si="841"/>
        <v>-23.537452159650098</v>
      </c>
      <c r="R120" s="56">
        <f t="shared" ref="R120:T120" si="873">R104-R112</f>
        <v>-674.1</v>
      </c>
      <c r="S120" s="23">
        <f t="shared" si="841"/>
        <v>-32.481971153846153</v>
      </c>
      <c r="T120" s="56">
        <f t="shared" si="873"/>
        <v>-760.59999999999991</v>
      </c>
      <c r="U120" s="23" t="str">
        <f t="shared" si="841"/>
        <v>NM</v>
      </c>
      <c r="V120" s="56">
        <f t="shared" ref="V120" si="874">V104-V112</f>
        <v>-822.1</v>
      </c>
      <c r="W120" s="23">
        <f t="shared" si="841"/>
        <v>-22.843735335523231</v>
      </c>
      <c r="X120" s="56">
        <f t="shared" ref="X120" si="875">X104-X112</f>
        <v>-844.09999999999991</v>
      </c>
      <c r="Y120" s="23">
        <f t="shared" si="841"/>
        <v>0.59587653438206711</v>
      </c>
      <c r="Z120" s="56">
        <f t="shared" ref="Z120:AB120" si="876">Z104-Z112</f>
        <v>-720.4</v>
      </c>
      <c r="AA120" s="23">
        <f t="shared" si="842"/>
        <v>6.868417148790984</v>
      </c>
      <c r="AB120" s="56">
        <f t="shared" si="876"/>
        <v>-781.1</v>
      </c>
      <c r="AC120" s="23">
        <f t="shared" si="843"/>
        <v>2.6952405995267048</v>
      </c>
      <c r="AD120" s="56">
        <f t="shared" ref="AD120" si="877">AD104-AD112</f>
        <v>-1206.8</v>
      </c>
      <c r="AE120" s="23">
        <f t="shared" si="844"/>
        <v>46.794793820703063</v>
      </c>
      <c r="AF120" s="56">
        <f t="shared" ref="AF120" si="878">AF104-AF112</f>
        <v>-998.39999999999986</v>
      </c>
      <c r="AG120" s="23">
        <f t="shared" si="845"/>
        <v>18.279824665324007</v>
      </c>
      <c r="AH120" s="56">
        <f t="shared" ref="AH120:AJ120" si="879">AH104-AH112</f>
        <v>-691.40000000000009</v>
      </c>
      <c r="AI120" s="23">
        <f t="shared" si="846"/>
        <v>-4.0255413659078148</v>
      </c>
      <c r="AJ120" s="56">
        <f t="shared" si="879"/>
        <v>-733.1</v>
      </c>
      <c r="AK120" s="23">
        <f t="shared" si="847"/>
        <v>-6.145179874535911</v>
      </c>
      <c r="AL120" s="56">
        <f t="shared" ref="AL120" si="880">AL104-AL112</f>
        <v>-741</v>
      </c>
      <c r="AM120" s="23">
        <f t="shared" si="848"/>
        <v>-38.597944978455409</v>
      </c>
      <c r="AN120" s="413">
        <f t="shared" si="849"/>
        <v>-769.6</v>
      </c>
      <c r="AO120" s="23">
        <f t="shared" si="850"/>
        <v>-22.91666666666665</v>
      </c>
      <c r="AP120" s="413"/>
      <c r="AQ120" s="23"/>
      <c r="AR120" s="413"/>
      <c r="AS120" s="23"/>
      <c r="AT120" s="413"/>
      <c r="AU120" s="23"/>
      <c r="AV120" s="413"/>
      <c r="AW120" s="23" t="str">
        <f t="shared" si="851"/>
        <v>NM</v>
      </c>
      <c r="AX120" s="413"/>
      <c r="AY120" s="23"/>
      <c r="AZ120" s="413"/>
      <c r="BA120" s="23"/>
      <c r="BB120" s="413"/>
      <c r="BC120" s="23" t="str">
        <f t="shared" si="852"/>
        <v>NA</v>
      </c>
      <c r="BD120" s="413"/>
      <c r="BE120" s="23" t="str">
        <f t="shared" si="853"/>
        <v>NA</v>
      </c>
      <c r="BF120" s="36"/>
      <c r="BG120" s="23"/>
      <c r="BH120" s="36"/>
      <c r="BI120" s="23"/>
      <c r="BJ120" s="36"/>
      <c r="BK120" s="23"/>
      <c r="BL120" s="36"/>
      <c r="BM120" s="23" t="str">
        <f t="shared" si="854"/>
        <v>NA</v>
      </c>
      <c r="BN120" s="36"/>
      <c r="BO120" s="137"/>
      <c r="BP120" s="36"/>
      <c r="BQ120" s="112"/>
      <c r="BR120" s="112"/>
      <c r="BS120" s="112"/>
      <c r="BT120" s="36"/>
      <c r="BU120" s="56">
        <f>B120+D120+F120+H120</f>
        <v>-3501.6</v>
      </c>
      <c r="BV120" s="23" t="str">
        <f t="shared" si="855"/>
        <v>NA</v>
      </c>
      <c r="BW120" s="56">
        <f>J120+L120+N120+P120</f>
        <v>-4644.3999999999996</v>
      </c>
      <c r="BX120" s="23">
        <f t="shared" si="856"/>
        <v>32.636509024445971</v>
      </c>
      <c r="BY120" s="56">
        <f t="shared" si="869"/>
        <v>-3100.9000000000005</v>
      </c>
      <c r="BZ120" s="23">
        <f t="shared" si="857"/>
        <v>-33.23357161312547</v>
      </c>
      <c r="CA120" s="56">
        <f t="shared" si="870"/>
        <v>-3706.7000000000003</v>
      </c>
      <c r="CB120" s="23">
        <f t="shared" si="857"/>
        <v>19.536263665387455</v>
      </c>
      <c r="CC120" s="56">
        <f>AH120+AJ120+AL120+AN120</f>
        <v>-2935.1</v>
      </c>
      <c r="CD120" s="23">
        <f t="shared" si="857"/>
        <v>-20.816359565111831</v>
      </c>
      <c r="CE120" s="56">
        <f>AP120+AR120+AT120+AV120</f>
        <v>0</v>
      </c>
      <c r="CF120" s="23" t="str">
        <f t="shared" si="857"/>
        <v>NM</v>
      </c>
      <c r="CG120" s="56"/>
      <c r="CH120" s="23" t="str">
        <f t="shared" si="857"/>
        <v>NA</v>
      </c>
      <c r="CI120" s="56"/>
      <c r="CJ120" s="23"/>
      <c r="CK120" s="56"/>
      <c r="CL120" s="23"/>
      <c r="CM120" s="56"/>
      <c r="CN120" s="23"/>
      <c r="CO120" s="56"/>
      <c r="CP120" s="23"/>
      <c r="CQ120" s="56"/>
      <c r="CR120" s="23"/>
      <c r="CS120" s="23"/>
    </row>
    <row r="121" spans="1:97" ht="12.75" hidden="1" customHeight="1" outlineLevel="1" x14ac:dyDescent="0.2">
      <c r="A121" s="4" t="s">
        <v>97</v>
      </c>
      <c r="B121" s="49">
        <v>303.89999999999998</v>
      </c>
      <c r="C121" s="59"/>
      <c r="D121" s="49">
        <v>310</v>
      </c>
      <c r="E121" s="59"/>
      <c r="F121" s="49">
        <v>4.4000000000000004</v>
      </c>
      <c r="G121" s="59"/>
      <c r="H121" s="49">
        <v>337.5</v>
      </c>
      <c r="I121" s="59"/>
      <c r="J121" s="56">
        <f t="shared" si="858"/>
        <v>347.2</v>
      </c>
      <c r="K121" s="23">
        <f t="shared" si="841"/>
        <v>14.248107930240206</v>
      </c>
      <c r="L121" s="56">
        <f t="shared" si="858"/>
        <v>99.4</v>
      </c>
      <c r="M121" s="23" t="str">
        <f t="shared" si="841"/>
        <v>NM</v>
      </c>
      <c r="N121" s="56">
        <f t="shared" ref="N121" si="881">N105-N113</f>
        <v>306.59999999999997</v>
      </c>
      <c r="O121" s="23" t="str">
        <f t="shared" si="841"/>
        <v>NM</v>
      </c>
      <c r="P121" s="56">
        <f t="shared" ref="P121" si="882">P105-P113</f>
        <v>215.6</v>
      </c>
      <c r="Q121" s="23">
        <f t="shared" si="841"/>
        <v>-36.118518518518513</v>
      </c>
      <c r="R121" s="56">
        <f t="shared" ref="R121:T121" si="883">R105-R113</f>
        <v>297.8</v>
      </c>
      <c r="S121" s="23">
        <f t="shared" si="841"/>
        <v>-14.228110599078336</v>
      </c>
      <c r="T121" s="56">
        <f t="shared" si="883"/>
        <v>210.7</v>
      </c>
      <c r="U121" s="23" t="str">
        <f t="shared" si="841"/>
        <v>NM</v>
      </c>
      <c r="V121" s="56">
        <f t="shared" ref="V121" si="884">V105-V113</f>
        <v>349.7</v>
      </c>
      <c r="W121" s="23">
        <f t="shared" si="841"/>
        <v>14.057403783431187</v>
      </c>
      <c r="X121" s="56">
        <f t="shared" ref="X121" si="885">X105-X113</f>
        <v>382.09999999999997</v>
      </c>
      <c r="Y121" s="23">
        <f t="shared" si="841"/>
        <v>77.226345083487928</v>
      </c>
      <c r="Z121" s="56">
        <f t="shared" ref="Z121:AB121" si="886">Z105-Z113</f>
        <v>231.70000000000002</v>
      </c>
      <c r="AA121" s="23">
        <f t="shared" si="842"/>
        <v>-22.196104768300874</v>
      </c>
      <c r="AB121" s="56">
        <f t="shared" si="886"/>
        <v>347.90000000000003</v>
      </c>
      <c r="AC121" s="23">
        <f t="shared" si="843"/>
        <v>65.116279069767472</v>
      </c>
      <c r="AD121" s="56">
        <f t="shared" ref="AD121" si="887">AD105-AD113</f>
        <v>115.5</v>
      </c>
      <c r="AE121" s="23" t="str">
        <f t="shared" si="844"/>
        <v>NM</v>
      </c>
      <c r="AF121" s="56">
        <f t="shared" ref="AF121" si="888">AF105-AF113</f>
        <v>235.89999999999998</v>
      </c>
      <c r="AG121" s="23">
        <f t="shared" si="845"/>
        <v>-38.262235017011257</v>
      </c>
      <c r="AH121" s="56">
        <f t="shared" ref="AH121:AJ121" si="889">AH105-AH113</f>
        <v>239.90000000000003</v>
      </c>
      <c r="AI121" s="23">
        <f t="shared" si="846"/>
        <v>3.5390591281829975</v>
      </c>
      <c r="AJ121" s="56">
        <f t="shared" si="889"/>
        <v>145.79999999999998</v>
      </c>
      <c r="AK121" s="23" t="str">
        <f t="shared" si="847"/>
        <v>NM</v>
      </c>
      <c r="AL121" s="56">
        <f t="shared" ref="AL121" si="890">AL105-AL113</f>
        <v>-209.7</v>
      </c>
      <c r="AM121" s="23" t="str">
        <f t="shared" si="848"/>
        <v>NM</v>
      </c>
      <c r="AN121" s="413">
        <f t="shared" si="849"/>
        <v>238.8</v>
      </c>
      <c r="AO121" s="23">
        <f t="shared" si="850"/>
        <v>1.2293344637558379</v>
      </c>
      <c r="AP121" s="413"/>
      <c r="AQ121" s="23"/>
      <c r="AR121" s="413"/>
      <c r="AS121" s="23"/>
      <c r="AT121" s="413"/>
      <c r="AU121" s="23"/>
      <c r="AV121" s="413"/>
      <c r="AW121" s="23" t="str">
        <f t="shared" si="851"/>
        <v>NM</v>
      </c>
      <c r="AX121" s="413"/>
      <c r="AY121" s="23"/>
      <c r="AZ121" s="413"/>
      <c r="BA121" s="23"/>
      <c r="BB121" s="413"/>
      <c r="BC121" s="23" t="str">
        <f t="shared" si="852"/>
        <v>NA</v>
      </c>
      <c r="BD121" s="413"/>
      <c r="BE121" s="23" t="str">
        <f t="shared" si="853"/>
        <v>NA</v>
      </c>
      <c r="BF121" s="36"/>
      <c r="BG121" s="23"/>
      <c r="BH121" s="36"/>
      <c r="BI121" s="23"/>
      <c r="BJ121" s="36"/>
      <c r="BK121" s="23"/>
      <c r="BL121" s="36"/>
      <c r="BM121" s="23" t="str">
        <f t="shared" si="854"/>
        <v>NA</v>
      </c>
      <c r="BN121" s="36"/>
      <c r="BO121" s="137"/>
      <c r="BP121" s="36"/>
      <c r="BQ121" s="112"/>
      <c r="BR121" s="112"/>
      <c r="BS121" s="112"/>
      <c r="BT121" s="36"/>
      <c r="BU121" s="56">
        <f>B121+D121+F121+H121</f>
        <v>955.8</v>
      </c>
      <c r="BV121" s="23" t="str">
        <f t="shared" si="855"/>
        <v>NA</v>
      </c>
      <c r="BW121" s="56">
        <f>J121+L121+N121+P121</f>
        <v>968.80000000000007</v>
      </c>
      <c r="BX121" s="23">
        <f t="shared" si="856"/>
        <v>1.3601171793262257</v>
      </c>
      <c r="BY121" s="56">
        <f t="shared" si="869"/>
        <v>1240.3</v>
      </c>
      <c r="BZ121" s="23">
        <f t="shared" si="857"/>
        <v>28.024360033030547</v>
      </c>
      <c r="CA121" s="56">
        <f t="shared" si="870"/>
        <v>931</v>
      </c>
      <c r="CB121" s="23">
        <f t="shared" si="857"/>
        <v>-24.937515117310326</v>
      </c>
      <c r="CC121" s="56">
        <f>AH121+AJ121+AL121+AN121</f>
        <v>414.80000000000007</v>
      </c>
      <c r="CD121" s="23" t="str">
        <f t="shared" si="857"/>
        <v>NM</v>
      </c>
      <c r="CE121" s="56">
        <f>AP121+AR121+AT121+AV121</f>
        <v>0</v>
      </c>
      <c r="CF121" s="23" t="str">
        <f t="shared" si="857"/>
        <v>NM</v>
      </c>
      <c r="CG121" s="56"/>
      <c r="CH121" s="23" t="str">
        <f t="shared" si="857"/>
        <v>NA</v>
      </c>
      <c r="CI121" s="56"/>
      <c r="CJ121" s="23"/>
      <c r="CK121" s="56"/>
      <c r="CL121" s="23"/>
      <c r="CM121" s="56"/>
      <c r="CN121" s="23"/>
      <c r="CO121" s="56"/>
      <c r="CP121" s="23"/>
      <c r="CQ121" s="56"/>
      <c r="CR121" s="23"/>
      <c r="CS121" s="23"/>
    </row>
    <row r="122" spans="1:97" ht="12.75" hidden="1" customHeight="1" outlineLevel="1" x14ac:dyDescent="0.2">
      <c r="A122" s="4" t="s">
        <v>183</v>
      </c>
      <c r="B122" s="36">
        <f t="shared" ref="B122:J122" si="891">SUM(B118:B121)</f>
        <v>25071.1</v>
      </c>
      <c r="C122" s="59"/>
      <c r="D122" s="56">
        <f t="shared" si="891"/>
        <v>25335.5</v>
      </c>
      <c r="E122" s="59"/>
      <c r="F122" s="36">
        <f t="shared" si="891"/>
        <v>25145.4</v>
      </c>
      <c r="G122" s="59"/>
      <c r="H122" s="36">
        <f t="shared" si="891"/>
        <v>24859.200000000001</v>
      </c>
      <c r="I122" s="59"/>
      <c r="J122" s="36">
        <f t="shared" si="891"/>
        <v>24742.3</v>
      </c>
      <c r="K122" s="23">
        <f t="shared" si="841"/>
        <v>-1.311470178811458</v>
      </c>
      <c r="L122" s="36">
        <f t="shared" ref="L122" si="892">SUM(L118:L121)</f>
        <v>23649.1</v>
      </c>
      <c r="M122" s="23">
        <f t="shared" si="841"/>
        <v>-6.6562728187720799</v>
      </c>
      <c r="N122" s="36">
        <f t="shared" ref="N122" si="893">SUM(N118:N121)</f>
        <v>23400.7</v>
      </c>
      <c r="O122" s="23">
        <f t="shared" si="841"/>
        <v>-6.9384459980751938</v>
      </c>
      <c r="P122" s="36">
        <f t="shared" ref="P122" si="894">SUM(P118:P121)</f>
        <v>23294.200000000004</v>
      </c>
      <c r="Q122" s="23">
        <f t="shared" si="841"/>
        <v>-6.2954560082383875</v>
      </c>
      <c r="R122" s="36">
        <f t="shared" ref="R122:T122" si="895">SUM(R118:R121)</f>
        <v>23432.900000000009</v>
      </c>
      <c r="S122" s="23">
        <f t="shared" si="841"/>
        <v>-5.2921514976376098</v>
      </c>
      <c r="T122" s="36">
        <f t="shared" si="895"/>
        <v>23470.400000000009</v>
      </c>
      <c r="U122" s="23">
        <f t="shared" si="841"/>
        <v>-0.75563129252271821</v>
      </c>
      <c r="V122" s="36">
        <f t="shared" ref="V122" si="896">SUM(V118:V121)</f>
        <v>23618.600000000006</v>
      </c>
      <c r="W122" s="23">
        <f t="shared" si="841"/>
        <v>0.93116872572189813</v>
      </c>
      <c r="X122" s="36">
        <f t="shared" ref="X122" si="897">SUM(X118:X121)</f>
        <v>23843.000000000007</v>
      </c>
      <c r="Y122" s="23">
        <f t="shared" si="841"/>
        <v>2.3559512668389626</v>
      </c>
      <c r="Z122" s="36">
        <f t="shared" ref="Z122:AB122" si="898">SUM(Z118:Z121)</f>
        <v>24096.400000000009</v>
      </c>
      <c r="AA122" s="23">
        <f t="shared" si="842"/>
        <v>2.8314890602529008</v>
      </c>
      <c r="AB122" s="36">
        <f t="shared" si="898"/>
        <v>24378.700000000012</v>
      </c>
      <c r="AC122" s="23">
        <f t="shared" si="843"/>
        <v>3.8699809121276241</v>
      </c>
      <c r="AD122" s="36">
        <f t="shared" ref="AD122" si="899">SUM(AD118:AD121)</f>
        <v>23897.900000000012</v>
      </c>
      <c r="AE122" s="23">
        <f t="shared" si="844"/>
        <v>1.1825425723794192</v>
      </c>
      <c r="AF122" s="36">
        <f t="shared" ref="AF122" si="900">SUM(AF118:AF121)</f>
        <v>23771.30000000001</v>
      </c>
      <c r="AG122" s="23">
        <f t="shared" si="845"/>
        <v>-0.30071719162856336</v>
      </c>
      <c r="AH122" s="36">
        <f t="shared" ref="AH122:AJ122" si="901">SUM(AH118:AH121)</f>
        <v>23944.000000000011</v>
      </c>
      <c r="AI122" s="23">
        <f t="shared" si="846"/>
        <v>-0.63245962052421723</v>
      </c>
      <c r="AJ122" s="36">
        <f t="shared" si="901"/>
        <v>24032.800000000007</v>
      </c>
      <c r="AK122" s="23">
        <f t="shared" si="847"/>
        <v>-1.4188615471702914</v>
      </c>
      <c r="AL122" s="36">
        <f t="shared" ref="AL122" si="902">SUM(AL118:AL121)</f>
        <v>23881.300000000007</v>
      </c>
      <c r="AM122" s="23">
        <f t="shared" si="848"/>
        <v>-6.9462170316247906E-2</v>
      </c>
      <c r="AN122" s="410">
        <f t="shared" ref="AN122" si="903">SUM(AN118:AN121)</f>
        <v>24213.000000000011</v>
      </c>
      <c r="AO122" s="23">
        <f t="shared" si="850"/>
        <v>1.8581230307135099</v>
      </c>
      <c r="AP122" s="410"/>
      <c r="AQ122" s="23"/>
      <c r="AR122" s="410"/>
      <c r="AS122" s="23"/>
      <c r="AT122" s="410"/>
      <c r="AU122" s="23"/>
      <c r="AV122" s="410"/>
      <c r="AW122" s="23" t="str">
        <f t="shared" si="851"/>
        <v>NM</v>
      </c>
      <c r="AX122" s="410"/>
      <c r="AY122" s="23"/>
      <c r="AZ122" s="410"/>
      <c r="BA122" s="23"/>
      <c r="BB122" s="410"/>
      <c r="BC122" s="23" t="str">
        <f t="shared" si="852"/>
        <v>NA</v>
      </c>
      <c r="BD122" s="410"/>
      <c r="BE122" s="23" t="str">
        <f t="shared" si="853"/>
        <v>NA</v>
      </c>
      <c r="BF122" s="36"/>
      <c r="BG122" s="23"/>
      <c r="BH122" s="36"/>
      <c r="BI122" s="23"/>
      <c r="BJ122" s="36"/>
      <c r="BK122" s="23"/>
      <c r="BL122" s="36"/>
      <c r="BM122" s="23" t="str">
        <f t="shared" si="854"/>
        <v>NA</v>
      </c>
      <c r="BN122" s="36"/>
      <c r="BO122" s="137"/>
      <c r="BP122" s="36"/>
      <c r="BQ122" s="112"/>
      <c r="BR122" s="112"/>
      <c r="BS122" s="112"/>
      <c r="BT122" s="36"/>
      <c r="BU122" s="56">
        <f>SUM(BU118:BU121)</f>
        <v>24859.200000000001</v>
      </c>
      <c r="BV122" s="23" t="str">
        <f t="shared" si="855"/>
        <v>NA</v>
      </c>
      <c r="BW122" s="56">
        <f t="shared" ref="BW122:CA122" si="904">SUM(BW118:BW121)</f>
        <v>23294.2</v>
      </c>
      <c r="BX122" s="23">
        <f t="shared" si="856"/>
        <v>-6.2954560082383981</v>
      </c>
      <c r="BY122" s="56">
        <f t="shared" si="904"/>
        <v>23843.000000000007</v>
      </c>
      <c r="BZ122" s="23">
        <f t="shared" si="857"/>
        <v>2.3559512668389848</v>
      </c>
      <c r="CA122" s="56">
        <f t="shared" si="904"/>
        <v>23771.300000000003</v>
      </c>
      <c r="CB122" s="23">
        <f t="shared" si="857"/>
        <v>-0.30071719162858557</v>
      </c>
      <c r="CC122" s="56">
        <f t="shared" ref="CC122" si="905">SUM(CC118:CC121)</f>
        <v>24213.000000000004</v>
      </c>
      <c r="CD122" s="23">
        <f t="shared" si="857"/>
        <v>1.8581230307135099</v>
      </c>
      <c r="CE122" s="56">
        <f t="shared" ref="CE122" si="906">SUM(CE118:CE121)</f>
        <v>24213.000000000004</v>
      </c>
      <c r="CF122" s="23">
        <f t="shared" si="857"/>
        <v>0</v>
      </c>
      <c r="CG122" s="56"/>
      <c r="CH122" s="23" t="str">
        <f t="shared" si="857"/>
        <v>NM</v>
      </c>
      <c r="CI122" s="56"/>
      <c r="CJ122" s="23"/>
      <c r="CK122" s="56"/>
      <c r="CL122" s="23"/>
      <c r="CM122" s="56"/>
      <c r="CN122" s="23"/>
      <c r="CO122" s="56"/>
      <c r="CP122" s="23"/>
      <c r="CQ122" s="56"/>
      <c r="CR122" s="23"/>
      <c r="CS122" s="23"/>
    </row>
    <row r="123" spans="1:97" ht="12.75" hidden="1" customHeight="1" outlineLevel="1" x14ac:dyDescent="0.2">
      <c r="A123" s="4" t="s">
        <v>98</v>
      </c>
      <c r="B123" s="36">
        <f t="shared" ref="B123:J123" si="907">AVERAGE(B122,B118)</f>
        <v>24978.699999999997</v>
      </c>
      <c r="C123" s="59"/>
      <c r="D123" s="36">
        <f t="shared" si="907"/>
        <v>25203.3</v>
      </c>
      <c r="E123" s="59"/>
      <c r="F123" s="36">
        <f t="shared" si="907"/>
        <v>25240.45</v>
      </c>
      <c r="G123" s="59"/>
      <c r="H123" s="36">
        <f t="shared" si="907"/>
        <v>25002.300000000003</v>
      </c>
      <c r="I123" s="59"/>
      <c r="J123" s="36">
        <f t="shared" si="907"/>
        <v>24800.75</v>
      </c>
      <c r="K123" s="23">
        <f t="shared" si="841"/>
        <v>-0.71240697073905457</v>
      </c>
      <c r="L123" s="36">
        <f t="shared" ref="L123" si="908">AVERAGE(L122,L118)</f>
        <v>24195.699999999997</v>
      </c>
      <c r="M123" s="23">
        <f t="shared" si="841"/>
        <v>-3.997889165307722</v>
      </c>
      <c r="N123" s="36">
        <f t="shared" ref="N123" si="909">AVERAGE(N122,N118)</f>
        <v>23524.9</v>
      </c>
      <c r="O123" s="23">
        <f t="shared" si="841"/>
        <v>-6.7968281072643304</v>
      </c>
      <c r="P123" s="36">
        <f t="shared" ref="P123" si="910">AVERAGE(P122,P118)</f>
        <v>23347.450000000004</v>
      </c>
      <c r="Q123" s="23">
        <f t="shared" si="841"/>
        <v>-6.6187910712214411</v>
      </c>
      <c r="R123" s="36">
        <f t="shared" ref="R123:T123" si="911">AVERAGE(R122,R118)</f>
        <v>23363.55000000001</v>
      </c>
      <c r="S123" s="23">
        <f t="shared" si="841"/>
        <v>-5.7949860387286218</v>
      </c>
      <c r="T123" s="36">
        <f t="shared" si="911"/>
        <v>23451.650000000009</v>
      </c>
      <c r="U123" s="23">
        <f t="shared" si="841"/>
        <v>-3.0751331848220542</v>
      </c>
      <c r="V123" s="36">
        <f t="shared" ref="V123" si="912">AVERAGE(V122,V118)</f>
        <v>23544.500000000007</v>
      </c>
      <c r="W123" s="23">
        <f t="shared" si="841"/>
        <v>8.3315975838393896E-2</v>
      </c>
      <c r="X123" s="36">
        <f t="shared" ref="X123" si="913">AVERAGE(X122,X118)</f>
        <v>23730.800000000007</v>
      </c>
      <c r="Y123" s="23">
        <f t="shared" si="841"/>
        <v>1.6419352006322052</v>
      </c>
      <c r="Z123" s="36">
        <f t="shared" ref="Z123:AB123" si="914">AVERAGE(Z122,Z118)</f>
        <v>23969.700000000012</v>
      </c>
      <c r="AA123" s="23">
        <f t="shared" si="842"/>
        <v>2.5944259327028707</v>
      </c>
      <c r="AB123" s="36">
        <f t="shared" si="914"/>
        <v>24237.55000000001</v>
      </c>
      <c r="AC123" s="23">
        <f t="shared" si="843"/>
        <v>3.3511501322934789</v>
      </c>
      <c r="AD123" s="36">
        <f t="shared" ref="AD123" si="915">AVERAGE(AD122,AD118)</f>
        <v>24138.30000000001</v>
      </c>
      <c r="AE123" s="23">
        <f t="shared" si="844"/>
        <v>2.5220327465013126</v>
      </c>
      <c r="AF123" s="36">
        <f t="shared" ref="AF123" si="916">AVERAGE(AF122,AF118)</f>
        <v>23834.600000000009</v>
      </c>
      <c r="AG123" s="23">
        <f t="shared" si="845"/>
        <v>0.43740623999191097</v>
      </c>
      <c r="AH123" s="36">
        <f t="shared" ref="AH123:AJ123" si="917">AVERAGE(AH122,AH118)</f>
        <v>23857.650000000009</v>
      </c>
      <c r="AI123" s="23">
        <f t="shared" si="846"/>
        <v>-0.46746517478317706</v>
      </c>
      <c r="AJ123" s="36">
        <f t="shared" si="917"/>
        <v>23988.400000000009</v>
      </c>
      <c r="AK123" s="23">
        <f t="shared" si="847"/>
        <v>-1.0279504322837973</v>
      </c>
      <c r="AL123" s="36">
        <f t="shared" ref="AL123" si="918">AVERAGE(AL122,AL118)</f>
        <v>23957.050000000007</v>
      </c>
      <c r="AM123" s="23">
        <f t="shared" si="848"/>
        <v>-0.75088137938464916</v>
      </c>
      <c r="AN123" s="410">
        <f t="shared" ref="AN123" si="919">AVERAGE(AN122,AN118)</f>
        <v>24047.150000000009</v>
      </c>
      <c r="AO123" s="23">
        <f t="shared" si="850"/>
        <v>0.89177078700712897</v>
      </c>
      <c r="AP123" s="410"/>
      <c r="AQ123" s="23"/>
      <c r="AR123" s="410"/>
      <c r="AS123" s="23"/>
      <c r="AT123" s="410"/>
      <c r="AU123" s="23"/>
      <c r="AV123" s="410"/>
      <c r="AW123" s="23" t="str">
        <f t="shared" si="851"/>
        <v>NM</v>
      </c>
      <c r="AX123" s="410"/>
      <c r="AY123" s="23"/>
      <c r="AZ123" s="410"/>
      <c r="BA123" s="23"/>
      <c r="BB123" s="410"/>
      <c r="BC123" s="23" t="str">
        <f t="shared" si="852"/>
        <v>NA</v>
      </c>
      <c r="BD123" s="410"/>
      <c r="BE123" s="23" t="str">
        <f t="shared" si="853"/>
        <v>NA</v>
      </c>
      <c r="BF123" s="36"/>
      <c r="BG123" s="23"/>
      <c r="BH123" s="36"/>
      <c r="BI123" s="23"/>
      <c r="BJ123" s="36"/>
      <c r="BK123" s="23"/>
      <c r="BL123" s="36"/>
      <c r="BM123" s="23" t="str">
        <f t="shared" si="854"/>
        <v>NA</v>
      </c>
      <c r="BN123" s="36"/>
      <c r="BO123" s="137"/>
      <c r="BP123" s="36"/>
      <c r="BQ123" s="112"/>
      <c r="BR123" s="112"/>
      <c r="BS123" s="112"/>
      <c r="BT123" s="36"/>
      <c r="BU123" s="56">
        <f>AVERAGE(BU122,BU118)</f>
        <v>24872.75</v>
      </c>
      <c r="BV123" s="23" t="str">
        <f t="shared" si="855"/>
        <v>NA</v>
      </c>
      <c r="BW123" s="56">
        <f t="shared" ref="BW123:CA123" si="920">AVERAGE(BW122,BW118)</f>
        <v>24076.7</v>
      </c>
      <c r="BX123" s="23">
        <f t="shared" si="856"/>
        <v>-3.200490496627828</v>
      </c>
      <c r="BY123" s="56">
        <f t="shared" si="920"/>
        <v>23568.600000000006</v>
      </c>
      <c r="BZ123" s="23">
        <f t="shared" si="857"/>
        <v>-2.1103390414799139</v>
      </c>
      <c r="CA123" s="56">
        <f t="shared" si="920"/>
        <v>23807.15</v>
      </c>
      <c r="CB123" s="23">
        <f t="shared" si="857"/>
        <v>1.0121517612416309</v>
      </c>
      <c r="CC123" s="56">
        <f t="shared" ref="CC123" si="921">AVERAGE(CC122,CC118)</f>
        <v>23992.15</v>
      </c>
      <c r="CD123" s="23">
        <f t="shared" si="857"/>
        <v>0.7770774746242104</v>
      </c>
      <c r="CE123" s="56">
        <f t="shared" ref="CE123" si="922">AVERAGE(CE122,CE118)</f>
        <v>24213.000000000004</v>
      </c>
      <c r="CF123" s="23">
        <f t="shared" si="857"/>
        <v>0.92050941662169539</v>
      </c>
      <c r="CG123" s="56"/>
      <c r="CH123" s="23" t="str">
        <f t="shared" si="857"/>
        <v>NM</v>
      </c>
      <c r="CI123" s="56"/>
      <c r="CJ123" s="23"/>
      <c r="CK123" s="56"/>
      <c r="CL123" s="23"/>
      <c r="CM123" s="56"/>
      <c r="CN123" s="23"/>
      <c r="CO123" s="56"/>
      <c r="CP123" s="23"/>
      <c r="CQ123" s="56"/>
      <c r="CR123" s="23"/>
      <c r="CS123" s="23"/>
    </row>
    <row r="124" spans="1:97" ht="12.75" hidden="1" customHeight="1" outlineLevel="1" x14ac:dyDescent="0.2">
      <c r="B124" s="36"/>
      <c r="C124" s="60"/>
      <c r="D124" s="36"/>
      <c r="E124" s="60"/>
      <c r="F124" s="36"/>
      <c r="G124" s="60"/>
      <c r="H124" s="36"/>
      <c r="I124" s="60"/>
      <c r="J124" s="36"/>
      <c r="L124" s="36"/>
      <c r="N124" s="36"/>
      <c r="P124" s="36"/>
      <c r="R124" s="36"/>
      <c r="T124" s="36"/>
      <c r="V124" s="36"/>
      <c r="X124" s="36"/>
      <c r="Z124" s="36"/>
      <c r="AB124" s="36"/>
      <c r="AD124" s="36"/>
      <c r="AF124" s="36"/>
      <c r="AH124" s="36"/>
      <c r="AJ124" s="36"/>
      <c r="AL124" s="36"/>
      <c r="AN124" s="410"/>
      <c r="AP124" s="410"/>
      <c r="AR124" s="410"/>
      <c r="AT124" s="410"/>
      <c r="AV124" s="410"/>
      <c r="AX124" s="410"/>
      <c r="AZ124" s="410"/>
      <c r="BB124" s="410"/>
      <c r="BD124" s="410"/>
      <c r="BF124" s="36"/>
      <c r="BH124" s="36"/>
      <c r="BJ124" s="36"/>
      <c r="BL124" s="36"/>
      <c r="BN124" s="36"/>
      <c r="BO124" s="137"/>
      <c r="BP124" s="36"/>
      <c r="BQ124" s="36"/>
      <c r="BR124" s="36"/>
      <c r="BS124" s="36"/>
      <c r="BT124" s="36"/>
      <c r="BU124" s="56"/>
      <c r="BW124" s="56"/>
      <c r="BY124" s="56"/>
      <c r="CA124" s="56"/>
      <c r="CC124" s="56"/>
      <c r="CE124" s="56"/>
      <c r="CG124" s="56"/>
      <c r="CI124" s="56"/>
      <c r="CK124" s="56"/>
      <c r="CM124" s="56"/>
      <c r="CO124" s="56"/>
      <c r="CQ124" s="56"/>
    </row>
    <row r="125" spans="1:97" ht="12.75" hidden="1" customHeight="1" outlineLevel="1" x14ac:dyDescent="0.2">
      <c r="A125" s="4" t="s">
        <v>133</v>
      </c>
      <c r="B125" s="36">
        <f t="shared" ref="B125:N125" si="923">B119+B120</f>
        <v>-119.10000000000002</v>
      </c>
      <c r="C125" s="59"/>
      <c r="D125" s="36">
        <f t="shared" si="923"/>
        <v>-45.599999999999909</v>
      </c>
      <c r="E125" s="59"/>
      <c r="F125" s="36">
        <f t="shared" si="923"/>
        <v>-194.5</v>
      </c>
      <c r="G125" s="59"/>
      <c r="H125" s="36">
        <f t="shared" si="923"/>
        <v>-623.70000000000005</v>
      </c>
      <c r="I125" s="59"/>
      <c r="J125" s="36">
        <f t="shared" si="923"/>
        <v>-464.1</v>
      </c>
      <c r="K125" s="23" t="str">
        <f t="shared" ref="K125:Y125" si="924">IF(ISERROR((J125/B125-1)*100),"NA",IF(((J125/B125-1)*100)&gt;100,"NM",IF(((J125/B125-1)*100)&lt;-50,"NM",(J125/B125-1)*100)))</f>
        <v>NM</v>
      </c>
      <c r="L125" s="36">
        <f t="shared" si="923"/>
        <v>-1192.5999999999999</v>
      </c>
      <c r="M125" s="23" t="str">
        <f t="shared" si="924"/>
        <v>NM</v>
      </c>
      <c r="N125" s="36">
        <f t="shared" si="923"/>
        <v>-555</v>
      </c>
      <c r="O125" s="23" t="str">
        <f t="shared" si="924"/>
        <v>NM</v>
      </c>
      <c r="P125" s="36">
        <f>P119+P120</f>
        <v>-322.09999999999991</v>
      </c>
      <c r="Q125" s="23">
        <f t="shared" si="924"/>
        <v>-48.356581689915046</v>
      </c>
      <c r="R125" s="36">
        <f>R119+R120</f>
        <v>-159.10000000000002</v>
      </c>
      <c r="S125" s="23" t="str">
        <f t="shared" si="924"/>
        <v>NM</v>
      </c>
      <c r="T125" s="36">
        <f>T119+T120</f>
        <v>-173.19999999999993</v>
      </c>
      <c r="U125" s="23" t="str">
        <f t="shared" si="924"/>
        <v>NM</v>
      </c>
      <c r="V125" s="36">
        <f>V119+V120</f>
        <v>-201.5</v>
      </c>
      <c r="W125" s="23" t="str">
        <f t="shared" si="924"/>
        <v>NM</v>
      </c>
      <c r="X125" s="36">
        <f>X119+X120</f>
        <v>-157.69999999999993</v>
      </c>
      <c r="Y125" s="23" t="str">
        <f t="shared" si="924"/>
        <v>NM</v>
      </c>
      <c r="Z125" s="36">
        <f>Z119+Z120</f>
        <v>21.700000000000045</v>
      </c>
      <c r="AA125" s="23" t="str">
        <f>IF(ISERROR((Z125/R125-1)*100),"NA",IF(((Z125/R125-1)*100)&gt;100,"NM",IF(((Z125/R125-1)*100)&lt;-50,"NM",(Z125/R125-1)*100)))</f>
        <v>NM</v>
      </c>
      <c r="AB125" s="36">
        <f>AB119+AB120</f>
        <v>-65.600000000000023</v>
      </c>
      <c r="AC125" s="23" t="str">
        <f>IF(ISERROR((AB125/T125-1)*100),"NA",IF(((AB125/T125-1)*100)&gt;100,"NM",IF(((AB125/T125-1)*100)&lt;-50,"NM",(AB125/T125-1)*100)))</f>
        <v>NM</v>
      </c>
      <c r="AD125" s="36">
        <f>AD119+AD120</f>
        <v>-596.29999999999995</v>
      </c>
      <c r="AE125" s="23" t="str">
        <f>IF(ISERROR((AD125/V125-1)*100),"NA",IF(((AD125/V125-1)*100)&gt;100,"NM",IF(((AD125/V125-1)*100)&lt;-50,"NM",(AD125/V125-1)*100)))</f>
        <v>NM</v>
      </c>
      <c r="AF125" s="36">
        <f>AF119+AF120</f>
        <v>-362.49999999999989</v>
      </c>
      <c r="AG125" s="23" t="str">
        <f>IF(ISERROR((AF125/X125-1)*100),"NA",IF(((AF125/X125-1)*100)&gt;100,"NM",IF(((AF125/X125-1)*100)&lt;-50,"NM",(AF125/X125-1)*100)))</f>
        <v>NM</v>
      </c>
      <c r="AH125" s="36">
        <f>AH119+AH120</f>
        <v>-67.200000000000159</v>
      </c>
      <c r="AI125" s="23" t="str">
        <f>IF(ISERROR((AH125/Z125-1)*100),"NA",IF(((AH125/Z125-1)*100)&gt;100,"NM",IF(((AH125/Z125-1)*100)&lt;-50,"NM",(AH125/Z125-1)*100)))</f>
        <v>NM</v>
      </c>
      <c r="AJ125" s="36">
        <f>AJ119+AJ120</f>
        <v>-57</v>
      </c>
      <c r="AK125" s="23">
        <f>IF(ISERROR((AJ125/AB125-1)*100),"NA",IF(((AJ125/AB125-1)*100)&gt;100,"NM",IF(((AJ125/AB125-1)*100)&lt;-50,"NM",(AJ125/AB125-1)*100)))</f>
        <v>-13.109756097561009</v>
      </c>
      <c r="AL125" s="36">
        <f>AL119+AL120</f>
        <v>58.200000000000045</v>
      </c>
      <c r="AM125" s="23" t="str">
        <f>IF(ISERROR((AL125/AD125-1)*100),"NA",IF(((AL125/AD125-1)*100)&gt;100,"NM",IF(((AL125/AD125-1)*100)&lt;-50,"NM",(AL125/AD125-1)*100)))</f>
        <v>NM</v>
      </c>
      <c r="AN125" s="410">
        <f t="shared" ref="AN125" si="925">AN119+AN120</f>
        <v>92.899999999999977</v>
      </c>
      <c r="AO125" s="23" t="str">
        <f>IF(ISERROR((AN125/AF125-1)*100),"NA",IF(((AN125/AF125-1)*100)&gt;100,"NM",IF(((AN125/AF125-1)*100)&lt;-50,"NM",(AN125/AF125-1)*100)))</f>
        <v>NM</v>
      </c>
      <c r="AP125" s="410"/>
      <c r="AQ125" s="23"/>
      <c r="AR125" s="410"/>
      <c r="AS125" s="23"/>
      <c r="AT125" s="410"/>
      <c r="AU125" s="23"/>
      <c r="AV125" s="410"/>
      <c r="AW125" s="23" t="str">
        <f t="shared" ref="AW125" si="926">IF(ISERROR((AV125/AN125-1)*100),"NA",IF(((AV125/AN125-1)*100)&gt;100,"NM",IF(((AV125/AN125-1)*100)&lt;-50,"NM",(AV125/AN125-1)*100)))</f>
        <v>NM</v>
      </c>
      <c r="AX125" s="410"/>
      <c r="AY125" s="23"/>
      <c r="AZ125" s="410"/>
      <c r="BA125" s="23"/>
      <c r="BB125" s="410"/>
      <c r="BC125" s="23" t="str">
        <f t="shared" ref="BC125" si="927">IF(ISERROR((BB125/AT125-1)*100),"NA",IF(((BB125/AT125-1)*100)&gt;100,"NM",IF(((BB125/AT125-1)*100)&lt;-50,"NM",(BB125/AT125-1)*100)))</f>
        <v>NA</v>
      </c>
      <c r="BD125" s="410"/>
      <c r="BE125" s="23" t="str">
        <f t="shared" ref="BE125" si="928">IF(ISERROR((BD125/AV125-1)*100),"NA",IF(((BD125/AV125-1)*100)&gt;100,"NM",IF(((BD125/AV125-1)*100)&lt;-50,"NM",(BD125/AV125-1)*100)))</f>
        <v>NA</v>
      </c>
      <c r="BF125" s="36"/>
      <c r="BG125" s="23"/>
      <c r="BH125" s="36"/>
      <c r="BI125" s="23"/>
      <c r="BJ125" s="36"/>
      <c r="BK125" s="23"/>
      <c r="BL125" s="36"/>
      <c r="BM125" s="23" t="str">
        <f t="shared" ref="BM125" si="929">IF(ISERROR((BL125/BD125-1)*100),"NA",IF(((BL125/BD125-1)*100)&gt;100,"NM",IF(((BL125/BD125-1)*100)&lt;-50,"NM",(BL125/BD125-1)*100)))</f>
        <v>NA</v>
      </c>
      <c r="BN125" s="36"/>
      <c r="BO125" s="137"/>
      <c r="BP125" s="36"/>
      <c r="BQ125" s="112"/>
      <c r="BR125" s="112"/>
      <c r="BS125" s="112"/>
      <c r="BT125" s="36"/>
      <c r="BU125" s="56">
        <f>BU119+BU120</f>
        <v>-982.90000000000009</v>
      </c>
      <c r="BV125" s="23" t="str">
        <f>IF(ISERROR((BU125/BS125-1)*100),"NA",IF(((BU125/BS125-1)*100)&gt;100,"NM",IF(((BU125/BS125-1)*100)&lt;-50,"NM",(BU125/BS125-1)*100)))</f>
        <v>NA</v>
      </c>
      <c r="BW125" s="56">
        <f t="shared" ref="BW125:BY125" si="930">BW119+BW120</f>
        <v>-2533.7999999999997</v>
      </c>
      <c r="BX125" s="23" t="str">
        <f>IF(ISERROR((BW125/BU125-1)*100),"NA",IF(((BW125/BU125-1)*100)&gt;100,"NM",IF(((BW125/BU125-1)*100)&lt;-50,"NM",(BW125/BU125-1)*100)))</f>
        <v>NM</v>
      </c>
      <c r="BY125" s="56">
        <f t="shared" si="930"/>
        <v>-691.50000000000045</v>
      </c>
      <c r="BZ125" s="23" t="str">
        <f>IF(ISERROR((BY125/BW125-1)*100),"NA",IF(((BY125/BW125-1)*100)&gt;100,"NM",IF(((BY125/BW125-1)*100)&lt;-50,"NM",(BY125/BW125-1)*100)))</f>
        <v>NM</v>
      </c>
      <c r="CA125" s="56">
        <f>CA119+CA120</f>
        <v>-1002.7000000000003</v>
      </c>
      <c r="CB125" s="23">
        <f>IF(ISERROR((CA125/BY125-1)*100),"NA",IF(((CA125/BY125-1)*100)&gt;100,"NM",IF(((CA125/BY125-1)*100)&lt;-50,"NM",(CA125/BY125-1)*100)))</f>
        <v>45.003615328994883</v>
      </c>
      <c r="CC125" s="56">
        <f>CC119+CC120</f>
        <v>26.900000000000091</v>
      </c>
      <c r="CD125" s="23" t="str">
        <f>IF(ISERROR((CC125/CA125-1)*100),"NA",IF(((CC125/CA125-1)*100)&gt;100,"NM",IF(((CC125/CA125-1)*100)&lt;-50,"NM",(CC125/CA125-1)*100)))</f>
        <v>NM</v>
      </c>
      <c r="CE125" s="56">
        <f>CE119+CE120</f>
        <v>0</v>
      </c>
      <c r="CF125" s="23" t="str">
        <f>IF(ISERROR((CE125/CC125-1)*100),"NA",IF(((CE125/CC125-1)*100)&gt;100,"NM",IF(((CE125/CC125-1)*100)&lt;-50,"NM",(CE125/CC125-1)*100)))</f>
        <v>NM</v>
      </c>
      <c r="CG125" s="56"/>
      <c r="CH125" s="23" t="str">
        <f>IF(ISERROR((CG125/CE125-1)*100),"NA",IF(((CG125/CE125-1)*100)&gt;100,"NM",IF(((CG125/CE125-1)*100)&lt;-50,"NM",(CG125/CE125-1)*100)))</f>
        <v>NA</v>
      </c>
      <c r="CI125" s="56"/>
      <c r="CJ125" s="23"/>
      <c r="CK125" s="56"/>
      <c r="CL125" s="23"/>
      <c r="CM125" s="56"/>
      <c r="CN125" s="23"/>
      <c r="CO125" s="56"/>
      <c r="CP125" s="23"/>
      <c r="CQ125" s="56"/>
      <c r="CR125" s="23"/>
      <c r="CS125" s="23"/>
    </row>
    <row r="126" spans="1:97" ht="12.75" hidden="1" customHeight="1" outlineLevel="1" x14ac:dyDescent="0.2">
      <c r="B126" s="35"/>
      <c r="C126" s="60"/>
      <c r="D126" s="35"/>
      <c r="E126" s="60"/>
      <c r="F126" s="35"/>
      <c r="G126" s="60"/>
      <c r="H126" s="35"/>
      <c r="I126" s="60"/>
      <c r="J126" s="35"/>
      <c r="L126" s="35"/>
      <c r="N126" s="35"/>
      <c r="P126" s="35"/>
      <c r="R126" s="35"/>
      <c r="T126" s="35"/>
      <c r="V126" s="35"/>
      <c r="X126" s="35"/>
      <c r="Z126" s="35"/>
      <c r="AB126" s="35"/>
      <c r="AD126" s="35"/>
      <c r="AF126" s="35"/>
      <c r="AH126" s="35"/>
      <c r="AJ126" s="35"/>
      <c r="AL126" s="35"/>
      <c r="AN126" s="409"/>
      <c r="AP126" s="409"/>
      <c r="AR126" s="409"/>
      <c r="AT126" s="409"/>
      <c r="AV126" s="409"/>
      <c r="AX126" s="409"/>
      <c r="AZ126" s="409"/>
      <c r="BB126" s="409"/>
      <c r="BD126" s="409"/>
      <c r="BF126" s="35"/>
      <c r="BH126" s="35"/>
      <c r="BJ126" s="35"/>
      <c r="BL126" s="35"/>
      <c r="BN126" s="5"/>
      <c r="BO126" s="136"/>
      <c r="BP126" s="5"/>
      <c r="BQ126" s="32"/>
      <c r="BR126" s="32"/>
      <c r="BS126" s="32"/>
      <c r="BT126" s="32"/>
      <c r="BU126" s="37"/>
      <c r="BW126" s="37"/>
      <c r="BY126" s="37"/>
      <c r="CA126" s="37"/>
      <c r="CC126" s="37"/>
      <c r="CE126" s="37"/>
      <c r="CG126" s="37"/>
      <c r="CI126" s="37"/>
      <c r="CK126" s="37"/>
      <c r="CM126" s="37"/>
      <c r="CO126" s="37"/>
      <c r="CQ126" s="37"/>
    </row>
    <row r="127" spans="1:97" ht="12.75" hidden="1" customHeight="1" outlineLevel="1" x14ac:dyDescent="0.2">
      <c r="A127" s="4" t="s">
        <v>104</v>
      </c>
      <c r="B127" s="35">
        <f t="shared" ref="B127:N127" si="931">B119/B118*400</f>
        <v>11.448869458296333</v>
      </c>
      <c r="C127" s="59"/>
      <c r="D127" s="35">
        <f t="shared" si="931"/>
        <v>11.841522709414427</v>
      </c>
      <c r="E127" s="59"/>
      <c r="F127" s="35">
        <f t="shared" si="931"/>
        <v>9.322886858360798</v>
      </c>
      <c r="G127" s="59"/>
      <c r="H127" s="35">
        <f t="shared" si="931"/>
        <v>7.5353742632847363</v>
      </c>
      <c r="I127" s="59"/>
      <c r="J127" s="35">
        <f t="shared" si="931"/>
        <v>8.5972195404518246</v>
      </c>
      <c r="K127" s="23">
        <f t="shared" ref="K127:Y130" si="932">IF(ISERROR((J127/B127-1)*100),"NA",IF(((J127/B127-1)*100)&gt;100,"NM",IF(((J127/B127-1)*100)&lt;-50,"NM",(J127/B127-1)*100)))</f>
        <v>-24.907698775254026</v>
      </c>
      <c r="L127" s="35">
        <f t="shared" si="931"/>
        <v>8.8722552066703564</v>
      </c>
      <c r="M127" s="23">
        <f t="shared" si="932"/>
        <v>-25.075047995165345</v>
      </c>
      <c r="N127" s="35">
        <f t="shared" si="931"/>
        <v>8.6345780600530251</v>
      </c>
      <c r="O127" s="23">
        <f t="shared" si="932"/>
        <v>-7.383000660256811</v>
      </c>
      <c r="P127" s="35">
        <f>P119/P118*400</f>
        <v>8.8373424726610725</v>
      </c>
      <c r="Q127" s="23">
        <f t="shared" si="932"/>
        <v>17.278082864709575</v>
      </c>
      <c r="R127" s="35">
        <f>R119/R118*400</f>
        <v>8.8434030788780014</v>
      </c>
      <c r="S127" s="23">
        <f t="shared" si="932"/>
        <v>2.8635250881733132</v>
      </c>
      <c r="T127" s="35">
        <f>T119/T118*400</f>
        <v>10.026927951725989</v>
      </c>
      <c r="U127" s="23">
        <f t="shared" si="932"/>
        <v>13.014422130097492</v>
      </c>
      <c r="V127" s="35">
        <f>V119/V118*400</f>
        <v>10.576726429886154</v>
      </c>
      <c r="W127" s="23">
        <f t="shared" si="932"/>
        <v>22.492684139579168</v>
      </c>
      <c r="X127" s="35">
        <f>X119/X118*400</f>
        <v>11.624736436537301</v>
      </c>
      <c r="Y127" s="23">
        <f t="shared" si="932"/>
        <v>31.541087974119186</v>
      </c>
      <c r="Z127" s="35">
        <f>Z119/Z118*400</f>
        <v>12.449775615484624</v>
      </c>
      <c r="AA127" s="23">
        <f>IF(ISERROR((Z127/R127-1)*100),"NA",IF(((Z127/R127-1)*100)&gt;100,"NM",IF(((Z127/R127-1)*100)&lt;-50,"NM",(Z127/R127-1)*100)))</f>
        <v>40.780370457389338</v>
      </c>
      <c r="AB127" s="35">
        <f>AB119/AB118*400</f>
        <v>11.877292873624272</v>
      </c>
      <c r="AC127" s="23">
        <f>IF(ISERROR((AB127/T127-1)*100),"NA",IF(((AB127/T127-1)*100)&gt;100,"NM",IF(((AB127/T127-1)*100)&lt;-50,"NM",(AB127/T127-1)*100)))</f>
        <v>18.453956494020375</v>
      </c>
      <c r="AD127" s="35">
        <f>AD119/AD118*400</f>
        <v>10.016941018183902</v>
      </c>
      <c r="AE127" s="23">
        <f>IF(ISERROR((AD127/V127-1)*100),"NA",IF(((AD127/V127-1)*100)&gt;100,"NM",IF(((AD127/V127-1)*100)&lt;-50,"NM",(AD127/V127-1)*100)))</f>
        <v>-5.2926150204707367</v>
      </c>
      <c r="AF127" s="35">
        <f>AF119/AF118*400</f>
        <v>10.64361303712878</v>
      </c>
      <c r="AG127" s="23">
        <f>IF(ISERROR((AF127/X127-1)*100),"NA",IF(((AF127/X127-1)*100)&gt;100,"NM",IF(((AF127/X127-1)*100)&lt;-50,"NM",(AF127/X127-1)*100)))</f>
        <v>-8.4399625296001197</v>
      </c>
      <c r="AH127" s="35">
        <f>AH119/AH118*400</f>
        <v>10.503422193990227</v>
      </c>
      <c r="AI127" s="23">
        <f>IF(ISERROR((AH127/Z127-1)*100),"NA",IF(((AH127/Z127-1)*100)&gt;100,"NM",IF(((AH127/Z127-1)*100)&lt;-50,"NM",(AH127/Z127-1)*100)))</f>
        <v>-15.633642578052465</v>
      </c>
      <c r="AJ127" s="35">
        <f>AJ119/AJ118*400</f>
        <v>11.294687604410287</v>
      </c>
      <c r="AK127" s="23">
        <f>IF(ISERROR((AJ127/AB127-1)*100),"NA",IF(((AJ127/AB127-1)*100)&gt;100,"NM",IF(((AJ127/AB127-1)*100)&lt;-50,"NM",(AJ127/AB127-1)*100)))</f>
        <v>-4.9052025188986326</v>
      </c>
      <c r="AL127" s="35">
        <f>AL119/AL118*400</f>
        <v>13.301820844845375</v>
      </c>
      <c r="AM127" s="23">
        <f>IF(ISERROR((AL127/AD127-1)*100),"NA",IF(((AL127/AD127-1)*100)&gt;100,"NM",IF(((AL127/AD127-1)*100)&lt;-50,"NM",(AL127/AD127-1)*100)))</f>
        <v>32.793243173723226</v>
      </c>
      <c r="AN127" s="409">
        <f t="shared" ref="AN127" si="933">AN119/AN118*400</f>
        <v>14.446449732635989</v>
      </c>
      <c r="AO127" s="23">
        <f>IF(ISERROR((AN127/AF127-1)*100),"NA",IF(((AN127/AF127-1)*100)&gt;100,"NM",IF(((AN127/AF127-1)*100)&lt;-50,"NM",(AN127/AF127-1)*100)))</f>
        <v>35.728813911606295</v>
      </c>
      <c r="AP127" s="409"/>
      <c r="AQ127" s="23"/>
      <c r="AR127" s="409"/>
      <c r="AS127" s="23"/>
      <c r="AT127" s="409"/>
      <c r="AU127" s="23"/>
      <c r="AV127" s="409"/>
      <c r="AW127" s="23" t="str">
        <f t="shared" ref="AW127:AW130" si="934">IF(ISERROR((AV127/AN127-1)*100),"NA",IF(((AV127/AN127-1)*100)&gt;100,"NM",IF(((AV127/AN127-1)*100)&lt;-50,"NM",(AV127/AN127-1)*100)))</f>
        <v>NM</v>
      </c>
      <c r="AX127" s="409"/>
      <c r="AY127" s="23"/>
      <c r="AZ127" s="409"/>
      <c r="BA127" s="23"/>
      <c r="BB127" s="409"/>
      <c r="BC127" s="23" t="str">
        <f t="shared" ref="BC127:BC130" si="935">IF(ISERROR((BB127/AT127-1)*100),"NA",IF(((BB127/AT127-1)*100)&gt;100,"NM",IF(((BB127/AT127-1)*100)&lt;-50,"NM",(BB127/AT127-1)*100)))</f>
        <v>NA</v>
      </c>
      <c r="BD127" s="409"/>
      <c r="BE127" s="23" t="str">
        <f t="shared" ref="BE127:BE130" si="936">IF(ISERROR((BD127/AV127-1)*100),"NA",IF(((BD127/AV127-1)*100)&gt;100,"NM",IF(((BD127/AV127-1)*100)&lt;-50,"NM",(BD127/AV127-1)*100)))</f>
        <v>NA</v>
      </c>
      <c r="BF127" s="114"/>
      <c r="BG127" s="23"/>
      <c r="BH127" s="114"/>
      <c r="BI127" s="23"/>
      <c r="BJ127" s="114"/>
      <c r="BK127" s="23"/>
      <c r="BL127" s="114"/>
      <c r="BM127" s="23" t="str">
        <f t="shared" ref="BM127:BM130" si="937">IF(ISERROR((BL127/BD127-1)*100),"NA",IF(((BL127/BD127-1)*100)&gt;100,"NM",IF(((BL127/BD127-1)*100)&lt;-50,"NM",(BL127/BD127-1)*100)))</f>
        <v>NA</v>
      </c>
      <c r="BN127" s="35"/>
      <c r="BO127" s="138"/>
      <c r="BP127" s="35"/>
      <c r="BQ127" s="113"/>
      <c r="BR127" s="113"/>
      <c r="BS127" s="113"/>
      <c r="BT127" s="35"/>
      <c r="BU127" s="37">
        <f>BU119/BU118*100</f>
        <v>10.120829532714787</v>
      </c>
      <c r="BV127" s="23" t="str">
        <f>IF(ISERROR((BU127/BS127-1)*100),"NA",IF(((BU127/BS127-1)*100)&gt;100,"NM",IF(((BU127/BS127-1)*100)&lt;-50,"NM",(BU127/BS127-1)*100)))</f>
        <v>NA</v>
      </c>
      <c r="BW127" s="37">
        <f>BW119/BW118*100</f>
        <v>8.4902169015897542</v>
      </c>
      <c r="BX127" s="23">
        <f>IF(ISERROR((BW127/BU127-1)*100),"NA",IF(((BW127/BU127-1)*100)&gt;100,"NM",IF(((BW127/BU127-1)*100)&lt;-50,"NM",(BW127/BU127-1)*100)))</f>
        <v>-16.111452384947356</v>
      </c>
      <c r="BY127" s="37">
        <f>BY119/BY118*100</f>
        <v>10.343347270994494</v>
      </c>
      <c r="BZ127" s="23">
        <f>IF(ISERROR((BY127/BW127-1)*100),"NA",IF(((BY127/BW127-1)*100)&gt;100,"NM",IF(((BY127/BW127-1)*100)&lt;-50,"NM",(BY127/BW127-1)*100)))</f>
        <v>21.8266552066267</v>
      </c>
      <c r="CA127" s="37">
        <f>CA119/CA118*100</f>
        <v>11.340854758209955</v>
      </c>
      <c r="CB127" s="23">
        <f>IF(ISERROR((CA127/BY127-1)*100),"NA",IF(((CA127/BY127-1)*100)&gt;100,"NM",IF(((CA127/BY127-1)*100)&lt;-50,"NM",(CA127/BY127-1)*100)))</f>
        <v>9.6439523983956157</v>
      </c>
      <c r="CC127" s="37">
        <f>CC119/CC118*100</f>
        <v>12.460403932473191</v>
      </c>
      <c r="CD127" s="23">
        <f>IF(ISERROR((CC127/CA127-1)*100),"NA",IF(((CC127/CA127-1)*100)&gt;100,"NM",IF(((CC127/CA127-1)*100)&lt;-50,"NM",(CC127/CA127-1)*100)))</f>
        <v>9.8718235806058985</v>
      </c>
      <c r="CE127" s="37">
        <f>CE119/CE118*100</f>
        <v>0</v>
      </c>
      <c r="CF127" s="23" t="str">
        <f>IF(ISERROR((CE127/CC127-1)*100),"NA",IF(((CE127/CC127-1)*100)&gt;100,"NM",IF(((CE127/CC127-1)*100)&lt;-50,"NM",(CE127/CC127-1)*100)))</f>
        <v>NM</v>
      </c>
      <c r="CG127" s="37"/>
      <c r="CH127" s="23" t="str">
        <f>IF(ISERROR((CG127/CE127-1)*100),"NA",IF(((CG127/CE127-1)*100)&gt;100,"NM",IF(((CG127/CE127-1)*100)&lt;-50,"NM",(CG127/CE127-1)*100)))</f>
        <v>NA</v>
      </c>
      <c r="CI127" s="37"/>
      <c r="CJ127" s="23"/>
      <c r="CK127" s="114"/>
      <c r="CL127" s="23"/>
      <c r="CM127" s="114"/>
      <c r="CN127" s="23"/>
      <c r="CO127" s="114"/>
      <c r="CP127" s="23"/>
      <c r="CQ127" s="114"/>
      <c r="CR127" s="23"/>
      <c r="CS127" s="23"/>
    </row>
    <row r="128" spans="1:97" ht="12.75" hidden="1" customHeight="1" outlineLevel="1" x14ac:dyDescent="0.2">
      <c r="A128" s="4" t="s">
        <v>105</v>
      </c>
      <c r="B128" s="35">
        <f t="shared" ref="B128:N128" si="938">B120/B118*400</f>
        <v>-13.363175723189064</v>
      </c>
      <c r="C128" s="59"/>
      <c r="D128" s="35">
        <f t="shared" si="938"/>
        <v>-12.569053611528814</v>
      </c>
      <c r="E128" s="59"/>
      <c r="F128" s="35">
        <f t="shared" si="938"/>
        <v>-12.393676856584634</v>
      </c>
      <c r="G128" s="59"/>
      <c r="H128" s="35">
        <f t="shared" si="938"/>
        <v>-17.456870839199219</v>
      </c>
      <c r="I128" s="59"/>
      <c r="J128" s="35">
        <f t="shared" si="938"/>
        <v>-16.064877389457425</v>
      </c>
      <c r="K128" s="23">
        <f t="shared" si="932"/>
        <v>20.217512081204681</v>
      </c>
      <c r="L128" s="35">
        <f t="shared" si="938"/>
        <v>-28.152596969562243</v>
      </c>
      <c r="M128" s="23" t="str">
        <f t="shared" si="932"/>
        <v>NM</v>
      </c>
      <c r="N128" s="35">
        <f t="shared" si="938"/>
        <v>-18.021827469121448</v>
      </c>
      <c r="O128" s="23">
        <f t="shared" si="932"/>
        <v>45.411468103161297</v>
      </c>
      <c r="P128" s="35">
        <f>P120/P118*400</f>
        <v>-14.34316067468067</v>
      </c>
      <c r="Q128" s="23">
        <f t="shared" si="932"/>
        <v>-17.836588201860014</v>
      </c>
      <c r="R128" s="35">
        <f>R120/R118*400</f>
        <v>-11.575413622275068</v>
      </c>
      <c r="S128" s="23">
        <f t="shared" si="932"/>
        <v>-27.945832752689213</v>
      </c>
      <c r="T128" s="35">
        <f>T120/T118*400</f>
        <v>-12.98345488607897</v>
      </c>
      <c r="U128" s="23" t="str">
        <f t="shared" si="932"/>
        <v>NM</v>
      </c>
      <c r="V128" s="35">
        <f>V120/V118*400</f>
        <v>-14.010839184675165</v>
      </c>
      <c r="W128" s="23">
        <f t="shared" si="932"/>
        <v>-22.256279455114637</v>
      </c>
      <c r="X128" s="35">
        <f>X120/X118*400</f>
        <v>-14.295512858509813</v>
      </c>
      <c r="Y128" s="23">
        <f t="shared" si="932"/>
        <v>-0.332198859453392</v>
      </c>
      <c r="Z128" s="35">
        <f>Z120/Z118*400</f>
        <v>-12.085727467181137</v>
      </c>
      <c r="AA128" s="23">
        <f>IF(ISERROR((Z128/R128-1)*100),"NA",IF(((Z128/R128-1)*100)&gt;100,"NM",IF(((Z128/R128-1)*100)&lt;-50,"NM",(Z128/R128-1)*100)))</f>
        <v>4.4086013818465108</v>
      </c>
      <c r="AB128" s="35">
        <f>AB120/AB118*400</f>
        <v>-12.966252220248665</v>
      </c>
      <c r="AC128" s="23">
        <f>IF(ISERROR((AB128/T128-1)*100),"NA",IF(((AB128/T128-1)*100)&gt;100,"NM",IF(((AB128/T128-1)*100)&lt;-50,"NM",(AB128/T128-1)*100)))</f>
        <v>-0.13249682754896686</v>
      </c>
      <c r="AD128" s="35">
        <f>AD120/AD118*400</f>
        <v>-19.800891762070975</v>
      </c>
      <c r="AE128" s="23">
        <f>IF(ISERROR((AD128/V128-1)*100),"NA",IF(((AD128/V128-1)*100)&gt;100,"NM",IF(((AD128/V128-1)*100)&lt;-50,"NM",(AD128/V128-1)*100)))</f>
        <v>41.325523054528233</v>
      </c>
      <c r="AF128" s="35">
        <f>AF120/AF118*400</f>
        <v>-16.711091769569702</v>
      </c>
      <c r="AG128" s="23">
        <f>IF(ISERROR((AF128/X128-1)*100),"NA",IF(((AF128/X128-1)*100)&gt;100,"NM",IF(((AF128/X128-1)*100)&lt;-50,"NM",(AF128/X128-1)*100)))</f>
        <v>16.897462406337848</v>
      </c>
      <c r="AH128" s="35">
        <f>AH120/AH118*400</f>
        <v>-11.634197540731888</v>
      </c>
      <c r="AI128" s="23">
        <f>IF(ISERROR((AH128/Z128-1)*100),"NA",IF(((AH128/Z128-1)*100)&gt;100,"NM",IF(((AH128/Z128-1)*100)&lt;-50,"NM",(AH128/Z128-1)*100)))</f>
        <v>-3.7360591464219328</v>
      </c>
      <c r="AJ128" s="35">
        <f>AJ120/AJ118*400</f>
        <v>-12.246909455395921</v>
      </c>
      <c r="AK128" s="23">
        <f>IF(ISERROR((AJ128/AB128-1)*100),"NA",IF(((AJ128/AB128-1)*100)&gt;100,"NM",IF(((AJ128/AB128-1)*100)&lt;-50,"NM",(AJ128/AB128-1)*100)))</f>
        <v>-5.5478078987958206</v>
      </c>
      <c r="AL128" s="35">
        <f>AL120/AL118*400</f>
        <v>-12.333144702240268</v>
      </c>
      <c r="AM128" s="23">
        <f>IF(ISERROR((AL128/AD128-1)*100),"NA",IF(((AL128/AD128-1)*100)&gt;100,"NM",IF(((AL128/AD128-1)*100)&lt;-50,"NM",(AL128/AD128-1)*100)))</f>
        <v>-37.714195651204626</v>
      </c>
      <c r="AN128" s="409">
        <f t="shared" ref="AN128" si="939">AN120/AN118*400</f>
        <v>-12.890420538245401</v>
      </c>
      <c r="AO128" s="23">
        <f>IF(ISERROR((AN128/AF128-1)*100),"NA",IF(((AN128/AF128-1)*100)&gt;100,"NM",IF(((AN128/AF128-1)*100)&lt;-50,"NM",(AN128/AF128-1)*100)))</f>
        <v>-22.863085691873263</v>
      </c>
      <c r="AP128" s="409"/>
      <c r="AQ128" s="23"/>
      <c r="AR128" s="409"/>
      <c r="AS128" s="23"/>
      <c r="AT128" s="409"/>
      <c r="AU128" s="23"/>
      <c r="AV128" s="409"/>
      <c r="AW128" s="23" t="str">
        <f t="shared" si="934"/>
        <v>NM</v>
      </c>
      <c r="AX128" s="409"/>
      <c r="AY128" s="23"/>
      <c r="AZ128" s="409"/>
      <c r="BA128" s="23"/>
      <c r="BB128" s="409"/>
      <c r="BC128" s="23" t="str">
        <f t="shared" si="935"/>
        <v>NA</v>
      </c>
      <c r="BD128" s="409"/>
      <c r="BE128" s="23" t="str">
        <f t="shared" si="936"/>
        <v>NA</v>
      </c>
      <c r="BF128" s="114"/>
      <c r="BG128" s="23"/>
      <c r="BH128" s="114"/>
      <c r="BI128" s="23"/>
      <c r="BJ128" s="114"/>
      <c r="BK128" s="23"/>
      <c r="BL128" s="114"/>
      <c r="BM128" s="23" t="str">
        <f t="shared" si="937"/>
        <v>NA</v>
      </c>
      <c r="BN128" s="35"/>
      <c r="BO128" s="138"/>
      <c r="BP128" s="35"/>
      <c r="BQ128" s="113"/>
      <c r="BR128" s="113"/>
      <c r="BS128" s="113"/>
      <c r="BT128" s="35"/>
      <c r="BU128" s="37">
        <f>BU120/BU118*100</f>
        <v>-14.070392143468494</v>
      </c>
      <c r="BV128" s="23" t="str">
        <f>IF(ISERROR((BU128/BS128-1)*100),"NA",IF(((BU128/BS128-1)*100)&gt;100,"NM",IF(((BU128/BS128-1)*100)&lt;-50,"NM",(BU128/BS128-1)*100)))</f>
        <v>NA</v>
      </c>
      <c r="BW128" s="37">
        <f>BW120/BW118*100</f>
        <v>-18.682821651541477</v>
      </c>
      <c r="BX128" s="23">
        <f>IF(ISERROR((BW128/BU128-1)*100),"NA",IF(((BW128/BU128-1)*100)&gt;100,"NM",IF(((BW128/BU128-1)*100)&lt;-50,"NM",(BW128/BU128-1)*100)))</f>
        <v>32.781101344173159</v>
      </c>
      <c r="BY128" s="37">
        <f>BY120/BY118*100</f>
        <v>-13.31189738218097</v>
      </c>
      <c r="BZ128" s="23">
        <f>IF(ISERROR((BY128/BW128-1)*100),"NA",IF(((BY128/BW128-1)*100)&gt;100,"NM",IF(((BY128/BW128-1)*100)&lt;-50,"NM",(BY128/BW128-1)*100)))</f>
        <v>-28.747928816830324</v>
      </c>
      <c r="CA128" s="37">
        <f>CA120/CA118*100</f>
        <v>-15.546281927609778</v>
      </c>
      <c r="CB128" s="23">
        <f>IF(ISERROR((CA128/BY128-1)*100),"NA",IF(((CA128/BY128-1)*100)&gt;100,"NM",IF(((CA128/BY128-1)*100)&lt;-50,"NM",(CA128/BY128-1)*100)))</f>
        <v>16.784869063216412</v>
      </c>
      <c r="CC128" s="37">
        <f>CC120/CC118*100</f>
        <v>-12.347242262728582</v>
      </c>
      <c r="CD128" s="23">
        <f>IF(ISERROR((CC128/CA128-1)*100),"NA",IF(((CC128/CA128-1)*100)&gt;100,"NM",IF(((CC128/CA128-1)*100)&lt;-50,"NM",(CC128/CA128-1)*100)))</f>
        <v>-20.577522521316094</v>
      </c>
      <c r="CE128" s="37">
        <f>CE120/CE118*100</f>
        <v>0</v>
      </c>
      <c r="CF128" s="23" t="str">
        <f>IF(ISERROR((CE128/CC128-1)*100),"NA",IF(((CE128/CC128-1)*100)&gt;100,"NM",IF(((CE128/CC128-1)*100)&lt;-50,"NM",(CE128/CC128-1)*100)))</f>
        <v>NM</v>
      </c>
      <c r="CG128" s="37"/>
      <c r="CH128" s="23" t="str">
        <f>IF(ISERROR((CG128/CE128-1)*100),"NA",IF(((CG128/CE128-1)*100)&gt;100,"NM",IF(((CG128/CE128-1)*100)&lt;-50,"NM",(CG128/CE128-1)*100)))</f>
        <v>NA</v>
      </c>
      <c r="CI128" s="37"/>
      <c r="CJ128" s="23"/>
      <c r="CK128" s="587"/>
      <c r="CL128" s="23"/>
      <c r="CM128" s="114"/>
      <c r="CN128" s="23"/>
      <c r="CO128" s="114"/>
      <c r="CP128" s="23"/>
      <c r="CQ128" s="114"/>
      <c r="CR128" s="23"/>
      <c r="CS128" s="23"/>
    </row>
    <row r="129" spans="1:97" ht="12.75" hidden="1" customHeight="1" outlineLevel="1" x14ac:dyDescent="0.2">
      <c r="A129" s="4" t="s">
        <v>106</v>
      </c>
      <c r="B129" s="35">
        <f t="shared" ref="B129:N129" si="940">B121/B118*400</f>
        <v>4.8846152300663412</v>
      </c>
      <c r="C129" s="59"/>
      <c r="D129" s="35">
        <f t="shared" si="940"/>
        <v>4.9459337643741206</v>
      </c>
      <c r="E129" s="59"/>
      <c r="F129" s="35">
        <f t="shared" si="940"/>
        <v>6.9467742890410702E-2</v>
      </c>
      <c r="G129" s="59"/>
      <c r="H129" s="35">
        <f t="shared" si="940"/>
        <v>5.3687752034169272</v>
      </c>
      <c r="I129" s="59"/>
      <c r="J129" s="35">
        <f t="shared" si="940"/>
        <v>5.5866640921670845</v>
      </c>
      <c r="K129" s="23">
        <f t="shared" si="932"/>
        <v>14.372654324529233</v>
      </c>
      <c r="L129" s="35">
        <f t="shared" si="940"/>
        <v>1.60696459100407</v>
      </c>
      <c r="M129" s="23" t="str">
        <f t="shared" si="932"/>
        <v>NM</v>
      </c>
      <c r="N129" s="35">
        <f t="shared" si="940"/>
        <v>5.185821024901581</v>
      </c>
      <c r="O129" s="23" t="str">
        <f t="shared" si="932"/>
        <v>NM</v>
      </c>
      <c r="P129" s="35">
        <f>P121/P118*400</f>
        <v>3.6853598396629152</v>
      </c>
      <c r="Q129" s="23">
        <f t="shared" si="932"/>
        <v>-31.355668657585277</v>
      </c>
      <c r="R129" s="35">
        <f>R121/R118*400</f>
        <v>5.1137192949317836</v>
      </c>
      <c r="S129" s="23">
        <f t="shared" si="932"/>
        <v>-8.4656028970563018</v>
      </c>
      <c r="T129" s="35">
        <f>T121/T118*400</f>
        <v>3.5966525696776745</v>
      </c>
      <c r="U129" s="23" t="str">
        <f t="shared" si="932"/>
        <v>NM</v>
      </c>
      <c r="V129" s="35">
        <f>V121/V118*400</f>
        <v>5.9598472970209269</v>
      </c>
      <c r="W129" s="23">
        <f t="shared" si="932"/>
        <v>14.925819236772364</v>
      </c>
      <c r="X129" s="35">
        <f>X121/X118*400</f>
        <v>6.4711710262250923</v>
      </c>
      <c r="Y129" s="23">
        <f t="shared" si="932"/>
        <v>75.591293869881213</v>
      </c>
      <c r="Z129" s="35">
        <f>Z121/Z118*400</f>
        <v>3.8870947447888256</v>
      </c>
      <c r="AA129" s="23">
        <f>IF(ISERROR((Z129/R129-1)*100),"NA",IF(((Z129/R129-1)*100)&gt;100,"NM",IF(((Z129/R129-1)*100)&lt;-50,"NM",(Z129/R129-1)*100)))</f>
        <v>-23.986935523791221</v>
      </c>
      <c r="AB129" s="35">
        <f>AB121/AB118*400</f>
        <v>5.7751365349180777</v>
      </c>
      <c r="AC129" s="23">
        <f>IF(ISERROR((AB129/T129-1)*100),"NA",IF(((AB129/T129-1)*100)&gt;100,"NM",IF(((AB129/T129-1)*100)&lt;-50,"NM",(AB129/T129-1)*100)))</f>
        <v>60.569763774420807</v>
      </c>
      <c r="AD129" s="35">
        <f>AD121/AD118*400</f>
        <v>1.8950969493861436</v>
      </c>
      <c r="AE129" s="23" t="str">
        <f>IF(ISERROR((AD129/V129-1)*100),"NA",IF(((AD129/V129-1)*100)&gt;100,"NM",IF(((AD129/V129-1)*100)&lt;-50,"NM",(AD129/V129-1)*100)))</f>
        <v>NM</v>
      </c>
      <c r="AF129" s="35">
        <f>AF121/AF118*400</f>
        <v>3.9484640909870721</v>
      </c>
      <c r="AG129" s="23">
        <f>IF(ISERROR((AF129/X129-1)*100),"NA",IF(((AF129/X129-1)*100)&gt;100,"NM",IF(((AF129/X129-1)*100)&lt;-50,"NM",(AF129/X129-1)*100)))</f>
        <v>-38.983777820343313</v>
      </c>
      <c r="AH129" s="35">
        <f>AH121/AH118*400</f>
        <v>4.0368006798113676</v>
      </c>
      <c r="AI129" s="23">
        <f>IF(ISERROR((AH129/Z129-1)*100),"NA",IF(((AH129/Z129-1)*100)&gt;100,"NM",IF(((AH129/Z129-1)*100)&lt;-50,"NM",(AH129/Z129-1)*100)))</f>
        <v>3.8513580154752702</v>
      </c>
      <c r="AJ129" s="35">
        <f>AJ121/AJ118*400</f>
        <v>2.4356832609421972</v>
      </c>
      <c r="AK129" s="23" t="str">
        <f>IF(ISERROR((AJ129/AB129-1)*100),"NA",IF(((AJ129/AB129-1)*100)&gt;100,"NM",IF(((AJ129/AB129-1)*100)&lt;-50,"NM",(AJ129/AB129-1)*100)))</f>
        <v>NM</v>
      </c>
      <c r="AL129" s="35">
        <f>AL121/AL118*400</f>
        <v>-3.490230018974068</v>
      </c>
      <c r="AM129" s="23" t="str">
        <f>IF(ISERROR((AL129/AD129-1)*100),"NA",IF(((AL129/AD129-1)*100)&gt;100,"NM",IF(((AL129/AD129-1)*100)&lt;-50,"NM",(AL129/AD129-1)*100)))</f>
        <v>NM</v>
      </c>
      <c r="AN129" s="409">
        <f t="shared" ref="AN129" si="941">AN121/AN118*400</f>
        <v>3.9997822564098255</v>
      </c>
      <c r="AO129" s="23">
        <f>IF(ISERROR((AN129/AF129-1)*100),"NA",IF(((AN129/AF129-1)*100)&gt;100,"NM",IF(((AN129/AF129-1)*100)&lt;-50,"NM",(AN129/AF129-1)*100)))</f>
        <v>1.2996994335061629</v>
      </c>
      <c r="AP129" s="409"/>
      <c r="AQ129" s="23"/>
      <c r="AR129" s="409"/>
      <c r="AS129" s="23"/>
      <c r="AT129" s="409"/>
      <c r="AU129" s="23"/>
      <c r="AV129" s="409"/>
      <c r="AW129" s="23" t="str">
        <f t="shared" si="934"/>
        <v>NM</v>
      </c>
      <c r="AX129" s="409"/>
      <c r="AY129" s="23"/>
      <c r="AZ129" s="409"/>
      <c r="BA129" s="23"/>
      <c r="BB129" s="409"/>
      <c r="BC129" s="23" t="str">
        <f t="shared" si="935"/>
        <v>NA</v>
      </c>
      <c r="BD129" s="409"/>
      <c r="BE129" s="23" t="str">
        <f t="shared" si="936"/>
        <v>NA</v>
      </c>
      <c r="BF129" s="35"/>
      <c r="BG129" s="23"/>
      <c r="BH129" s="35"/>
      <c r="BI129" s="23"/>
      <c r="BJ129" s="35"/>
      <c r="BK129" s="23"/>
      <c r="BL129" s="35"/>
      <c r="BM129" s="23" t="str">
        <f t="shared" si="937"/>
        <v>NA</v>
      </c>
      <c r="BN129" s="35"/>
      <c r="BO129" s="138"/>
      <c r="BP129" s="35"/>
      <c r="BQ129" s="113"/>
      <c r="BR129" s="113"/>
      <c r="BS129" s="113"/>
      <c r="BT129" s="35"/>
      <c r="BU129" s="37">
        <f>BU121/BU118*100</f>
        <v>3.8406673551311359</v>
      </c>
      <c r="BV129" s="23" t="str">
        <f>IF(ISERROR((BU129/BS129-1)*100),"NA",IF(((BU129/BS129-1)*100)&gt;100,"NM",IF(((BU129/BS129-1)*100)&lt;-50,"NM",(BU129/BS129-1)*100)))</f>
        <v>NA</v>
      </c>
      <c r="BW129" s="37">
        <f>BW121/BW118*100</f>
        <v>3.8971487417133299</v>
      </c>
      <c r="BX129" s="23">
        <f>IF(ISERROR((BW129/BU129-1)*100),"NA",IF(((BW129/BU129-1)*100)&gt;100,"NM",IF(((BW129/BU129-1)*100)&lt;-50,"NM",(BW129/BU129-1)*100)))</f>
        <v>1.4706138636748856</v>
      </c>
      <c r="BY129" s="37">
        <f>BY121/BY118*100</f>
        <v>5.3245013780254293</v>
      </c>
      <c r="BZ129" s="23">
        <f>IF(ISERROR((BY129/BW129-1)*100),"NA",IF(((BY129/BW129-1)*100)&gt;100,"NM",IF(((BY129/BW129-1)*100)&lt;-50,"NM",(BY129/BW129-1)*100)))</f>
        <v>36.625562197161173</v>
      </c>
      <c r="CA129" s="37">
        <f>CA121/CA118*100</f>
        <v>3.9047099777712528</v>
      </c>
      <c r="CB129" s="23">
        <f>IF(ISERROR((CA129/BY129-1)*100),"NA",IF(((CA129/BY129-1)*100)&gt;100,"NM",IF(((CA129/BY129-1)*100)&lt;-50,"NM",(CA129/BY129-1)*100)))</f>
        <v>-26.665246178989644</v>
      </c>
      <c r="CC129" s="37">
        <f>CC121/CC118*100</f>
        <v>1.7449613609688996</v>
      </c>
      <c r="CD129" s="23" t="str">
        <f>IF(ISERROR((CC129/CA129-1)*100),"NA",IF(((CC129/CA129-1)*100)&gt;100,"NM",IF(((CC129/CA129-1)*100)&lt;-50,"NM",(CC129/CA129-1)*100)))</f>
        <v>NM</v>
      </c>
      <c r="CE129" s="37">
        <f>CE121/CE118*100</f>
        <v>0</v>
      </c>
      <c r="CF129" s="23" t="str">
        <f>IF(ISERROR((CE129/CC129-1)*100),"NA",IF(((CE129/CC129-1)*100)&gt;100,"NM",IF(((CE129/CC129-1)*100)&lt;-50,"NM",(CE129/CC129-1)*100)))</f>
        <v>NM</v>
      </c>
      <c r="CG129" s="37"/>
      <c r="CH129" s="23" t="str">
        <f>IF(ISERROR((CG129/CE129-1)*100),"NA",IF(((CG129/CE129-1)*100)&gt;100,"NM",IF(((CG129/CE129-1)*100)&lt;-50,"NM",(CG129/CE129-1)*100)))</f>
        <v>NA</v>
      </c>
      <c r="CI129" s="37"/>
      <c r="CJ129" s="23"/>
      <c r="CK129" s="37"/>
      <c r="CL129" s="23"/>
      <c r="CM129" s="37"/>
      <c r="CN129" s="23"/>
      <c r="CO129" s="37"/>
      <c r="CP129" s="23"/>
      <c r="CQ129" s="37"/>
      <c r="CR129" s="23"/>
      <c r="CS129" s="23"/>
    </row>
    <row r="130" spans="1:97" ht="12.75" hidden="1" customHeight="1" outlineLevel="1" x14ac:dyDescent="0.2">
      <c r="A130" s="4" t="s">
        <v>107</v>
      </c>
      <c r="B130" s="115">
        <f>(B129/4)/B$24*100</f>
        <v>22.521949734121968</v>
      </c>
      <c r="C130" s="59"/>
      <c r="D130" s="115">
        <f>(D129/4)/D$24*100</f>
        <v>-139.97356876725004</v>
      </c>
      <c r="E130" s="59"/>
      <c r="F130" s="115">
        <f>(F129/4)/F$24*100</f>
        <v>-0.11172130986554203</v>
      </c>
      <c r="G130" s="59"/>
      <c r="H130" s="115">
        <f>(H129/4)/H$24*100</f>
        <v>12.035077775164639</v>
      </c>
      <c r="I130" s="59"/>
      <c r="J130" s="115">
        <f>(J129/4)/J$24*100</f>
        <v>11.642114977790357</v>
      </c>
      <c r="K130" s="23">
        <f t="shared" si="932"/>
        <v>-48.30769486998755</v>
      </c>
      <c r="L130" s="115">
        <f>(L129/4)/L$24*100</f>
        <v>-12.218534968103555</v>
      </c>
      <c r="M130" s="23" t="str">
        <f t="shared" si="932"/>
        <v>NM</v>
      </c>
      <c r="N130" s="115">
        <f>(N129/4)/N$24*100</f>
        <v>22.493688597885384</v>
      </c>
      <c r="O130" s="23" t="str">
        <f t="shared" si="932"/>
        <v>NM</v>
      </c>
      <c r="P130" s="115">
        <f>(P129/4)/P$24*100</f>
        <v>-65.809997136837779</v>
      </c>
      <c r="Q130" s="23" t="str">
        <f t="shared" si="932"/>
        <v>NM</v>
      </c>
      <c r="R130" s="115">
        <f>(R129/4)/R$24*100</f>
        <v>12.784298237329459</v>
      </c>
      <c r="S130" s="23">
        <f t="shared" si="932"/>
        <v>9.8107883466023402</v>
      </c>
      <c r="T130" s="115">
        <f>(T129/4)/T$24*100</f>
        <v>37.465130934142444</v>
      </c>
      <c r="U130" s="23" t="str">
        <f t="shared" si="932"/>
        <v>NM</v>
      </c>
      <c r="V130" s="115">
        <f>(V129/4)/V$24*100</f>
        <v>36.340532298908094</v>
      </c>
      <c r="W130" s="23">
        <f t="shared" si="932"/>
        <v>61.558795218337117</v>
      </c>
      <c r="X130" s="115">
        <f>(X129/4)/X$24*100</f>
        <v>17.029397437434454</v>
      </c>
      <c r="Y130" s="23" t="str">
        <f t="shared" si="932"/>
        <v>NM</v>
      </c>
      <c r="Z130" s="115">
        <f>(Z129/4)/Z$24*100</f>
        <v>74.903566031780713</v>
      </c>
      <c r="AA130" s="23" t="str">
        <f>IF(ISERROR((Z130/R130-1)*100),"NA",IF(((Z130/R130-1)*100)&gt;100,"NM",IF(((Z130/R130-1)*100)&lt;-50,"NM",(Z130/R130-1)*100)))</f>
        <v>NM</v>
      </c>
      <c r="AB130" s="115">
        <f>(AB129/4)/AB$24*100</f>
        <v>36.43791036662806</v>
      </c>
      <c r="AC130" s="23">
        <f>IF(ISERROR((AB130/T130-1)*100),"NA",IF(((AB130/T130-1)*100)&gt;100,"NM",IF(((AB130/T130-1)*100)&lt;-50,"NM",(AB130/T130-1)*100)))</f>
        <v>-2.7418042908219586</v>
      </c>
      <c r="AD130" s="115">
        <f>(AD129/4)/AD$24*100</f>
        <v>78.962372891089316</v>
      </c>
      <c r="AE130" s="23" t="str">
        <f>IF(ISERROR((AD130/V130-1)*100),"NA",IF(((AD130/V130-1)*100)&gt;100,"NM",IF(((AD130/V130-1)*100)&lt;-50,"NM",(AD130/V130-1)*100)))</f>
        <v>NM</v>
      </c>
      <c r="AF130" s="115">
        <f>(AF129/4)/AF$24*100</f>
        <v>22.434455062426544</v>
      </c>
      <c r="AG130" s="23">
        <f>IF(ISERROR((AF130/X130-1)*100),"NA",IF(((AF130/X130-1)*100)&gt;100,"NM",IF(((AF130/X130-1)*100)&lt;-50,"NM",(AF130/X130-1)*100)))</f>
        <v>31.739570615167835</v>
      </c>
      <c r="AH130" s="115">
        <f>(AH129/4)/AH$24*100</f>
        <v>252.30004248821047</v>
      </c>
      <c r="AI130" s="23" t="str">
        <f>IF(ISERROR((AH130/Z130-1)*100),"NA",IF(((AH130/Z130-1)*100)&gt;100,"NM",IF(((AH130/Z130-1)*100)&lt;-50,"NM",(AH130/Z130-1)*100)))</f>
        <v>NM</v>
      </c>
      <c r="AJ130" s="115">
        <f>(AJ129/4)/AJ$24*100</f>
        <v>152.23020380888732</v>
      </c>
      <c r="AK130" s="23" t="str">
        <f>IF(ISERROR((AJ130/AB130-1)*100),"NA",IF(((AJ130/AB130-1)*100)&gt;100,"NM",IF(((AJ130/AB130-1)*100)&lt;-50,"NM",(AJ130/AB130-1)*100)))</f>
        <v>NM</v>
      </c>
      <c r="AL130" s="115">
        <f>(AL129/4)/AL$24*100</f>
        <v>11.517034805879128</v>
      </c>
      <c r="AM130" s="23" t="str">
        <f>IF(ISERROR((AL130/AD130-1)*100),"NA",IF(((AL130/AD130-1)*100)&gt;100,"NM",IF(((AL130/AD130-1)*100)&lt;-50,"NM",(AL130/AD130-1)*100)))</f>
        <v>NM</v>
      </c>
      <c r="AN130" s="457">
        <f t="shared" ref="AN130" si="942">(AN129/4)/AN$24*100</f>
        <v>16.014931515516786</v>
      </c>
      <c r="AO130" s="23">
        <f>IF(ISERROR((AN130/AF130-1)*100),"NA",IF(((AN130/AF130-1)*100)&gt;100,"NM",IF(((AN130/AF130-1)*100)&lt;-50,"NM",(AN130/AF130-1)*100)))</f>
        <v>-28.614573115534427</v>
      </c>
      <c r="AP130" s="457"/>
      <c r="AQ130" s="23"/>
      <c r="AR130" s="457"/>
      <c r="AS130" s="23"/>
      <c r="AT130" s="457"/>
      <c r="AU130" s="23"/>
      <c r="AV130" s="457"/>
      <c r="AW130" s="23" t="str">
        <f t="shared" si="934"/>
        <v>NM</v>
      </c>
      <c r="AX130" s="457"/>
      <c r="AY130" s="23"/>
      <c r="AZ130" s="457"/>
      <c r="BA130" s="23"/>
      <c r="BB130" s="457"/>
      <c r="BC130" s="23" t="str">
        <f t="shared" si="935"/>
        <v>NA</v>
      </c>
      <c r="BD130" s="457"/>
      <c r="BE130" s="23" t="str">
        <f t="shared" si="936"/>
        <v>NA</v>
      </c>
      <c r="BF130" s="114"/>
      <c r="BG130" s="23"/>
      <c r="BH130" s="114"/>
      <c r="BI130" s="23"/>
      <c r="BJ130" s="114"/>
      <c r="BK130" s="23"/>
      <c r="BL130" s="114"/>
      <c r="BM130" s="23" t="str">
        <f t="shared" si="937"/>
        <v>NA</v>
      </c>
      <c r="BN130" s="35"/>
      <c r="BO130" s="138"/>
      <c r="BP130" s="35"/>
      <c r="BQ130" s="113"/>
      <c r="BR130" s="113"/>
      <c r="BS130" s="113"/>
      <c r="BT130" s="35"/>
      <c r="BU130" s="37"/>
      <c r="BV130" s="23"/>
      <c r="BW130" s="37"/>
      <c r="BX130" s="23"/>
      <c r="BY130" s="37"/>
      <c r="BZ130" s="23"/>
      <c r="CA130" s="37"/>
      <c r="CB130" s="23"/>
      <c r="CC130" s="37"/>
      <c r="CD130" s="23"/>
      <c r="CE130" s="37"/>
      <c r="CF130" s="23"/>
      <c r="CG130" s="37"/>
      <c r="CH130" s="23"/>
      <c r="CI130" s="37"/>
      <c r="CJ130" s="23"/>
      <c r="CK130" s="114"/>
      <c r="CL130" s="23"/>
      <c r="CM130" s="114"/>
      <c r="CN130" s="23"/>
      <c r="CO130" s="114"/>
      <c r="CP130" s="23"/>
      <c r="CQ130" s="114"/>
      <c r="CR130" s="23"/>
      <c r="CS130" s="23"/>
    </row>
    <row r="131" spans="1:97" ht="12.75" hidden="1" customHeight="1" outlineLevel="1" x14ac:dyDescent="0.2">
      <c r="B131" s="35"/>
      <c r="C131" s="60"/>
      <c r="D131" s="35"/>
      <c r="E131" s="60"/>
      <c r="F131" s="35"/>
      <c r="G131" s="60"/>
      <c r="H131" s="35"/>
      <c r="I131" s="60"/>
      <c r="J131" s="35"/>
      <c r="L131" s="35"/>
      <c r="N131" s="35"/>
      <c r="P131" s="35"/>
      <c r="R131" s="35"/>
      <c r="T131" s="35"/>
      <c r="V131" s="35"/>
      <c r="X131" s="35"/>
      <c r="Z131" s="35"/>
      <c r="AB131" s="35"/>
      <c r="AD131" s="35"/>
      <c r="AF131" s="35"/>
      <c r="AH131" s="35"/>
      <c r="AJ131" s="35"/>
      <c r="AL131" s="35"/>
      <c r="AN131" s="409"/>
      <c r="AP131" s="409"/>
      <c r="AR131" s="409"/>
      <c r="AT131" s="409"/>
      <c r="AV131" s="409"/>
      <c r="AX131" s="409"/>
      <c r="AZ131" s="409"/>
      <c r="BB131" s="409"/>
      <c r="BD131" s="409"/>
      <c r="BF131" s="35"/>
      <c r="BH131" s="35"/>
      <c r="BJ131" s="35"/>
      <c r="BL131" s="35"/>
      <c r="BN131" s="35"/>
      <c r="BO131" s="138"/>
      <c r="BP131" s="35"/>
      <c r="BQ131" s="35"/>
      <c r="BR131" s="35"/>
      <c r="BS131" s="35"/>
      <c r="BT131" s="35"/>
      <c r="BU131" s="37"/>
      <c r="BW131" s="37"/>
      <c r="BY131" s="37"/>
      <c r="CA131" s="37"/>
      <c r="CC131" s="37"/>
      <c r="CE131" s="37"/>
      <c r="CG131" s="37"/>
      <c r="CI131" s="37"/>
      <c r="CK131" s="37"/>
      <c r="CM131" s="37"/>
      <c r="CO131" s="37"/>
      <c r="CQ131" s="37"/>
    </row>
    <row r="132" spans="1:97" ht="12.75" hidden="1" customHeight="1" outlineLevel="1" x14ac:dyDescent="0.2">
      <c r="A132" s="4" t="s">
        <v>134</v>
      </c>
      <c r="B132" s="49">
        <v>2943.4</v>
      </c>
      <c r="C132" s="59"/>
      <c r="D132" s="49">
        <v>2899.2</v>
      </c>
      <c r="E132" s="59"/>
      <c r="F132" s="49">
        <v>2816.5</v>
      </c>
      <c r="G132" s="59"/>
      <c r="H132" s="49">
        <v>2831</v>
      </c>
      <c r="I132" s="59"/>
      <c r="J132" s="49">
        <v>2850.3</v>
      </c>
      <c r="K132" s="23">
        <f t="shared" ref="K132:Y134" si="943">IF(ISERROR((J132/B132-1)*100),"NA",IF(((J132/B132-1)*100)&gt;100,"NM",IF(((J132/B132-1)*100)&lt;-50,"NM",(J132/B132-1)*100)))</f>
        <v>-3.1630087653733763</v>
      </c>
      <c r="L132" s="49">
        <v>2847.5</v>
      </c>
      <c r="M132" s="23">
        <f t="shared" si="943"/>
        <v>-1.7832505518763697</v>
      </c>
      <c r="N132" s="49">
        <v>2851</v>
      </c>
      <c r="O132" s="23">
        <f t="shared" si="943"/>
        <v>1.2249245517486296</v>
      </c>
      <c r="P132" s="48">
        <v>2806.5</v>
      </c>
      <c r="Q132" s="23">
        <f t="shared" si="943"/>
        <v>-0.86541858000706018</v>
      </c>
      <c r="R132" s="48">
        <v>2794.8</v>
      </c>
      <c r="S132" s="23">
        <f t="shared" si="943"/>
        <v>-1.9471634564782625</v>
      </c>
      <c r="T132" s="48">
        <v>2762.9</v>
      </c>
      <c r="U132" s="23">
        <f t="shared" si="943"/>
        <v>-2.9710272168568919</v>
      </c>
      <c r="V132" s="48">
        <v>2760.4</v>
      </c>
      <c r="W132" s="23">
        <f t="shared" si="943"/>
        <v>-3.1778323395299846</v>
      </c>
      <c r="X132" s="48">
        <v>2803.5</v>
      </c>
      <c r="Y132" s="23">
        <f t="shared" si="943"/>
        <v>-0.1068947087119243</v>
      </c>
      <c r="Z132" s="48">
        <v>2871.1</v>
      </c>
      <c r="AA132" s="23">
        <f>IF(ISERROR((Z132/R132-1)*100),"NA",IF(((Z132/R132-1)*100)&gt;100,"NM",IF(((Z132/R132-1)*100)&lt;-50,"NM",(Z132/R132-1)*100)))</f>
        <v>2.7300701302418684</v>
      </c>
      <c r="AB132" s="48">
        <v>2886.1</v>
      </c>
      <c r="AC132" s="23">
        <f>IF(ISERROR((AB132/T132-1)*100),"NA",IF(((AB132/T132-1)*100)&gt;100,"NM",IF(((AB132/T132-1)*100)&lt;-50,"NM",(AB132/T132-1)*100)))</f>
        <v>4.4590828477324429</v>
      </c>
      <c r="AD132" s="48">
        <v>2892.1</v>
      </c>
      <c r="AE132" s="23">
        <f>IF(ISERROR((AD132/V132-1)*100),"NA",IF(((AD132/V132-1)*100)&gt;100,"NM",IF(((AD132/V132-1)*100)&lt;-50,"NM",(AD132/V132-1)*100)))</f>
        <v>4.7710476742500951</v>
      </c>
      <c r="AF132" s="48">
        <v>2878.5</v>
      </c>
      <c r="AG132" s="23">
        <f>IF(ISERROR((AF132/X132-1)*100),"NA",IF(((AF132/X132-1)*100)&gt;100,"NM",IF(((AF132/X132-1)*100)&lt;-50,"NM",(AF132/X132-1)*100)))</f>
        <v>2.6752273943285276</v>
      </c>
      <c r="AH132" s="48">
        <v>2874</v>
      </c>
      <c r="AI132" s="23">
        <f>IF(ISERROR((AH132/Z132-1)*100),"NA",IF(((AH132/Z132-1)*100)&gt;100,"NM",IF(((AH132/Z132-1)*100)&lt;-50,"NM",(AH132/Z132-1)*100)))</f>
        <v>0.10100658284282193</v>
      </c>
      <c r="AJ132" s="48">
        <v>2856.7</v>
      </c>
      <c r="AK132" s="23">
        <f>IF(ISERROR((AJ132/AB132-1)*100),"NA",IF(((AJ132/AB132-1)*100)&gt;100,"NM",IF(((AJ132/AB132-1)*100)&lt;-50,"NM",(AJ132/AB132-1)*100)))</f>
        <v>-1.018675721561968</v>
      </c>
      <c r="AL132" s="48">
        <v>2819.6</v>
      </c>
      <c r="AM132" s="23">
        <f>IF(ISERROR((AL132/AD132-1)*100),"NA",IF(((AL132/AD132-1)*100)&gt;100,"NM",IF(((AL132/AD132-1)*100)&lt;-50,"NM",(AL132/AD132-1)*100)))</f>
        <v>-2.5068289478233807</v>
      </c>
      <c r="AN132" s="287">
        <v>2822.8</v>
      </c>
      <c r="AO132" s="23">
        <f>IF(ISERROR((AN132/AF132-1)*100),"NA",IF(((AN132/AF132-1)*100)&gt;100,"NM",IF(((AN132/AF132-1)*100)&lt;-50,"NM",(AN132/AF132-1)*100)))</f>
        <v>-1.9350356088240317</v>
      </c>
      <c r="AP132" s="287"/>
      <c r="AQ132" s="23"/>
      <c r="AR132" s="287"/>
      <c r="AS132" s="23"/>
      <c r="AT132" s="287"/>
      <c r="AU132" s="23"/>
      <c r="AV132" s="287"/>
      <c r="AW132" s="23" t="str">
        <f t="shared" ref="AW132:AW134" si="944">IF(ISERROR((AV132/AN132-1)*100),"NA",IF(((AV132/AN132-1)*100)&gt;100,"NM",IF(((AV132/AN132-1)*100)&lt;-50,"NM",(AV132/AN132-1)*100)))</f>
        <v>NM</v>
      </c>
      <c r="AX132" s="287"/>
      <c r="AY132" s="23"/>
      <c r="AZ132" s="287"/>
      <c r="BA132" s="23"/>
      <c r="BB132" s="287"/>
      <c r="BC132" s="23" t="str">
        <f t="shared" ref="BC132:BC134" si="945">IF(ISERROR((BB132/AT132-1)*100),"NA",IF(((BB132/AT132-1)*100)&gt;100,"NM",IF(((BB132/AT132-1)*100)&lt;-50,"NM",(BB132/AT132-1)*100)))</f>
        <v>NA</v>
      </c>
      <c r="BD132" s="287"/>
      <c r="BE132" s="23" t="str">
        <f t="shared" ref="BE132:BE134" si="946">IF(ISERROR((BD132/AV132-1)*100),"NA",IF(((BD132/AV132-1)*100)&gt;100,"NM",IF(((BD132/AV132-1)*100)&lt;-50,"NM",(BD132/AV132-1)*100)))</f>
        <v>NA</v>
      </c>
      <c r="BF132" s="48"/>
      <c r="BG132" s="23"/>
      <c r="BH132" s="48"/>
      <c r="BI132" s="23"/>
      <c r="BJ132" s="48"/>
      <c r="BK132" s="23"/>
      <c r="BL132" s="48"/>
      <c r="BM132" s="23" t="str">
        <f t="shared" ref="BM132:BM134" si="947">IF(ISERROR((BL132/BD132-1)*100),"NA",IF(((BL132/BD132-1)*100)&gt;100,"NM",IF(((BL132/BD132-1)*100)&lt;-50,"NM",(BL132/BD132-1)*100)))</f>
        <v>NA</v>
      </c>
      <c r="BN132" s="35"/>
      <c r="BO132" s="137"/>
      <c r="BP132" s="35"/>
      <c r="BQ132" s="113"/>
      <c r="BR132" s="113"/>
      <c r="BS132" s="113"/>
      <c r="BT132" s="35"/>
      <c r="BU132" s="56">
        <f>H132</f>
        <v>2831</v>
      </c>
      <c r="BV132" s="23" t="str">
        <f>IF(ISERROR((BU132/BS132-1)*100),"NA",IF(((BU132/BS132-1)*100)&gt;100,"NM",IF(((BU132/BS132-1)*100)&lt;-50,"NM",(BU132/BS132-1)*100)))</f>
        <v>NA</v>
      </c>
      <c r="BW132" s="56">
        <f>P132</f>
        <v>2806.5</v>
      </c>
      <c r="BX132" s="23">
        <f>IF(ISERROR((BW132/BU132-1)*100),"NA",IF(((BW132/BU132-1)*100)&gt;100,"NM",IF(((BW132/BU132-1)*100)&lt;-50,"NM",(BW132/BU132-1)*100)))</f>
        <v>-0.86541858000706018</v>
      </c>
      <c r="BY132" s="56">
        <f>X132</f>
        <v>2803.5</v>
      </c>
      <c r="BZ132" s="23">
        <f>IF(ISERROR((BY132/BW132-1)*100),"NA",IF(((BY132/BW132-1)*100)&gt;100,"NM",IF(((BY132/BW132-1)*100)&lt;-50,"NM",(BY132/BW132-1)*100)))</f>
        <v>-0.1068947087119243</v>
      </c>
      <c r="CA132" s="56">
        <f>AF132</f>
        <v>2878.5</v>
      </c>
      <c r="CB132" s="23">
        <f>IF(ISERROR((CA132/BY132-1)*100),"NA",IF(((CA132/BY132-1)*100)&gt;100,"NM",IF(((CA132/BY132-1)*100)&lt;-50,"NM",(CA132/BY132-1)*100)))</f>
        <v>2.6752273943285276</v>
      </c>
      <c r="CC132" s="56">
        <f>AN132</f>
        <v>2822.8</v>
      </c>
      <c r="CD132" s="23">
        <f>IF(ISERROR((CC132/CA132-1)*100),"NA",IF(((CC132/CA132-1)*100)&gt;100,"NM",IF(((CC132/CA132-1)*100)&lt;-50,"NM",(CC132/CA132-1)*100)))</f>
        <v>-1.9350356088240317</v>
      </c>
      <c r="CE132" s="56">
        <f>AV132</f>
        <v>0</v>
      </c>
      <c r="CF132" s="23" t="str">
        <f>IF(ISERROR((CE132/CC132-1)*100),"NA",IF(((CE132/CC132-1)*100)&gt;100,"NM",IF(((CE132/CC132-1)*100)&lt;-50,"NM",(CE132/CC132-1)*100)))</f>
        <v>NM</v>
      </c>
      <c r="CG132" s="56"/>
      <c r="CH132" s="23" t="str">
        <f>IF(ISERROR((CG132/CE132-1)*100),"NA",IF(((CG132/CE132-1)*100)&gt;100,"NM",IF(((CG132/CE132-1)*100)&lt;-50,"NM",(CG132/CE132-1)*100)))</f>
        <v>NA</v>
      </c>
      <c r="CI132" s="56"/>
      <c r="CJ132" s="23"/>
      <c r="CK132" s="49"/>
      <c r="CL132" s="23"/>
      <c r="CM132" s="49"/>
      <c r="CN132" s="23"/>
      <c r="CO132" s="49"/>
      <c r="CP132" s="23"/>
      <c r="CQ132" s="49"/>
      <c r="CR132" s="23"/>
      <c r="CS132" s="23"/>
    </row>
    <row r="133" spans="1:97" ht="12.75" hidden="1" customHeight="1" outlineLevel="1" x14ac:dyDescent="0.2">
      <c r="A133" s="4" t="s">
        <v>135</v>
      </c>
      <c r="B133" s="36">
        <f t="shared" ref="B133:Z133" si="948">B132+B122</f>
        <v>28014.5</v>
      </c>
      <c r="C133" s="59"/>
      <c r="D133" s="36">
        <f t="shared" si="948"/>
        <v>28234.7</v>
      </c>
      <c r="E133" s="59"/>
      <c r="F133" s="36">
        <f t="shared" si="948"/>
        <v>27961.9</v>
      </c>
      <c r="G133" s="59"/>
      <c r="H133" s="36">
        <f t="shared" si="948"/>
        <v>27690.2</v>
      </c>
      <c r="I133" s="59"/>
      <c r="J133" s="36">
        <f t="shared" si="948"/>
        <v>27592.6</v>
      </c>
      <c r="K133" s="23">
        <f t="shared" si="943"/>
        <v>-1.5060058184154679</v>
      </c>
      <c r="L133" s="36">
        <f t="shared" si="948"/>
        <v>26496.6</v>
      </c>
      <c r="M133" s="23">
        <f t="shared" si="943"/>
        <v>-6.1559003637368326</v>
      </c>
      <c r="N133" s="36">
        <f t="shared" si="948"/>
        <v>26251.7</v>
      </c>
      <c r="O133" s="23">
        <f t="shared" si="943"/>
        <v>-6.1161795156981498</v>
      </c>
      <c r="P133" s="36">
        <f t="shared" si="948"/>
        <v>26100.700000000004</v>
      </c>
      <c r="Q133" s="23">
        <f t="shared" si="943"/>
        <v>-5.7402980115708662</v>
      </c>
      <c r="R133" s="56">
        <f t="shared" si="948"/>
        <v>26227.700000000008</v>
      </c>
      <c r="S133" s="23">
        <f t="shared" si="943"/>
        <v>-4.9466161217137543</v>
      </c>
      <c r="T133" s="56">
        <f t="shared" si="948"/>
        <v>26233.30000000001</v>
      </c>
      <c r="U133" s="23">
        <f t="shared" si="943"/>
        <v>-0.99371240083628853</v>
      </c>
      <c r="V133" s="56">
        <f t="shared" si="948"/>
        <v>26379.000000000007</v>
      </c>
      <c r="W133" s="23">
        <f t="shared" si="943"/>
        <v>0.48492097654631028</v>
      </c>
      <c r="X133" s="56">
        <f t="shared" si="948"/>
        <v>26646.500000000007</v>
      </c>
      <c r="Y133" s="23">
        <f t="shared" si="943"/>
        <v>2.0911316554728554</v>
      </c>
      <c r="Z133" s="56">
        <f t="shared" si="948"/>
        <v>26967.500000000007</v>
      </c>
      <c r="AA133" s="23">
        <f>IF(ISERROR((Z133/R133-1)*100),"NA",IF(((Z133/R133-1)*100)&gt;100,"NM",IF(((Z133/R133-1)*100)&lt;-50,"NM",(Z133/R133-1)*100)))</f>
        <v>2.8206819507619718</v>
      </c>
      <c r="AB133" s="56">
        <f t="shared" ref="AB133:AD133" si="949">AB132+AB122</f>
        <v>27264.80000000001</v>
      </c>
      <c r="AC133" s="23">
        <f>IF(ISERROR((AB133/T133-1)*100),"NA",IF(((AB133/T133-1)*100)&gt;100,"NM",IF(((AB133/T133-1)*100)&lt;-50,"NM",(AB133/T133-1)*100)))</f>
        <v>3.9320253265887173</v>
      </c>
      <c r="AD133" s="56">
        <f t="shared" si="949"/>
        <v>26790.000000000011</v>
      </c>
      <c r="AE133" s="23">
        <f>IF(ISERROR((AD133/V133-1)*100),"NA",IF(((AD133/V133-1)*100)&gt;100,"NM",IF(((AD133/V133-1)*100)&lt;-50,"NM",(AD133/V133-1)*100)))</f>
        <v>1.5580575457750712</v>
      </c>
      <c r="AF133" s="56">
        <f t="shared" ref="AF133:AH133" si="950">AF132+AF122</f>
        <v>26649.80000000001</v>
      </c>
      <c r="AG133" s="23">
        <f>IF(ISERROR((AF133/X133-1)*100),"NA",IF(((AF133/X133-1)*100)&gt;100,"NM",IF(((AF133/X133-1)*100)&lt;-50,"NM",(AF133/X133-1)*100)))</f>
        <v>1.2384365676543219E-2</v>
      </c>
      <c r="AH133" s="56">
        <f t="shared" si="950"/>
        <v>26818.000000000011</v>
      </c>
      <c r="AI133" s="23">
        <f>IF(ISERROR((AH133/Z133-1)*100),"NA",IF(((AH133/Z133-1)*100)&gt;100,"NM",IF(((AH133/Z133-1)*100)&lt;-50,"NM",(AH133/Z133-1)*100)))</f>
        <v>-0.55437100213218127</v>
      </c>
      <c r="AJ133" s="56">
        <f t="shared" ref="AJ133:AL133" si="951">AJ132+AJ122</f>
        <v>26889.500000000007</v>
      </c>
      <c r="AK133" s="23">
        <f>IF(ISERROR((AJ133/AB133-1)*100),"NA",IF(((AJ133/AB133-1)*100)&gt;100,"NM",IF(((AJ133/AB133-1)*100)&lt;-50,"NM",(AJ133/AB133-1)*100)))</f>
        <v>-1.3765001026965318</v>
      </c>
      <c r="AL133" s="56">
        <f t="shared" si="951"/>
        <v>26700.900000000005</v>
      </c>
      <c r="AM133" s="23">
        <f>IF(ISERROR((AL133/AD133-1)*100),"NA",IF(((AL133/AD133-1)*100)&gt;100,"NM",IF(((AL133/AD133-1)*100)&lt;-50,"NM",(AL133/AD133-1)*100)))</f>
        <v>-0.33258678611424175</v>
      </c>
      <c r="AN133" s="413">
        <f t="shared" ref="AN133" si="952">AN132+AN122</f>
        <v>27035.80000000001</v>
      </c>
      <c r="AO133" s="23">
        <f>IF(ISERROR((AN133/AF133-1)*100),"NA",IF(((AN133/AF133-1)*100)&gt;100,"NM",IF(((AN133/AF133-1)*100)&lt;-50,"NM",(AN133/AF133-1)*100)))</f>
        <v>1.4484161231979265</v>
      </c>
      <c r="AP133" s="413"/>
      <c r="AQ133" s="23"/>
      <c r="AR133" s="413"/>
      <c r="AS133" s="23"/>
      <c r="AT133" s="413"/>
      <c r="AU133" s="23"/>
      <c r="AV133" s="413"/>
      <c r="AW133" s="23" t="str">
        <f t="shared" si="944"/>
        <v>NM</v>
      </c>
      <c r="AX133" s="413"/>
      <c r="AY133" s="23"/>
      <c r="AZ133" s="413"/>
      <c r="BA133" s="23"/>
      <c r="BB133" s="413"/>
      <c r="BC133" s="23" t="str">
        <f t="shared" si="945"/>
        <v>NA</v>
      </c>
      <c r="BD133" s="413"/>
      <c r="BE133" s="23" t="str">
        <f t="shared" si="946"/>
        <v>NA</v>
      </c>
      <c r="BF133" s="56"/>
      <c r="BG133" s="23"/>
      <c r="BH133" s="56"/>
      <c r="BI133" s="23"/>
      <c r="BJ133" s="56"/>
      <c r="BK133" s="23"/>
      <c r="BL133" s="56"/>
      <c r="BM133" s="23" t="str">
        <f t="shared" si="947"/>
        <v>NA</v>
      </c>
      <c r="BN133" s="35"/>
      <c r="BO133" s="137"/>
      <c r="BP133" s="35"/>
      <c r="BQ133" s="48">
        <v>26368.7</v>
      </c>
      <c r="BR133" s="35"/>
      <c r="BS133" s="48">
        <v>27849.3</v>
      </c>
      <c r="BT133" s="35"/>
      <c r="BU133" s="56">
        <f t="shared" ref="BU133:CA133" si="953">BU132+BU122</f>
        <v>27690.2</v>
      </c>
      <c r="BV133" s="23">
        <f>IF(ISERROR((BU133/BS133-1)*100),"NA",IF(((BU133/BS133-1)*100)&gt;100,"NM",IF(((BU133/BS133-1)*100)&lt;-50,"NM",(BU133/BS133-1)*100)))</f>
        <v>-0.57128904496701605</v>
      </c>
      <c r="BW133" s="56">
        <f t="shared" si="953"/>
        <v>26100.7</v>
      </c>
      <c r="BX133" s="23">
        <f>IF(ISERROR((BW133/BU133-1)*100),"NA",IF(((BW133/BU133-1)*100)&gt;100,"NM",IF(((BW133/BU133-1)*100)&lt;-50,"NM",(BW133/BU133-1)*100)))</f>
        <v>-5.7402980115708768</v>
      </c>
      <c r="BY133" s="56">
        <f t="shared" si="953"/>
        <v>26646.500000000007</v>
      </c>
      <c r="BZ133" s="23">
        <f>IF(ISERROR((BY133/BW133-1)*100),"NA",IF(((BY133/BW133-1)*100)&gt;100,"NM",IF(((BY133/BW133-1)*100)&lt;-50,"NM",(BY133/BW133-1)*100)))</f>
        <v>2.0911316554728776</v>
      </c>
      <c r="CA133" s="56">
        <f t="shared" si="953"/>
        <v>26649.800000000003</v>
      </c>
      <c r="CB133" s="23">
        <f>IF(ISERROR((CA133/BY133-1)*100),"NA",IF(((CA133/BY133-1)*100)&gt;100,"NM",IF(((CA133/BY133-1)*100)&lt;-50,"NM",(CA133/BY133-1)*100)))</f>
        <v>1.2384365676521014E-2</v>
      </c>
      <c r="CC133" s="56">
        <f t="shared" ref="CC133" si="954">CC132+CC122</f>
        <v>27035.800000000003</v>
      </c>
      <c r="CD133" s="23">
        <f>IF(ISERROR((CC133/CA133-1)*100),"NA",IF(((CC133/CA133-1)*100)&gt;100,"NM",IF(((CC133/CA133-1)*100)&lt;-50,"NM",(CC133/CA133-1)*100)))</f>
        <v>1.4484161231979265</v>
      </c>
      <c r="CE133" s="56">
        <f t="shared" ref="CE133" si="955">CE132+CE122</f>
        <v>24213.000000000004</v>
      </c>
      <c r="CF133" s="23">
        <f>IF(ISERROR((CE133/CC133-1)*100),"NA",IF(((CE133/CC133-1)*100)&gt;100,"NM",IF(((CE133/CC133-1)*100)&lt;-50,"NM",(CE133/CC133-1)*100)))</f>
        <v>-10.440970860858556</v>
      </c>
      <c r="CG133" s="56"/>
      <c r="CH133" s="23" t="str">
        <f>IF(ISERROR((CG133/CE133-1)*100),"NA",IF(((CG133/CE133-1)*100)&gt;100,"NM",IF(((CG133/CE133-1)*100)&lt;-50,"NM",(CG133/CE133-1)*100)))</f>
        <v>NM</v>
      </c>
      <c r="CI133" s="56"/>
      <c r="CJ133" s="23"/>
      <c r="CK133" s="56"/>
      <c r="CL133" s="23"/>
      <c r="CM133" s="56"/>
      <c r="CN133" s="23"/>
      <c r="CO133" s="56"/>
      <c r="CP133" s="23"/>
      <c r="CQ133" s="56"/>
      <c r="CR133" s="23"/>
      <c r="CS133" s="23"/>
    </row>
    <row r="134" spans="1:97" ht="12.75" hidden="1" customHeight="1" outlineLevel="1" x14ac:dyDescent="0.2">
      <c r="A134" s="4" t="s">
        <v>136</v>
      </c>
      <c r="B134" s="36">
        <f>AVERAGE(B133)</f>
        <v>28014.5</v>
      </c>
      <c r="C134" s="59"/>
      <c r="D134" s="36">
        <f>AVERAGE(B133,D133)</f>
        <v>28124.6</v>
      </c>
      <c r="E134" s="59"/>
      <c r="F134" s="36">
        <f>AVERAGE(D133,F133)</f>
        <v>28098.300000000003</v>
      </c>
      <c r="G134" s="59"/>
      <c r="H134" s="36">
        <f>AVERAGE(F133,H133)</f>
        <v>27826.050000000003</v>
      </c>
      <c r="I134" s="59"/>
      <c r="J134" s="36">
        <f>AVERAGE(H133,J133)</f>
        <v>27641.4</v>
      </c>
      <c r="K134" s="23">
        <f t="shared" si="943"/>
        <v>-1.3318103125167235</v>
      </c>
      <c r="L134" s="36">
        <f>AVERAGE(J133,L133)</f>
        <v>27044.6</v>
      </c>
      <c r="M134" s="23">
        <f t="shared" si="943"/>
        <v>-3.8400546141100667</v>
      </c>
      <c r="N134" s="36">
        <f>AVERAGE(L133,N133)</f>
        <v>26374.15</v>
      </c>
      <c r="O134" s="23">
        <f t="shared" si="943"/>
        <v>-6.1361363498859456</v>
      </c>
      <c r="P134" s="36">
        <f>AVERAGE(N133,P133)</f>
        <v>26176.200000000004</v>
      </c>
      <c r="Q134" s="23">
        <f t="shared" si="943"/>
        <v>-5.9291563121607211</v>
      </c>
      <c r="R134" s="56">
        <f>AVERAGE(P133,R133)</f>
        <v>26164.200000000004</v>
      </c>
      <c r="S134" s="23">
        <f t="shared" si="943"/>
        <v>-5.3441576765286714</v>
      </c>
      <c r="T134" s="56">
        <f>AVERAGE(R133,T133)</f>
        <v>26230.500000000007</v>
      </c>
      <c r="U134" s="23">
        <f t="shared" si="943"/>
        <v>-3.010212759663633</v>
      </c>
      <c r="V134" s="56">
        <f>AVERAGE(T133,V133)</f>
        <v>26306.150000000009</v>
      </c>
      <c r="W134" s="23">
        <f t="shared" si="943"/>
        <v>-0.25782821436897141</v>
      </c>
      <c r="X134" s="56">
        <f>AVERAGE(V133,X133)</f>
        <v>26512.750000000007</v>
      </c>
      <c r="Y134" s="23">
        <f t="shared" si="943"/>
        <v>1.2857099196980526</v>
      </c>
      <c r="Z134" s="56">
        <f>AVERAGE(X133,Z133)</f>
        <v>26807.000000000007</v>
      </c>
      <c r="AA134" s="23">
        <f>IF(ISERROR((Z134/R134-1)*100),"NA",IF(((Z134/R134-1)*100)&gt;100,"NM",IF(((Z134/R134-1)*100)&lt;-50,"NM",(Z134/R134-1)*100)))</f>
        <v>2.4567921052430552</v>
      </c>
      <c r="AB134" s="56">
        <f>AVERAGE(Z133,AB133)</f>
        <v>27116.150000000009</v>
      </c>
      <c r="AC134" s="23">
        <f>IF(ISERROR((AB134/T134-1)*100),"NA",IF(((AB134/T134-1)*100)&gt;100,"NM",IF(((AB134/T134-1)*100)&lt;-50,"NM",(AB134/T134-1)*100)))</f>
        <v>3.3764129543851773</v>
      </c>
      <c r="AD134" s="56">
        <f>AVERAGE(AB133,AD133)</f>
        <v>27027.400000000009</v>
      </c>
      <c r="AE134" s="23">
        <f>IF(ISERROR((AD134/V134-1)*100),"NA",IF(((AD134/V134-1)*100)&gt;100,"NM",IF(((AD134/V134-1)*100)&lt;-50,"NM",(AD134/V134-1)*100)))</f>
        <v>2.7417543046017734</v>
      </c>
      <c r="AF134" s="56">
        <f>AVERAGE(AD133,AF133)</f>
        <v>26719.900000000009</v>
      </c>
      <c r="AG134" s="23">
        <f>IF(ISERROR((AF134/X134-1)*100),"NA",IF(((AF134/X134-1)*100)&gt;100,"NM",IF(((AF134/X134-1)*100)&lt;-50,"NM",(AF134/X134-1)*100)))</f>
        <v>0.78132219403872494</v>
      </c>
      <c r="AH134" s="56">
        <f>AVERAGE(AF133,AH133)</f>
        <v>26733.900000000009</v>
      </c>
      <c r="AI134" s="23">
        <f>IF(ISERROR((AH134/Z134-1)*100),"NA",IF(((AH134/Z134-1)*100)&gt;100,"NM",IF(((AH134/Z134-1)*100)&lt;-50,"NM",(AH134/Z134-1)*100)))</f>
        <v>-0.27268996903793141</v>
      </c>
      <c r="AJ134" s="56">
        <f>AVERAGE(AH133,AJ133)</f>
        <v>26853.750000000007</v>
      </c>
      <c r="AK134" s="23">
        <f>IF(ISERROR((AJ134/AB134-1)*100),"NA",IF(((AJ134/AB134-1)*100)&gt;100,"NM",IF(((AJ134/AB134-1)*100)&lt;-50,"NM",(AJ134/AB134-1)*100)))</f>
        <v>-0.96768899714746448</v>
      </c>
      <c r="AL134" s="56">
        <f>AVERAGE(AJ133,AL133)</f>
        <v>26795.200000000004</v>
      </c>
      <c r="AM134" s="23">
        <f>IF(ISERROR((AL134/AD134-1)*100),"NA",IF(((AL134/AD134-1)*100)&gt;100,"NM",IF(((AL134/AD134-1)*100)&lt;-50,"NM",(AL134/AD134-1)*100)))</f>
        <v>-0.85912814403162896</v>
      </c>
      <c r="AN134" s="413">
        <f t="shared" ref="AN134" si="956">AVERAGE(AL133,AN133)</f>
        <v>26868.350000000006</v>
      </c>
      <c r="AO134" s="23">
        <f>IF(ISERROR((AN134/AF134-1)*100),"NA",IF(((AN134/AF134-1)*100)&gt;100,"NM",IF(((AN134/AF134-1)*100)&lt;-50,"NM",(AN134/AF134-1)*100)))</f>
        <v>0.55557842656595025</v>
      </c>
      <c r="AP134" s="413"/>
      <c r="AQ134" s="23"/>
      <c r="AR134" s="413"/>
      <c r="AS134" s="23"/>
      <c r="AT134" s="413"/>
      <c r="AU134" s="23"/>
      <c r="AV134" s="413"/>
      <c r="AW134" s="23" t="str">
        <f t="shared" si="944"/>
        <v>NM</v>
      </c>
      <c r="AX134" s="413"/>
      <c r="AY134" s="23"/>
      <c r="AZ134" s="413"/>
      <c r="BA134" s="23"/>
      <c r="BB134" s="413"/>
      <c r="BC134" s="23" t="str">
        <f t="shared" si="945"/>
        <v>NA</v>
      </c>
      <c r="BD134" s="413"/>
      <c r="BE134" s="23" t="str">
        <f t="shared" si="946"/>
        <v>NA</v>
      </c>
      <c r="BF134" s="56"/>
      <c r="BG134" s="23"/>
      <c r="BH134" s="56"/>
      <c r="BI134" s="23"/>
      <c r="BJ134" s="56"/>
      <c r="BK134" s="23"/>
      <c r="BL134" s="56"/>
      <c r="BM134" s="23" t="str">
        <f t="shared" si="947"/>
        <v>NA</v>
      </c>
      <c r="BN134" s="35"/>
      <c r="BO134" s="137"/>
      <c r="BP134" s="35"/>
      <c r="BQ134" s="56">
        <f>AVERAGE(BQ133)</f>
        <v>26368.7</v>
      </c>
      <c r="BR134" s="59"/>
      <c r="BS134" s="56">
        <f>AVERAGE(BQ133,BS133)</f>
        <v>27109</v>
      </c>
      <c r="BT134" s="35"/>
      <c r="BU134" s="56">
        <f>AVERAGE(BS133,BU133)</f>
        <v>27769.75</v>
      </c>
      <c r="BV134" s="23">
        <f>IF(ISERROR((BU134/BS134-1)*100),"NA",IF(((BU134/BS134-1)*100)&gt;100,"NM",IF(((BU134/BS134-1)*100)&lt;-50,"NM",(BU134/BS134-1)*100)))</f>
        <v>2.4373824191227911</v>
      </c>
      <c r="BW134" s="56">
        <f>AVERAGE(BU133,BW133)</f>
        <v>26895.45</v>
      </c>
      <c r="BX134" s="23">
        <f>IF(ISERROR((BW134/BU134-1)*100),"NA",IF(((BW134/BU134-1)*100)&gt;100,"NM",IF(((BW134/BU134-1)*100)&lt;-50,"NM",(BW134/BU134-1)*100)))</f>
        <v>-3.1483898846766722</v>
      </c>
      <c r="BY134" s="56">
        <f>AVERAGE(BW133,BY133)</f>
        <v>26373.600000000006</v>
      </c>
      <c r="BZ134" s="23">
        <f>IF(ISERROR((BY134/BW134-1)*100),"NA",IF(((BY134/BW134-1)*100)&gt;100,"NM",IF(((BY134/BW134-1)*100)&lt;-50,"NM",(BY134/BW134-1)*100)))</f>
        <v>-1.9402910157665931</v>
      </c>
      <c r="CA134" s="56">
        <f>AVERAGE(BY133,CA133)</f>
        <v>26648.150000000005</v>
      </c>
      <c r="CB134" s="23">
        <f>IF(ISERROR((CA134/BY134-1)*100),"NA",IF(((CA134/BY134-1)*100)&gt;100,"NM",IF(((CA134/BY134-1)*100)&lt;-50,"NM",(CA134/BY134-1)*100)))</f>
        <v>1.0410031243364593</v>
      </c>
      <c r="CC134" s="56">
        <f>AVERAGE(CA133,CC133)</f>
        <v>26842.800000000003</v>
      </c>
      <c r="CD134" s="23">
        <f>IF(ISERROR((CC134/CA134-1)*100),"NA",IF(((CC134/CA134-1)*100)&gt;100,"NM",IF(((CC134/CA134-1)*100)&lt;-50,"NM",(CC134/CA134-1)*100)))</f>
        <v>0.73044470254031157</v>
      </c>
      <c r="CE134" s="56">
        <f>AVERAGE(CC133,CE133)</f>
        <v>25624.400000000001</v>
      </c>
      <c r="CF134" s="23">
        <f>IF(ISERROR((CE134/CC134-1)*100),"NA",IF(((CE134/CC134-1)*100)&gt;100,"NM",IF(((CE134/CC134-1)*100)&lt;-50,"NM",(CE134/CC134-1)*100)))</f>
        <v>-4.5390197743901624</v>
      </c>
      <c r="CG134" s="56"/>
      <c r="CH134" s="23" t="str">
        <f>IF(ISERROR((CG134/CE134-1)*100),"NA",IF(((CG134/CE134-1)*100)&gt;100,"NM",IF(((CG134/CE134-1)*100)&lt;-50,"NM",(CG134/CE134-1)*100)))</f>
        <v>NM</v>
      </c>
      <c r="CI134" s="56"/>
      <c r="CJ134" s="23"/>
      <c r="CK134" s="56"/>
      <c r="CL134" s="23"/>
      <c r="CM134" s="56"/>
      <c r="CN134" s="23"/>
      <c r="CO134" s="56"/>
      <c r="CP134" s="23"/>
      <c r="CQ134" s="56"/>
      <c r="CR134" s="23"/>
      <c r="CS134" s="23"/>
    </row>
    <row r="135" spans="1:97" ht="12.75" hidden="1" customHeight="1" outlineLevel="1" x14ac:dyDescent="0.2">
      <c r="B135" s="35"/>
      <c r="C135" s="60"/>
      <c r="D135" s="35"/>
      <c r="E135" s="60"/>
      <c r="F135" s="35"/>
      <c r="G135" s="60"/>
      <c r="H135" s="35"/>
      <c r="I135" s="60"/>
      <c r="J135" s="35"/>
      <c r="K135" s="177"/>
      <c r="L135" s="35"/>
      <c r="M135" s="177"/>
      <c r="N135" s="35"/>
      <c r="O135" s="177"/>
      <c r="P135" s="35"/>
      <c r="Q135" s="177"/>
      <c r="R135" s="37"/>
      <c r="S135" s="177"/>
      <c r="T135" s="37"/>
      <c r="U135" s="177"/>
      <c r="V135" s="37"/>
      <c r="W135" s="177"/>
      <c r="X135" s="37"/>
      <c r="Y135" s="177"/>
      <c r="Z135" s="37"/>
      <c r="AA135" s="177"/>
      <c r="AB135" s="37"/>
      <c r="AC135" s="177"/>
      <c r="AD135" s="37"/>
      <c r="AE135" s="177"/>
      <c r="AF135" s="37"/>
      <c r="AG135" s="177"/>
      <c r="AH135" s="37"/>
      <c r="AI135" s="177"/>
      <c r="AJ135" s="37"/>
      <c r="AK135" s="177"/>
      <c r="AL135" s="37"/>
      <c r="AM135" s="177"/>
      <c r="AN135" s="411"/>
      <c r="AO135" s="177"/>
      <c r="AP135" s="411"/>
      <c r="AQ135" s="177"/>
      <c r="AR135" s="411"/>
      <c r="AS135" s="177"/>
      <c r="AT135" s="411"/>
      <c r="AU135" s="177"/>
      <c r="AV135" s="411"/>
      <c r="AW135" s="177"/>
      <c r="AX135" s="411"/>
      <c r="AY135" s="177"/>
      <c r="AZ135" s="411"/>
      <c r="BA135" s="177"/>
      <c r="BB135" s="411"/>
      <c r="BC135" s="177"/>
      <c r="BD135" s="411"/>
      <c r="BE135" s="177"/>
      <c r="BF135" s="37"/>
      <c r="BG135" s="177"/>
      <c r="BH135" s="37"/>
      <c r="BI135" s="177"/>
      <c r="BJ135" s="37"/>
      <c r="BK135" s="177"/>
      <c r="BL135" s="37"/>
      <c r="BM135" s="177"/>
      <c r="BN135" s="35"/>
      <c r="BO135" s="138"/>
      <c r="BP135" s="35"/>
      <c r="BQ135" s="35"/>
      <c r="BR135" s="35"/>
      <c r="BS135" s="35"/>
      <c r="BT135" s="35"/>
      <c r="BU135" s="37"/>
      <c r="BV135" s="177"/>
      <c r="BW135" s="37"/>
      <c r="BX135" s="177"/>
      <c r="BY135" s="37"/>
      <c r="BZ135" s="177"/>
      <c r="CA135" s="37"/>
      <c r="CB135" s="177"/>
      <c r="CC135" s="37"/>
      <c r="CD135" s="177"/>
      <c r="CE135" s="37"/>
      <c r="CF135" s="177"/>
      <c r="CG135" s="37"/>
      <c r="CH135" s="177"/>
      <c r="CI135" s="37"/>
      <c r="CJ135" s="177"/>
      <c r="CK135" s="37"/>
      <c r="CL135" s="177"/>
      <c r="CM135" s="37"/>
      <c r="CN135" s="177"/>
      <c r="CO135" s="37"/>
      <c r="CP135" s="177"/>
      <c r="CQ135" s="37"/>
      <c r="CR135" s="177"/>
      <c r="CS135" s="177"/>
    </row>
    <row r="136" spans="1:97" ht="12.75" hidden="1" customHeight="1" outlineLevel="1" x14ac:dyDescent="0.2">
      <c r="A136" s="3" t="s">
        <v>100</v>
      </c>
      <c r="B136" s="35"/>
      <c r="C136" s="60"/>
      <c r="D136" s="35"/>
      <c r="E136" s="60"/>
      <c r="F136" s="35"/>
      <c r="G136" s="60"/>
      <c r="H136" s="35"/>
      <c r="I136" s="60"/>
      <c r="J136" s="35"/>
      <c r="K136" s="177"/>
      <c r="L136" s="35"/>
      <c r="M136" s="177"/>
      <c r="N136" s="35"/>
      <c r="O136" s="177"/>
      <c r="P136" s="35"/>
      <c r="Q136" s="177"/>
      <c r="R136" s="37"/>
      <c r="S136" s="177"/>
      <c r="T136" s="37"/>
      <c r="U136" s="177"/>
      <c r="V136" s="37"/>
      <c r="W136" s="177"/>
      <c r="X136" s="37"/>
      <c r="Y136" s="177"/>
      <c r="Z136" s="37"/>
      <c r="AA136" s="177"/>
      <c r="AB136" s="37"/>
      <c r="AC136" s="177"/>
      <c r="AD136" s="37"/>
      <c r="AE136" s="177"/>
      <c r="AF136" s="37"/>
      <c r="AG136" s="177"/>
      <c r="AH136" s="37"/>
      <c r="AI136" s="177"/>
      <c r="AJ136" s="37"/>
      <c r="AK136" s="177"/>
      <c r="AL136" s="37"/>
      <c r="AM136" s="177"/>
      <c r="AN136" s="411"/>
      <c r="AO136" s="177"/>
      <c r="AP136" s="411"/>
      <c r="AQ136" s="177"/>
      <c r="AR136" s="411"/>
      <c r="AS136" s="177"/>
      <c r="AT136" s="411"/>
      <c r="AU136" s="177"/>
      <c r="AV136" s="411"/>
      <c r="AW136" s="177"/>
      <c r="AX136" s="411"/>
      <c r="AY136" s="177"/>
      <c r="AZ136" s="411"/>
      <c r="BA136" s="177"/>
      <c r="BB136" s="411"/>
      <c r="BC136" s="177"/>
      <c r="BD136" s="411"/>
      <c r="BE136" s="177"/>
      <c r="BF136" s="37"/>
      <c r="BG136" s="177"/>
      <c r="BH136" s="37"/>
      <c r="BI136" s="177"/>
      <c r="BJ136" s="37"/>
      <c r="BK136" s="177"/>
      <c r="BL136" s="37"/>
      <c r="BM136" s="177"/>
      <c r="BN136" s="35"/>
      <c r="BO136" s="138"/>
      <c r="BP136" s="35"/>
      <c r="BQ136" s="35"/>
      <c r="BR136" s="35"/>
      <c r="BS136" s="35"/>
      <c r="BT136" s="35"/>
      <c r="BU136" s="37"/>
      <c r="BV136" s="177"/>
      <c r="BW136" s="37"/>
      <c r="BX136" s="177"/>
      <c r="BY136" s="37"/>
      <c r="BZ136" s="177"/>
      <c r="CA136" s="37"/>
      <c r="CB136" s="177"/>
      <c r="CC136" s="37"/>
      <c r="CD136" s="177"/>
      <c r="CE136" s="37"/>
      <c r="CF136" s="177"/>
      <c r="CG136" s="37"/>
      <c r="CH136" s="177"/>
      <c r="CI136" s="37"/>
      <c r="CJ136" s="177"/>
      <c r="CK136" s="37"/>
      <c r="CL136" s="177"/>
      <c r="CM136" s="37"/>
      <c r="CN136" s="177"/>
      <c r="CO136" s="37"/>
      <c r="CP136" s="177"/>
      <c r="CQ136" s="37"/>
      <c r="CR136" s="177"/>
      <c r="CS136" s="177"/>
    </row>
    <row r="137" spans="1:97" ht="12.75" hidden="1" customHeight="1" outlineLevel="1" x14ac:dyDescent="0.2">
      <c r="A137" s="12" t="s">
        <v>327</v>
      </c>
      <c r="B137" s="74"/>
      <c r="C137" s="66"/>
      <c r="D137" s="74"/>
      <c r="E137" s="66"/>
      <c r="F137" s="74"/>
      <c r="G137" s="66"/>
      <c r="H137" s="74"/>
      <c r="I137" s="59"/>
      <c r="J137" s="49">
        <v>303.7</v>
      </c>
      <c r="K137" s="23"/>
      <c r="L137" s="49">
        <v>310</v>
      </c>
      <c r="M137" s="23"/>
      <c r="N137" s="49">
        <v>279.39999999999998</v>
      </c>
      <c r="O137" s="23"/>
      <c r="P137" s="49">
        <v>289.3</v>
      </c>
      <c r="Q137" s="23"/>
      <c r="R137" s="49">
        <v>275</v>
      </c>
      <c r="S137" s="23"/>
      <c r="T137" s="49">
        <v>274.5</v>
      </c>
      <c r="U137" s="23"/>
      <c r="V137" s="49">
        <v>266.7</v>
      </c>
      <c r="W137" s="23"/>
      <c r="X137" s="49">
        <v>271.60000000000002</v>
      </c>
      <c r="Y137" s="23"/>
      <c r="Z137" s="49">
        <v>265.10000000000002</v>
      </c>
      <c r="AA137" s="23"/>
      <c r="AB137" s="49">
        <v>270.3</v>
      </c>
      <c r="AC137" s="23"/>
      <c r="AD137" s="49">
        <v>274.89999999999998</v>
      </c>
      <c r="AE137" s="23"/>
      <c r="AF137" s="49">
        <v>275.3</v>
      </c>
      <c r="AG137" s="23"/>
      <c r="AH137" s="49">
        <v>264.10000000000002</v>
      </c>
      <c r="AI137" s="23"/>
      <c r="AJ137" s="49">
        <v>259.5</v>
      </c>
      <c r="AK137" s="23"/>
      <c r="AL137" s="49">
        <v>263.39999999999998</v>
      </c>
      <c r="AM137" s="23"/>
      <c r="AN137" s="158">
        <v>273.60000000000002</v>
      </c>
      <c r="AO137" s="23"/>
      <c r="AP137" s="158"/>
      <c r="AQ137" s="23"/>
      <c r="AR137" s="158"/>
      <c r="AS137" s="23"/>
      <c r="AT137" s="158"/>
      <c r="AU137" s="23"/>
      <c r="AV137" s="158"/>
      <c r="AW137" s="23"/>
      <c r="AX137" s="158"/>
      <c r="AY137" s="23"/>
      <c r="AZ137" s="158"/>
      <c r="BA137" s="23"/>
      <c r="BB137" s="158"/>
      <c r="BC137" s="23"/>
      <c r="BD137" s="158"/>
      <c r="BE137" s="23"/>
      <c r="BF137" s="56"/>
      <c r="BG137" s="23"/>
      <c r="BH137" s="56"/>
      <c r="BI137" s="23"/>
      <c r="BJ137" s="56"/>
      <c r="BK137" s="23"/>
      <c r="BL137" s="56"/>
      <c r="BM137" s="23"/>
      <c r="BN137" s="35"/>
      <c r="BO137" s="137"/>
      <c r="BP137" s="35"/>
      <c r="BQ137" s="48"/>
      <c r="BR137" s="35"/>
      <c r="BS137" s="48"/>
      <c r="BT137" s="35"/>
      <c r="BU137" s="56"/>
      <c r="BV137" s="23"/>
      <c r="BW137" s="56">
        <f>J137+L137+N137+P137</f>
        <v>1182.4000000000001</v>
      </c>
      <c r="BX137" s="23" t="str">
        <f>IF(ISERROR((BW137/BU137-1)*100),"NA",IF(((BW137/BU137-1)*100)&gt;100,"NM",IF(((BW137/BU137-1)*100)&lt;-50,"NM",(BW137/BU137-1)*100)))</f>
        <v>NA</v>
      </c>
      <c r="BY137" s="56">
        <f>R137+T137+V137+X137</f>
        <v>1087.8000000000002</v>
      </c>
      <c r="BZ137" s="23">
        <f>IF(ISERROR((BY137/BW137-1)*100),"NA",IF(((BY137/BW137-1)*100)&gt;100,"NM",IF(((BY137/BW137-1)*100)&lt;-50,"NM",(BY137/BW137-1)*100)))</f>
        <v>-8.0006765899864547</v>
      </c>
      <c r="CA137" s="56"/>
      <c r="CB137" s="23" t="str">
        <f>IF(ISERROR((CA137/BY137-1)*100),"NA",IF(((CA137/BY137-1)*100)&gt;100,"NM",IF(((CA137/BY137-1)*100)&lt;-50,"NM",(CA137/BY137-1)*100)))</f>
        <v>NM</v>
      </c>
      <c r="CC137" s="56"/>
      <c r="CD137" s="23" t="str">
        <f>IF(ISERROR((CC137/CA137-1)*100),"NA",IF(((CC137/CA137-1)*100)&gt;100,"NM",IF(((CC137/CA137-1)*100)&lt;-50,"NM",(CC137/CA137-1)*100)))</f>
        <v>NA</v>
      </c>
      <c r="CE137" s="56"/>
      <c r="CF137" s="23" t="str">
        <f>IF(ISERROR((CE137/CC137-1)*100),"NA",IF(((CE137/CC137-1)*100)&gt;100,"NM",IF(((CE137/CC137-1)*100)&lt;-50,"NM",(CE137/CC137-1)*100)))</f>
        <v>NA</v>
      </c>
      <c r="CG137" s="56"/>
      <c r="CH137" s="23" t="str">
        <f>IF(ISERROR((CG137/CE137-1)*100),"NA",IF(((CG137/CE137-1)*100)&gt;100,"NM",IF(((CG137/CE137-1)*100)&lt;-50,"NM",(CG137/CE137-1)*100)))</f>
        <v>NA</v>
      </c>
      <c r="CI137" s="56"/>
      <c r="CJ137" s="23"/>
      <c r="CK137" s="56"/>
      <c r="CL137" s="23"/>
      <c r="CM137" s="56"/>
      <c r="CN137" s="23"/>
      <c r="CO137" s="56"/>
      <c r="CP137" s="23"/>
      <c r="CQ137" s="56"/>
      <c r="CR137" s="23"/>
      <c r="CS137" s="23"/>
    </row>
    <row r="138" spans="1:97" ht="12.75" hidden="1" customHeight="1" outlineLevel="1" x14ac:dyDescent="0.2">
      <c r="A138" s="12" t="s">
        <v>328</v>
      </c>
      <c r="B138" s="74"/>
      <c r="C138" s="66"/>
      <c r="D138" s="74"/>
      <c r="E138" s="66"/>
      <c r="F138" s="74"/>
      <c r="G138" s="66"/>
      <c r="H138" s="74"/>
      <c r="I138" s="59"/>
      <c r="J138" s="49">
        <f>12+216.9</f>
        <v>228.9</v>
      </c>
      <c r="K138" s="23"/>
      <c r="L138" s="49">
        <f>9.6+201.8</f>
        <v>211.4</v>
      </c>
      <c r="M138" s="23"/>
      <c r="N138" s="49">
        <f>11.2+184.7</f>
        <v>195.89999999999998</v>
      </c>
      <c r="O138" s="23"/>
      <c r="P138" s="49">
        <f>11.4+179.7</f>
        <v>191.1</v>
      </c>
      <c r="Q138" s="23"/>
      <c r="R138" s="49">
        <f>10.9+173.7</f>
        <v>184.6</v>
      </c>
      <c r="S138" s="23"/>
      <c r="T138" s="49">
        <f>11.2+167.8</f>
        <v>179</v>
      </c>
      <c r="U138" s="23"/>
      <c r="V138" s="49">
        <f>10.5+168.1</f>
        <v>178.6</v>
      </c>
      <c r="W138" s="23"/>
      <c r="X138" s="49">
        <f>10.8+163</f>
        <v>173.8</v>
      </c>
      <c r="Y138" s="23"/>
      <c r="Z138" s="49">
        <f>10.7+159.7</f>
        <v>170.39999999999998</v>
      </c>
      <c r="AA138" s="23"/>
      <c r="AB138" s="49">
        <f>11.2+159.7</f>
        <v>170.89999999999998</v>
      </c>
      <c r="AC138" s="23"/>
      <c r="AD138" s="49">
        <f>11.3+156.8</f>
        <v>168.10000000000002</v>
      </c>
      <c r="AE138" s="23"/>
      <c r="AF138" s="49">
        <f>10.7+152.1</f>
        <v>162.79999999999998</v>
      </c>
      <c r="AG138" s="23"/>
      <c r="AH138" s="49">
        <f>10.5+144.2</f>
        <v>154.69999999999999</v>
      </c>
      <c r="AI138" s="23"/>
      <c r="AJ138" s="49">
        <f>11.3+143.5</f>
        <v>154.80000000000001</v>
      </c>
      <c r="AK138" s="23"/>
      <c r="AL138" s="49">
        <f>11+144.5</f>
        <v>155.5</v>
      </c>
      <c r="AM138" s="23"/>
      <c r="AN138" s="158">
        <f>11.2+143.1</f>
        <v>154.29999999999998</v>
      </c>
      <c r="AO138" s="23"/>
      <c r="AP138" s="158"/>
      <c r="AQ138" s="23"/>
      <c r="AR138" s="158"/>
      <c r="AS138" s="23"/>
      <c r="AT138" s="158"/>
      <c r="AU138" s="23"/>
      <c r="AV138" s="158"/>
      <c r="AW138" s="23"/>
      <c r="AX138" s="158"/>
      <c r="AY138" s="23"/>
      <c r="AZ138" s="158"/>
      <c r="BA138" s="23"/>
      <c r="BB138" s="158"/>
      <c r="BC138" s="23"/>
      <c r="BD138" s="158"/>
      <c r="BE138" s="23"/>
      <c r="BF138" s="56"/>
      <c r="BG138" s="23"/>
      <c r="BH138" s="56"/>
      <c r="BI138" s="23"/>
      <c r="BJ138" s="56"/>
      <c r="BK138" s="23"/>
      <c r="BL138" s="56"/>
      <c r="BM138" s="23"/>
      <c r="BN138" s="35"/>
      <c r="BO138" s="137"/>
      <c r="BP138" s="35"/>
      <c r="BQ138" s="48"/>
      <c r="BR138" s="35"/>
      <c r="BS138" s="48"/>
      <c r="BT138" s="35"/>
      <c r="BU138" s="56"/>
      <c r="BV138" s="23"/>
      <c r="BW138" s="56">
        <f>J138+L138+N138+P138</f>
        <v>827.30000000000007</v>
      </c>
      <c r="BX138" s="23" t="str">
        <f>IF(ISERROR((BW138/BU138-1)*100),"NA",IF(((BW138/BU138-1)*100)&gt;100,"NM",IF(((BW138/BU138-1)*100)&lt;-50,"NM",(BW138/BU138-1)*100)))</f>
        <v>NA</v>
      </c>
      <c r="BY138" s="56">
        <f>R138+T138+V138+X138</f>
        <v>716</v>
      </c>
      <c r="BZ138" s="23">
        <f>IF(ISERROR((BY138/BW138-1)*100),"NA",IF(((BY138/BW138-1)*100)&gt;100,"NM",IF(((BY138/BW138-1)*100)&lt;-50,"NM",(BY138/BW138-1)*100)))</f>
        <v>-13.453402635077971</v>
      </c>
      <c r="CA138" s="56"/>
      <c r="CB138" s="23" t="str">
        <f>IF(ISERROR((CA138/BY138-1)*100),"NA",IF(((CA138/BY138-1)*100)&gt;100,"NM",IF(((CA138/BY138-1)*100)&lt;-50,"NM",(CA138/BY138-1)*100)))</f>
        <v>NM</v>
      </c>
      <c r="CC138" s="56"/>
      <c r="CD138" s="23" t="str">
        <f>IF(ISERROR((CC138/CA138-1)*100),"NA",IF(((CC138/CA138-1)*100)&gt;100,"NM",IF(((CC138/CA138-1)*100)&lt;-50,"NM",(CC138/CA138-1)*100)))</f>
        <v>NA</v>
      </c>
      <c r="CE138" s="56"/>
      <c r="CF138" s="23" t="str">
        <f>IF(ISERROR((CE138/CC138-1)*100),"NA",IF(((CE138/CC138-1)*100)&gt;100,"NM",IF(((CE138/CC138-1)*100)&lt;-50,"NM",(CE138/CC138-1)*100)))</f>
        <v>NA</v>
      </c>
      <c r="CG138" s="56"/>
      <c r="CH138" s="23" t="str">
        <f>IF(ISERROR((CG138/CE138-1)*100),"NA",IF(((CG138/CE138-1)*100)&gt;100,"NM",IF(((CG138/CE138-1)*100)&lt;-50,"NM",(CG138/CE138-1)*100)))</f>
        <v>NA</v>
      </c>
      <c r="CI138" s="56"/>
      <c r="CJ138" s="23"/>
      <c r="CK138" s="56"/>
      <c r="CL138" s="23"/>
      <c r="CM138" s="56"/>
      <c r="CN138" s="23"/>
      <c r="CO138" s="56"/>
      <c r="CP138" s="23"/>
      <c r="CQ138" s="56"/>
      <c r="CR138" s="23"/>
      <c r="CS138" s="23"/>
    </row>
    <row r="139" spans="1:97" ht="12.75" hidden="1" customHeight="1" outlineLevel="1" x14ac:dyDescent="0.2">
      <c r="A139" s="12" t="s">
        <v>329</v>
      </c>
      <c r="B139" s="74"/>
      <c r="C139" s="66"/>
      <c r="D139" s="74"/>
      <c r="E139" s="66"/>
      <c r="F139" s="74"/>
      <c r="G139" s="66"/>
      <c r="H139" s="74"/>
      <c r="I139" s="59"/>
      <c r="J139" s="49">
        <v>35.700000000000003</v>
      </c>
      <c r="K139" s="23"/>
      <c r="L139" s="49">
        <v>4.2</v>
      </c>
      <c r="M139" s="23"/>
      <c r="N139" s="49">
        <v>23.2</v>
      </c>
      <c r="O139" s="23"/>
      <c r="P139" s="49">
        <v>20.6</v>
      </c>
      <c r="Q139" s="23"/>
      <c r="R139" s="159">
        <f>22.9+0.1</f>
        <v>23</v>
      </c>
      <c r="S139" s="23"/>
      <c r="T139" s="49">
        <v>19.899999999999999</v>
      </c>
      <c r="U139" s="23"/>
      <c r="V139" s="49">
        <v>39.9</v>
      </c>
      <c r="W139" s="23"/>
      <c r="X139" s="49">
        <v>22.7</v>
      </c>
      <c r="Y139" s="23"/>
      <c r="Z139" s="49">
        <v>16.3</v>
      </c>
      <c r="AA139" s="23"/>
      <c r="AB139" s="49">
        <v>17</v>
      </c>
      <c r="AC139" s="23"/>
      <c r="AD139" s="49">
        <v>18.899999999999999</v>
      </c>
      <c r="AE139" s="23"/>
      <c r="AF139" s="49">
        <v>16.2</v>
      </c>
      <c r="AG139" s="23"/>
      <c r="AH139" s="49">
        <v>13.5</v>
      </c>
      <c r="AI139" s="23"/>
      <c r="AJ139" s="49">
        <v>15.3</v>
      </c>
      <c r="AK139" s="23"/>
      <c r="AL139" s="49">
        <v>12.4</v>
      </c>
      <c r="AM139" s="23"/>
      <c r="AN139" s="158">
        <v>10.7</v>
      </c>
      <c r="AO139" s="23"/>
      <c r="AP139" s="158"/>
      <c r="AQ139" s="23"/>
      <c r="AR139" s="158"/>
      <c r="AS139" s="23"/>
      <c r="AT139" s="158"/>
      <c r="AU139" s="23"/>
      <c r="AV139" s="158"/>
      <c r="AW139" s="23"/>
      <c r="AX139" s="158"/>
      <c r="AY139" s="23"/>
      <c r="AZ139" s="158"/>
      <c r="BA139" s="23"/>
      <c r="BB139" s="158"/>
      <c r="BC139" s="23"/>
      <c r="BD139" s="158"/>
      <c r="BE139" s="23"/>
      <c r="BF139" s="56"/>
      <c r="BG139" s="23"/>
      <c r="BH139" s="56"/>
      <c r="BI139" s="23"/>
      <c r="BJ139" s="56"/>
      <c r="BK139" s="23"/>
      <c r="BL139" s="56"/>
      <c r="BM139" s="23"/>
      <c r="BN139" s="35"/>
      <c r="BO139" s="137"/>
      <c r="BP139" s="35"/>
      <c r="BQ139" s="48"/>
      <c r="BR139" s="35"/>
      <c r="BS139" s="48"/>
      <c r="BT139" s="35"/>
      <c r="BU139" s="56"/>
      <c r="BV139" s="23" t="str">
        <f>IF(ISERROR((BU139/BS139-1)*100),"NA",IF(((BU139/BS139-1)*100)&gt;100,"NM",IF(((BU139/BS139-1)*100)&lt;-50,"NM",(BU139/BS139-1)*100)))</f>
        <v>NA</v>
      </c>
      <c r="BW139" s="56">
        <f>J139+L139+N139+P139</f>
        <v>83.700000000000017</v>
      </c>
      <c r="BX139" s="23" t="str">
        <f>IF(ISERROR((BW139/BU139-1)*100),"NA",IF(((BW139/BU139-1)*100)&gt;100,"NM",IF(((BW139/BU139-1)*100)&lt;-50,"NM",(BW139/BU139-1)*100)))</f>
        <v>NA</v>
      </c>
      <c r="BY139" s="56">
        <f>R139+T139+V139+X139</f>
        <v>105.5</v>
      </c>
      <c r="BZ139" s="23">
        <f>IF(ISERROR((BY139/BW139-1)*100),"NA",IF(((BY139/BW139-1)*100)&gt;100,"NM",IF(((BY139/BW139-1)*100)&lt;-50,"NM",(BY139/BW139-1)*100)))</f>
        <v>26.045400238948591</v>
      </c>
      <c r="CA139" s="56"/>
      <c r="CB139" s="23" t="str">
        <f>IF(ISERROR((CA139/BY139-1)*100),"NA",IF(((CA139/BY139-1)*100)&gt;100,"NM",IF(((CA139/BY139-1)*100)&lt;-50,"NM",(CA139/BY139-1)*100)))</f>
        <v>NM</v>
      </c>
      <c r="CC139" s="56"/>
      <c r="CD139" s="23" t="str">
        <f>IF(ISERROR((CC139/CA139-1)*100),"NA",IF(((CC139/CA139-1)*100)&gt;100,"NM",IF(((CC139/CA139-1)*100)&lt;-50,"NM",(CC139/CA139-1)*100)))</f>
        <v>NA</v>
      </c>
      <c r="CE139" s="56"/>
      <c r="CF139" s="23" t="str">
        <f>IF(ISERROR((CE139/CC139-1)*100),"NA",IF(((CE139/CC139-1)*100)&gt;100,"NM",IF(((CE139/CC139-1)*100)&lt;-50,"NM",(CE139/CC139-1)*100)))</f>
        <v>NA</v>
      </c>
      <c r="CG139" s="56"/>
      <c r="CH139" s="23" t="str">
        <f>IF(ISERROR((CG139/CE139-1)*100),"NA",IF(((CG139/CE139-1)*100)&gt;100,"NM",IF(((CG139/CE139-1)*100)&lt;-50,"NM",(CG139/CE139-1)*100)))</f>
        <v>NA</v>
      </c>
      <c r="CI139" s="56"/>
      <c r="CJ139" s="23"/>
      <c r="CK139" s="56"/>
      <c r="CL139" s="23"/>
      <c r="CM139" s="56"/>
      <c r="CN139" s="23"/>
      <c r="CO139" s="56"/>
      <c r="CP139" s="23"/>
      <c r="CQ139" s="56"/>
      <c r="CR139" s="23"/>
      <c r="CS139" s="23"/>
    </row>
    <row r="140" spans="1:97" ht="12.75" hidden="1" customHeight="1" outlineLevel="1" x14ac:dyDescent="0.2">
      <c r="A140" s="4" t="s">
        <v>18</v>
      </c>
      <c r="B140" s="49">
        <v>86.6</v>
      </c>
      <c r="C140" s="59"/>
      <c r="D140" s="49">
        <v>110.7</v>
      </c>
      <c r="E140" s="59"/>
      <c r="F140" s="49">
        <v>102</v>
      </c>
      <c r="G140" s="59"/>
      <c r="H140" s="49">
        <v>63.5</v>
      </c>
      <c r="I140" s="59"/>
      <c r="J140" s="56">
        <f>J137-J138+J139</f>
        <v>110.49999999999999</v>
      </c>
      <c r="K140" s="23">
        <f t="shared" ref="K140:Y145" si="957">IF(ISERROR((J140/B140-1)*100),"NA",IF(((J140/B140-1)*100)&gt;100,"NM",IF(((J140/B140-1)*100)&lt;-50,"NM",(J140/B140-1)*100)))</f>
        <v>27.598152424942256</v>
      </c>
      <c r="L140" s="56">
        <f>L137-L138+L139</f>
        <v>102.8</v>
      </c>
      <c r="M140" s="23">
        <f t="shared" si="957"/>
        <v>-7.1364046973803159</v>
      </c>
      <c r="N140" s="56">
        <f>N137-N138+N139</f>
        <v>106.7</v>
      </c>
      <c r="O140" s="23">
        <f t="shared" si="957"/>
        <v>4.6078431372549078</v>
      </c>
      <c r="P140" s="56">
        <f>P137-P138+P139</f>
        <v>118.80000000000001</v>
      </c>
      <c r="Q140" s="23">
        <f t="shared" si="957"/>
        <v>87.086614173228355</v>
      </c>
      <c r="R140" s="56">
        <f>R137-R138+R139</f>
        <v>113.4</v>
      </c>
      <c r="S140" s="23">
        <f t="shared" si="957"/>
        <v>2.6244343891402844</v>
      </c>
      <c r="T140" s="56">
        <f>T137-T138+T139</f>
        <v>115.4</v>
      </c>
      <c r="U140" s="23">
        <f t="shared" si="957"/>
        <v>12.256809338521402</v>
      </c>
      <c r="V140" s="56">
        <f>V137-V138+V139</f>
        <v>128</v>
      </c>
      <c r="W140" s="23">
        <f t="shared" si="957"/>
        <v>19.962511715089025</v>
      </c>
      <c r="X140" s="56">
        <f>X137-X138+X139</f>
        <v>120.50000000000001</v>
      </c>
      <c r="Y140" s="23">
        <f t="shared" si="957"/>
        <v>1.4309764309764272</v>
      </c>
      <c r="Z140" s="56">
        <f>Z137-Z138+Z139</f>
        <v>111.00000000000004</v>
      </c>
      <c r="AA140" s="23">
        <f t="shared" ref="AA140:AA145" si="958">IF(ISERROR((Z140/R140-1)*100),"NA",IF(((Z140/R140-1)*100)&gt;100,"NM",IF(((Z140/R140-1)*100)&lt;-50,"NM",(Z140/R140-1)*100)))</f>
        <v>-2.116402116402083</v>
      </c>
      <c r="AB140" s="56">
        <f>AB137-AB138+AB139</f>
        <v>116.40000000000003</v>
      </c>
      <c r="AC140" s="23">
        <f t="shared" ref="AC140:AC145" si="959">IF(ISERROR((AB140/T140-1)*100),"NA",IF(((AB140/T140-1)*100)&gt;100,"NM",IF(((AB140/T140-1)*100)&lt;-50,"NM",(AB140/T140-1)*100)))</f>
        <v>0.86655112651647936</v>
      </c>
      <c r="AD140" s="56">
        <f>AD137-AD138+AD139</f>
        <v>125.69999999999996</v>
      </c>
      <c r="AE140" s="23">
        <f t="shared" ref="AE140:AE145" si="960">IF(ISERROR((AD140/V140-1)*100),"NA",IF(((AD140/V140-1)*100)&gt;100,"NM",IF(((AD140/V140-1)*100)&lt;-50,"NM",(AD140/V140-1)*100)))</f>
        <v>-1.7968750000000311</v>
      </c>
      <c r="AF140" s="56">
        <f>AF137-AF138+AF139</f>
        <v>128.70000000000002</v>
      </c>
      <c r="AG140" s="23">
        <f t="shared" ref="AG140:AG145" si="961">IF(ISERROR((AF140/X140-1)*100),"NA",IF(((AF140/X140-1)*100)&gt;100,"NM",IF(((AF140/X140-1)*100)&lt;-50,"NM",(AF140/X140-1)*100)))</f>
        <v>6.8049792531120312</v>
      </c>
      <c r="AH140" s="56">
        <f>AH137-AH138+AH139</f>
        <v>122.90000000000003</v>
      </c>
      <c r="AI140" s="23">
        <f t="shared" ref="AI140:AI145" si="962">IF(ISERROR((AH140/Z140-1)*100),"NA",IF(((AH140/Z140-1)*100)&gt;100,"NM",IF(((AH140/Z140-1)*100)&lt;-50,"NM",(AH140/Z140-1)*100)))</f>
        <v>10.720720720720699</v>
      </c>
      <c r="AJ140" s="56">
        <f>AJ137-AJ138+AJ139</f>
        <v>119.99999999999999</v>
      </c>
      <c r="AK140" s="23">
        <f t="shared" ref="AK140:AK145" si="963">IF(ISERROR((AJ140/AB140-1)*100),"NA",IF(((AJ140/AB140-1)*100)&gt;100,"NM",IF(((AJ140/AB140-1)*100)&lt;-50,"NM",(AJ140/AB140-1)*100)))</f>
        <v>3.092783505154606</v>
      </c>
      <c r="AL140" s="56">
        <f>AL137-AL138+AL139</f>
        <v>120.29999999999998</v>
      </c>
      <c r="AM140" s="23">
        <f t="shared" ref="AM140:AM145" si="964">IF(ISERROR((AL140/AD140-1)*100),"NA",IF(((AL140/AD140-1)*100)&gt;100,"NM",IF(((AL140/AD140-1)*100)&lt;-50,"NM",(AL140/AD140-1)*100)))</f>
        <v>-4.2959427207637013</v>
      </c>
      <c r="AN140" s="413">
        <f t="shared" ref="AN140" si="965">AN137-AN138+AN139</f>
        <v>130.00000000000003</v>
      </c>
      <c r="AO140" s="23">
        <f t="shared" ref="AO140:AO145" si="966">IF(ISERROR((AN140/AF140-1)*100),"NA",IF(((AN140/AF140-1)*100)&gt;100,"NM",IF(((AN140/AF140-1)*100)&lt;-50,"NM",(AN140/AF140-1)*100)))</f>
        <v>1.0101010101010166</v>
      </c>
      <c r="AP140" s="413"/>
      <c r="AQ140" s="23"/>
      <c r="AR140" s="413"/>
      <c r="AS140" s="23"/>
      <c r="AT140" s="413"/>
      <c r="AU140" s="23"/>
      <c r="AV140" s="413"/>
      <c r="AW140" s="23" t="str">
        <f t="shared" ref="AW140:AW145" si="967">IF(ISERROR((AV140/AN140-1)*100),"NA",IF(((AV140/AN140-1)*100)&gt;100,"NM",IF(((AV140/AN140-1)*100)&lt;-50,"NM",(AV140/AN140-1)*100)))</f>
        <v>NM</v>
      </c>
      <c r="AX140" s="413"/>
      <c r="AY140" s="23"/>
      <c r="AZ140" s="413"/>
      <c r="BA140" s="23"/>
      <c r="BB140" s="413"/>
      <c r="BC140" s="23" t="str">
        <f t="shared" ref="BC140:BC145" si="968">IF(ISERROR((BB140/AT140-1)*100),"NA",IF(((BB140/AT140-1)*100)&gt;100,"NM",IF(((BB140/AT140-1)*100)&lt;-50,"NM",(BB140/AT140-1)*100)))</f>
        <v>NA</v>
      </c>
      <c r="BD140" s="413"/>
      <c r="BE140" s="23" t="str">
        <f t="shared" ref="BE140:BE145" si="969">IF(ISERROR((BD140/AV140-1)*100),"NA",IF(((BD140/AV140-1)*100)&gt;100,"NM",IF(((BD140/AV140-1)*100)&lt;-50,"NM",(BD140/AV140-1)*100)))</f>
        <v>NA</v>
      </c>
      <c r="BF140" s="56"/>
      <c r="BG140" s="23"/>
      <c r="BH140" s="56"/>
      <c r="BI140" s="23"/>
      <c r="BJ140" s="56"/>
      <c r="BK140" s="23"/>
      <c r="BL140" s="56"/>
      <c r="BM140" s="23" t="str">
        <f t="shared" ref="BM140:BM145" si="970">IF(ISERROR((BL140/BD140-1)*100),"NA",IF(((BL140/BD140-1)*100)&gt;100,"NM",IF(((BL140/BD140-1)*100)&lt;-50,"NM",(BL140/BD140-1)*100)))</f>
        <v>NA</v>
      </c>
      <c r="BN140" s="35"/>
      <c r="BO140" s="137"/>
      <c r="BP140" s="35"/>
      <c r="BQ140" s="49">
        <v>330.9</v>
      </c>
      <c r="BR140" s="35"/>
      <c r="BS140" s="49">
        <v>367.8</v>
      </c>
      <c r="BT140" s="35"/>
      <c r="BU140" s="56">
        <f>B140+D140+F140+H140</f>
        <v>362.8</v>
      </c>
      <c r="BV140" s="23">
        <f t="shared" ref="BV140:BV145" si="971">IF(ISERROR((BU140/BS140-1)*100),"NA",IF(((BU140/BS140-1)*100)&gt;100,"NM",IF(((BU140/BS140-1)*100)&lt;-50,"NM",(BU140/BS140-1)*100)))</f>
        <v>-1.3594344752582921</v>
      </c>
      <c r="BW140" s="56">
        <f>BW137-BW138+BW139</f>
        <v>438.80000000000007</v>
      </c>
      <c r="BX140" s="23">
        <f t="shared" ref="BX140:BX145" si="972">IF(ISERROR((BW140/BU140-1)*100),"NA",IF(((BW140/BU140-1)*100)&gt;100,"NM",IF(((BW140/BU140-1)*100)&lt;-50,"NM",(BW140/BU140-1)*100)))</f>
        <v>20.948180815876526</v>
      </c>
      <c r="BY140" s="56">
        <f>BY137-BY138+BY139</f>
        <v>477.30000000000018</v>
      </c>
      <c r="BZ140" s="23">
        <f t="shared" ref="BZ140:CH145" si="973">IF(ISERROR((BY140/BW140-1)*100),"NA",IF(((BY140/BW140-1)*100)&gt;100,"NM",IF(((BY140/BW140-1)*100)&lt;-50,"NM",(BY140/BW140-1)*100)))</f>
        <v>8.7739288969918228</v>
      </c>
      <c r="CA140" s="56">
        <f>Z140+AB140+AD140+AF140</f>
        <v>481.80000000000007</v>
      </c>
      <c r="CB140" s="23">
        <f t="shared" si="973"/>
        <v>0.9428032683846288</v>
      </c>
      <c r="CC140" s="56">
        <f>AH140+AJ140+AL140+AN140</f>
        <v>493.20000000000005</v>
      </c>
      <c r="CD140" s="23">
        <f t="shared" si="973"/>
        <v>2.3661270236612575</v>
      </c>
      <c r="CE140" s="56">
        <f>AP140+AR140+AT140+AV140</f>
        <v>0</v>
      </c>
      <c r="CF140" s="23" t="str">
        <f t="shared" si="973"/>
        <v>NM</v>
      </c>
      <c r="CG140" s="56"/>
      <c r="CH140" s="23" t="str">
        <f t="shared" si="973"/>
        <v>NA</v>
      </c>
      <c r="CI140" s="56"/>
      <c r="CJ140" s="23"/>
      <c r="CK140" s="56"/>
      <c r="CL140" s="23"/>
      <c r="CM140" s="56"/>
      <c r="CN140" s="23"/>
      <c r="CO140" s="56"/>
      <c r="CP140" s="23"/>
      <c r="CQ140" s="56"/>
      <c r="CR140" s="23"/>
      <c r="CS140" s="23"/>
    </row>
    <row r="141" spans="1:97" ht="12.75" hidden="1" customHeight="1" outlineLevel="1" x14ac:dyDescent="0.2">
      <c r="A141" s="4" t="s">
        <v>101</v>
      </c>
      <c r="B141" s="49">
        <v>6.5</v>
      </c>
      <c r="C141" s="59"/>
      <c r="D141" s="49">
        <v>7.7</v>
      </c>
      <c r="E141" s="59"/>
      <c r="F141" s="49">
        <v>7.9</v>
      </c>
      <c r="G141" s="59"/>
      <c r="H141" s="49">
        <v>8.1</v>
      </c>
      <c r="I141" s="59"/>
      <c r="J141" s="49">
        <v>8.6</v>
      </c>
      <c r="K141" s="23">
        <f t="shared" si="957"/>
        <v>32.307692307692307</v>
      </c>
      <c r="L141" s="49">
        <v>8.4</v>
      </c>
      <c r="M141" s="23">
        <f t="shared" si="957"/>
        <v>9.0909090909090828</v>
      </c>
      <c r="N141" s="49">
        <v>9.4</v>
      </c>
      <c r="O141" s="23">
        <f t="shared" si="957"/>
        <v>18.98734177215189</v>
      </c>
      <c r="P141" s="49">
        <v>10.1</v>
      </c>
      <c r="Q141" s="23">
        <f t="shared" si="957"/>
        <v>24.691358024691358</v>
      </c>
      <c r="R141" s="49">
        <v>10.5</v>
      </c>
      <c r="S141" s="23">
        <f t="shared" si="957"/>
        <v>22.093023255813947</v>
      </c>
      <c r="T141" s="49">
        <v>11.3</v>
      </c>
      <c r="U141" s="23">
        <f t="shared" si="957"/>
        <v>34.523809523809533</v>
      </c>
      <c r="V141" s="49">
        <v>12.1</v>
      </c>
      <c r="W141" s="23">
        <f t="shared" si="957"/>
        <v>28.723404255319139</v>
      </c>
      <c r="X141" s="49">
        <v>12.9</v>
      </c>
      <c r="Y141" s="23">
        <f t="shared" si="957"/>
        <v>27.722772277227726</v>
      </c>
      <c r="Z141" s="49">
        <v>13.2</v>
      </c>
      <c r="AA141" s="23">
        <f t="shared" si="958"/>
        <v>25.714285714285712</v>
      </c>
      <c r="AB141" s="49">
        <v>14</v>
      </c>
      <c r="AC141" s="23">
        <f t="shared" si="959"/>
        <v>23.893805309734507</v>
      </c>
      <c r="AD141" s="49">
        <v>14.6</v>
      </c>
      <c r="AE141" s="23">
        <f t="shared" si="960"/>
        <v>20.661157024793386</v>
      </c>
      <c r="AF141" s="49">
        <v>14.8</v>
      </c>
      <c r="AG141" s="23">
        <f t="shared" si="961"/>
        <v>14.728682170542641</v>
      </c>
      <c r="AH141" s="49">
        <v>15.5</v>
      </c>
      <c r="AI141" s="23">
        <f t="shared" si="962"/>
        <v>17.424242424242429</v>
      </c>
      <c r="AJ141" s="49">
        <v>16.2</v>
      </c>
      <c r="AK141" s="23">
        <f t="shared" si="963"/>
        <v>15.714285714285703</v>
      </c>
      <c r="AL141" s="49">
        <v>16</v>
      </c>
      <c r="AM141" s="23">
        <f t="shared" si="964"/>
        <v>9.5890410958904049</v>
      </c>
      <c r="AN141" s="158">
        <v>16.399999999999999</v>
      </c>
      <c r="AO141" s="23">
        <f t="shared" si="966"/>
        <v>10.810810810810789</v>
      </c>
      <c r="AP141" s="158"/>
      <c r="AQ141" s="23"/>
      <c r="AR141" s="158"/>
      <c r="AS141" s="23"/>
      <c r="AT141" s="158"/>
      <c r="AU141" s="23"/>
      <c r="AV141" s="158"/>
      <c r="AW141" s="23" t="str">
        <f t="shared" si="967"/>
        <v>NM</v>
      </c>
      <c r="AX141" s="158"/>
      <c r="AY141" s="23"/>
      <c r="AZ141" s="158"/>
      <c r="BA141" s="23"/>
      <c r="BB141" s="158"/>
      <c r="BC141" s="23" t="str">
        <f t="shared" si="968"/>
        <v>NA</v>
      </c>
      <c r="BD141" s="158"/>
      <c r="BE141" s="23" t="str">
        <f t="shared" si="969"/>
        <v>NA</v>
      </c>
      <c r="BF141" s="56"/>
      <c r="BG141" s="23"/>
      <c r="BH141" s="56"/>
      <c r="BI141" s="23"/>
      <c r="BJ141" s="56"/>
      <c r="BK141" s="23"/>
      <c r="BL141" s="56"/>
      <c r="BM141" s="23" t="str">
        <f t="shared" si="970"/>
        <v>NA</v>
      </c>
      <c r="BN141" s="35"/>
      <c r="BO141" s="137"/>
      <c r="BP141" s="35"/>
      <c r="BQ141" s="49">
        <v>18</v>
      </c>
      <c r="BR141" s="35"/>
      <c r="BS141" s="49">
        <v>18.899999999999999</v>
      </c>
      <c r="BT141" s="35"/>
      <c r="BU141" s="56">
        <f>B141+D141+F141+H141</f>
        <v>30.200000000000003</v>
      </c>
      <c r="BV141" s="23">
        <f t="shared" si="971"/>
        <v>59.788359788359813</v>
      </c>
      <c r="BW141" s="56">
        <f>J141+L141+N141+P141</f>
        <v>36.5</v>
      </c>
      <c r="BX141" s="23">
        <f t="shared" si="972"/>
        <v>20.860927152317863</v>
      </c>
      <c r="BY141" s="56">
        <f>R141+T141+V141+X141</f>
        <v>46.8</v>
      </c>
      <c r="BZ141" s="23">
        <f t="shared" si="973"/>
        <v>28.219178082191764</v>
      </c>
      <c r="CA141" s="56">
        <f>Z141+AB141+AD141+AF141</f>
        <v>56.599999999999994</v>
      </c>
      <c r="CB141" s="23">
        <f t="shared" si="973"/>
        <v>20.940170940170933</v>
      </c>
      <c r="CC141" s="56">
        <f>AH141+AJ141+AL141+AN141</f>
        <v>64.099999999999994</v>
      </c>
      <c r="CD141" s="23">
        <f t="shared" si="973"/>
        <v>13.250883392226154</v>
      </c>
      <c r="CE141" s="56">
        <f>AP141+AR141+AT141+AV141</f>
        <v>0</v>
      </c>
      <c r="CF141" s="23" t="str">
        <f t="shared" si="973"/>
        <v>NM</v>
      </c>
      <c r="CG141" s="56"/>
      <c r="CH141" s="23" t="str">
        <f t="shared" si="973"/>
        <v>NA</v>
      </c>
      <c r="CI141" s="56"/>
      <c r="CJ141" s="23"/>
      <c r="CK141" s="56"/>
      <c r="CL141" s="23"/>
      <c r="CM141" s="56"/>
      <c r="CN141" s="23"/>
      <c r="CO141" s="56"/>
      <c r="CP141" s="23"/>
      <c r="CQ141" s="56"/>
      <c r="CR141" s="23"/>
      <c r="CS141" s="23"/>
    </row>
    <row r="142" spans="1:97" ht="12.75" hidden="1" customHeight="1" outlineLevel="1" x14ac:dyDescent="0.2">
      <c r="A142" s="4" t="s">
        <v>209</v>
      </c>
      <c r="B142" s="49">
        <v>4.9000000000000004</v>
      </c>
      <c r="C142" s="59"/>
      <c r="D142" s="49">
        <v>7.2</v>
      </c>
      <c r="E142" s="59"/>
      <c r="F142" s="49">
        <v>5.4</v>
      </c>
      <c r="G142" s="59"/>
      <c r="H142" s="49">
        <v>2.2000000000000002</v>
      </c>
      <c r="I142" s="59"/>
      <c r="J142" s="49">
        <v>3.1</v>
      </c>
      <c r="K142" s="23">
        <f t="shared" si="957"/>
        <v>-36.734693877551031</v>
      </c>
      <c r="L142" s="49">
        <v>4</v>
      </c>
      <c r="M142" s="23">
        <f t="shared" si="957"/>
        <v>-44.444444444444443</v>
      </c>
      <c r="N142" s="49">
        <v>2.2000000000000002</v>
      </c>
      <c r="O142" s="23" t="str">
        <f t="shared" si="957"/>
        <v>NM</v>
      </c>
      <c r="P142" s="49">
        <v>5.6</v>
      </c>
      <c r="Q142" s="23" t="str">
        <f t="shared" si="957"/>
        <v>NM</v>
      </c>
      <c r="R142" s="49">
        <v>7.2</v>
      </c>
      <c r="S142" s="23" t="str">
        <f t="shared" si="957"/>
        <v>NM</v>
      </c>
      <c r="T142" s="49">
        <v>4.4000000000000004</v>
      </c>
      <c r="U142" s="23">
        <f t="shared" si="957"/>
        <v>10.000000000000009</v>
      </c>
      <c r="V142" s="49">
        <v>2.2999999999999998</v>
      </c>
      <c r="W142" s="23">
        <f t="shared" si="957"/>
        <v>4.5454545454545192</v>
      </c>
      <c r="X142" s="49">
        <v>4.3</v>
      </c>
      <c r="Y142" s="23">
        <f t="shared" si="957"/>
        <v>-23.214285714285708</v>
      </c>
      <c r="Z142" s="49">
        <v>7</v>
      </c>
      <c r="AA142" s="23">
        <f t="shared" si="958"/>
        <v>-2.777777777777779</v>
      </c>
      <c r="AB142" s="49">
        <v>9</v>
      </c>
      <c r="AC142" s="23" t="str">
        <f t="shared" si="959"/>
        <v>NM</v>
      </c>
      <c r="AD142" s="49">
        <v>3.3</v>
      </c>
      <c r="AE142" s="23">
        <f t="shared" si="960"/>
        <v>43.478260869565212</v>
      </c>
      <c r="AF142" s="49">
        <v>6.2</v>
      </c>
      <c r="AG142" s="23">
        <f t="shared" si="961"/>
        <v>44.186046511627922</v>
      </c>
      <c r="AH142" s="49">
        <v>7.5</v>
      </c>
      <c r="AI142" s="23">
        <f t="shared" si="962"/>
        <v>7.1428571428571397</v>
      </c>
      <c r="AJ142" s="49">
        <v>4.5999999999999996</v>
      </c>
      <c r="AK142" s="23">
        <f t="shared" si="963"/>
        <v>-48.888888888888893</v>
      </c>
      <c r="AL142" s="49">
        <v>24.1</v>
      </c>
      <c r="AM142" s="23" t="str">
        <f t="shared" si="964"/>
        <v>NM</v>
      </c>
      <c r="AN142" s="158">
        <f>4.1</f>
        <v>4.0999999999999996</v>
      </c>
      <c r="AO142" s="23">
        <f t="shared" si="966"/>
        <v>-33.870967741935488</v>
      </c>
      <c r="AP142" s="158"/>
      <c r="AQ142" s="23"/>
      <c r="AR142" s="158"/>
      <c r="AS142" s="23"/>
      <c r="AT142" s="158"/>
      <c r="AU142" s="23"/>
      <c r="AV142" s="158"/>
      <c r="AW142" s="23" t="str">
        <f t="shared" si="967"/>
        <v>NM</v>
      </c>
      <c r="AX142" s="158"/>
      <c r="AY142" s="23"/>
      <c r="AZ142" s="158"/>
      <c r="BA142" s="23"/>
      <c r="BB142" s="158"/>
      <c r="BC142" s="23" t="str">
        <f t="shared" si="968"/>
        <v>NA</v>
      </c>
      <c r="BD142" s="158"/>
      <c r="BE142" s="23" t="str">
        <f t="shared" si="969"/>
        <v>NA</v>
      </c>
      <c r="BF142" s="36"/>
      <c r="BG142" s="23"/>
      <c r="BH142" s="36"/>
      <c r="BI142" s="23"/>
      <c r="BJ142" s="36"/>
      <c r="BK142" s="23"/>
      <c r="BL142" s="36"/>
      <c r="BM142" s="23" t="str">
        <f t="shared" si="970"/>
        <v>NA</v>
      </c>
      <c r="BN142" s="35"/>
      <c r="BO142" s="137"/>
      <c r="BP142" s="35"/>
      <c r="BQ142" s="49">
        <v>17.600000000000001</v>
      </c>
      <c r="BR142" s="35"/>
      <c r="BS142" s="49">
        <v>27.1</v>
      </c>
      <c r="BT142" s="35"/>
      <c r="BU142" s="56">
        <f>B142+D142+F142+H142</f>
        <v>19.7</v>
      </c>
      <c r="BV142" s="23">
        <f t="shared" si="971"/>
        <v>-27.306273062730636</v>
      </c>
      <c r="BW142" s="56">
        <f>J142+L142+N142+P142</f>
        <v>14.9</v>
      </c>
      <c r="BX142" s="23">
        <f t="shared" si="972"/>
        <v>-24.365482233502533</v>
      </c>
      <c r="BY142" s="56">
        <f>R142+T142+V142+X142</f>
        <v>18.200000000000003</v>
      </c>
      <c r="BZ142" s="23">
        <f t="shared" si="973"/>
        <v>22.147651006711435</v>
      </c>
      <c r="CA142" s="56">
        <f>Z142+AB142+AD142+AF142</f>
        <v>25.5</v>
      </c>
      <c r="CB142" s="23">
        <f t="shared" si="973"/>
        <v>40.109890109890081</v>
      </c>
      <c r="CC142" s="56">
        <f>AH142+AJ142+AL142+AN142</f>
        <v>40.300000000000004</v>
      </c>
      <c r="CD142" s="23">
        <f t="shared" si="973"/>
        <v>58.039215686274524</v>
      </c>
      <c r="CE142" s="56">
        <f>AP142+AR142+AT142+AV142</f>
        <v>0</v>
      </c>
      <c r="CF142" s="23" t="str">
        <f t="shared" si="973"/>
        <v>NM</v>
      </c>
      <c r="CG142" s="56"/>
      <c r="CH142" s="23" t="str">
        <f t="shared" si="973"/>
        <v>NA</v>
      </c>
      <c r="CI142" s="56"/>
      <c r="CJ142" s="23"/>
      <c r="CK142" s="56"/>
      <c r="CL142" s="23"/>
      <c r="CM142" s="56"/>
      <c r="CN142" s="23"/>
      <c r="CO142" s="56"/>
      <c r="CP142" s="23"/>
      <c r="CQ142" s="56"/>
      <c r="CR142" s="23"/>
      <c r="CS142" s="23"/>
    </row>
    <row r="143" spans="1:97" ht="12.75" hidden="1" customHeight="1" outlineLevel="1" x14ac:dyDescent="0.2">
      <c r="A143" s="4" t="s">
        <v>103</v>
      </c>
      <c r="B143" s="56">
        <f t="shared" ref="B143:Z143" si="974">SUM(B140:B142)</f>
        <v>98</v>
      </c>
      <c r="C143" s="59"/>
      <c r="D143" s="56">
        <f t="shared" si="974"/>
        <v>125.60000000000001</v>
      </c>
      <c r="E143" s="59"/>
      <c r="F143" s="56">
        <f t="shared" si="974"/>
        <v>115.30000000000001</v>
      </c>
      <c r="G143" s="59"/>
      <c r="H143" s="56">
        <f t="shared" si="974"/>
        <v>73.8</v>
      </c>
      <c r="I143" s="59"/>
      <c r="J143" s="56">
        <f t="shared" si="974"/>
        <v>122.19999999999997</v>
      </c>
      <c r="K143" s="23">
        <f t="shared" si="957"/>
        <v>24.693877551020371</v>
      </c>
      <c r="L143" s="56">
        <f t="shared" si="974"/>
        <v>115.2</v>
      </c>
      <c r="M143" s="23">
        <f t="shared" si="957"/>
        <v>-8.2802547770700734</v>
      </c>
      <c r="N143" s="56">
        <f t="shared" si="974"/>
        <v>118.30000000000001</v>
      </c>
      <c r="O143" s="23">
        <f t="shared" si="957"/>
        <v>2.601908065915004</v>
      </c>
      <c r="P143" s="56">
        <f t="shared" si="974"/>
        <v>134.5</v>
      </c>
      <c r="Q143" s="23">
        <f t="shared" si="957"/>
        <v>82.249322493224938</v>
      </c>
      <c r="R143" s="56">
        <f t="shared" si="974"/>
        <v>131.1</v>
      </c>
      <c r="S143" s="23">
        <f t="shared" si="957"/>
        <v>7.2831423895253877</v>
      </c>
      <c r="T143" s="56">
        <f t="shared" si="974"/>
        <v>131.1</v>
      </c>
      <c r="U143" s="23">
        <f t="shared" si="957"/>
        <v>13.802083333333325</v>
      </c>
      <c r="V143" s="56">
        <f t="shared" si="974"/>
        <v>142.4</v>
      </c>
      <c r="W143" s="23">
        <f t="shared" si="957"/>
        <v>20.371935756551139</v>
      </c>
      <c r="X143" s="56">
        <f t="shared" si="974"/>
        <v>137.70000000000002</v>
      </c>
      <c r="Y143" s="23">
        <f t="shared" si="957"/>
        <v>2.3791821561338411</v>
      </c>
      <c r="Z143" s="56">
        <f t="shared" si="974"/>
        <v>131.20000000000005</v>
      </c>
      <c r="AA143" s="23">
        <f t="shared" si="958"/>
        <v>7.6277650648393092E-2</v>
      </c>
      <c r="AB143" s="56">
        <f t="shared" ref="AB143:AD143" si="975">SUM(AB140:AB142)</f>
        <v>139.40000000000003</v>
      </c>
      <c r="AC143" s="23">
        <f t="shared" si="959"/>
        <v>6.3310450038139177</v>
      </c>
      <c r="AD143" s="56">
        <f t="shared" si="975"/>
        <v>143.59999999999997</v>
      </c>
      <c r="AE143" s="23">
        <f t="shared" si="960"/>
        <v>0.84269662921345745</v>
      </c>
      <c r="AF143" s="56">
        <f t="shared" ref="AF143:AH143" si="976">SUM(AF140:AF142)</f>
        <v>149.70000000000002</v>
      </c>
      <c r="AG143" s="23">
        <f t="shared" si="961"/>
        <v>8.7145969498910745</v>
      </c>
      <c r="AH143" s="56">
        <f t="shared" si="976"/>
        <v>145.90000000000003</v>
      </c>
      <c r="AI143" s="23">
        <f t="shared" si="962"/>
        <v>11.204268292682906</v>
      </c>
      <c r="AJ143" s="56">
        <f t="shared" ref="AJ143:AL143" si="977">SUM(AJ140:AJ142)</f>
        <v>140.79999999999998</v>
      </c>
      <c r="AK143" s="23">
        <f t="shared" si="963"/>
        <v>1.0043041606886183</v>
      </c>
      <c r="AL143" s="56">
        <f t="shared" si="977"/>
        <v>160.39999999999998</v>
      </c>
      <c r="AM143" s="23">
        <f t="shared" si="964"/>
        <v>11.699164345403901</v>
      </c>
      <c r="AN143" s="413">
        <f t="shared" ref="AN143" si="978">SUM(AN140:AN142)</f>
        <v>150.50000000000003</v>
      </c>
      <c r="AO143" s="23">
        <f t="shared" si="966"/>
        <v>0.53440213760855837</v>
      </c>
      <c r="AP143" s="413"/>
      <c r="AQ143" s="23"/>
      <c r="AR143" s="413"/>
      <c r="AS143" s="23"/>
      <c r="AT143" s="413"/>
      <c r="AU143" s="23"/>
      <c r="AV143" s="413"/>
      <c r="AW143" s="23" t="str">
        <f t="shared" si="967"/>
        <v>NM</v>
      </c>
      <c r="AX143" s="413"/>
      <c r="AY143" s="23"/>
      <c r="AZ143" s="413"/>
      <c r="BA143" s="23"/>
      <c r="BB143" s="413"/>
      <c r="BC143" s="23" t="str">
        <f t="shared" si="968"/>
        <v>NA</v>
      </c>
      <c r="BD143" s="413"/>
      <c r="BE143" s="23" t="str">
        <f t="shared" si="969"/>
        <v>NA</v>
      </c>
      <c r="BF143" s="36"/>
      <c r="BG143" s="23"/>
      <c r="BH143" s="36"/>
      <c r="BI143" s="23"/>
      <c r="BJ143" s="36"/>
      <c r="BK143" s="23"/>
      <c r="BL143" s="36"/>
      <c r="BM143" s="23" t="str">
        <f t="shared" si="970"/>
        <v>NA</v>
      </c>
      <c r="BN143" s="35"/>
      <c r="BO143" s="137"/>
      <c r="BP143" s="35"/>
      <c r="BQ143" s="56">
        <f>SUM(BQ140:BQ142)</f>
        <v>366.5</v>
      </c>
      <c r="BR143" s="35"/>
      <c r="BS143" s="56">
        <f>SUM(BS140:BS142)</f>
        <v>413.8</v>
      </c>
      <c r="BT143" s="35"/>
      <c r="BU143" s="56">
        <f>SUM(BU140:BU142)</f>
        <v>412.7</v>
      </c>
      <c r="BV143" s="23">
        <f t="shared" si="971"/>
        <v>-0.26582890285162808</v>
      </c>
      <c r="BW143" s="56">
        <f t="shared" ref="BW143:CA143" si="979">SUM(BW140:BW142)</f>
        <v>490.20000000000005</v>
      </c>
      <c r="BX143" s="23">
        <f t="shared" si="972"/>
        <v>18.778773927792592</v>
      </c>
      <c r="BY143" s="56">
        <f t="shared" si="979"/>
        <v>542.30000000000018</v>
      </c>
      <c r="BZ143" s="23">
        <f t="shared" si="973"/>
        <v>10.628314973480247</v>
      </c>
      <c r="CA143" s="56">
        <f t="shared" si="979"/>
        <v>563.90000000000009</v>
      </c>
      <c r="CB143" s="23">
        <f t="shared" si="973"/>
        <v>3.9830352203577224</v>
      </c>
      <c r="CC143" s="56">
        <f t="shared" ref="CC143" si="980">SUM(CC140:CC142)</f>
        <v>597.6</v>
      </c>
      <c r="CD143" s="23">
        <f t="shared" si="973"/>
        <v>5.9762369214399591</v>
      </c>
      <c r="CE143" s="56">
        <f t="shared" ref="CE143" si="981">SUM(CE140:CE142)</f>
        <v>0</v>
      </c>
      <c r="CF143" s="23" t="str">
        <f t="shared" si="973"/>
        <v>NM</v>
      </c>
      <c r="CG143" s="56"/>
      <c r="CH143" s="23" t="str">
        <f t="shared" si="973"/>
        <v>NA</v>
      </c>
      <c r="CI143" s="56"/>
      <c r="CJ143" s="23"/>
      <c r="CK143" s="56"/>
      <c r="CL143" s="23"/>
      <c r="CM143" s="56"/>
      <c r="CN143" s="23"/>
      <c r="CO143" s="56"/>
      <c r="CP143" s="23"/>
      <c r="CQ143" s="56"/>
      <c r="CR143" s="23"/>
      <c r="CS143" s="23"/>
    </row>
    <row r="144" spans="1:97" ht="12.75" hidden="1" customHeight="1" outlineLevel="1" x14ac:dyDescent="0.2">
      <c r="A144" s="4" t="s">
        <v>102</v>
      </c>
      <c r="B144" s="49">
        <v>244.9</v>
      </c>
      <c r="C144" s="59"/>
      <c r="D144" s="49">
        <v>241.3</v>
      </c>
      <c r="E144" s="59"/>
      <c r="F144" s="49">
        <v>239.1</v>
      </c>
      <c r="G144" s="59"/>
      <c r="H144" s="49">
        <v>234.8</v>
      </c>
      <c r="I144" s="59"/>
      <c r="J144" s="49">
        <v>216.9</v>
      </c>
      <c r="K144" s="23">
        <f t="shared" si="957"/>
        <v>-11.433238056349527</v>
      </c>
      <c r="L144" s="49">
        <v>201.8</v>
      </c>
      <c r="M144" s="23">
        <f t="shared" si="957"/>
        <v>-16.369664318276001</v>
      </c>
      <c r="N144" s="49">
        <v>184.7</v>
      </c>
      <c r="O144" s="23">
        <f t="shared" si="957"/>
        <v>-22.751986616478458</v>
      </c>
      <c r="P144" s="49">
        <v>179.7</v>
      </c>
      <c r="Q144" s="23">
        <f t="shared" si="957"/>
        <v>-23.46678023850086</v>
      </c>
      <c r="R144" s="49">
        <v>173.7</v>
      </c>
      <c r="S144" s="23">
        <f t="shared" si="957"/>
        <v>-19.917012448132787</v>
      </c>
      <c r="T144" s="49">
        <v>167.8</v>
      </c>
      <c r="U144" s="23">
        <f t="shared" si="957"/>
        <v>-16.848364717542118</v>
      </c>
      <c r="V144" s="49">
        <v>168.1</v>
      </c>
      <c r="W144" s="23">
        <f t="shared" si="957"/>
        <v>-8.9875473741201972</v>
      </c>
      <c r="X144" s="49">
        <v>163</v>
      </c>
      <c r="Y144" s="23">
        <f t="shared" si="957"/>
        <v>-9.2932665553700495</v>
      </c>
      <c r="Z144" s="49">
        <v>159.69999999999999</v>
      </c>
      <c r="AA144" s="23">
        <f t="shared" si="958"/>
        <v>-8.0598733448474356</v>
      </c>
      <c r="AB144" s="49">
        <v>159.69999999999999</v>
      </c>
      <c r="AC144" s="23">
        <f t="shared" si="959"/>
        <v>-4.8271752085816573</v>
      </c>
      <c r="AD144" s="49">
        <v>156.80000000000001</v>
      </c>
      <c r="AE144" s="23">
        <f t="shared" si="960"/>
        <v>-6.7221891731112375</v>
      </c>
      <c r="AF144" s="49">
        <v>152.1</v>
      </c>
      <c r="AG144" s="23">
        <f t="shared" si="961"/>
        <v>-6.6871165644171837</v>
      </c>
      <c r="AH144" s="49">
        <v>144.19999999999999</v>
      </c>
      <c r="AI144" s="23">
        <f t="shared" si="962"/>
        <v>-9.7056981840951799</v>
      </c>
      <c r="AJ144" s="49">
        <v>143.5</v>
      </c>
      <c r="AK144" s="23">
        <f t="shared" si="963"/>
        <v>-10.144020037570433</v>
      </c>
      <c r="AL144" s="49">
        <v>144.5</v>
      </c>
      <c r="AM144" s="23">
        <f t="shared" si="964"/>
        <v>-7.8443877551020442</v>
      </c>
      <c r="AN144" s="158">
        <v>143.1</v>
      </c>
      <c r="AO144" s="23">
        <f t="shared" si="966"/>
        <v>-5.9171597633136059</v>
      </c>
      <c r="AP144" s="158"/>
      <c r="AQ144" s="23"/>
      <c r="AR144" s="158"/>
      <c r="AS144" s="23"/>
      <c r="AT144" s="158"/>
      <c r="AU144" s="23"/>
      <c r="AV144" s="158"/>
      <c r="AW144" s="23" t="str">
        <f t="shared" si="967"/>
        <v>NM</v>
      </c>
      <c r="AX144" s="158"/>
      <c r="AY144" s="23"/>
      <c r="AZ144" s="158"/>
      <c r="BA144" s="23"/>
      <c r="BB144" s="158"/>
      <c r="BC144" s="23" t="str">
        <f t="shared" si="968"/>
        <v>NA</v>
      </c>
      <c r="BD144" s="158"/>
      <c r="BE144" s="23" t="str">
        <f t="shared" si="969"/>
        <v>NA</v>
      </c>
      <c r="BF144" s="36"/>
      <c r="BG144" s="23"/>
      <c r="BH144" s="36"/>
      <c r="BI144" s="23"/>
      <c r="BJ144" s="36"/>
      <c r="BK144" s="23"/>
      <c r="BL144" s="36"/>
      <c r="BM144" s="23" t="str">
        <f t="shared" si="970"/>
        <v>NA</v>
      </c>
      <c r="BN144" s="35"/>
      <c r="BO144" s="137"/>
      <c r="BP144" s="35"/>
      <c r="BQ144" s="74"/>
      <c r="BR144" s="113"/>
      <c r="BS144" s="74"/>
      <c r="BT144" s="35"/>
      <c r="BU144" s="56">
        <f>B144+D144+F144+H144</f>
        <v>960.10000000000014</v>
      </c>
      <c r="BV144" s="23" t="str">
        <f t="shared" si="971"/>
        <v>NA</v>
      </c>
      <c r="BW144" s="56">
        <f>J144+L144+N144+P144</f>
        <v>783.10000000000014</v>
      </c>
      <c r="BX144" s="23">
        <f t="shared" si="972"/>
        <v>-18.435579627122166</v>
      </c>
      <c r="BY144" s="56">
        <f>R144+T144+V144+X144</f>
        <v>672.6</v>
      </c>
      <c r="BZ144" s="23">
        <f t="shared" si="973"/>
        <v>-14.110586132039337</v>
      </c>
      <c r="CA144" s="56">
        <f>Z144+AB144+AD144+AF144</f>
        <v>628.29999999999995</v>
      </c>
      <c r="CB144" s="23">
        <f t="shared" si="973"/>
        <v>-6.5863812072554317</v>
      </c>
      <c r="CC144" s="56">
        <f>AH144+AJ144+AL144+AN144</f>
        <v>575.29999999999995</v>
      </c>
      <c r="CD144" s="23">
        <f t="shared" si="973"/>
        <v>-8.4354607671494506</v>
      </c>
      <c r="CE144" s="56">
        <f>AP144+AR144+AT144+AV144</f>
        <v>0</v>
      </c>
      <c r="CF144" s="23" t="str">
        <f t="shared" si="973"/>
        <v>NM</v>
      </c>
      <c r="CG144" s="56"/>
      <c r="CH144" s="23" t="str">
        <f t="shared" si="973"/>
        <v>NA</v>
      </c>
      <c r="CI144" s="56"/>
      <c r="CJ144" s="23"/>
      <c r="CK144" s="56"/>
      <c r="CL144" s="23"/>
      <c r="CM144" s="56"/>
      <c r="CN144" s="23"/>
      <c r="CO144" s="56"/>
      <c r="CP144" s="23"/>
      <c r="CQ144" s="56"/>
      <c r="CR144" s="23"/>
      <c r="CS144" s="23"/>
    </row>
    <row r="145" spans="1:97" ht="12.75" hidden="1" customHeight="1" outlineLevel="1" x14ac:dyDescent="0.2">
      <c r="A145" s="4" t="s">
        <v>15</v>
      </c>
      <c r="B145" s="36">
        <f>B143+B144</f>
        <v>342.9</v>
      </c>
      <c r="C145" s="59"/>
      <c r="D145" s="36">
        <f t="shared" ref="D145:Z145" si="982">D143+D144</f>
        <v>366.90000000000003</v>
      </c>
      <c r="E145" s="59"/>
      <c r="F145" s="36">
        <f t="shared" si="982"/>
        <v>354.4</v>
      </c>
      <c r="G145" s="59"/>
      <c r="H145" s="36">
        <f t="shared" si="982"/>
        <v>308.60000000000002</v>
      </c>
      <c r="I145" s="59"/>
      <c r="J145" s="36">
        <f t="shared" si="982"/>
        <v>339.09999999999997</v>
      </c>
      <c r="K145" s="23">
        <f t="shared" si="957"/>
        <v>-1.1081948089822102</v>
      </c>
      <c r="L145" s="36">
        <f t="shared" si="982"/>
        <v>317</v>
      </c>
      <c r="M145" s="23">
        <f t="shared" si="957"/>
        <v>-13.600436086127022</v>
      </c>
      <c r="N145" s="36">
        <f t="shared" si="982"/>
        <v>303</v>
      </c>
      <c r="O145" s="23">
        <f t="shared" si="957"/>
        <v>-14.503386004514663</v>
      </c>
      <c r="P145" s="56">
        <f t="shared" si="982"/>
        <v>314.2</v>
      </c>
      <c r="Q145" s="23">
        <f t="shared" si="957"/>
        <v>1.8146467919637033</v>
      </c>
      <c r="R145" s="56">
        <f t="shared" si="982"/>
        <v>304.79999999999995</v>
      </c>
      <c r="S145" s="23">
        <f t="shared" si="957"/>
        <v>-10.115010321439112</v>
      </c>
      <c r="T145" s="56">
        <f t="shared" si="982"/>
        <v>298.89999999999998</v>
      </c>
      <c r="U145" s="23">
        <f t="shared" si="957"/>
        <v>-5.7097791798107362</v>
      </c>
      <c r="V145" s="56">
        <f t="shared" si="982"/>
        <v>310.5</v>
      </c>
      <c r="W145" s="23">
        <f t="shared" si="957"/>
        <v>2.4752475247524774</v>
      </c>
      <c r="X145" s="56">
        <f t="shared" si="982"/>
        <v>300.70000000000005</v>
      </c>
      <c r="Y145" s="23">
        <f t="shared" si="957"/>
        <v>-4.2966263526416082</v>
      </c>
      <c r="Z145" s="56">
        <f t="shared" si="982"/>
        <v>290.90000000000003</v>
      </c>
      <c r="AA145" s="23">
        <f t="shared" si="958"/>
        <v>-4.5603674540682153</v>
      </c>
      <c r="AB145" s="56">
        <f t="shared" ref="AB145:AD145" si="983">AB143+AB144</f>
        <v>299.10000000000002</v>
      </c>
      <c r="AC145" s="23">
        <f t="shared" si="959"/>
        <v>6.6912010705943992E-2</v>
      </c>
      <c r="AD145" s="56">
        <f t="shared" si="983"/>
        <v>300.39999999999998</v>
      </c>
      <c r="AE145" s="23">
        <f t="shared" si="960"/>
        <v>-3.2528180354267411</v>
      </c>
      <c r="AF145" s="56">
        <f t="shared" ref="AF145:AH145" si="984">AF143+AF144</f>
        <v>301.8</v>
      </c>
      <c r="AG145" s="23">
        <f t="shared" si="961"/>
        <v>0.36581310276020407</v>
      </c>
      <c r="AH145" s="56">
        <f t="shared" si="984"/>
        <v>290.10000000000002</v>
      </c>
      <c r="AI145" s="23">
        <f t="shared" si="962"/>
        <v>-0.27500859401856648</v>
      </c>
      <c r="AJ145" s="56">
        <f t="shared" ref="AJ145:AL145" si="985">AJ143+AJ144</f>
        <v>284.29999999999995</v>
      </c>
      <c r="AK145" s="23">
        <f t="shared" si="963"/>
        <v>-4.9481778669341558</v>
      </c>
      <c r="AL145" s="56">
        <f t="shared" si="985"/>
        <v>304.89999999999998</v>
      </c>
      <c r="AM145" s="23">
        <f t="shared" si="964"/>
        <v>1.4980026631158383</v>
      </c>
      <c r="AN145" s="413">
        <f>AN143+AN144</f>
        <v>293.60000000000002</v>
      </c>
      <c r="AO145" s="23">
        <f t="shared" si="966"/>
        <v>-2.7170311464546071</v>
      </c>
      <c r="AP145" s="413"/>
      <c r="AQ145" s="23"/>
      <c r="AR145" s="413"/>
      <c r="AS145" s="23"/>
      <c r="AT145" s="413"/>
      <c r="AU145" s="23"/>
      <c r="AV145" s="413"/>
      <c r="AW145" s="23" t="str">
        <f t="shared" si="967"/>
        <v>NM</v>
      </c>
      <c r="AX145" s="413"/>
      <c r="AY145" s="23"/>
      <c r="AZ145" s="413"/>
      <c r="BA145" s="23"/>
      <c r="BB145" s="413"/>
      <c r="BC145" s="23" t="str">
        <f t="shared" si="968"/>
        <v>NA</v>
      </c>
      <c r="BD145" s="413"/>
      <c r="BE145" s="23" t="str">
        <f t="shared" si="969"/>
        <v>NA</v>
      </c>
      <c r="BF145" s="36"/>
      <c r="BG145" s="23"/>
      <c r="BH145" s="36"/>
      <c r="BI145" s="23"/>
      <c r="BJ145" s="36"/>
      <c r="BK145" s="23"/>
      <c r="BL145" s="36"/>
      <c r="BM145" s="23" t="str">
        <f t="shared" si="970"/>
        <v>NA</v>
      </c>
      <c r="BN145" s="35"/>
      <c r="BO145" s="137"/>
      <c r="BP145" s="35"/>
      <c r="BQ145" s="112"/>
      <c r="BR145" s="113"/>
      <c r="BS145" s="112"/>
      <c r="BT145" s="35"/>
      <c r="BU145" s="56">
        <f>BU143+BU144</f>
        <v>1372.8000000000002</v>
      </c>
      <c r="BV145" s="23" t="str">
        <f t="shared" si="971"/>
        <v>NA</v>
      </c>
      <c r="BW145" s="56">
        <f>BW143+BW144</f>
        <v>1273.3000000000002</v>
      </c>
      <c r="BX145" s="23">
        <f t="shared" si="972"/>
        <v>-7.247960372960371</v>
      </c>
      <c r="BY145" s="56">
        <f>BY143+BY144</f>
        <v>1214.9000000000001</v>
      </c>
      <c r="BZ145" s="23">
        <f t="shared" si="973"/>
        <v>-4.5865075001963458</v>
      </c>
      <c r="CA145" s="56">
        <f>CA143+CA144</f>
        <v>1192.2</v>
      </c>
      <c r="CB145" s="23">
        <f t="shared" si="973"/>
        <v>-1.8684665404560041</v>
      </c>
      <c r="CC145" s="56">
        <f>CC143+CC144</f>
        <v>1172.9000000000001</v>
      </c>
      <c r="CD145" s="23">
        <f t="shared" si="973"/>
        <v>-1.6188558966616307</v>
      </c>
      <c r="CE145" s="56">
        <f>CE143+CE144</f>
        <v>0</v>
      </c>
      <c r="CF145" s="23" t="str">
        <f t="shared" si="973"/>
        <v>NM</v>
      </c>
      <c r="CG145" s="56"/>
      <c r="CH145" s="23" t="str">
        <f t="shared" si="973"/>
        <v>NA</v>
      </c>
      <c r="CI145" s="56"/>
      <c r="CJ145" s="23"/>
      <c r="CK145" s="56"/>
      <c r="CL145" s="23"/>
      <c r="CM145" s="56"/>
      <c r="CN145" s="23"/>
      <c r="CO145" s="56"/>
      <c r="CP145" s="23"/>
      <c r="CQ145" s="56"/>
      <c r="CR145" s="23"/>
      <c r="CS145" s="23"/>
    </row>
    <row r="146" spans="1:97" ht="12.75" hidden="1" customHeight="1" outlineLevel="1" x14ac:dyDescent="0.2">
      <c r="B146" s="35"/>
      <c r="C146" s="60"/>
      <c r="D146" s="35"/>
      <c r="E146" s="60"/>
      <c r="F146" s="35"/>
      <c r="G146" s="60"/>
      <c r="H146" s="35"/>
      <c r="I146" s="60"/>
      <c r="J146" s="35"/>
      <c r="L146" s="35"/>
      <c r="N146" s="35"/>
      <c r="P146" s="37"/>
      <c r="R146" s="37"/>
      <c r="T146" s="37"/>
      <c r="V146" s="37"/>
      <c r="X146" s="37"/>
      <c r="Z146" s="37"/>
      <c r="AB146" s="37"/>
      <c r="AD146" s="37"/>
      <c r="AF146" s="37"/>
      <c r="AH146" s="37"/>
      <c r="AJ146" s="37"/>
      <c r="AL146" s="37"/>
      <c r="AN146" s="411"/>
      <c r="AP146" s="411"/>
      <c r="AR146" s="409"/>
      <c r="AT146" s="409"/>
      <c r="AV146" s="409"/>
      <c r="AX146" s="409"/>
      <c r="AZ146" s="409"/>
      <c r="BB146" s="409"/>
      <c r="BD146" s="409"/>
      <c r="BF146" s="35"/>
      <c r="BH146" s="35"/>
      <c r="BJ146" s="35"/>
      <c r="BL146" s="35"/>
      <c r="BN146" s="35"/>
      <c r="BO146" s="138"/>
      <c r="BP146" s="35"/>
      <c r="BQ146" s="35"/>
      <c r="BR146" s="35"/>
      <c r="BS146" s="35"/>
      <c r="BT146" s="35"/>
      <c r="BU146" s="37"/>
      <c r="BW146" s="37"/>
      <c r="BY146" s="37"/>
      <c r="CA146" s="37"/>
      <c r="CC146" s="37"/>
      <c r="CE146" s="37"/>
      <c r="CG146" s="37"/>
      <c r="CI146" s="37"/>
      <c r="CK146" s="37"/>
      <c r="CM146" s="37"/>
      <c r="CO146" s="37"/>
      <c r="CQ146" s="37"/>
    </row>
    <row r="147" spans="1:97" ht="12.75" hidden="1" customHeight="1" outlineLevel="1" x14ac:dyDescent="0.2">
      <c r="A147" s="11" t="s">
        <v>109</v>
      </c>
      <c r="B147" s="35"/>
      <c r="C147" s="60"/>
      <c r="D147" s="35"/>
      <c r="E147" s="60"/>
      <c r="F147" s="35"/>
      <c r="G147" s="60"/>
      <c r="H147" s="35"/>
      <c r="I147" s="60"/>
      <c r="J147" s="35"/>
      <c r="L147" s="35"/>
      <c r="N147" s="35"/>
      <c r="P147" s="37"/>
      <c r="R147" s="37"/>
      <c r="T147" s="37"/>
      <c r="V147" s="37"/>
      <c r="X147" s="37"/>
      <c r="Z147" s="37"/>
      <c r="AB147" s="37"/>
      <c r="AD147" s="37"/>
      <c r="AF147" s="37"/>
      <c r="AH147" s="37"/>
      <c r="AJ147" s="37"/>
      <c r="AL147" s="37"/>
      <c r="AN147" s="411"/>
      <c r="AP147" s="411"/>
      <c r="AR147" s="409"/>
      <c r="AT147" s="409"/>
      <c r="AV147" s="409"/>
      <c r="AX147" s="409"/>
      <c r="AZ147" s="409"/>
      <c r="BB147" s="409"/>
      <c r="BD147" s="409"/>
      <c r="BF147" s="35"/>
      <c r="BH147" s="35"/>
      <c r="BJ147" s="35"/>
      <c r="BL147" s="35"/>
      <c r="BN147" s="35"/>
      <c r="BO147" s="138"/>
      <c r="BP147" s="35"/>
      <c r="BQ147" s="35"/>
      <c r="BR147" s="35"/>
      <c r="BS147" s="35"/>
      <c r="BT147" s="35"/>
      <c r="BU147" s="37"/>
      <c r="BW147" s="37"/>
      <c r="BY147" s="37"/>
      <c r="CA147" s="37"/>
      <c r="CC147" s="37"/>
      <c r="CD147" s="177"/>
      <c r="CE147" s="37"/>
      <c r="CF147" s="177"/>
      <c r="CG147" s="37"/>
      <c r="CH147" s="177"/>
      <c r="CI147" s="37"/>
      <c r="CJ147" s="177"/>
      <c r="CK147" s="37"/>
      <c r="CL147" s="177"/>
      <c r="CM147" s="37"/>
      <c r="CN147" s="177"/>
      <c r="CO147" s="37"/>
      <c r="CP147" s="177"/>
      <c r="CQ147" s="37"/>
      <c r="CR147" s="177"/>
    </row>
    <row r="148" spans="1:97" ht="12.75" hidden="1" customHeight="1" outlineLevel="1" x14ac:dyDescent="0.2">
      <c r="A148" s="31" t="s">
        <v>3</v>
      </c>
      <c r="B148" s="79">
        <f t="shared" ref="B148:P148" si="986">(B140+B144)/B123*400</f>
        <v>5.3085228614779805</v>
      </c>
      <c r="C148" s="59"/>
      <c r="D148" s="79">
        <f t="shared" si="986"/>
        <v>5.5865700126570728</v>
      </c>
      <c r="E148" s="59"/>
      <c r="F148" s="79">
        <f t="shared" si="986"/>
        <v>5.4056088540418257</v>
      </c>
      <c r="G148" s="59"/>
      <c r="H148" s="115">
        <f t="shared" si="986"/>
        <v>4.772360942793263</v>
      </c>
      <c r="I148" s="59"/>
      <c r="J148" s="115">
        <f t="shared" si="986"/>
        <v>5.2804854691894398</v>
      </c>
      <c r="K148" s="23">
        <f t="shared" ref="K148:Y150" si="987">IF(ISERROR((J148/B148-1)*100),"NA",IF(((J148/B148-1)*100)&gt;100,"NM",IF(((J148/B148-1)*100)&lt;-50,"NM",(J148/B148-1)*100)))</f>
        <v>-0.52815807749454491</v>
      </c>
      <c r="L148" s="115">
        <f t="shared" si="986"/>
        <v>5.0356055001508544</v>
      </c>
      <c r="M148" s="23">
        <f t="shared" si="987"/>
        <v>-9.8623039048636123</v>
      </c>
      <c r="N148" s="115">
        <f t="shared" si="986"/>
        <v>4.9547500733265597</v>
      </c>
      <c r="O148" s="23">
        <f t="shared" si="987"/>
        <v>-8.3405735207451208</v>
      </c>
      <c r="P148" s="116">
        <f t="shared" si="986"/>
        <v>5.1140488575840175</v>
      </c>
      <c r="Q148" s="23">
        <f t="shared" si="987"/>
        <v>7.1597249010835418</v>
      </c>
      <c r="R148" s="116">
        <f>(R140+R144)/R123*400</f>
        <v>4.9153489088772879</v>
      </c>
      <c r="S148" s="23">
        <f t="shared" si="987"/>
        <v>-6.9148293739780042</v>
      </c>
      <c r="T148" s="116">
        <f>(T140+T144)/T123*400</f>
        <v>4.8303637483929691</v>
      </c>
      <c r="U148" s="23">
        <f t="shared" si="987"/>
        <v>-4.075810778897127</v>
      </c>
      <c r="V148" s="116">
        <f>(V140+V144)/V123*400</f>
        <v>5.0304742084138532</v>
      </c>
      <c r="W148" s="23">
        <f t="shared" si="987"/>
        <v>1.528313920311497</v>
      </c>
      <c r="X148" s="116">
        <f>(X140+X144)/X123*400</f>
        <v>4.7785999629173892</v>
      </c>
      <c r="Y148" s="23">
        <f t="shared" si="987"/>
        <v>-6.5593603817289514</v>
      </c>
      <c r="Z148" s="116">
        <f>(Z140+Z144)/Z123*400</f>
        <v>4.5173698460973633</v>
      </c>
      <c r="AA148" s="23">
        <f>IF(ISERROR((Z148/R148-1)*100),"NA",IF(((Z148/R148-1)*100)&gt;100,"NM",IF(((Z148/R148-1)*100)&lt;-50,"NM",(Z148/R148-1)*100)))</f>
        <v>-8.0966594672691627</v>
      </c>
      <c r="AB148" s="116">
        <f>(AB140+AB144)/AB123*400</f>
        <v>4.5565661545824536</v>
      </c>
      <c r="AC148" s="23">
        <f>IF(ISERROR((AB148/T148-1)*100),"NA",IF(((AB148/T148-1)*100)&gt;100,"NM",IF(((AB148/T148-1)*100)&lt;-50,"NM",(AB148/T148-1)*100)))</f>
        <v>-5.6682603644830358</v>
      </c>
      <c r="AD148" s="116">
        <f>(AD140+AD144)/AD123*400</f>
        <v>4.6813570135427911</v>
      </c>
      <c r="AE148" s="23">
        <f>IF(ISERROR((AD148/V148-1)*100),"NA",IF(((AD148/V148-1)*100)&gt;100,"NM",IF(((AD148/V148-1)*100)&lt;-50,"NM",(AD148/V148-1)*100)))</f>
        <v>-6.9400454193192518</v>
      </c>
      <c r="AF148" s="116">
        <f>(AF140+AF144)/AF123*400</f>
        <v>4.7124768194137916</v>
      </c>
      <c r="AG148" s="23">
        <f>IF(ISERROR((AF148/X148-1)*100),"NA",IF(((AF148/X148-1)*100)&gt;100,"NM",IF(((AF148/X148-1)*100)&lt;-50,"NM",(AF148/X148-1)*100)))</f>
        <v>-1.3837346506659354</v>
      </c>
      <c r="AH148" s="116">
        <f>(AH140+AH144)/AH123*400</f>
        <v>4.478228157425395</v>
      </c>
      <c r="AI148" s="23">
        <f>IF(ISERROR((AH148/Z148-1)*100),"NA",IF(((AH148/Z148-1)*100)&gt;100,"NM",IF(((AH148/Z148-1)*100)&lt;-50,"NM",(AH148/Z148-1)*100)))</f>
        <v>-0.86647075633586867</v>
      </c>
      <c r="AJ148" s="116">
        <f>(AJ140+AJ144)/AJ123*400</f>
        <v>4.3937903319937952</v>
      </c>
      <c r="AK148" s="485">
        <f>IF(ISERROR((AJ148/AB148-1)*100),"NA",IF(((AJ148/AB148-1)*100)&gt;100,"NM",IF(((AJ148/AB148-1)*100)&lt;-50,"NM",(AJ148/AB148-1)*100)))</f>
        <v>-3.5723353303003802</v>
      </c>
      <c r="AL148" s="116">
        <f>(AL140+AL144)/AL123*400</f>
        <v>4.4212455206296246</v>
      </c>
      <c r="AM148" s="23">
        <f>IF(ISERROR((AL148/AD148-1)*100),"NA",IF(((AL148/AD148-1)*100)&gt;100,"NM",IF(((AL148/AD148-1)*100)&lt;-50,"NM",(AL148/AD148-1)*100)))</f>
        <v>-5.5563267693680469</v>
      </c>
      <c r="AN148" s="445">
        <f t="shared" ref="AN148" si="988">(AN140+AN144)/AN123*400</f>
        <v>4.5427420713057458</v>
      </c>
      <c r="AO148" s="23">
        <f>IF(ISERROR((AN148/AF148-1)*100),"NA",IF(((AN148/AF148-1)*100)&gt;100,"NM",IF(((AN148/AF148-1)*100)&lt;-50,"NM",(AN148/AF148-1)*100)))</f>
        <v>-3.601816085519971</v>
      </c>
      <c r="AP148" s="445"/>
      <c r="AQ148" s="23"/>
      <c r="AR148" s="445"/>
      <c r="AS148" s="23"/>
      <c r="AT148" s="445"/>
      <c r="AU148" s="23"/>
      <c r="AV148" s="445"/>
      <c r="AW148" s="23" t="str">
        <f t="shared" ref="AW148:AW150" si="989">IF(ISERROR((AV148/AN148-1)*100),"NA",IF(((AV148/AN148-1)*100)&gt;100,"NM",IF(((AV148/AN148-1)*100)&lt;-50,"NM",(AV148/AN148-1)*100)))</f>
        <v>NM</v>
      </c>
      <c r="AX148" s="445"/>
      <c r="AY148" s="23"/>
      <c r="AZ148" s="445"/>
      <c r="BA148" s="23"/>
      <c r="BB148" s="445"/>
      <c r="BC148" s="23" t="str">
        <f t="shared" ref="BC148:BC150" si="990">IF(ISERROR((BB148/AT148-1)*100),"NA",IF(((BB148/AT148-1)*100)&gt;100,"NM",IF(((BB148/AT148-1)*100)&lt;-50,"NM",(BB148/AT148-1)*100)))</f>
        <v>NA</v>
      </c>
      <c r="BD148" s="445"/>
      <c r="BE148" s="23" t="str">
        <f t="shared" ref="BE148:BE150" si="991">IF(ISERROR((BD148/AV148-1)*100),"NA",IF(((BD148/AV148-1)*100)&gt;100,"NM",IF(((BD148/AV148-1)*100)&lt;-50,"NM",(BD148/AV148-1)*100)))</f>
        <v>NA</v>
      </c>
      <c r="BF148" s="118"/>
      <c r="BG148" s="23"/>
      <c r="BH148" s="118"/>
      <c r="BI148" s="23"/>
      <c r="BJ148" s="118"/>
      <c r="BK148" s="23"/>
      <c r="BL148" s="118"/>
      <c r="BM148" s="23" t="str">
        <f t="shared" ref="BM148:BM150" si="992">IF(ISERROR((BL148/BD148-1)*100),"NA",IF(((BL148/BD148-1)*100)&gt;100,"NM",IF(((BL148/BD148-1)*100)&lt;-50,"NM",(BL148/BD148-1)*100)))</f>
        <v>NA</v>
      </c>
      <c r="BN148" s="35"/>
      <c r="BO148" s="138"/>
      <c r="BP148" s="35"/>
      <c r="BQ148" s="113"/>
      <c r="BR148" s="113"/>
      <c r="BS148" s="113"/>
      <c r="BT148" s="35"/>
      <c r="BU148" s="116">
        <f>(BU140+BU144)/BU123*100</f>
        <v>5.3186720406870975</v>
      </c>
      <c r="BV148" s="23" t="str">
        <f>IF(ISERROR((BU148/BS148-1)*100),"NA",IF(((BU148/BS148-1)*100)&gt;100,"NM",IF(((BU148/BS148-1)*100)&lt;-50,"NM",(BU148/BS148-1)*100)))</f>
        <v>NA</v>
      </c>
      <c r="BW148" s="116">
        <f>(BW140+BW144)/BW123*100</f>
        <v>5.0750310466135309</v>
      </c>
      <c r="BX148" s="23">
        <f>IF(ISERROR((BW148/BU148-1)*100),"NA",IF(((BW148/BU148-1)*100)&gt;100,"NM",IF(((BW148/BU148-1)*100)&lt;-50,"NM",(BW148/BU148-1)*100)))</f>
        <v>-4.5808613918990932</v>
      </c>
      <c r="BY148" s="116">
        <f>(BY140+BY144)/BY123*100</f>
        <v>4.8789491102568663</v>
      </c>
      <c r="BZ148" s="23">
        <f>IF(ISERROR((BY148/BW148-1)*100),"NA",IF(((BY148/BW148-1)*100)&gt;100,"NM",IF(((BY148/BW148-1)*100)&lt;-50,"NM",(BY148/BW148-1)*100)))</f>
        <v>-3.8636598388399279</v>
      </c>
      <c r="CA148" s="116">
        <f>(CA140+CA144)/CA123*100</f>
        <v>4.6628848896234949</v>
      </c>
      <c r="CB148" s="23">
        <f>IF(ISERROR((CA148/BY148-1)*100),"NA",IF(((CA148/BY148-1)*100)&gt;100,"NM",IF(((CA148/BY148-1)*100)&lt;-50,"NM",(CA148/BY148-1)*100)))</f>
        <v>-4.4284991655097699</v>
      </c>
      <c r="CC148" s="116">
        <f>(CC140+CC144)/CC123*100</f>
        <v>4.4535400120456066</v>
      </c>
      <c r="CD148" s="23">
        <f>IF(ISERROR((CC148/CA148-1)*100),"NA",IF(((CC148/CA148-1)*100)&gt;100,"NM",IF(((CC148/CA148-1)*100)&lt;-50,"NM",(CC148/CA148-1)*100)))</f>
        <v>-4.4895999479582223</v>
      </c>
      <c r="CE148" s="116">
        <f>(CE140+CE144)/CE123*100</f>
        <v>0</v>
      </c>
      <c r="CF148" s="23" t="str">
        <f>IF(ISERROR((CE148/CC148-1)*100),"NA",IF(((CE148/CC148-1)*100)&gt;100,"NM",IF(((CE148/CC148-1)*100)&lt;-50,"NM",(CE148/CC148-1)*100)))</f>
        <v>NM</v>
      </c>
      <c r="CG148" s="116"/>
      <c r="CH148" s="23" t="str">
        <f>IF(ISERROR((CG148/CE148-1)*100),"NA",IF(((CG148/CE148-1)*100)&gt;100,"NM",IF(((CG148/CE148-1)*100)&lt;-50,"NM",(CG148/CE148-1)*100)))</f>
        <v>NA</v>
      </c>
      <c r="CI148" s="116"/>
      <c r="CJ148" s="23"/>
      <c r="CK148" s="118"/>
      <c r="CL148" s="23"/>
      <c r="CM148" s="118"/>
      <c r="CN148" s="23"/>
      <c r="CO148" s="118"/>
      <c r="CP148" s="23"/>
      <c r="CQ148" s="118"/>
      <c r="CR148" s="23"/>
      <c r="CS148" s="23"/>
    </row>
    <row r="149" spans="1:97" ht="12.75" hidden="1" customHeight="1" outlineLevel="1" x14ac:dyDescent="0.2">
      <c r="A149" s="31" t="s">
        <v>4</v>
      </c>
      <c r="B149" s="79">
        <f t="shared" ref="B149:P149" si="993">B144/B123*400</f>
        <v>3.9217413236077143</v>
      </c>
      <c r="C149" s="59"/>
      <c r="D149" s="79">
        <f t="shared" si="993"/>
        <v>3.8296572274265674</v>
      </c>
      <c r="E149" s="59"/>
      <c r="F149" s="79">
        <f t="shared" si="993"/>
        <v>3.7891558985675768</v>
      </c>
      <c r="G149" s="59"/>
      <c r="H149" s="79">
        <f t="shared" si="993"/>
        <v>3.7564544061946301</v>
      </c>
      <c r="I149" s="59"/>
      <c r="J149" s="115">
        <f t="shared" si="993"/>
        <v>3.4982813019767551</v>
      </c>
      <c r="K149" s="23">
        <f t="shared" si="987"/>
        <v>-10.797755045236057</v>
      </c>
      <c r="L149" s="115">
        <f t="shared" si="993"/>
        <v>3.3361299735076901</v>
      </c>
      <c r="M149" s="23">
        <f t="shared" si="987"/>
        <v>-12.886982427158767</v>
      </c>
      <c r="N149" s="115">
        <f t="shared" si="993"/>
        <v>3.1405021912951803</v>
      </c>
      <c r="O149" s="23">
        <f t="shared" si="987"/>
        <v>-17.118686183316147</v>
      </c>
      <c r="P149" s="116">
        <f t="shared" si="993"/>
        <v>3.078708809741534</v>
      </c>
      <c r="Q149" s="23">
        <f t="shared" si="987"/>
        <v>-18.042162187179777</v>
      </c>
      <c r="R149" s="116">
        <f>R144/R123*400</f>
        <v>2.973863132957105</v>
      </c>
      <c r="S149" s="23">
        <f t="shared" si="987"/>
        <v>-14.990737557992261</v>
      </c>
      <c r="T149" s="116">
        <f>T144/T123*400</f>
        <v>2.862058746399506</v>
      </c>
      <c r="U149" s="23">
        <f t="shared" si="987"/>
        <v>-14.210214556171319</v>
      </c>
      <c r="V149" s="116">
        <f>V144/V123*400</f>
        <v>2.8558686742126604</v>
      </c>
      <c r="W149" s="23">
        <f t="shared" si="987"/>
        <v>-9.0633121629866924</v>
      </c>
      <c r="X149" s="116">
        <f>X144/X123*400</f>
        <v>2.7474842820301033</v>
      </c>
      <c r="Y149" s="23">
        <f t="shared" si="987"/>
        <v>-10.758553282576855</v>
      </c>
      <c r="Z149" s="116">
        <f>Z144/Z123*400</f>
        <v>2.6650312686433275</v>
      </c>
      <c r="AA149" s="23">
        <f>IF(ISERROR((Z149/R149-1)*100),"NA",IF(((Z149/R149-1)*100)&gt;100,"NM",IF(((Z149/R149-1)*100)&lt;-50,"NM",(Z149/R149-1)*100)))</f>
        <v>-10.384871478825787</v>
      </c>
      <c r="AB149" s="116">
        <f>AB144/AB123*400</f>
        <v>2.6355799162869173</v>
      </c>
      <c r="AC149" s="23">
        <f>IF(ISERROR((AB149/T149-1)*100),"NA",IF(((AB149/T149-1)*100)&gt;100,"NM",IF(((AB149/T149-1)*100)&lt;-50,"NM",(AB149/T149-1)*100)))</f>
        <v>-7.9131440050802855</v>
      </c>
      <c r="AD149" s="116">
        <f>AD144/AD123*400</f>
        <v>2.5983602822071137</v>
      </c>
      <c r="AE149" s="23">
        <f>IF(ISERROR((AD149/V149-1)*100),"NA",IF(((AD149/V149-1)*100)&gt;100,"NM",IF(((AD149/V149-1)*100)&lt;-50,"NM",(AD149/V149-1)*100)))</f>
        <v>-9.0168148952626375</v>
      </c>
      <c r="AF149" s="116">
        <f>AF144/AF123*400</f>
        <v>2.5525916105158037</v>
      </c>
      <c r="AG149" s="23">
        <f>IF(ISERROR((AF149/X149-1)*100),"NA",IF(((AF149/X149-1)*100)&gt;100,"NM",IF(((AF149/X149-1)*100)&lt;-50,"NM",(AF149/X149-1)*100)))</f>
        <v>-7.0934954128397898</v>
      </c>
      <c r="AH149" s="116">
        <f>AH144/AH123*400</f>
        <v>2.4176731572472554</v>
      </c>
      <c r="AI149" s="23">
        <f>IF(ISERROR((AH149/Z149-1)*100),"NA",IF(((AH149/Z149-1)*100)&gt;100,"NM",IF(((AH149/Z149-1)*100)&lt;-50,"NM",(AH149/Z149-1)*100)))</f>
        <v>-9.2816213568103212</v>
      </c>
      <c r="AJ149" s="116">
        <f>AJ144/AJ123*400</f>
        <v>2.3928231978789736</v>
      </c>
      <c r="AK149" s="23">
        <f>IF(ISERROR((AJ149/AB149-1)*100),"NA",IF(((AJ149/AB149-1)*100)&gt;100,"NM",IF(((AJ149/AB149-1)*100)&lt;-50,"NM",(AJ149/AB149-1)*100)))</f>
        <v>-9.2107515658241379</v>
      </c>
      <c r="AL149" s="116">
        <f>AL144/AL123*400</f>
        <v>2.4126509733043084</v>
      </c>
      <c r="AM149" s="23">
        <f>IF(ISERROR((AL149/AD149-1)*100),"NA",IF(((AL149/AD149-1)*100)&gt;100,"NM",IF(((AL149/AD149-1)*100)&lt;-50,"NM",(AL149/AD149-1)*100)))</f>
        <v>-7.1471731681897133</v>
      </c>
      <c r="AN149" s="445">
        <f t="shared" ref="AN149" si="994">AN144/AN123*400</f>
        <v>2.3803236558178402</v>
      </c>
      <c r="AO149" s="23">
        <f>IF(ISERROR((AN149/AF149-1)*100),"NA",IF(((AN149/AF149-1)*100)&gt;100,"NM",IF(((AN149/AF149-1)*100)&lt;-50,"NM",(AN149/AF149-1)*100)))</f>
        <v>-6.7487471943525339</v>
      </c>
      <c r="AP149" s="445"/>
      <c r="AQ149" s="23"/>
      <c r="AR149" s="445"/>
      <c r="AS149" s="23"/>
      <c r="AT149" s="445"/>
      <c r="AU149" s="23"/>
      <c r="AV149" s="445"/>
      <c r="AW149" s="23" t="str">
        <f t="shared" si="989"/>
        <v>NM</v>
      </c>
      <c r="AX149" s="445"/>
      <c r="AY149" s="23"/>
      <c r="AZ149" s="445"/>
      <c r="BA149" s="23"/>
      <c r="BB149" s="445"/>
      <c r="BC149" s="23" t="str">
        <f t="shared" si="990"/>
        <v>NA</v>
      </c>
      <c r="BD149" s="445"/>
      <c r="BE149" s="23" t="str">
        <f t="shared" si="991"/>
        <v>NA</v>
      </c>
      <c r="BF149" s="117"/>
      <c r="BG149" s="23"/>
      <c r="BH149" s="117"/>
      <c r="BI149" s="23"/>
      <c r="BJ149" s="117"/>
      <c r="BK149" s="23"/>
      <c r="BL149" s="117"/>
      <c r="BM149" s="23" t="str">
        <f t="shared" si="992"/>
        <v>NA</v>
      </c>
      <c r="BN149" s="35"/>
      <c r="BO149" s="138"/>
      <c r="BP149" s="35"/>
      <c r="BQ149" s="113"/>
      <c r="BR149" s="113"/>
      <c r="BS149" s="113"/>
      <c r="BT149" s="35"/>
      <c r="BU149" s="116">
        <f>BU144/BU123*100</f>
        <v>3.8600476425003269</v>
      </c>
      <c r="BV149" s="23" t="str">
        <f>IF(ISERROR((BU149/BS149-1)*100),"NA",IF(((BU149/BS149-1)*100)&gt;100,"NM",IF(((BU149/BS149-1)*100)&lt;-50,"NM",(BU149/BS149-1)*100)))</f>
        <v>NA</v>
      </c>
      <c r="BW149" s="116">
        <f>BW144/BW123*100</f>
        <v>3.2525221479687838</v>
      </c>
      <c r="BX149" s="23">
        <f>IF(ISERROR((BW149/BU149-1)*100),"NA",IF(((BW149/BU149-1)*100)&gt;100,"NM",IF(((BW149/BU149-1)*100)&lt;-50,"NM",(BW149/BU149-1)*100)))</f>
        <v>-15.738808190927445</v>
      </c>
      <c r="BY149" s="116">
        <f>BY144/BY123*100</f>
        <v>2.8537970010946765</v>
      </c>
      <c r="BZ149" s="23">
        <f>IF(ISERROR((BY149/BW149-1)*100),"NA",IF(((BY149/BW149-1)*100)&gt;100,"NM",IF(((BY149/BW149-1)*100)&lt;-50,"NM",(BY149/BW149-1)*100)))</f>
        <v>-12.258952552348124</v>
      </c>
      <c r="CA149" s="116">
        <f>CA144/CA123*100</f>
        <v>2.6391231205751211</v>
      </c>
      <c r="CB149" s="23">
        <f>IF(ISERROR((CA149/BY149-1)*100),"NA",IF(((CA149/BY149-1)*100)&gt;100,"NM",IF(((CA149/BY149-1)*100)&lt;-50,"NM",(CA149/BY149-1)*100)))</f>
        <v>-7.5223949158685581</v>
      </c>
      <c r="CC149" s="116">
        <f>CC144/CC123*100</f>
        <v>2.3978676358725663</v>
      </c>
      <c r="CD149" s="23">
        <f>IF(ISERROR((CC149/CA149-1)*100),"NA",IF(((CC149/CA149-1)*100)&gt;100,"NM",IF(((CC149/CA149-1)*100)&lt;-50,"NM",(CC149/CA149-1)*100)))</f>
        <v>-9.1415016912882781</v>
      </c>
      <c r="CE149" s="116">
        <f>CE144/CE123*100</f>
        <v>0</v>
      </c>
      <c r="CF149" s="23" t="str">
        <f>IF(ISERROR((CE149/CC149-1)*100),"NA",IF(((CE149/CC149-1)*100)&gt;100,"NM",IF(((CE149/CC149-1)*100)&lt;-50,"NM",(CE149/CC149-1)*100)))</f>
        <v>NM</v>
      </c>
      <c r="CG149" s="116"/>
      <c r="CH149" s="23" t="str">
        <f>IF(ISERROR((CG149/CE149-1)*100),"NA",IF(((CG149/CE149-1)*100)&gt;100,"NM",IF(((CG149/CE149-1)*100)&lt;-50,"NM",(CG149/CE149-1)*100)))</f>
        <v>NA</v>
      </c>
      <c r="CI149" s="116"/>
      <c r="CJ149" s="23"/>
      <c r="CK149" s="118"/>
      <c r="CL149" s="23"/>
      <c r="CM149" s="118"/>
      <c r="CN149" s="23"/>
      <c r="CO149" s="118"/>
      <c r="CP149" s="23"/>
      <c r="CQ149" s="118"/>
      <c r="CR149" s="23"/>
      <c r="CS149" s="23"/>
    </row>
    <row r="150" spans="1:97" ht="12.75" hidden="1" customHeight="1" outlineLevel="1" x14ac:dyDescent="0.2">
      <c r="A150" s="31" t="s">
        <v>110</v>
      </c>
      <c r="B150" s="79">
        <f t="shared" ref="B150:Z150" si="995">+B148-B149</f>
        <v>1.3867815378702661</v>
      </c>
      <c r="C150" s="59"/>
      <c r="D150" s="79">
        <f t="shared" si="995"/>
        <v>1.7569127852305053</v>
      </c>
      <c r="E150" s="59"/>
      <c r="F150" s="79">
        <f t="shared" si="995"/>
        <v>1.6164529554742488</v>
      </c>
      <c r="G150" s="59"/>
      <c r="H150" s="79">
        <f t="shared" si="995"/>
        <v>1.0159065365986328</v>
      </c>
      <c r="I150" s="59"/>
      <c r="J150" s="115">
        <f t="shared" si="995"/>
        <v>1.7822041672126847</v>
      </c>
      <c r="K150" s="23">
        <f t="shared" si="987"/>
        <v>28.513692931742106</v>
      </c>
      <c r="L150" s="115">
        <f t="shared" si="995"/>
        <v>1.6994755266431643</v>
      </c>
      <c r="M150" s="23">
        <f t="shared" si="987"/>
        <v>-3.2692151295264926</v>
      </c>
      <c r="N150" s="115">
        <f t="shared" si="995"/>
        <v>1.8142478820313794</v>
      </c>
      <c r="O150" s="23">
        <f t="shared" si="987"/>
        <v>12.236355279458145</v>
      </c>
      <c r="P150" s="116">
        <f t="shared" si="995"/>
        <v>2.0353400478424835</v>
      </c>
      <c r="Q150" s="23" t="str">
        <f t="shared" si="987"/>
        <v>NM</v>
      </c>
      <c r="R150" s="116">
        <f t="shared" si="995"/>
        <v>1.9414857759201829</v>
      </c>
      <c r="S150" s="23">
        <f t="shared" si="987"/>
        <v>8.9373379121096885</v>
      </c>
      <c r="T150" s="116">
        <f t="shared" si="995"/>
        <v>1.9683050019934631</v>
      </c>
      <c r="U150" s="23">
        <f t="shared" si="987"/>
        <v>15.818378737191697</v>
      </c>
      <c r="V150" s="116">
        <f t="shared" si="995"/>
        <v>2.1746055342011927</v>
      </c>
      <c r="W150" s="23">
        <f t="shared" si="987"/>
        <v>19.862646981091014</v>
      </c>
      <c r="X150" s="116">
        <f t="shared" si="995"/>
        <v>2.0311156808872859</v>
      </c>
      <c r="Y150" s="23">
        <f t="shared" si="987"/>
        <v>-0.20755091807266313</v>
      </c>
      <c r="Z150" s="116">
        <f t="shared" si="995"/>
        <v>1.8523385774540357</v>
      </c>
      <c r="AA150" s="23">
        <f>IF(ISERROR((Z150/R150-1)*100),"NA",IF(((Z150/R150-1)*100)&gt;100,"NM",IF(((Z150/R150-1)*100)&lt;-50,"NM",(Z150/R150-1)*100)))</f>
        <v>-4.5916997987737069</v>
      </c>
      <c r="AB150" s="116">
        <f t="shared" ref="AB150:AD150" si="996">+AB148-AB149</f>
        <v>1.9209862382955363</v>
      </c>
      <c r="AC150" s="23">
        <f>IF(ISERROR((AB150/T150-1)*100),"NA",IF(((AB150/T150-1)*100)&gt;100,"NM",IF(((AB150/T150-1)*100)&lt;-50,"NM",(AB150/T150-1)*100)))</f>
        <v>-2.4040361453130155</v>
      </c>
      <c r="AD150" s="116">
        <f t="shared" si="996"/>
        <v>2.0829967313356774</v>
      </c>
      <c r="AE150" s="23">
        <f>IF(ISERROR((AD150/V150-1)*100),"NA",IF(((AD150/V150-1)*100)&gt;100,"NM",IF(((AD150/V150-1)*100)&lt;-50,"NM",(AD150/V150-1)*100)))</f>
        <v>-4.2126630059904802</v>
      </c>
      <c r="AF150" s="116">
        <f t="shared" ref="AF150:AH150" si="997">+AF148-AF149</f>
        <v>2.1598852088979879</v>
      </c>
      <c r="AG150" s="23">
        <f>IF(ISERROR((AF150/X150-1)*100),"NA",IF(((AF150/X150-1)*100)&gt;100,"NM",IF(((AF150/X150-1)*100)&lt;-50,"NM",(AF150/X150-1)*100)))</f>
        <v>6.3398421479592626</v>
      </c>
      <c r="AH150" s="116">
        <f t="shared" si="997"/>
        <v>2.0605550001781396</v>
      </c>
      <c r="AI150" s="23">
        <f>IF(ISERROR((AH150/Z150-1)*100),"NA",IF(((AH150/Z150-1)*100)&gt;100,"NM",IF(((AH150/Z150-1)*100)&lt;-50,"NM",(AH150/Z150-1)*100)))</f>
        <v>11.240732404887277</v>
      </c>
      <c r="AJ150" s="116">
        <f t="shared" ref="AJ150:AL150" si="998">+AJ148-AJ149</f>
        <v>2.0009671341148216</v>
      </c>
      <c r="AK150" s="23">
        <f>IF(ISERROR((AJ150/AB150-1)*100),"NA",IF(((AJ150/AB150-1)*100)&gt;100,"NM",IF(((AJ150/AB150-1)*100)&lt;-50,"NM",(AJ150/AB150-1)*100)))</f>
        <v>4.1635329928366049</v>
      </c>
      <c r="AL150" s="116">
        <f t="shared" si="998"/>
        <v>2.0085945473253162</v>
      </c>
      <c r="AM150" s="23">
        <f>IF(ISERROR((AL150/AD150-1)*100),"NA",IF(((AL150/AD150-1)*100)&gt;100,"NM",IF(((AL150/AD150-1)*100)&lt;-50,"NM",(AL150/AD150-1)*100)))</f>
        <v>-3.5718819377432487</v>
      </c>
      <c r="AN150" s="445">
        <f t="shared" ref="AN150" si="999">+AN148-AN149</f>
        <v>2.1624184154879056</v>
      </c>
      <c r="AO150" s="23">
        <f>IF(ISERROR((AN150/AF150-1)*100),"NA",IF(((AN150/AF150-1)*100)&gt;100,"NM",IF(((AN150/AF150-1)*100)&lt;-50,"NM",(AN150/AF150-1)*100)))</f>
        <v>0.11728431582760379</v>
      </c>
      <c r="AP150" s="445"/>
      <c r="AQ150" s="23"/>
      <c r="AR150" s="445"/>
      <c r="AS150" s="23"/>
      <c r="AT150" s="445"/>
      <c r="AU150" s="23"/>
      <c r="AV150" s="445"/>
      <c r="AW150" s="23" t="str">
        <f t="shared" si="989"/>
        <v>NM</v>
      </c>
      <c r="AX150" s="445"/>
      <c r="AY150" s="23"/>
      <c r="AZ150" s="445"/>
      <c r="BA150" s="23"/>
      <c r="BB150" s="445"/>
      <c r="BC150" s="23" t="str">
        <f t="shared" si="990"/>
        <v>NA</v>
      </c>
      <c r="BD150" s="445"/>
      <c r="BE150" s="23" t="str">
        <f t="shared" si="991"/>
        <v>NA</v>
      </c>
      <c r="BF150" s="115"/>
      <c r="BG150" s="23"/>
      <c r="BH150" s="115"/>
      <c r="BI150" s="23"/>
      <c r="BJ150" s="115"/>
      <c r="BK150" s="23"/>
      <c r="BL150" s="115"/>
      <c r="BM150" s="23" t="str">
        <f t="shared" si="992"/>
        <v>NA</v>
      </c>
      <c r="BN150" s="35"/>
      <c r="BO150" s="138"/>
      <c r="BP150" s="35"/>
      <c r="BQ150" s="113"/>
      <c r="BR150" s="113"/>
      <c r="BS150" s="113"/>
      <c r="BT150" s="35"/>
      <c r="BU150" s="116">
        <f>+BU148-BU149</f>
        <v>1.4586243981867706</v>
      </c>
      <c r="BV150" s="23" t="str">
        <f>IF(ISERROR((BU150/BS150-1)*100),"NA",IF(((BU150/BS150-1)*100)&gt;100,"NM",IF(((BU150/BS150-1)*100)&lt;-50,"NM",(BU150/BS150-1)*100)))</f>
        <v>NA</v>
      </c>
      <c r="BW150" s="116">
        <f>+BW148-BW149</f>
        <v>1.8225088986447471</v>
      </c>
      <c r="BX150" s="23">
        <f>IF(ISERROR((BW150/BU150-1)*100),"NA",IF(((BW150/BU150-1)*100)&gt;100,"NM",IF(((BW150/BU150-1)*100)&lt;-50,"NM",(BW150/BU150-1)*100)))</f>
        <v>24.947100906191121</v>
      </c>
      <c r="BY150" s="116">
        <f>+BY148-BY149</f>
        <v>2.0251521091621898</v>
      </c>
      <c r="BZ150" s="23">
        <f>IF(ISERROR((BY150/BW150-1)*100),"NA",IF(((BY150/BW150-1)*100)&gt;100,"NM",IF(((BY150/BW150-1)*100)&lt;-50,"NM",(BY150/BW150-1)*100)))</f>
        <v>11.118914737158869</v>
      </c>
      <c r="CA150" s="116">
        <f>+CA148-CA149</f>
        <v>2.0237617690483738</v>
      </c>
      <c r="CB150" s="23">
        <f>IF(ISERROR((CA150/BY150-1)*100),"NA",IF(((CA150/BY150-1)*100)&gt;100,"NM",IF(((CA150/BY150-1)*100)&lt;-50,"NM",(CA150/BY150-1)*100)))</f>
        <v>-6.8653614092784032E-2</v>
      </c>
      <c r="CC150" s="116">
        <f>+CC148-CC149</f>
        <v>2.0556723761730402</v>
      </c>
      <c r="CD150" s="23">
        <f>IF(ISERROR((CC150/CA150-1)*100),"NA",IF(((CC150/CA150-1)*100)&gt;100,"NM",IF(((CC150/CA150-1)*100)&lt;-50,"NM",(CC150/CA150-1)*100)))</f>
        <v>1.5767966177002934</v>
      </c>
      <c r="CE150" s="116">
        <f>+CE148-CE149</f>
        <v>0</v>
      </c>
      <c r="CF150" s="23" t="str">
        <f>IF(ISERROR((CE150/CC150-1)*100),"NA",IF(((CE150/CC150-1)*100)&gt;100,"NM",IF(((CE150/CC150-1)*100)&lt;-50,"NM",(CE150/CC150-1)*100)))</f>
        <v>NM</v>
      </c>
      <c r="CG150" s="116"/>
      <c r="CH150" s="23" t="str">
        <f>IF(ISERROR((CG150/CE150-1)*100),"NA",IF(((CG150/CE150-1)*100)&gt;100,"NM",IF(((CG150/CE150-1)*100)&lt;-50,"NM",(CG150/CE150-1)*100)))</f>
        <v>NA</v>
      </c>
      <c r="CI150" s="116"/>
      <c r="CJ150" s="23"/>
      <c r="CK150" s="116"/>
      <c r="CL150" s="23"/>
      <c r="CM150" s="116"/>
      <c r="CN150" s="23"/>
      <c r="CO150" s="116"/>
      <c r="CP150" s="23"/>
      <c r="CQ150" s="116"/>
      <c r="CR150" s="23"/>
      <c r="CS150" s="23"/>
    </row>
    <row r="151" spans="1:97" ht="12.75" hidden="1" customHeight="1" outlineLevel="1" x14ac:dyDescent="0.2">
      <c r="B151" s="35"/>
      <c r="C151" s="60"/>
      <c r="D151" s="35"/>
      <c r="E151" s="60"/>
      <c r="F151" s="35"/>
      <c r="G151" s="60"/>
      <c r="H151" s="35"/>
      <c r="I151" s="60"/>
      <c r="J151" s="35"/>
      <c r="L151" s="35"/>
      <c r="N151" s="35"/>
      <c r="P151" s="37"/>
      <c r="R151" s="37"/>
      <c r="T151" s="37"/>
      <c r="V151" s="37"/>
      <c r="X151" s="37"/>
      <c r="Z151" s="37"/>
      <c r="AB151" s="37"/>
      <c r="AD151" s="37"/>
      <c r="AF151" s="37"/>
      <c r="AH151" s="37"/>
      <c r="AJ151" s="37"/>
      <c r="AL151" s="37"/>
      <c r="AN151" s="411"/>
      <c r="AP151" s="411"/>
      <c r="AR151" s="409"/>
      <c r="AT151" s="409"/>
      <c r="AV151" s="409"/>
      <c r="AX151" s="409"/>
      <c r="AZ151" s="409"/>
      <c r="BB151" s="409"/>
      <c r="BD151" s="409"/>
      <c r="BF151" s="35"/>
      <c r="BH151" s="35"/>
      <c r="BJ151" s="35"/>
      <c r="BL151" s="35"/>
      <c r="BN151" s="35"/>
      <c r="BO151" s="138"/>
      <c r="BP151" s="35"/>
      <c r="BQ151" s="35"/>
      <c r="BR151" s="35"/>
      <c r="BS151" s="35"/>
      <c r="BT151" s="35"/>
      <c r="BU151" s="37"/>
      <c r="BW151" s="37"/>
      <c r="BY151" s="37"/>
      <c r="CA151" s="37"/>
      <c r="CC151" s="37"/>
      <c r="CE151" s="37"/>
      <c r="CG151" s="37"/>
      <c r="CI151" s="37"/>
      <c r="CK151" s="37"/>
      <c r="CM151" s="37"/>
      <c r="CO151" s="37"/>
      <c r="CQ151" s="37"/>
    </row>
    <row r="152" spans="1:97" ht="12.75" hidden="1" customHeight="1" outlineLevel="1" x14ac:dyDescent="0.2">
      <c r="A152" s="40" t="s">
        <v>111</v>
      </c>
      <c r="B152" s="35"/>
      <c r="C152" s="60"/>
      <c r="D152" s="35"/>
      <c r="E152" s="60"/>
      <c r="F152" s="35"/>
      <c r="G152" s="60"/>
      <c r="H152" s="35"/>
      <c r="I152" s="60"/>
      <c r="J152" s="35"/>
      <c r="L152" s="35"/>
      <c r="N152" s="35"/>
      <c r="P152" s="37"/>
      <c r="R152" s="37"/>
      <c r="T152" s="37"/>
      <c r="V152" s="37"/>
      <c r="X152" s="37"/>
      <c r="Z152" s="37"/>
      <c r="AB152" s="37"/>
      <c r="AD152" s="37"/>
      <c r="AF152" s="37"/>
      <c r="AH152" s="37"/>
      <c r="AJ152" s="37"/>
      <c r="AL152" s="37"/>
      <c r="AN152" s="411"/>
      <c r="AP152" s="411"/>
      <c r="AR152" s="409"/>
      <c r="AT152" s="409"/>
      <c r="AV152" s="409"/>
      <c r="AX152" s="409"/>
      <c r="AZ152" s="409"/>
      <c r="BB152" s="409"/>
      <c r="BD152" s="409"/>
      <c r="BF152" s="35"/>
      <c r="BH152" s="35"/>
      <c r="BJ152" s="35"/>
      <c r="BL152" s="35"/>
      <c r="BN152" s="35"/>
      <c r="BO152" s="138"/>
      <c r="BP152" s="35"/>
      <c r="BQ152" s="35"/>
      <c r="BR152" s="35"/>
      <c r="BS152" s="35"/>
      <c r="BT152" s="35"/>
      <c r="BU152" s="37"/>
      <c r="BW152" s="37"/>
      <c r="BY152" s="37"/>
      <c r="CA152" s="37"/>
      <c r="CC152" s="37"/>
      <c r="CE152" s="37"/>
      <c r="CG152" s="37"/>
      <c r="CI152" s="37"/>
      <c r="CK152" s="37"/>
      <c r="CM152" s="37"/>
      <c r="CO152" s="37"/>
      <c r="CQ152" s="37"/>
    </row>
    <row r="153" spans="1:97" ht="12.75" hidden="1" customHeight="1" outlineLevel="1" x14ac:dyDescent="0.2">
      <c r="A153" s="31" t="s">
        <v>119</v>
      </c>
      <c r="B153" s="115">
        <f t="shared" ref="B153:P153" si="1000">B141/B123*400</f>
        <v>0.10408868355839176</v>
      </c>
      <c r="C153" s="59"/>
      <c r="D153" s="115">
        <f t="shared" si="1000"/>
        <v>0.12220621902687347</v>
      </c>
      <c r="E153" s="59"/>
      <c r="F153" s="115">
        <f t="shared" si="1000"/>
        <v>0.12519586615928005</v>
      </c>
      <c r="G153" s="59"/>
      <c r="H153" s="115">
        <f t="shared" si="1000"/>
        <v>0.12958807789683346</v>
      </c>
      <c r="I153" s="59"/>
      <c r="J153" s="115">
        <f t="shared" si="1000"/>
        <v>0.13870548269709584</v>
      </c>
      <c r="K153" s="23">
        <f t="shared" ref="K153:Y154" si="1001">IF(ISERROR((J153/B153-1)*100),"NA",IF(((J153/B153-1)*100)&gt;100,"NM",IF(((J153/B153-1)*100)&lt;-50,"NM",(J153/B153-1)*100)))</f>
        <v>33.257024640228749</v>
      </c>
      <c r="L153" s="115">
        <f t="shared" si="1000"/>
        <v>0.13886765003699006</v>
      </c>
      <c r="M153" s="23">
        <f t="shared" si="1001"/>
        <v>13.633865070690643</v>
      </c>
      <c r="N153" s="115">
        <f t="shared" si="1000"/>
        <v>0.15983064752666323</v>
      </c>
      <c r="O153" s="23">
        <f t="shared" si="1001"/>
        <v>27.664476815328065</v>
      </c>
      <c r="P153" s="116">
        <f t="shared" si="1000"/>
        <v>0.1730381690505815</v>
      </c>
      <c r="Q153" s="23">
        <f t="shared" si="1001"/>
        <v>33.529389322634408</v>
      </c>
      <c r="R153" s="116">
        <f>R141/R123*400</f>
        <v>0.17976720147409098</v>
      </c>
      <c r="S153" s="23">
        <f t="shared" si="1001"/>
        <v>29.603529708097742</v>
      </c>
      <c r="T153" s="116">
        <f>T141/T123*400</f>
        <v>0.19273697159901323</v>
      </c>
      <c r="U153" s="23">
        <f t="shared" si="1001"/>
        <v>38.791843563042974</v>
      </c>
      <c r="V153" s="116">
        <f>V141/V123*400</f>
        <v>0.2055681794049565</v>
      </c>
      <c r="W153" s="23">
        <f t="shared" si="1001"/>
        <v>28.616246374565456</v>
      </c>
      <c r="X153" s="116">
        <f>X141/X123*400</f>
        <v>0.21743894011158491</v>
      </c>
      <c r="Y153" s="23">
        <f t="shared" si="1001"/>
        <v>25.659524314560002</v>
      </c>
      <c r="Z153" s="116">
        <f>Z141/Z123*400</f>
        <v>0.22027810110264198</v>
      </c>
      <c r="AA153" s="23">
        <f>IF(ISERROR((Z153/R153-1)*100),"NA",IF(((Z153/R153-1)*100)&gt;100,"NM",IF(((Z153/R153-1)*100)&lt;-50,"NM",(Z153/R153-1)*100)))</f>
        <v>22.535200690872227</v>
      </c>
      <c r="AB153" s="116">
        <f>AB141/AB123*400</f>
        <v>0.23104645477781366</v>
      </c>
      <c r="AC153" s="23">
        <f>IF(ISERROR((AB153/T153-1)*100),"NA",IF(((AB153/T153-1)*100)&gt;100,"NM",IF(((AB153/T153-1)*100)&lt;-50,"NM",(AB153/T153-1)*100)))</f>
        <v>19.876561751993705</v>
      </c>
      <c r="AD153" s="116">
        <f>AD141/AD123*400</f>
        <v>0.24193915892999912</v>
      </c>
      <c r="AE153" s="23">
        <f>IF(ISERROR((AD153/V153-1)*100),"NA",IF(((AD153/V153-1)*100)&gt;100,"NM",IF(((AD153/V153-1)*100)&lt;-50,"NM",(AD153/V153-1)*100)))</f>
        <v>17.692903459243105</v>
      </c>
      <c r="AF153" s="116">
        <f>AF141/AF123*400</f>
        <v>0.24837840786084087</v>
      </c>
      <c r="AG153" s="23">
        <f>IF(ISERROR((AF153/X153-1)*100),"NA",IF(((AF153/X153-1)*100)&gt;100,"NM",IF(((AF153/X153-1)*100)&lt;-50,"NM",(AF153/X153-1)*100)))</f>
        <v>14.229037233799291</v>
      </c>
      <c r="AH153" s="116">
        <f>AH141/AH123*400</f>
        <v>0.25987471523808914</v>
      </c>
      <c r="AI153" s="23">
        <f>IF(ISERROR((AH153/Z153-1)*100),"NA",IF(((AH153/Z153-1)*100)&gt;100,"NM",IF(((AH153/Z153-1)*100)&lt;-50,"NM",(AH153/Z153-1)*100)))</f>
        <v>17.975737913682345</v>
      </c>
      <c r="AJ153" s="116">
        <f>AJ141/AJ123*400</f>
        <v>0.27013056310550088</v>
      </c>
      <c r="AK153" s="23">
        <f>IF(ISERROR((AJ153/AB153-1)*100),"NA",IF(((AJ153/AB153-1)*100)&gt;100,"NM",IF(((AJ153/AB153-1)*100)&lt;-50,"NM",(AJ153/AB153-1)*100)))</f>
        <v>16.91612553210242</v>
      </c>
      <c r="AL153" s="116">
        <f>AL141/AL123*400</f>
        <v>0.26714474444892</v>
      </c>
      <c r="AM153" s="23">
        <f>IF(ISERROR((AL153/AD153-1)*100),"NA",IF(((AL153/AD153-1)*100)&gt;100,"NM",IF(((AL153/AD153-1)*100)&lt;-50,"NM",(AL153/AD153-1)*100)))</f>
        <v>10.41815042690699</v>
      </c>
      <c r="AN153" s="445">
        <f t="shared" ref="AN153" si="1002">AN141/AN123*400</f>
        <v>0.27279740010770498</v>
      </c>
      <c r="AO153" s="23">
        <f>IF(ISERROR((AN153/AF153-1)*100),"NA",IF(((AN153/AF153-1)*100)&gt;100,"NM",IF(((AN153/AF153-1)*100)&lt;-50,"NM",(AN153/AF153-1)*100)))</f>
        <v>9.83136676701195</v>
      </c>
      <c r="AP153" s="445"/>
      <c r="AQ153" s="23"/>
      <c r="AR153" s="445"/>
      <c r="AS153" s="23"/>
      <c r="AT153" s="445"/>
      <c r="AU153" s="23"/>
      <c r="AV153" s="445"/>
      <c r="AW153" s="23" t="str">
        <f t="shared" ref="AW153:AW154" si="1003">IF(ISERROR((AV153/AN153-1)*100),"NA",IF(((AV153/AN153-1)*100)&gt;100,"NM",IF(((AV153/AN153-1)*100)&lt;-50,"NM",(AV153/AN153-1)*100)))</f>
        <v>NM</v>
      </c>
      <c r="AX153" s="445"/>
      <c r="AY153" s="23"/>
      <c r="AZ153" s="445"/>
      <c r="BA153" s="23"/>
      <c r="BB153" s="445"/>
      <c r="BC153" s="23" t="str">
        <f t="shared" ref="BC153:BC154" si="1004">IF(ISERROR((BB153/AT153-1)*100),"NA",IF(((BB153/AT153-1)*100)&gt;100,"NM",IF(((BB153/AT153-1)*100)&lt;-50,"NM",(BB153/AT153-1)*100)))</f>
        <v>NA</v>
      </c>
      <c r="BD153" s="445"/>
      <c r="BE153" s="23" t="str">
        <f t="shared" ref="BE153:BE154" si="1005">IF(ISERROR((BD153/AV153-1)*100),"NA",IF(((BD153/AV153-1)*100)&gt;100,"NM",IF(((BD153/AV153-1)*100)&lt;-50,"NM",(BD153/AV153-1)*100)))</f>
        <v>NA</v>
      </c>
      <c r="BF153" s="117"/>
      <c r="BG153" s="23"/>
      <c r="BH153" s="117"/>
      <c r="BI153" s="23"/>
      <c r="BJ153" s="117"/>
      <c r="BK153" s="23"/>
      <c r="BL153" s="117"/>
      <c r="BM153" s="23" t="str">
        <f t="shared" ref="BM153:BM154" si="1006">IF(ISERROR((BL153/BD153-1)*100),"NA",IF(((BL153/BD153-1)*100)&gt;100,"NM",IF(((BL153/BD153-1)*100)&lt;-50,"NM",(BL153/BD153-1)*100)))</f>
        <v>NA</v>
      </c>
      <c r="BN153" s="35"/>
      <c r="BO153" s="139"/>
      <c r="BP153" s="35"/>
      <c r="BQ153" s="151"/>
      <c r="BR153" s="113"/>
      <c r="BS153" s="151"/>
      <c r="BT153" s="35"/>
      <c r="BU153" s="116">
        <f>BU141/BU123*100</f>
        <v>0.12141801771014464</v>
      </c>
      <c r="BV153" s="23" t="str">
        <f>IF(ISERROR((BU153/BS153-1)*100),"NA",IF(((BU153/BS153-1)*100)&gt;100,"NM",IF(((BU153/BS153-1)*100)&lt;-50,"NM",(BU153/BS153-1)*100)))</f>
        <v>NA</v>
      </c>
      <c r="BW153" s="116">
        <f>BW141/BW123*100</f>
        <v>0.15159884867942866</v>
      </c>
      <c r="BX153" s="23">
        <f>IF(ISERROR((BW153/BU153-1)*100),"NA",IF(((BW153/BU153-1)*100)&gt;100,"NM",IF(((BW153/BU153-1)*100)&lt;-50,"NM",(BW153/BU153-1)*100)))</f>
        <v>24.856962367260227</v>
      </c>
      <c r="BY153" s="116">
        <f>BY141/BY123*100</f>
        <v>0.19856928285939762</v>
      </c>
      <c r="BZ153" s="23">
        <f>IF(ISERROR((BY153/BW153-1)*100),"NA",IF(((BY153/BW153-1)*100)&gt;100,"NM",IF(((BY153/BW153-1)*100)&lt;-50,"NM",(BY153/BW153-1)*100)))</f>
        <v>30.98337130468105</v>
      </c>
      <c r="CA153" s="116">
        <f>CA141/CA123*100</f>
        <v>0.23774370304719375</v>
      </c>
      <c r="CB153" s="23">
        <f>IF(ISERROR((CA153/BY153-1)*100),"NA",IF(((CA153/BY153-1)*100)&gt;100,"NM",IF(((CA153/BY153-1)*100)&lt;-50,"NM",(CA153/BY153-1)*100)))</f>
        <v>19.728338453805392</v>
      </c>
      <c r="CC153" s="116">
        <f>CC141/CC123*100</f>
        <v>0.26717072042313839</v>
      </c>
      <c r="CD153" s="23">
        <f>IF(ISERROR((CC153/CA153-1)*100),"NA",IF(((CC153/CA153-1)*100)&gt;100,"NM",IF(((CC153/CA153-1)*100)&lt;-50,"NM",(CC153/CA153-1)*100)))</f>
        <v>12.377622203563977</v>
      </c>
      <c r="CE153" s="116">
        <f>CE141/CE123*100</f>
        <v>0</v>
      </c>
      <c r="CF153" s="23" t="str">
        <f>IF(ISERROR((CE153/CC153-1)*100),"NA",IF(((CE153/CC153-1)*100)&gt;100,"NM",IF(((CE153/CC153-1)*100)&lt;-50,"NM",(CE153/CC153-1)*100)))</f>
        <v>NM</v>
      </c>
      <c r="CG153" s="116"/>
      <c r="CH153" s="23" t="str">
        <f>IF(ISERROR((CG153/CE153-1)*100),"NA",IF(((CG153/CE153-1)*100)&gt;100,"NM",IF(((CG153/CE153-1)*100)&lt;-50,"NM",(CG153/CE153-1)*100)))</f>
        <v>NA</v>
      </c>
      <c r="CI153" s="116"/>
      <c r="CJ153" s="23"/>
      <c r="CK153" s="118"/>
      <c r="CL153" s="23"/>
      <c r="CM153" s="118"/>
      <c r="CN153" s="23"/>
      <c r="CO153" s="118"/>
      <c r="CP153" s="23"/>
      <c r="CQ153" s="118"/>
      <c r="CR153" s="23"/>
      <c r="CS153" s="23"/>
    </row>
    <row r="154" spans="1:97" ht="12.75" hidden="1" customHeight="1" outlineLevel="1" x14ac:dyDescent="0.2">
      <c r="A154" s="34" t="s">
        <v>263</v>
      </c>
      <c r="B154" s="115">
        <f>B142/B122*400</f>
        <v>7.8177662727203848E-2</v>
      </c>
      <c r="C154" s="59"/>
      <c r="D154" s="115">
        <f t="shared" ref="D154:P154" si="1007">D142/D122*400</f>
        <v>0.11367448836612658</v>
      </c>
      <c r="E154" s="59"/>
      <c r="F154" s="115">
        <f t="shared" si="1007"/>
        <v>8.590040325467084E-2</v>
      </c>
      <c r="G154" s="59"/>
      <c r="H154" s="115">
        <f t="shared" si="1007"/>
        <v>3.5399369247602494E-2</v>
      </c>
      <c r="I154" s="59"/>
      <c r="J154" s="115">
        <f t="shared" si="1007"/>
        <v>5.0116601932722507E-2</v>
      </c>
      <c r="K154" s="23">
        <f t="shared" si="1001"/>
        <v>-35.893962310434745</v>
      </c>
      <c r="L154" s="115">
        <f t="shared" si="1007"/>
        <v>6.7655851596889527E-2</v>
      </c>
      <c r="M154" s="23">
        <f t="shared" si="1001"/>
        <v>-40.482818467604353</v>
      </c>
      <c r="N154" s="115">
        <f t="shared" si="1007"/>
        <v>3.7605712649621599E-2</v>
      </c>
      <c r="O154" s="23" t="str">
        <f t="shared" si="1001"/>
        <v>NM</v>
      </c>
      <c r="P154" s="115">
        <f t="shared" si="1007"/>
        <v>9.6161276197508361E-2</v>
      </c>
      <c r="Q154" s="23" t="str">
        <f t="shared" si="1001"/>
        <v>NM</v>
      </c>
      <c r="R154" s="115">
        <f>R142/R122*400</f>
        <v>0.12290412198234103</v>
      </c>
      <c r="S154" s="23" t="str">
        <f t="shared" si="1001"/>
        <v>NM</v>
      </c>
      <c r="T154" s="115">
        <f>T142/T122*400</f>
        <v>7.4988070079760022E-2</v>
      </c>
      <c r="U154" s="23">
        <f t="shared" si="1001"/>
        <v>10.837523007703286</v>
      </c>
      <c r="V154" s="115">
        <f>V142/V122*400</f>
        <v>3.8952351113105757E-2</v>
      </c>
      <c r="W154" s="23">
        <f t="shared" si="1001"/>
        <v>3.5809412150515696</v>
      </c>
      <c r="X154" s="115">
        <f>X142/X122*400</f>
        <v>7.21385731661284E-2</v>
      </c>
      <c r="Y154" s="23">
        <f t="shared" si="1001"/>
        <v>-24.981680756855862</v>
      </c>
      <c r="Z154" s="115">
        <f>Z142/Z122*400</f>
        <v>0.11619993028004179</v>
      </c>
      <c r="AA154" s="23">
        <f>IF(ISERROR((Z154/R154-1)*100),"NA",IF(((Z154/R154-1)*100)&gt;100,"NM",IF(((Z154/R154-1)*100)&lt;-50,"NM",(Z154/R154-1)*100)))</f>
        <v>-5.4548143660002824</v>
      </c>
      <c r="AB154" s="115">
        <f>AB142/AB122*400</f>
        <v>0.14766989215995924</v>
      </c>
      <c r="AC154" s="23">
        <f>IF(ISERROR((AB154/T154-1)*100),"NA",IF(((AB154/T154-1)*100)&gt;100,"NM",IF(((AB154/T154-1)*100)&lt;-50,"NM",(AB154/T154-1)*100)))</f>
        <v>96.924513463131134</v>
      </c>
      <c r="AD154" s="115">
        <f>AD142/AD122*400</f>
        <v>5.5234978805669077E-2</v>
      </c>
      <c r="AE154" s="23">
        <f>IF(ISERROR((AD154/V154-1)*100),"NA",IF(((AD154/V154-1)*100)&gt;100,"NM",IF(((AD154/V154-1)*100)&lt;-50,"NM",(AD154/V154-1)*100)))</f>
        <v>41.801398958649585</v>
      </c>
      <c r="AF154" s="115">
        <f>AF142/AF122*400</f>
        <v>0.10432748734818874</v>
      </c>
      <c r="AG154" s="23">
        <f>IF(ISERROR((AF154/X154-1)*100),"NA",IF(((AF154/X154-1)*100)&gt;100,"NM",IF(((AF154/X154-1)*100)&lt;-50,"NM",(AF154/X154-1)*100)))</f>
        <v>44.620946560631666</v>
      </c>
      <c r="AH154" s="115">
        <f>AH142/AH122*400</f>
        <v>0.12529234881389903</v>
      </c>
      <c r="AI154" s="23">
        <f>IF(ISERROR((AH154/Z154-1)*100),"NA",IF(((AH154/Z154-1)*100)&gt;100,"NM",IF(((AH154/Z154-1)*100)&lt;-50,"NM",(AH154/Z154-1)*100)))</f>
        <v>7.8248054985442073</v>
      </c>
      <c r="AJ154" s="115">
        <f>AJ142/AJ122*400</f>
        <v>7.6562031889750651E-2</v>
      </c>
      <c r="AK154" s="23">
        <f>IF(ISERROR((AJ154/AB154-1)*100),"NA",IF(((AJ154/AB154-1)*100)&gt;100,"NM",IF(((AJ154/AB154-1)*100)&lt;-50,"NM",(AJ154/AB154-1)*100)))</f>
        <v>-48.153255365814864</v>
      </c>
      <c r="AL154" s="115">
        <f>AL142/AL122*400</f>
        <v>0.40366311716698827</v>
      </c>
      <c r="AM154" s="23" t="str">
        <f>IF(ISERROR((AL154/AD154-1)*100),"NA",IF(((AL154/AD154-1)*100)&gt;100,"NM",IF(((AL154/AD154-1)*100)&lt;-50,"NM",(AL154/AD154-1)*100)))</f>
        <v>NM</v>
      </c>
      <c r="AN154" s="457">
        <f t="shared" ref="AN154" si="1008">AN142/AN122*400</f>
        <v>6.7732209969850868E-2</v>
      </c>
      <c r="AO154" s="23">
        <f>IF(ISERROR((AN154/AF154-1)*100),"NA",IF(((AN154/AF154-1)*100)&gt;100,"NM",IF(((AN154/AF154-1)*100)&lt;-50,"NM",(AN154/AF154-1)*100)))</f>
        <v>-35.07731117514853</v>
      </c>
      <c r="AP154" s="457"/>
      <c r="AQ154" s="23"/>
      <c r="AR154" s="457"/>
      <c r="AS154" s="23"/>
      <c r="AT154" s="457"/>
      <c r="AU154" s="23"/>
      <c r="AV154" s="457"/>
      <c r="AW154" s="23" t="str">
        <f t="shared" si="1003"/>
        <v>NM</v>
      </c>
      <c r="AX154" s="457"/>
      <c r="AY154" s="23"/>
      <c r="AZ154" s="457"/>
      <c r="BA154" s="23"/>
      <c r="BB154" s="457"/>
      <c r="BC154" s="23" t="str">
        <f t="shared" si="1004"/>
        <v>NA</v>
      </c>
      <c r="BD154" s="457"/>
      <c r="BE154" s="23" t="str">
        <f t="shared" si="1005"/>
        <v>NA</v>
      </c>
      <c r="BF154" s="117"/>
      <c r="BG154" s="23"/>
      <c r="BH154" s="117"/>
      <c r="BI154" s="23"/>
      <c r="BJ154" s="117"/>
      <c r="BK154" s="23"/>
      <c r="BL154" s="117"/>
      <c r="BM154" s="23" t="str">
        <f t="shared" si="1006"/>
        <v>NA</v>
      </c>
      <c r="BN154" s="35"/>
      <c r="BO154" s="139"/>
      <c r="BP154" s="35"/>
      <c r="BQ154" s="151"/>
      <c r="BR154" s="113"/>
      <c r="BS154" s="151"/>
      <c r="BT154" s="35"/>
      <c r="BU154" s="115">
        <f>BU142/BU122*100</f>
        <v>7.9246315247473761E-2</v>
      </c>
      <c r="BV154" s="23" t="str">
        <f>IF(ISERROR((BU154/BS154-1)*100),"NA",IF(((BU154/BS154-1)*100)&gt;100,"NM",IF(((BU154/BS154-1)*100)&lt;-50,"NM",(BU154/BS154-1)*100)))</f>
        <v>NA</v>
      </c>
      <c r="BW154" s="115">
        <f>BW142/BW122*100</f>
        <v>6.3964420327806928E-2</v>
      </c>
      <c r="BX154" s="23">
        <f>IF(ISERROR((BW154/BU154-1)*100),"NA",IF(((BW154/BU154-1)*100)&gt;100,"NM",IF(((BW154/BU154-1)*100)&lt;-50,"NM",(BW154/BU154-1)*100)))</f>
        <v>-19.28404478106507</v>
      </c>
      <c r="BY154" s="115">
        <f>BY142/BY122*100</f>
        <v>7.6332676257182389E-2</v>
      </c>
      <c r="BZ154" s="23">
        <f>IF(ISERROR((BY154/BW154-1)*100),"NA",IF(((BY154/BW154-1)*100)&gt;100,"NM",IF(((BY154/BW154-1)*100)&lt;-50,"NM",(BY154/BW154-1)*100)))</f>
        <v>19.33614948121194</v>
      </c>
      <c r="CA154" s="115">
        <f>CA142/CA122*100</f>
        <v>0.10727221481366184</v>
      </c>
      <c r="CB154" s="23">
        <f>IF(ISERROR((CA154/BY154-1)*100),"NA",IF(((CA154/BY154-1)*100)&gt;100,"NM",IF(((CA154/BY154-1)*100)&lt;-50,"NM",(CA154/BY154-1)*100)))</f>
        <v>40.532495483634044</v>
      </c>
      <c r="CC154" s="115">
        <f>CC142/CC122*100</f>
        <v>0.16643951596249948</v>
      </c>
      <c r="CD154" s="23">
        <f>IF(ISERROR((CC154/CA154-1)*100),"NA",IF(((CC154/CA154-1)*100)&gt;100,"NM",IF(((CC154/CA154-1)*100)&lt;-50,"NM",(CC154/CA154-1)*100)))</f>
        <v>55.156222188210371</v>
      </c>
      <c r="CE154" s="115">
        <f>CE142/CE122*100</f>
        <v>0</v>
      </c>
      <c r="CF154" s="23" t="str">
        <f>IF(ISERROR((CE154/CC154-1)*100),"NA",IF(((CE154/CC154-1)*100)&gt;100,"NM",IF(((CE154/CC154-1)*100)&lt;-50,"NM",(CE154/CC154-1)*100)))</f>
        <v>NM</v>
      </c>
      <c r="CG154" s="115"/>
      <c r="CH154" s="23" t="str">
        <f>IF(ISERROR((CG154/CE154-1)*100),"NA",IF(((CG154/CE154-1)*100)&gt;100,"NM",IF(((CG154/CE154-1)*100)&lt;-50,"NM",(CG154/CE154-1)*100)))</f>
        <v>NA</v>
      </c>
      <c r="CI154" s="115"/>
      <c r="CJ154" s="23"/>
      <c r="CK154" s="118"/>
      <c r="CL154" s="23"/>
      <c r="CM154" s="118"/>
      <c r="CN154" s="23"/>
      <c r="CO154" s="118"/>
      <c r="CP154" s="23"/>
      <c r="CQ154" s="118"/>
      <c r="CR154" s="23"/>
      <c r="CS154" s="23"/>
    </row>
    <row r="155" spans="1:97" ht="12.75" hidden="1" customHeight="1" outlineLevel="1" x14ac:dyDescent="0.2">
      <c r="B155" s="35"/>
      <c r="C155" s="60"/>
      <c r="D155" s="35"/>
      <c r="E155" s="60"/>
      <c r="F155" s="35"/>
      <c r="G155" s="60"/>
      <c r="H155" s="35"/>
      <c r="I155" s="60"/>
      <c r="J155" s="35"/>
      <c r="L155" s="35"/>
      <c r="N155" s="35"/>
      <c r="P155" s="37"/>
      <c r="R155" s="37"/>
      <c r="T155" s="37"/>
      <c r="V155" s="37"/>
      <c r="X155" s="37"/>
      <c r="Z155" s="37"/>
      <c r="AB155" s="37"/>
      <c r="AD155" s="37"/>
      <c r="AF155" s="37"/>
      <c r="AH155" s="37"/>
      <c r="AJ155" s="37"/>
      <c r="AL155" s="37"/>
      <c r="AN155" s="411"/>
      <c r="AP155" s="411"/>
      <c r="AR155" s="409"/>
      <c r="AT155" s="409"/>
      <c r="AV155" s="409"/>
      <c r="AX155" s="409"/>
      <c r="AZ155" s="409"/>
      <c r="BB155" s="409"/>
      <c r="BD155" s="409"/>
      <c r="BF155" s="35"/>
      <c r="BH155" s="35"/>
      <c r="BJ155" s="35"/>
      <c r="BL155" s="35"/>
      <c r="BN155" s="35"/>
      <c r="BO155" s="138"/>
      <c r="BP155" s="35"/>
      <c r="BQ155" s="35"/>
      <c r="BR155" s="35"/>
      <c r="BS155" s="35"/>
      <c r="BT155" s="35"/>
      <c r="BU155" s="35"/>
      <c r="BW155" s="35"/>
      <c r="BY155" s="37"/>
      <c r="CA155" s="37"/>
      <c r="CC155" s="37"/>
      <c r="CE155" s="37"/>
      <c r="CG155" s="37"/>
      <c r="CI155" s="37"/>
      <c r="CK155" s="35"/>
      <c r="CM155" s="35"/>
      <c r="CO155" s="35"/>
      <c r="CQ155" s="35"/>
    </row>
    <row r="156" spans="1:97" ht="12.75" hidden="1" customHeight="1" outlineLevel="1" x14ac:dyDescent="0.2">
      <c r="A156" s="3" t="s">
        <v>124</v>
      </c>
      <c r="B156" s="35"/>
      <c r="C156" s="60"/>
      <c r="D156" s="35"/>
      <c r="E156" s="60"/>
      <c r="F156" s="35"/>
      <c r="G156" s="60"/>
      <c r="H156" s="35"/>
      <c r="I156" s="60"/>
      <c r="J156" s="35"/>
      <c r="L156" s="35"/>
      <c r="N156" s="35"/>
      <c r="P156" s="37"/>
      <c r="R156" s="37"/>
      <c r="T156" s="37"/>
      <c r="V156" s="37"/>
      <c r="X156" s="37"/>
      <c r="Z156" s="37"/>
      <c r="AB156" s="37"/>
      <c r="AD156" s="37"/>
      <c r="AF156" s="37"/>
      <c r="AH156" s="37"/>
      <c r="AJ156" s="37"/>
      <c r="AL156" s="37"/>
      <c r="AN156" s="411"/>
      <c r="AP156" s="411"/>
      <c r="AR156" s="409"/>
      <c r="AT156" s="409"/>
      <c r="AV156" s="409"/>
      <c r="AX156" s="409"/>
      <c r="AZ156" s="409"/>
      <c r="BB156" s="409"/>
      <c r="BD156" s="409"/>
      <c r="BF156" s="35"/>
      <c r="BH156" s="35"/>
      <c r="BJ156" s="35"/>
      <c r="BL156" s="35"/>
      <c r="BN156" s="35"/>
      <c r="BO156" s="138"/>
      <c r="BP156" s="35"/>
      <c r="BQ156" s="35"/>
      <c r="BR156" s="35"/>
      <c r="BS156" s="35"/>
      <c r="BT156" s="35"/>
      <c r="BU156" s="35"/>
      <c r="BW156" s="35"/>
      <c r="BY156" s="37"/>
      <c r="CA156" s="37"/>
      <c r="CC156" s="37"/>
      <c r="CE156" s="37"/>
      <c r="CG156" s="37"/>
      <c r="CI156" s="37"/>
      <c r="CK156" s="35"/>
      <c r="CM156" s="35"/>
      <c r="CO156" s="35"/>
      <c r="CQ156" s="35"/>
    </row>
    <row r="157" spans="1:97" ht="13.5" hidden="1" customHeight="1" outlineLevel="1" x14ac:dyDescent="0.2">
      <c r="A157" s="31" t="s">
        <v>102</v>
      </c>
      <c r="B157" s="56">
        <f>B144</f>
        <v>244.9</v>
      </c>
      <c r="C157" s="59"/>
      <c r="D157" s="56">
        <f>D144</f>
        <v>241.3</v>
      </c>
      <c r="E157" s="59"/>
      <c r="F157" s="56">
        <f>F144</f>
        <v>239.1</v>
      </c>
      <c r="G157" s="59"/>
      <c r="H157" s="56">
        <f>H144</f>
        <v>234.8</v>
      </c>
      <c r="I157" s="59"/>
      <c r="J157" s="56">
        <f>J144</f>
        <v>216.9</v>
      </c>
      <c r="K157" s="23">
        <f>IF(ISERROR((J157/B157-1)*100),"NA",IF(((J157/B157-1)*100)&gt;100,"NM",IF(((J157/B157-1)*100)&lt;-50,"NM",(J157/B157-1)*100)))</f>
        <v>-11.433238056349527</v>
      </c>
      <c r="L157" s="56">
        <f>L144</f>
        <v>201.8</v>
      </c>
      <c r="M157" s="23">
        <f>IF(ISERROR((L157/D157-1)*100),"NA",IF(((L157/D157-1)*100)&gt;100,"NM",IF(((L157/D157-1)*100)&lt;-50,"NM",(L157/D157-1)*100)))</f>
        <v>-16.369664318276001</v>
      </c>
      <c r="N157" s="56">
        <f>N144</f>
        <v>184.7</v>
      </c>
      <c r="O157" s="23">
        <f>IF(ISERROR((N157/F157-1)*100),"NA",IF(((N157/F157-1)*100)&gt;100,"NM",IF(((N157/F157-1)*100)&lt;-50,"NM",(N157/F157-1)*100)))</f>
        <v>-22.751986616478458</v>
      </c>
      <c r="P157" s="56">
        <f>P144</f>
        <v>179.7</v>
      </c>
      <c r="Q157" s="23">
        <f>IF(ISERROR((P157/H157-1)*100),"NA",IF(((P157/H157-1)*100)&gt;100,"NM",IF(((P157/H157-1)*100)&lt;-50,"NM",(P157/H157-1)*100)))</f>
        <v>-23.46678023850086</v>
      </c>
      <c r="R157" s="56">
        <f>R144</f>
        <v>173.7</v>
      </c>
      <c r="S157" s="23">
        <f>IF(ISERROR((R157/J157-1)*100),"NA",IF(((R157/J157-1)*100)&gt;100,"NM",IF(((R157/J157-1)*100)&lt;-50,"NM",(R157/J157-1)*100)))</f>
        <v>-19.917012448132787</v>
      </c>
      <c r="T157" s="56">
        <f>T144</f>
        <v>167.8</v>
      </c>
      <c r="U157" s="23">
        <f>IF(ISERROR((T157/L157-1)*100),"NA",IF(((T157/L157-1)*100)&gt;100,"NM",IF(((T157/L157-1)*100)&lt;-50,"NM",(T157/L157-1)*100)))</f>
        <v>-16.848364717542118</v>
      </c>
      <c r="V157" s="56">
        <f>V144</f>
        <v>168.1</v>
      </c>
      <c r="W157" s="23">
        <f>IF(ISERROR((V157/N157-1)*100),"NA",IF(((V157/N157-1)*100)&gt;100,"NM",IF(((V157/N157-1)*100)&lt;-50,"NM",(V157/N157-1)*100)))</f>
        <v>-8.9875473741201972</v>
      </c>
      <c r="X157" s="56">
        <f>X144</f>
        <v>163</v>
      </c>
      <c r="Y157" s="23">
        <f>IF(ISERROR((X157/P157-1)*100),"NA",IF(((X157/P157-1)*100)&gt;100,"NM",IF(((X157/P157-1)*100)&lt;-50,"NM",(X157/P157-1)*100)))</f>
        <v>-9.2932665553700495</v>
      </c>
      <c r="Z157" s="56">
        <f>Z144</f>
        <v>159.69999999999999</v>
      </c>
      <c r="AA157" s="23">
        <f>IF(ISERROR((Z157/R157-1)*100),"NA",IF(((Z157/R157-1)*100)&gt;100,"NM",IF(((Z157/R157-1)*100)&lt;-50,"NM",(Z157/R157-1)*100)))</f>
        <v>-8.0598733448474356</v>
      </c>
      <c r="AB157" s="56">
        <f>AB144</f>
        <v>159.69999999999999</v>
      </c>
      <c r="AC157" s="23">
        <f>IF(ISERROR((AB157/T157-1)*100),"NA",IF(((AB157/T157-1)*100)&gt;100,"NM",IF(((AB157/T157-1)*100)&lt;-50,"NM",(AB157/T157-1)*100)))</f>
        <v>-4.8271752085816573</v>
      </c>
      <c r="AD157" s="56">
        <f>AD144</f>
        <v>156.80000000000001</v>
      </c>
      <c r="AE157" s="23">
        <f>IF(ISERROR((AD157/V157-1)*100),"NA",IF(((AD157/V157-1)*100)&gt;100,"NM",IF(((AD157/V157-1)*100)&lt;-50,"NM",(AD157/V157-1)*100)))</f>
        <v>-6.7221891731112375</v>
      </c>
      <c r="AF157" s="56">
        <f>AF144</f>
        <v>152.1</v>
      </c>
      <c r="AG157" s="23">
        <f>IF(ISERROR((AF157/X157-1)*100),"NA",IF(((AF157/X157-1)*100)&gt;100,"NM",IF(((AF157/X157-1)*100)&lt;-50,"NM",(AF157/X157-1)*100)))</f>
        <v>-6.6871165644171837</v>
      </c>
      <c r="AH157" s="56">
        <f>AH144</f>
        <v>144.19999999999999</v>
      </c>
      <c r="AI157" s="23">
        <f>IF(ISERROR((AH157/Z157-1)*100),"NA",IF(((AH157/Z157-1)*100)&gt;100,"NM",IF(((AH157/Z157-1)*100)&lt;-50,"NM",(AH157/Z157-1)*100)))</f>
        <v>-9.7056981840951799</v>
      </c>
      <c r="AJ157" s="56">
        <f>AJ144</f>
        <v>143.5</v>
      </c>
      <c r="AK157" s="23">
        <f>IF(ISERROR((AJ157/AB157-1)*100),"NA",IF(((AJ157/AB157-1)*100)&gt;100,"NM",IF(((AJ157/AB157-1)*100)&lt;-50,"NM",(AJ157/AB157-1)*100)))</f>
        <v>-10.144020037570433</v>
      </c>
      <c r="AL157" s="56">
        <f>AL144</f>
        <v>144.5</v>
      </c>
      <c r="AM157" s="23">
        <f>IF(ISERROR((AL157/AD157-1)*100),"NA",IF(((AL157/AD157-1)*100)&gt;100,"NM",IF(((AL157/AD157-1)*100)&lt;-50,"NM",(AL157/AD157-1)*100)))</f>
        <v>-7.8443877551020442</v>
      </c>
      <c r="AN157" s="413">
        <f t="shared" ref="AN157" si="1009">AN144</f>
        <v>143.1</v>
      </c>
      <c r="AO157" s="23">
        <f>IF(ISERROR((AN157/AF157-1)*100),"NA",IF(((AN157/AF157-1)*100)&gt;100,"NM",IF(((AN157/AF157-1)*100)&lt;-50,"NM",(AN157/AF157-1)*100)))</f>
        <v>-5.9171597633136059</v>
      </c>
      <c r="AP157" s="413"/>
      <c r="AQ157" s="23"/>
      <c r="AR157" s="413"/>
      <c r="AS157" s="23"/>
      <c r="AT157" s="413"/>
      <c r="AU157" s="23"/>
      <c r="AV157" s="413"/>
      <c r="AW157" s="23" t="str">
        <f t="shared" ref="AW157:AW161" si="1010">IF(ISERROR((AV157/AN157-1)*100),"NA",IF(((AV157/AN157-1)*100)&gt;100,"NM",IF(((AV157/AN157-1)*100)&lt;-50,"NM",(AV157/AN157-1)*100)))</f>
        <v>NM</v>
      </c>
      <c r="AX157" s="413"/>
      <c r="AY157" s="23"/>
      <c r="AZ157" s="413"/>
      <c r="BA157" s="23"/>
      <c r="BB157" s="413"/>
      <c r="BC157" s="23" t="str">
        <f t="shared" ref="BC157:BC161" si="1011">IF(ISERROR((BB157/AT157-1)*100),"NA",IF(((BB157/AT157-1)*100)&gt;100,"NM",IF(((BB157/AT157-1)*100)&lt;-50,"NM",(BB157/AT157-1)*100)))</f>
        <v>NA</v>
      </c>
      <c r="BD157" s="413"/>
      <c r="BE157" s="23" t="str">
        <f t="shared" ref="BE157:BE161" si="1012">IF(ISERROR((BD157/AV157-1)*100),"NA",IF(((BD157/AV157-1)*100)&gt;100,"NM",IF(((BD157/AV157-1)*100)&lt;-50,"NM",(BD157/AV157-1)*100)))</f>
        <v>NA</v>
      </c>
      <c r="BF157" s="56"/>
      <c r="BG157" s="23"/>
      <c r="BH157" s="56"/>
      <c r="BI157" s="23"/>
      <c r="BJ157" s="56"/>
      <c r="BK157" s="23"/>
      <c r="BL157" s="56"/>
      <c r="BM157" s="23" t="str">
        <f t="shared" ref="BM157:BM161" si="1013">IF(ISERROR((BL157/BD157-1)*100),"NA",IF(((BL157/BD157-1)*100)&gt;100,"NM",IF(((BL157/BD157-1)*100)&lt;-50,"NM",(BL157/BD157-1)*100)))</f>
        <v>NA</v>
      </c>
      <c r="BN157" s="35"/>
      <c r="BO157" s="137"/>
      <c r="BP157" s="35"/>
      <c r="BQ157" s="48"/>
      <c r="BR157" s="35"/>
      <c r="BS157" s="48"/>
      <c r="BT157" s="35"/>
      <c r="BU157" s="56">
        <f>BU144</f>
        <v>960.10000000000014</v>
      </c>
      <c r="BV157" s="23" t="str">
        <f>IF(ISERROR((BU157/BS157-1)*100),"NA",IF(((BU157/BS157-1)*100)&gt;100,"NM",IF(((BU157/BS157-1)*100)&lt;-50,"NM",(BU157/BS157-1)*100)))</f>
        <v>NA</v>
      </c>
      <c r="BW157" s="56">
        <f>BW144</f>
        <v>783.10000000000014</v>
      </c>
      <c r="BX157" s="23">
        <f>IF(ISERROR((BW157/BU157-1)*100),"NA",IF(((BW157/BU157-1)*100)&gt;100,"NM",IF(((BW157/BU157-1)*100)&lt;-50,"NM",(BW157/BU157-1)*100)))</f>
        <v>-18.435579627122166</v>
      </c>
      <c r="BY157" s="56">
        <f>BY144</f>
        <v>672.6</v>
      </c>
      <c r="BZ157" s="23">
        <f>IF(ISERROR((BY157/BW157-1)*100),"NA",IF(((BY157/BW157-1)*100)&gt;100,"NM",IF(((BY157/BW157-1)*100)&lt;-50,"NM",(BY157/BW157-1)*100)))</f>
        <v>-14.110586132039337</v>
      </c>
      <c r="CA157" s="56">
        <f>CA144</f>
        <v>628.29999999999995</v>
      </c>
      <c r="CB157" s="23">
        <f>IF(ISERROR((CA157/BY157-1)*100),"NA",IF(((CA157/BY157-1)*100)&gt;100,"NM",IF(((CA157/BY157-1)*100)&lt;-50,"NM",(CA157/BY157-1)*100)))</f>
        <v>-6.5863812072554317</v>
      </c>
      <c r="CC157" s="56">
        <f>CC144</f>
        <v>575.29999999999995</v>
      </c>
      <c r="CD157" s="23">
        <f>IF(ISERROR((CC157/CA157-1)*100),"NA",IF(((CC157/CA157-1)*100)&gt;100,"NM",IF(((CC157/CA157-1)*100)&lt;-50,"NM",(CC157/CA157-1)*100)))</f>
        <v>-8.4354607671494506</v>
      </c>
      <c r="CE157" s="56">
        <f>CE144</f>
        <v>0</v>
      </c>
      <c r="CF157" s="23" t="str">
        <f>IF(ISERROR((CE157/CC157-1)*100),"NA",IF(((CE157/CC157-1)*100)&gt;100,"NM",IF(((CE157/CC157-1)*100)&lt;-50,"NM",(CE157/CC157-1)*100)))</f>
        <v>NM</v>
      </c>
      <c r="CG157" s="56"/>
      <c r="CH157" s="23" t="str">
        <f>IF(ISERROR((CG157/CE157-1)*100),"NA",IF(((CG157/CE157-1)*100)&gt;100,"NM",IF(((CG157/CE157-1)*100)&lt;-50,"NM",(CG157/CE157-1)*100)))</f>
        <v>NA</v>
      </c>
      <c r="CI157" s="56"/>
      <c r="CJ157" s="23"/>
      <c r="CK157" s="56"/>
      <c r="CL157" s="23"/>
      <c r="CM157" s="56"/>
      <c r="CN157" s="23"/>
      <c r="CO157" s="56"/>
      <c r="CP157" s="23"/>
      <c r="CQ157" s="56"/>
      <c r="CR157" s="23"/>
      <c r="CS157" s="23"/>
    </row>
    <row r="158" spans="1:97" ht="12.75" hidden="1" customHeight="1" outlineLevel="1" x14ac:dyDescent="0.2">
      <c r="A158" s="4" t="s">
        <v>161</v>
      </c>
      <c r="B158" s="49">
        <v>25.3</v>
      </c>
      <c r="C158" s="59"/>
      <c r="D158" s="49">
        <v>26.2</v>
      </c>
      <c r="E158" s="59"/>
      <c r="F158" s="49">
        <v>24.8</v>
      </c>
      <c r="G158" s="59"/>
      <c r="H158" s="49">
        <v>27.8</v>
      </c>
      <c r="I158" s="59"/>
      <c r="J158" s="49">
        <v>22.6</v>
      </c>
      <c r="K158" s="23">
        <f t="shared" ref="K158:Y161" si="1014">IF(ISERROR((J158/B158-1)*100),"NA",IF(((J158/B158-1)*100)&gt;100,"NM",IF(((J158/B158-1)*100)&lt;-50,"NM",(J158/B158-1)*100)))</f>
        <v>-10.671936758893274</v>
      </c>
      <c r="L158" s="49">
        <v>22.2</v>
      </c>
      <c r="M158" s="23">
        <f t="shared" si="1014"/>
        <v>-15.267175572519086</v>
      </c>
      <c r="N158" s="49">
        <v>23.6</v>
      </c>
      <c r="O158" s="23">
        <f t="shared" si="1014"/>
        <v>-4.8387096774193505</v>
      </c>
      <c r="P158" s="49">
        <v>21.7</v>
      </c>
      <c r="Q158" s="23">
        <f t="shared" si="1014"/>
        <v>-21.942446043165475</v>
      </c>
      <c r="R158" s="49">
        <v>21.9</v>
      </c>
      <c r="S158" s="23">
        <f t="shared" si="1014"/>
        <v>-3.0973451327433787</v>
      </c>
      <c r="T158" s="49">
        <v>23.2</v>
      </c>
      <c r="U158" s="23">
        <f t="shared" si="1014"/>
        <v>4.5045045045045029</v>
      </c>
      <c r="V158" s="49">
        <v>22.5</v>
      </c>
      <c r="W158" s="23">
        <f t="shared" si="1014"/>
        <v>-4.6610169491525522</v>
      </c>
      <c r="X158" s="49">
        <v>22</v>
      </c>
      <c r="Y158" s="23">
        <f t="shared" si="1014"/>
        <v>1.3824884792626779</v>
      </c>
      <c r="Z158" s="49">
        <v>24.7</v>
      </c>
      <c r="AA158" s="23">
        <f>IF(ISERROR((Z158/R158-1)*100),"NA",IF(((Z158/R158-1)*100)&gt;100,"NM",IF(((Z158/R158-1)*100)&lt;-50,"NM",(Z158/R158-1)*100)))</f>
        <v>12.785388127853881</v>
      </c>
      <c r="AB158" s="49">
        <v>24.7</v>
      </c>
      <c r="AC158" s="23">
        <f>IF(ISERROR((AB158/T158-1)*100),"NA",IF(((AB158/T158-1)*100)&gt;100,"NM",IF(((AB158/T158-1)*100)&lt;-50,"NM",(AB158/T158-1)*100)))</f>
        <v>6.4655172413793149</v>
      </c>
      <c r="AD158" s="49">
        <v>22.6</v>
      </c>
      <c r="AE158" s="23">
        <f>IF(ISERROR((AD158/V158-1)*100),"NA",IF(((AD158/V158-1)*100)&gt;100,"NM",IF(((AD158/V158-1)*100)&lt;-50,"NM",(AD158/V158-1)*100)))</f>
        <v>0.44444444444444731</v>
      </c>
      <c r="AF158" s="49">
        <v>23</v>
      </c>
      <c r="AG158" s="23">
        <f>IF(ISERROR((AF158/X158-1)*100),"NA",IF(((AF158/X158-1)*100)&gt;100,"NM",IF(((AF158/X158-1)*100)&lt;-50,"NM",(AF158/X158-1)*100)))</f>
        <v>4.5454545454545414</v>
      </c>
      <c r="AH158" s="49">
        <v>25.4</v>
      </c>
      <c r="AI158" s="23">
        <f>IF(ISERROR((AH158/Z158-1)*100),"NA",IF(((AH158/Z158-1)*100)&gt;100,"NM",IF(((AH158/Z158-1)*100)&lt;-50,"NM",(AH158/Z158-1)*100)))</f>
        <v>2.8340080971659853</v>
      </c>
      <c r="AJ158" s="49">
        <v>25.2</v>
      </c>
      <c r="AK158" s="23">
        <f>IF(ISERROR((AJ158/AB158-1)*100),"NA",IF(((AJ158/AB158-1)*100)&gt;100,"NM",IF(((AJ158/AB158-1)*100)&lt;-50,"NM",(AJ158/AB158-1)*100)))</f>
        <v>2.0242914979757165</v>
      </c>
      <c r="AL158" s="49">
        <v>24.8</v>
      </c>
      <c r="AM158" s="23">
        <f>IF(ISERROR((AL158/AD158-1)*100),"NA",IF(((AL158/AD158-1)*100)&gt;100,"NM",IF(((AL158/AD158-1)*100)&lt;-50,"NM",(AL158/AD158-1)*100)))</f>
        <v>9.7345132743362761</v>
      </c>
      <c r="AN158" s="158">
        <v>24.6</v>
      </c>
      <c r="AO158" s="23">
        <f>IF(ISERROR((AN158/AF158-1)*100),"NA",IF(((AN158/AF158-1)*100)&gt;100,"NM",IF(((AN158/AF158-1)*100)&lt;-50,"NM",(AN158/AF158-1)*100)))</f>
        <v>6.956521739130439</v>
      </c>
      <c r="AP158" s="158"/>
      <c r="AQ158" s="23"/>
      <c r="AR158" s="158"/>
      <c r="AS158" s="23"/>
      <c r="AT158" s="158"/>
      <c r="AU158" s="23"/>
      <c r="AV158" s="158"/>
      <c r="AW158" s="23" t="str">
        <f t="shared" si="1010"/>
        <v>NM</v>
      </c>
      <c r="AX158" s="158"/>
      <c r="AY158" s="23"/>
      <c r="AZ158" s="158"/>
      <c r="BA158" s="23"/>
      <c r="BB158" s="158"/>
      <c r="BC158" s="23" t="str">
        <f t="shared" si="1011"/>
        <v>NA</v>
      </c>
      <c r="BD158" s="158"/>
      <c r="BE158" s="23" t="str">
        <f t="shared" si="1012"/>
        <v>NA</v>
      </c>
      <c r="BF158" s="36"/>
      <c r="BG158" s="23"/>
      <c r="BH158" s="36"/>
      <c r="BI158" s="23"/>
      <c r="BJ158" s="36"/>
      <c r="BK158" s="23"/>
      <c r="BL158" s="36"/>
      <c r="BM158" s="23" t="str">
        <f t="shared" si="1013"/>
        <v>NA</v>
      </c>
      <c r="BN158" s="35"/>
      <c r="BO158" s="137"/>
      <c r="BP158" s="35"/>
      <c r="BQ158" s="49">
        <v>103.5</v>
      </c>
      <c r="BR158" s="35"/>
      <c r="BS158" s="49">
        <v>101.3</v>
      </c>
      <c r="BT158" s="35"/>
      <c r="BU158" s="56">
        <f>B158+D158+F158+H158</f>
        <v>104.1</v>
      </c>
      <c r="BV158" s="23">
        <f>IF(ISERROR((BU158/BS158-1)*100),"NA",IF(((BU158/BS158-1)*100)&gt;100,"NM",IF(((BU158/BS158-1)*100)&lt;-50,"NM",(BU158/BS158-1)*100)))</f>
        <v>2.7640671273445161</v>
      </c>
      <c r="BW158" s="56">
        <f>J158+L158+N158+P158</f>
        <v>90.100000000000009</v>
      </c>
      <c r="BX158" s="23">
        <f>IF(ISERROR((BW158/BU158-1)*100),"NA",IF(((BW158/BU158-1)*100)&gt;100,"NM",IF(((BW158/BU158-1)*100)&lt;-50,"NM",(BW158/BU158-1)*100)))</f>
        <v>-13.44860710854946</v>
      </c>
      <c r="BY158" s="56">
        <f>R158+T158+V158+X158</f>
        <v>89.6</v>
      </c>
      <c r="BZ158" s="23">
        <f>IF(ISERROR((BY158/BW158-1)*100),"NA",IF(((BY158/BW158-1)*100)&gt;100,"NM",IF(((BY158/BW158-1)*100)&lt;-50,"NM",(BY158/BW158-1)*100)))</f>
        <v>-0.55493895671477889</v>
      </c>
      <c r="CA158" s="56">
        <f>Z158+AB158+AD158+AF158</f>
        <v>95</v>
      </c>
      <c r="CB158" s="23">
        <f>IF(ISERROR((CA158/BY158-1)*100),"NA",IF(((CA158/BY158-1)*100)&gt;100,"NM",IF(((CA158/BY158-1)*100)&lt;-50,"NM",(CA158/BY158-1)*100)))</f>
        <v>6.0267857142857206</v>
      </c>
      <c r="CC158" s="56">
        <f>AH158+AJ158+AL158+AN158</f>
        <v>100</v>
      </c>
      <c r="CD158" s="23">
        <f>IF(ISERROR((CC158/CA158-1)*100),"NA",IF(((CC158/CA158-1)*100)&gt;100,"NM",IF(((CC158/CA158-1)*100)&lt;-50,"NM",(CC158/CA158-1)*100)))</f>
        <v>5.2631578947368363</v>
      </c>
      <c r="CE158" s="56">
        <f>AP158+AR158+AT158+AV158</f>
        <v>0</v>
      </c>
      <c r="CF158" s="23" t="str">
        <f>IF(ISERROR((CE158/CC158-1)*100),"NA",IF(((CE158/CC158-1)*100)&gt;100,"NM",IF(((CE158/CC158-1)*100)&lt;-50,"NM",(CE158/CC158-1)*100)))</f>
        <v>NM</v>
      </c>
      <c r="CG158" s="56"/>
      <c r="CH158" s="23" t="str">
        <f>IF(ISERROR((CG158/CE158-1)*100),"NA",IF(((CG158/CE158-1)*100)&gt;100,"NM",IF(((CG158/CE158-1)*100)&lt;-50,"NM",(CG158/CE158-1)*100)))</f>
        <v>NA</v>
      </c>
      <c r="CI158" s="56"/>
      <c r="CJ158" s="23"/>
      <c r="CK158" s="56"/>
      <c r="CL158" s="23"/>
      <c r="CM158" s="56"/>
      <c r="CN158" s="23"/>
      <c r="CO158" s="56"/>
      <c r="CP158" s="23"/>
      <c r="CQ158" s="56"/>
      <c r="CR158" s="23"/>
      <c r="CS158" s="23"/>
    </row>
    <row r="159" spans="1:97" ht="12.75" hidden="1" customHeight="1" outlineLevel="1" x14ac:dyDescent="0.2">
      <c r="A159" s="4" t="s">
        <v>162</v>
      </c>
      <c r="B159" s="49">
        <v>4.5999999999999996</v>
      </c>
      <c r="C159" s="59"/>
      <c r="D159" s="49">
        <v>5</v>
      </c>
      <c r="E159" s="59"/>
      <c r="F159" s="49">
        <v>5</v>
      </c>
      <c r="G159" s="59"/>
      <c r="H159" s="49">
        <v>1.7</v>
      </c>
      <c r="I159" s="59"/>
      <c r="J159" s="49">
        <v>8.3000000000000007</v>
      </c>
      <c r="K159" s="23">
        <f t="shared" si="1014"/>
        <v>80.43478260869567</v>
      </c>
      <c r="L159" s="49">
        <v>7.9</v>
      </c>
      <c r="M159" s="23">
        <f t="shared" si="1014"/>
        <v>58.000000000000007</v>
      </c>
      <c r="N159" s="49">
        <v>8.3000000000000007</v>
      </c>
      <c r="O159" s="23">
        <f t="shared" si="1014"/>
        <v>66.000000000000014</v>
      </c>
      <c r="P159" s="49">
        <v>8.4</v>
      </c>
      <c r="Q159" s="23" t="str">
        <f t="shared" si="1014"/>
        <v>NM</v>
      </c>
      <c r="R159" s="49">
        <v>8.8000000000000007</v>
      </c>
      <c r="S159" s="23">
        <f t="shared" si="1014"/>
        <v>6.024096385542177</v>
      </c>
      <c r="T159" s="49">
        <v>8.6</v>
      </c>
      <c r="U159" s="23">
        <f t="shared" si="1014"/>
        <v>8.8607594936708658</v>
      </c>
      <c r="V159" s="49">
        <v>8.9</v>
      </c>
      <c r="W159" s="23">
        <f t="shared" si="1014"/>
        <v>7.2289156626506035</v>
      </c>
      <c r="X159" s="49">
        <v>9.9</v>
      </c>
      <c r="Y159" s="23">
        <f t="shared" si="1014"/>
        <v>17.857142857142861</v>
      </c>
      <c r="Z159" s="49">
        <v>10.4</v>
      </c>
      <c r="AA159" s="23">
        <f>IF(ISERROR((Z159/R159-1)*100),"NA",IF(((Z159/R159-1)*100)&gt;100,"NM",IF(((Z159/R159-1)*100)&lt;-50,"NM",(Z159/R159-1)*100)))</f>
        <v>18.181818181818166</v>
      </c>
      <c r="AB159" s="49">
        <v>11.7</v>
      </c>
      <c r="AC159" s="23">
        <f>IF(ISERROR((AB159/T159-1)*100),"NA",IF(((AB159/T159-1)*100)&gt;100,"NM",IF(((AB159/T159-1)*100)&lt;-50,"NM",(AB159/T159-1)*100)))</f>
        <v>36.046511627906973</v>
      </c>
      <c r="AD159" s="49">
        <v>11.8</v>
      </c>
      <c r="AE159" s="23">
        <f>IF(ISERROR((AD159/V159-1)*100),"NA",IF(((AD159/V159-1)*100)&gt;100,"NM",IF(((AD159/V159-1)*100)&lt;-50,"NM",(AD159/V159-1)*100)))</f>
        <v>32.584269662921358</v>
      </c>
      <c r="AF159" s="49">
        <v>9.6</v>
      </c>
      <c r="AG159" s="23">
        <f>IF(ISERROR((AF159/X159-1)*100),"NA",IF(((AF159/X159-1)*100)&gt;100,"NM",IF(((AF159/X159-1)*100)&lt;-50,"NM",(AF159/X159-1)*100)))</f>
        <v>-3.0303030303030387</v>
      </c>
      <c r="AH159" s="49">
        <v>11.9</v>
      </c>
      <c r="AI159" s="23">
        <f>IF(ISERROR((AH159/Z159-1)*100),"NA",IF(((AH159/Z159-1)*100)&gt;100,"NM",IF(((AH159/Z159-1)*100)&lt;-50,"NM",(AH159/Z159-1)*100)))</f>
        <v>14.423076923076916</v>
      </c>
      <c r="AJ159" s="49">
        <v>12.9</v>
      </c>
      <c r="AK159" s="23">
        <f>IF(ISERROR((AJ159/AB159-1)*100),"NA",IF(((AJ159/AB159-1)*100)&gt;100,"NM",IF(((AJ159/AB159-1)*100)&lt;-50,"NM",(AJ159/AB159-1)*100)))</f>
        <v>10.256410256410264</v>
      </c>
      <c r="AL159" s="49">
        <v>13</v>
      </c>
      <c r="AM159" s="23">
        <f>IF(ISERROR((AL159/AD159-1)*100),"NA",IF(((AL159/AD159-1)*100)&gt;100,"NM",IF(((AL159/AD159-1)*100)&lt;-50,"NM",(AL159/AD159-1)*100)))</f>
        <v>10.169491525423723</v>
      </c>
      <c r="AN159" s="158">
        <v>13.4</v>
      </c>
      <c r="AO159" s="23">
        <f>IF(ISERROR((AN159/AF159-1)*100),"NA",IF(((AN159/AF159-1)*100)&gt;100,"NM",IF(((AN159/AF159-1)*100)&lt;-50,"NM",(AN159/AF159-1)*100)))</f>
        <v>39.58333333333335</v>
      </c>
      <c r="AP159" s="158"/>
      <c r="AQ159" s="23"/>
      <c r="AR159" s="158"/>
      <c r="AS159" s="23"/>
      <c r="AT159" s="158"/>
      <c r="AU159" s="23"/>
      <c r="AV159" s="158"/>
      <c r="AW159" s="23" t="str">
        <f t="shared" si="1010"/>
        <v>NM</v>
      </c>
      <c r="AX159" s="158"/>
      <c r="AY159" s="23"/>
      <c r="AZ159" s="158"/>
      <c r="BA159" s="23"/>
      <c r="BB159" s="158"/>
      <c r="BC159" s="23" t="str">
        <f t="shared" si="1011"/>
        <v>NA</v>
      </c>
      <c r="BD159" s="158"/>
      <c r="BE159" s="23" t="str">
        <f t="shared" si="1012"/>
        <v>NA</v>
      </c>
      <c r="BF159" s="36"/>
      <c r="BG159" s="23"/>
      <c r="BH159" s="36"/>
      <c r="BI159" s="23"/>
      <c r="BJ159" s="36"/>
      <c r="BK159" s="23"/>
      <c r="BL159" s="36"/>
      <c r="BM159" s="23" t="str">
        <f t="shared" si="1013"/>
        <v>NA</v>
      </c>
      <c r="BN159" s="35"/>
      <c r="BO159" s="137"/>
      <c r="BP159" s="35"/>
      <c r="BQ159" s="49">
        <v>7.8</v>
      </c>
      <c r="BR159" s="35"/>
      <c r="BS159" s="49">
        <v>21.1</v>
      </c>
      <c r="BT159" s="35"/>
      <c r="BU159" s="56">
        <f>B159+D159+F159+H159</f>
        <v>16.3</v>
      </c>
      <c r="BV159" s="23">
        <f>IF(ISERROR((BU159/BS159-1)*100),"NA",IF(((BU159/BS159-1)*100)&gt;100,"NM",IF(((BU159/BS159-1)*100)&lt;-50,"NM",(BU159/BS159-1)*100)))</f>
        <v>-22.748815165876778</v>
      </c>
      <c r="BW159" s="56">
        <f>J159+L159+N159+P159</f>
        <v>32.900000000000006</v>
      </c>
      <c r="BX159" s="23" t="str">
        <f>IF(ISERROR((BW159/BU159-1)*100),"NA",IF(((BW159/BU159-1)*100)&gt;100,"NM",IF(((BW159/BU159-1)*100)&lt;-50,"NM",(BW159/BU159-1)*100)))</f>
        <v>NM</v>
      </c>
      <c r="BY159" s="56">
        <f>R159+T159+V159+X159</f>
        <v>36.199999999999996</v>
      </c>
      <c r="BZ159" s="23">
        <f>IF(ISERROR((BY159/BW159-1)*100),"NA",IF(((BY159/BW159-1)*100)&gt;100,"NM",IF(((BY159/BW159-1)*100)&lt;-50,"NM",(BY159/BW159-1)*100)))</f>
        <v>10.030395136778081</v>
      </c>
      <c r="CA159" s="56">
        <f>Z159+AB159+AD159+AF159</f>
        <v>43.500000000000007</v>
      </c>
      <c r="CB159" s="23">
        <f>IF(ISERROR((CA159/BY159-1)*100),"NA",IF(((CA159/BY159-1)*100)&gt;100,"NM",IF(((CA159/BY159-1)*100)&lt;-50,"NM",(CA159/BY159-1)*100)))</f>
        <v>20.165745856353624</v>
      </c>
      <c r="CC159" s="56">
        <f>AH159+AJ159+AL159+AN159</f>
        <v>51.199999999999996</v>
      </c>
      <c r="CD159" s="23">
        <f>IF(ISERROR((CC159/CA159-1)*100),"NA",IF(((CC159/CA159-1)*100)&gt;100,"NM",IF(((CC159/CA159-1)*100)&lt;-50,"NM",(CC159/CA159-1)*100)))</f>
        <v>17.701149425287333</v>
      </c>
      <c r="CE159" s="56">
        <f>AP159+AR159+AT159+AV159</f>
        <v>0</v>
      </c>
      <c r="CF159" s="23" t="str">
        <f>IF(ISERROR((CE159/CC159-1)*100),"NA",IF(((CE159/CC159-1)*100)&gt;100,"NM",IF(((CE159/CC159-1)*100)&lt;-50,"NM",(CE159/CC159-1)*100)))</f>
        <v>NM</v>
      </c>
      <c r="CG159" s="56"/>
      <c r="CH159" s="23" t="str">
        <f>IF(ISERROR((CG159/CE159-1)*100),"NA",IF(((CG159/CE159-1)*100)&gt;100,"NM",IF(((CG159/CE159-1)*100)&lt;-50,"NM",(CG159/CE159-1)*100)))</f>
        <v>NA</v>
      </c>
      <c r="CI159" s="56"/>
      <c r="CJ159" s="23"/>
      <c r="CK159" s="56"/>
      <c r="CL159" s="23"/>
      <c r="CM159" s="56"/>
      <c r="CN159" s="23"/>
      <c r="CO159" s="56"/>
      <c r="CP159" s="23"/>
      <c r="CQ159" s="56"/>
      <c r="CR159" s="23"/>
      <c r="CS159" s="23"/>
    </row>
    <row r="160" spans="1:97" ht="12.75" hidden="1" customHeight="1" outlineLevel="1" x14ac:dyDescent="0.2">
      <c r="A160" s="4" t="s">
        <v>158</v>
      </c>
      <c r="B160" s="49">
        <f>41.4-12.7</f>
        <v>28.7</v>
      </c>
      <c r="C160" s="59"/>
      <c r="D160" s="49">
        <f>52.7-22.2</f>
        <v>30.500000000000004</v>
      </c>
      <c r="E160" s="59"/>
      <c r="F160" s="49">
        <f>54.3-53.3</f>
        <v>1</v>
      </c>
      <c r="G160" s="59"/>
      <c r="H160" s="49">
        <f>22.3-177.9</f>
        <v>-155.6</v>
      </c>
      <c r="I160" s="59"/>
      <c r="J160" s="49">
        <f>34.6+20.3</f>
        <v>54.900000000000006</v>
      </c>
      <c r="K160" s="23">
        <f t="shared" si="1014"/>
        <v>91.28919860627181</v>
      </c>
      <c r="L160" s="49">
        <f>49.4+8.6</f>
        <v>58</v>
      </c>
      <c r="M160" s="23">
        <f t="shared" si="1014"/>
        <v>90.163934426229474</v>
      </c>
      <c r="N160" s="49">
        <f>40.9+12.9</f>
        <v>53.8</v>
      </c>
      <c r="O160" s="23" t="str">
        <f t="shared" si="1014"/>
        <v>NM</v>
      </c>
      <c r="P160" s="49">
        <f>53.7+44.4</f>
        <v>98.1</v>
      </c>
      <c r="Q160" s="23" t="str">
        <f t="shared" si="1014"/>
        <v>NM</v>
      </c>
      <c r="R160" s="49">
        <f>53.1-7</f>
        <v>46.1</v>
      </c>
      <c r="S160" s="23">
        <f t="shared" si="1014"/>
        <v>-16.029143897996367</v>
      </c>
      <c r="T160" s="49">
        <f>49.7-9.9</f>
        <v>39.800000000000004</v>
      </c>
      <c r="U160" s="23">
        <f t="shared" si="1014"/>
        <v>-31.379310344827584</v>
      </c>
      <c r="V160" s="49">
        <f>57.9-43.8</f>
        <v>14.100000000000001</v>
      </c>
      <c r="W160" s="23" t="str">
        <f t="shared" si="1014"/>
        <v>NM</v>
      </c>
      <c r="X160" s="49">
        <f>49.8-27.2</f>
        <v>22.599999999999998</v>
      </c>
      <c r="Y160" s="23" t="str">
        <f t="shared" si="1014"/>
        <v>NM</v>
      </c>
      <c r="Z160" s="49">
        <f>44.5-3.2</f>
        <v>41.3</v>
      </c>
      <c r="AA160" s="23">
        <f>IF(ISERROR((Z160/R160-1)*100),"NA",IF(((Z160/R160-1)*100)&gt;100,"NM",IF(((Z160/R160-1)*100)&lt;-50,"NM",(Z160/R160-1)*100)))</f>
        <v>-10.412147505422997</v>
      </c>
      <c r="AB160" s="49">
        <f>45.3-6.5</f>
        <v>38.799999999999997</v>
      </c>
      <c r="AC160" s="23">
        <f>IF(ISERROR((AB160/T160-1)*100),"NA",IF(((AB160/T160-1)*100)&gt;100,"NM",IF(((AB160/T160-1)*100)&lt;-50,"NM",(AB160/T160-1)*100)))</f>
        <v>-2.5125628140703737</v>
      </c>
      <c r="AD160" s="49">
        <f>48.7-17.8</f>
        <v>30.900000000000002</v>
      </c>
      <c r="AE160" s="23" t="str">
        <f>IF(ISERROR((AD160/V160-1)*100),"NA",IF(((AD160/V160-1)*100)&gt;100,"NM",IF(((AD160/V160-1)*100)&lt;-50,"NM",(AD160/V160-1)*100)))</f>
        <v>NM</v>
      </c>
      <c r="AF160" s="49">
        <f>51.3+1.1</f>
        <v>52.4</v>
      </c>
      <c r="AG160" s="23" t="str">
        <f>IF(ISERROR((AF160/X160-1)*100),"NA",IF(((AF160/X160-1)*100)&gt;100,"NM",IF(((AF160/X160-1)*100)&lt;-50,"NM",(AF160/X160-1)*100)))</f>
        <v>NM</v>
      </c>
      <c r="AH160" s="49">
        <f>49.5-9.5</f>
        <v>40</v>
      </c>
      <c r="AI160" s="23">
        <f>IF(ISERROR((AH160/Z160-1)*100),"NA",IF(((AH160/Z160-1)*100)&gt;100,"NM",IF(((AH160/Z160-1)*100)&lt;-50,"NM",(AH160/Z160-1)*100)))</f>
        <v>-3.1476997578692378</v>
      </c>
      <c r="AJ160" s="49">
        <f>46.7-5</f>
        <v>41.7</v>
      </c>
      <c r="AK160" s="23">
        <f>IF(ISERROR((AJ160/AB160-1)*100),"NA",IF(((AJ160/AB160-1)*100)&gt;100,"NM",IF(((AJ160/AB160-1)*100)&lt;-50,"NM",(AJ160/AB160-1)*100)))</f>
        <v>7.4742268041237292</v>
      </c>
      <c r="AL160" s="49">
        <f>59.2+12.9-0.1</f>
        <v>72.000000000000014</v>
      </c>
      <c r="AM160" s="23" t="str">
        <f>IF(ISERROR((AL160/AD160-1)*100),"NA",IF(((AL160/AD160-1)*100)&gt;100,"NM",IF(((AL160/AD160-1)*100)&lt;-50,"NM",(AL160/AD160-1)*100)))</f>
        <v>NM</v>
      </c>
      <c r="AN160" s="158">
        <f>60.5-10.9</f>
        <v>49.6</v>
      </c>
      <c r="AO160" s="23">
        <f>IF(ISERROR((AN160/AF160-1)*100),"NA",IF(((AN160/AF160-1)*100)&gt;100,"NM",IF(((AN160/AF160-1)*100)&lt;-50,"NM",(AN160/AF160-1)*100)))</f>
        <v>-5.3435114503816772</v>
      </c>
      <c r="AP160" s="158"/>
      <c r="AQ160" s="23"/>
      <c r="AR160" s="158"/>
      <c r="AS160" s="23"/>
      <c r="AT160" s="158"/>
      <c r="AU160" s="23"/>
      <c r="AV160" s="158"/>
      <c r="AW160" s="23" t="str">
        <f t="shared" si="1010"/>
        <v>NM</v>
      </c>
      <c r="AX160" s="158"/>
      <c r="AY160" s="23"/>
      <c r="AZ160" s="158"/>
      <c r="BA160" s="23"/>
      <c r="BB160" s="158"/>
      <c r="BC160" s="23" t="str">
        <f t="shared" si="1011"/>
        <v>NA</v>
      </c>
      <c r="BD160" s="158"/>
      <c r="BE160" s="23" t="str">
        <f t="shared" si="1012"/>
        <v>NA</v>
      </c>
      <c r="BF160" s="36"/>
      <c r="BG160" s="23"/>
      <c r="BH160" s="36"/>
      <c r="BI160" s="23"/>
      <c r="BJ160" s="36"/>
      <c r="BK160" s="23"/>
      <c r="BL160" s="36"/>
      <c r="BM160" s="23" t="str">
        <f t="shared" si="1013"/>
        <v>NA</v>
      </c>
      <c r="BN160" s="35"/>
      <c r="BO160" s="137"/>
      <c r="BP160" s="35"/>
      <c r="BQ160" s="49">
        <f>212.5-6</f>
        <v>206.5</v>
      </c>
      <c r="BR160" s="35"/>
      <c r="BS160" s="49">
        <f>166.2+10.2</f>
        <v>176.39999999999998</v>
      </c>
      <c r="BT160" s="35"/>
      <c r="BU160" s="56">
        <f>B160+D160+F160+H160</f>
        <v>-95.399999999999991</v>
      </c>
      <c r="BV160" s="23" t="str">
        <f>IF(ISERROR((BU160/BS160-1)*100),"NA",IF(((BU160/BS160-1)*100)&gt;100,"NM",IF(((BU160/BS160-1)*100)&lt;-50,"NM",(BU160/BS160-1)*100)))</f>
        <v>NM</v>
      </c>
      <c r="BW160" s="56">
        <f>J160+L160+N160+P160</f>
        <v>264.79999999999995</v>
      </c>
      <c r="BX160" s="23" t="str">
        <f>IF(ISERROR((BW160/BU160-1)*100),"NA",IF(((BW160/BU160-1)*100)&gt;100,"NM",IF(((BW160/BU160-1)*100)&lt;-50,"NM",(BW160/BU160-1)*100)))</f>
        <v>NM</v>
      </c>
      <c r="BY160" s="56">
        <f>R160+T160+V160+X160</f>
        <v>122.6</v>
      </c>
      <c r="BZ160" s="23" t="str">
        <f>IF(ISERROR((BY160/BW160-1)*100),"NA",IF(((BY160/BW160-1)*100)&gt;100,"NM",IF(((BY160/BW160-1)*100)&lt;-50,"NM",(BY160/BW160-1)*100)))</f>
        <v>NM</v>
      </c>
      <c r="CA160" s="56">
        <f>Z160+AB160+AD160+AF160</f>
        <v>163.4</v>
      </c>
      <c r="CB160" s="23">
        <f>IF(ISERROR((CA160/BY160-1)*100),"NA",IF(((CA160/BY160-1)*100)&gt;100,"NM",IF(((CA160/BY160-1)*100)&lt;-50,"NM",(CA160/BY160-1)*100)))</f>
        <v>33.278955954323017</v>
      </c>
      <c r="CC160" s="56">
        <f>AH160+AJ160+AL160+AN160</f>
        <v>203.3</v>
      </c>
      <c r="CD160" s="23">
        <f>IF(ISERROR((CC160/CA160-1)*100),"NA",IF(((CC160/CA160-1)*100)&gt;100,"NM",IF(((CC160/CA160-1)*100)&lt;-50,"NM",(CC160/CA160-1)*100)))</f>
        <v>24.418604651162788</v>
      </c>
      <c r="CE160" s="56">
        <f>AP160+AR160+AT160+AV160</f>
        <v>0</v>
      </c>
      <c r="CF160" s="23" t="str">
        <f>IF(ISERROR((CE160/CC160-1)*100),"NA",IF(((CE160/CC160-1)*100)&gt;100,"NM",IF(((CE160/CC160-1)*100)&lt;-50,"NM",(CE160/CC160-1)*100)))</f>
        <v>NM</v>
      </c>
      <c r="CG160" s="56"/>
      <c r="CH160" s="23" t="str">
        <f>IF(ISERROR((CG160/CE160-1)*100),"NA",IF(((CG160/CE160-1)*100)&gt;100,"NM",IF(((CG160/CE160-1)*100)&lt;-50,"NM",(CG160/CE160-1)*100)))</f>
        <v>NA</v>
      </c>
      <c r="CI160" s="56"/>
      <c r="CJ160" s="23"/>
      <c r="CK160" s="56"/>
      <c r="CL160" s="23"/>
      <c r="CM160" s="56"/>
      <c r="CN160" s="23"/>
      <c r="CO160" s="56"/>
      <c r="CP160" s="23"/>
      <c r="CQ160" s="56"/>
      <c r="CR160" s="23"/>
      <c r="CS160" s="23"/>
    </row>
    <row r="161" spans="1:97" ht="12.75" hidden="1" customHeight="1" outlineLevel="1" x14ac:dyDescent="0.2">
      <c r="A161" s="4" t="s">
        <v>11</v>
      </c>
      <c r="B161" s="36">
        <f>SUM(B157:B160)</f>
        <v>303.5</v>
      </c>
      <c r="C161" s="59"/>
      <c r="D161" s="36">
        <f>SUM(D157:D160)</f>
        <v>303</v>
      </c>
      <c r="E161" s="59"/>
      <c r="F161" s="36">
        <f>SUM(F157:F160)</f>
        <v>269.89999999999998</v>
      </c>
      <c r="G161" s="59"/>
      <c r="H161" s="36">
        <f>SUM(H157:H160)</f>
        <v>108.70000000000002</v>
      </c>
      <c r="I161" s="59"/>
      <c r="J161" s="36">
        <f>SUM(J157:J160)</f>
        <v>302.70000000000005</v>
      </c>
      <c r="K161" s="23">
        <f t="shared" si="1014"/>
        <v>-0.2635914332783984</v>
      </c>
      <c r="L161" s="36">
        <f>SUM(L157:L160)</f>
        <v>289.89999999999998</v>
      </c>
      <c r="M161" s="23">
        <f t="shared" si="1014"/>
        <v>-4.3234323432343347</v>
      </c>
      <c r="N161" s="36">
        <f>SUM(N157:N160)</f>
        <v>270.39999999999998</v>
      </c>
      <c r="O161" s="23">
        <f t="shared" si="1014"/>
        <v>0.18525379770284456</v>
      </c>
      <c r="P161" s="36">
        <f>SUM(P157:P160)</f>
        <v>307.89999999999998</v>
      </c>
      <c r="Q161" s="23" t="str">
        <f t="shared" si="1014"/>
        <v>NM</v>
      </c>
      <c r="R161" s="36">
        <f>SUM(R157:R160)</f>
        <v>250.5</v>
      </c>
      <c r="S161" s="23">
        <f t="shared" si="1014"/>
        <v>-17.24479682854313</v>
      </c>
      <c r="T161" s="36">
        <f>SUM(T157:T160)</f>
        <v>239.4</v>
      </c>
      <c r="U161" s="23">
        <f t="shared" si="1014"/>
        <v>-17.419799931010683</v>
      </c>
      <c r="V161" s="36">
        <f>SUM(V157:V160)</f>
        <v>213.6</v>
      </c>
      <c r="W161" s="23">
        <f t="shared" si="1014"/>
        <v>-21.00591715976331</v>
      </c>
      <c r="X161" s="36">
        <f>SUM(X157:X160)</f>
        <v>217.5</v>
      </c>
      <c r="Y161" s="23">
        <f t="shared" si="1014"/>
        <v>-29.360181877232861</v>
      </c>
      <c r="Z161" s="36">
        <f>SUM(Z157:Z160)</f>
        <v>236.09999999999997</v>
      </c>
      <c r="AA161" s="23">
        <f>IF(ISERROR((Z161/R161-1)*100),"NA",IF(((Z161/R161-1)*100)&gt;100,"NM",IF(((Z161/R161-1)*100)&lt;-50,"NM",(Z161/R161-1)*100)))</f>
        <v>-5.7485029940119947</v>
      </c>
      <c r="AB161" s="36">
        <f>SUM(AB157:AB160)</f>
        <v>234.89999999999998</v>
      </c>
      <c r="AC161" s="23">
        <f>IF(ISERROR((AB161/T161-1)*100),"NA",IF(((AB161/T161-1)*100)&gt;100,"NM",IF(((AB161/T161-1)*100)&lt;-50,"NM",(AB161/T161-1)*100)))</f>
        <v>-1.8796992481203145</v>
      </c>
      <c r="AD161" s="36">
        <f>SUM(AD157:AD160)</f>
        <v>222.10000000000002</v>
      </c>
      <c r="AE161" s="23">
        <f>IF(ISERROR((AD161/V161-1)*100),"NA",IF(((AD161/V161-1)*100)&gt;100,"NM",IF(((AD161/V161-1)*100)&lt;-50,"NM",(AD161/V161-1)*100)))</f>
        <v>3.9794007490636885</v>
      </c>
      <c r="AF161" s="36">
        <f>SUM(AF157:AF160)</f>
        <v>237.1</v>
      </c>
      <c r="AG161" s="23">
        <f>IF(ISERROR((AF161/X161-1)*100),"NA",IF(((AF161/X161-1)*100)&gt;100,"NM",IF(((AF161/X161-1)*100)&lt;-50,"NM",(AF161/X161-1)*100)))</f>
        <v>9.011494252873554</v>
      </c>
      <c r="AH161" s="36">
        <f>SUM(AH157:AH160)</f>
        <v>221.5</v>
      </c>
      <c r="AI161" s="23">
        <f>IF(ISERROR((AH161/Z161-1)*100),"NA",IF(((AH161/Z161-1)*100)&gt;100,"NM",IF(((AH161/Z161-1)*100)&lt;-50,"NM",(AH161/Z161-1)*100)))</f>
        <v>-6.1838204150783449</v>
      </c>
      <c r="AJ161" s="36">
        <f>SUM(AJ157:AJ160)</f>
        <v>223.3</v>
      </c>
      <c r="AK161" s="23">
        <f>IF(ISERROR((AJ161/AB161-1)*100),"NA",IF(((AJ161/AB161-1)*100)&gt;100,"NM",IF(((AJ161/AB161-1)*100)&lt;-50,"NM",(AJ161/AB161-1)*100)))</f>
        <v>-4.9382716049382598</v>
      </c>
      <c r="AL161" s="36">
        <f>SUM(AL157:AL160)</f>
        <v>254.3</v>
      </c>
      <c r="AM161" s="23">
        <f>IF(ISERROR((AL161/AD161-1)*100),"NA",IF(((AL161/AD161-1)*100)&gt;100,"NM",IF(((AL161/AD161-1)*100)&lt;-50,"NM",(AL161/AD161-1)*100)))</f>
        <v>14.497973885637094</v>
      </c>
      <c r="AN161" s="410">
        <f t="shared" ref="AN161" si="1015">SUM(AN157:AN160)</f>
        <v>230.7</v>
      </c>
      <c r="AO161" s="23">
        <f>IF(ISERROR((AN161/AF161-1)*100),"NA",IF(((AN161/AF161-1)*100)&gt;100,"NM",IF(((AN161/AF161-1)*100)&lt;-50,"NM",(AN161/AF161-1)*100)))</f>
        <v>-2.6992830029523462</v>
      </c>
      <c r="AP161" s="410"/>
      <c r="AQ161" s="23"/>
      <c r="AR161" s="410"/>
      <c r="AS161" s="23"/>
      <c r="AT161" s="410"/>
      <c r="AU161" s="23"/>
      <c r="AV161" s="410"/>
      <c r="AW161" s="23" t="str">
        <f t="shared" si="1010"/>
        <v>NM</v>
      </c>
      <c r="AX161" s="410"/>
      <c r="AY161" s="23"/>
      <c r="AZ161" s="410"/>
      <c r="BA161" s="23"/>
      <c r="BB161" s="410"/>
      <c r="BC161" s="23" t="str">
        <f t="shared" si="1011"/>
        <v>NA</v>
      </c>
      <c r="BD161" s="410"/>
      <c r="BE161" s="23" t="str">
        <f t="shared" si="1012"/>
        <v>NA</v>
      </c>
      <c r="BF161" s="36"/>
      <c r="BG161" s="23"/>
      <c r="BH161" s="36"/>
      <c r="BI161" s="23"/>
      <c r="BJ161" s="36"/>
      <c r="BK161" s="23"/>
      <c r="BL161" s="36"/>
      <c r="BM161" s="23" t="str">
        <f t="shared" si="1013"/>
        <v>NA</v>
      </c>
      <c r="BN161" s="35"/>
      <c r="BO161" s="137"/>
      <c r="BP161" s="35"/>
      <c r="BQ161" s="56">
        <f>SUM(BQ158:BQ160)</f>
        <v>317.8</v>
      </c>
      <c r="BR161" s="35"/>
      <c r="BS161" s="56">
        <f>SUM(BS158:BS160)</f>
        <v>298.79999999999995</v>
      </c>
      <c r="BT161" s="35"/>
      <c r="BU161" s="56">
        <f>SUM(BU157:BU160)</f>
        <v>985.1</v>
      </c>
      <c r="BV161" s="23" t="str">
        <f>IF(ISERROR((BU161/BS161-1)*100),"NA",IF(((BU161/BS161-1)*100)&gt;100,"NM",IF(((BU161/BS161-1)*100)&lt;-50,"NM",(BU161/BS161-1)*100)))</f>
        <v>NM</v>
      </c>
      <c r="BW161" s="56">
        <f>SUM(BW157:BW160)</f>
        <v>1170.9000000000001</v>
      </c>
      <c r="BX161" s="23">
        <f>IF(ISERROR((BW161/BU161-1)*100),"NA",IF(((BW161/BU161-1)*100)&gt;100,"NM",IF(((BW161/BU161-1)*100)&lt;-50,"NM",(BW161/BU161-1)*100)))</f>
        <v>18.861029337123149</v>
      </c>
      <c r="BY161" s="56">
        <f>SUM(BY157:BY160)</f>
        <v>921.00000000000011</v>
      </c>
      <c r="BZ161" s="23">
        <f>IF(ISERROR((BY161/BW161-1)*100),"NA",IF(((BY161/BW161-1)*100)&gt;100,"NM",IF(((BY161/BW161-1)*100)&lt;-50,"NM",(BY161/BW161-1)*100)))</f>
        <v>-21.342557007430173</v>
      </c>
      <c r="CA161" s="56">
        <f>SUM(CA157:CA160)</f>
        <v>930.19999999999993</v>
      </c>
      <c r="CB161" s="23">
        <f>IF(ISERROR((CA161/BY161-1)*100),"NA",IF(((CA161/BY161-1)*100)&gt;100,"NM",IF(((CA161/BY161-1)*100)&lt;-50,"NM",(CA161/BY161-1)*100)))</f>
        <v>0.99891422366991112</v>
      </c>
      <c r="CC161" s="56">
        <f>SUM(CC157:CC160)</f>
        <v>929.8</v>
      </c>
      <c r="CD161" s="23">
        <f>IF(ISERROR((CC161/CA161-1)*100),"NA",IF(((CC161/CA161-1)*100)&gt;100,"NM",IF(((CC161/CA161-1)*100)&lt;-50,"NM",(CC161/CA161-1)*100)))</f>
        <v>-4.3001505052675526E-2</v>
      </c>
      <c r="CE161" s="56">
        <f>SUM(CE157:CE160)</f>
        <v>0</v>
      </c>
      <c r="CF161" s="23" t="str">
        <f>IF(ISERROR((CE161/CC161-1)*100),"NA",IF(((CE161/CC161-1)*100)&gt;100,"NM",IF(((CE161/CC161-1)*100)&lt;-50,"NM",(CE161/CC161-1)*100)))</f>
        <v>NM</v>
      </c>
      <c r="CG161" s="56"/>
      <c r="CH161" s="23" t="str">
        <f>IF(ISERROR((CG161/CE161-1)*100),"NA",IF(((CG161/CE161-1)*100)&gt;100,"NM",IF(((CG161/CE161-1)*100)&lt;-50,"NM",(CG161/CE161-1)*100)))</f>
        <v>NA</v>
      </c>
      <c r="CI161" s="56"/>
      <c r="CJ161" s="23"/>
      <c r="CK161" s="56"/>
      <c r="CL161" s="23"/>
      <c r="CM161" s="56"/>
      <c r="CN161" s="23"/>
      <c r="CO161" s="56"/>
      <c r="CP161" s="23"/>
      <c r="CQ161" s="56"/>
      <c r="CR161" s="23"/>
      <c r="CS161" s="23"/>
    </row>
    <row r="162" spans="1:97" ht="12.75" hidden="1" customHeight="1" outlineLevel="1" x14ac:dyDescent="0.2">
      <c r="B162" s="35"/>
      <c r="C162" s="60"/>
      <c r="D162" s="35"/>
      <c r="E162" s="60"/>
      <c r="F162" s="35"/>
      <c r="G162" s="60"/>
      <c r="H162" s="35"/>
      <c r="I162" s="60"/>
      <c r="J162" s="35"/>
      <c r="L162" s="35"/>
      <c r="N162" s="35"/>
      <c r="P162" s="35"/>
      <c r="R162" s="35"/>
      <c r="T162" s="35"/>
      <c r="V162" s="35"/>
      <c r="X162" s="35"/>
      <c r="Z162" s="35"/>
      <c r="AB162" s="35"/>
      <c r="AD162" s="35"/>
      <c r="AF162" s="35"/>
      <c r="AH162" s="35"/>
      <c r="AJ162" s="35"/>
      <c r="AL162" s="35"/>
      <c r="AN162" s="409"/>
      <c r="AP162" s="409"/>
      <c r="AR162" s="409"/>
      <c r="AT162" s="409"/>
      <c r="AV162" s="409"/>
      <c r="AX162" s="409"/>
      <c r="AZ162" s="409"/>
      <c r="BB162" s="409"/>
      <c r="BD162" s="409"/>
      <c r="BF162" s="35"/>
      <c r="BH162" s="35"/>
      <c r="BJ162" s="35"/>
      <c r="BL162" s="35"/>
      <c r="BN162" s="35"/>
      <c r="BO162" s="138"/>
      <c r="BP162" s="35"/>
      <c r="BQ162" s="35"/>
      <c r="BR162" s="35"/>
      <c r="BS162" s="35"/>
      <c r="BT162" s="35"/>
      <c r="BU162" s="37"/>
      <c r="BW162" s="37"/>
      <c r="BY162" s="37"/>
      <c r="CA162" s="37"/>
      <c r="CC162" s="37"/>
      <c r="CE162" s="37"/>
      <c r="CG162" s="37"/>
      <c r="CI162" s="37"/>
      <c r="CK162" s="37"/>
      <c r="CM162" s="37"/>
      <c r="CO162" s="37"/>
      <c r="CQ162" s="37"/>
    </row>
    <row r="163" spans="1:97" ht="12.75" hidden="1" customHeight="1" outlineLevel="1" x14ac:dyDescent="0.2">
      <c r="A163" s="11" t="s">
        <v>125</v>
      </c>
      <c r="B163" s="35"/>
      <c r="C163" s="60"/>
      <c r="D163" s="35"/>
      <c r="E163" s="60"/>
      <c r="F163" s="35"/>
      <c r="G163" s="60"/>
      <c r="H163" s="35"/>
      <c r="I163" s="60"/>
      <c r="J163" s="35"/>
      <c r="L163" s="35"/>
      <c r="N163" s="35"/>
      <c r="P163" s="35"/>
      <c r="R163" s="35"/>
      <c r="T163" s="35"/>
      <c r="V163" s="35"/>
      <c r="X163" s="35"/>
      <c r="Z163" s="35"/>
      <c r="AB163" s="35"/>
      <c r="AD163" s="35"/>
      <c r="AF163" s="35"/>
      <c r="AH163" s="35"/>
      <c r="AJ163" s="35"/>
      <c r="AL163" s="35"/>
      <c r="AN163" s="409"/>
      <c r="AP163" s="409"/>
      <c r="AR163" s="409"/>
      <c r="AT163" s="409"/>
      <c r="AV163" s="409"/>
      <c r="AX163" s="409"/>
      <c r="AZ163" s="409"/>
      <c r="BB163" s="409"/>
      <c r="BD163" s="409"/>
      <c r="BF163" s="35"/>
      <c r="BH163" s="35"/>
      <c r="BJ163" s="35"/>
      <c r="BL163" s="35"/>
      <c r="BN163" s="35"/>
      <c r="BO163" s="138"/>
      <c r="BP163" s="35"/>
      <c r="BQ163" s="35"/>
      <c r="BR163" s="35"/>
      <c r="BS163" s="35"/>
      <c r="BT163" s="35"/>
      <c r="BU163" s="37"/>
      <c r="BW163" s="37"/>
      <c r="BY163" s="37"/>
      <c r="CA163" s="37"/>
      <c r="CC163" s="37"/>
      <c r="CE163" s="37"/>
      <c r="CG163" s="37"/>
      <c r="CI163" s="37"/>
      <c r="CK163" s="37"/>
      <c r="CM163" s="37"/>
      <c r="CO163" s="37"/>
      <c r="CQ163" s="37"/>
    </row>
    <row r="164" spans="1:97" ht="12.75" hidden="1" customHeight="1" outlineLevel="1" x14ac:dyDescent="0.2">
      <c r="A164" s="4" t="s">
        <v>126</v>
      </c>
      <c r="B164" s="35">
        <f t="shared" ref="B164:P164" si="1016">B158/B145*100</f>
        <v>7.3782443861184026</v>
      </c>
      <c r="C164" s="59"/>
      <c r="D164" s="35">
        <f t="shared" si="1016"/>
        <v>7.1409103297901328</v>
      </c>
      <c r="E164" s="59"/>
      <c r="F164" s="35">
        <f t="shared" si="1016"/>
        <v>6.9977426636568847</v>
      </c>
      <c r="G164" s="59"/>
      <c r="H164" s="35">
        <f t="shared" si="1016"/>
        <v>9.0084251458198317</v>
      </c>
      <c r="I164" s="59"/>
      <c r="J164" s="35">
        <f t="shared" si="1016"/>
        <v>6.6647006782659988</v>
      </c>
      <c r="K164" s="23">
        <f t="shared" ref="K164:Y166" si="1017">IF(ISERROR((J164/B164-1)*100),"NA",IF(((J164/B164-1)*100)&gt;100,"NM",IF(((J164/B164-1)*100)&lt;-50,"NM",(J164/B164-1)*100)))</f>
        <v>-9.6709145226319908</v>
      </c>
      <c r="L164" s="35">
        <f t="shared" si="1016"/>
        <v>7.0031545741324921</v>
      </c>
      <c r="M164" s="23">
        <f t="shared" si="1017"/>
        <v>-1.9291063645339057</v>
      </c>
      <c r="N164" s="35">
        <f t="shared" si="1016"/>
        <v>7.7887788778877889</v>
      </c>
      <c r="O164" s="23">
        <f t="shared" si="1017"/>
        <v>11.304162674331963</v>
      </c>
      <c r="P164" s="35">
        <f t="shared" si="1016"/>
        <v>6.9064290260980261</v>
      </c>
      <c r="Q164" s="23">
        <f t="shared" si="1017"/>
        <v>-23.333669156336299</v>
      </c>
      <c r="R164" s="35">
        <f>R158/R145*100</f>
        <v>7.1850393700787416</v>
      </c>
      <c r="S164" s="23">
        <f t="shared" si="1017"/>
        <v>7.8073827607832325</v>
      </c>
      <c r="T164" s="35">
        <f>T158/T145*100</f>
        <v>7.7617932418869193</v>
      </c>
      <c r="U164" s="23">
        <f t="shared" si="1017"/>
        <v>10.832813408925833</v>
      </c>
      <c r="V164" s="35">
        <f>V158/V145*100</f>
        <v>7.2463768115942031</v>
      </c>
      <c r="W164" s="23">
        <f t="shared" si="1017"/>
        <v>-6.9638909358879841</v>
      </c>
      <c r="X164" s="35">
        <f>X158/X145*100</f>
        <v>7.316262055204521</v>
      </c>
      <c r="Y164" s="23">
        <f t="shared" si="1017"/>
        <v>5.9340800804267513</v>
      </c>
      <c r="Z164" s="35">
        <f>Z158/Z145*100</f>
        <v>8.4908903403231353</v>
      </c>
      <c r="AA164" s="23">
        <f>IF(ISERROR((Z164/R164-1)*100),"NA",IF(((Z164/R164-1)*100)&gt;100,"NM",IF(((Z164/R164-1)*100)&lt;-50,"NM",(Z164/R164-1)*100)))</f>
        <v>18.174583366689092</v>
      </c>
      <c r="AB164" s="35">
        <f>AB158/AB145*100</f>
        <v>8.25810765630224</v>
      </c>
      <c r="AC164" s="23">
        <f>IF(ISERROR((AB164/T164-1)*100),"NA",IF(((AB164/T164-1)*100)&gt;100,"NM",IF(((AB164/T164-1)*100)&lt;-50,"NM",(AB164/T164-1)*100)))</f>
        <v>6.3943266581353075</v>
      </c>
      <c r="AD164" s="35">
        <f>AD158/AD145*100</f>
        <v>7.5233022636484694</v>
      </c>
      <c r="AE164" s="23">
        <f>IF(ISERROR((AD164/V164-1)*100),"NA",IF(((AD164/V164-1)*100)&gt;100,"NM",IF(((AD164/V164-1)*100)&lt;-50,"NM",(AD164/V164-1)*100)))</f>
        <v>3.8215712383488754</v>
      </c>
      <c r="AF164" s="35">
        <f>AF158/AF145*100</f>
        <v>7.6209410205434063</v>
      </c>
      <c r="AG164" s="23">
        <f>IF(ISERROR((AF164/X164-1)*100),"NA",IF(((AF164/X164-1)*100)&gt;100,"NM",IF(((AF164/X164-1)*100)&lt;-50,"NM",(AF164/X164-1)*100)))</f>
        <v>4.1644074944273912</v>
      </c>
      <c r="AH164" s="35">
        <f>AH158/AH145*100</f>
        <v>8.7556015167183716</v>
      </c>
      <c r="AI164" s="23">
        <f>IF(ISERROR((AH164/Z164-1)*100),"NA",IF(((AH164/Z164-1)*100)&gt;100,"NM",IF(((AH164/Z164-1)*100)&lt;-50,"NM",(AH164/Z164-1)*100)))</f>
        <v>3.1175903325252774</v>
      </c>
      <c r="AJ164" s="35">
        <f>AJ158/AJ145*100</f>
        <v>8.8638761871262766</v>
      </c>
      <c r="AK164" s="23">
        <f>IF(ISERROR((AJ164/AB164-1)*100),"NA",IF(((AJ164/AB164-1)*100)&gt;100,"NM",IF(((AJ164/AB164-1)*100)&lt;-50,"NM",(AJ164/AB164-1)*100)))</f>
        <v>7.3354399825696026</v>
      </c>
      <c r="AL164" s="35">
        <f>AL158/AL145*100</f>
        <v>8.1338143653656942</v>
      </c>
      <c r="AM164" s="23">
        <f>IF(ISERROR((AL164/AD164-1)*100),"NA",IF(((AL164/AD164-1)*100)&gt;100,"NM",IF(((AL164/AD164-1)*100)&lt;-50,"NM",(AL164/AD164-1)*100)))</f>
        <v>8.1149484670731908</v>
      </c>
      <c r="AN164" s="409">
        <f t="shared" ref="AN164" si="1018">AN158/AN145*100</f>
        <v>8.3787465940054506</v>
      </c>
      <c r="AO164" s="23">
        <f>IF(ISERROR((AN164/AF164-1)*100),"NA",IF(((AN164/AF164-1)*100)&gt;100,"NM",IF(((AN164/AF164-1)*100)&lt;-50,"NM",(AN164/AF164-1)*100)))</f>
        <v>9.9437270465584824</v>
      </c>
      <c r="AP164" s="409"/>
      <c r="AQ164" s="23"/>
      <c r="AR164" s="409"/>
      <c r="AS164" s="23"/>
      <c r="AT164" s="409"/>
      <c r="AU164" s="23"/>
      <c r="AV164" s="409"/>
      <c r="AW164" s="23" t="str">
        <f t="shared" ref="AW164:AW166" si="1019">IF(ISERROR((AV164/AN164-1)*100),"NA",IF(((AV164/AN164-1)*100)&gt;100,"NM",IF(((AV164/AN164-1)*100)&lt;-50,"NM",(AV164/AN164-1)*100)))</f>
        <v>NM</v>
      </c>
      <c r="AX164" s="409"/>
      <c r="AY164" s="23"/>
      <c r="AZ164" s="409"/>
      <c r="BA164" s="23"/>
      <c r="BB164" s="409"/>
      <c r="BC164" s="23" t="str">
        <f t="shared" ref="BC164:BC166" si="1020">IF(ISERROR((BB164/AT164-1)*100),"NA",IF(((BB164/AT164-1)*100)&gt;100,"NM",IF(((BB164/AT164-1)*100)&lt;-50,"NM",(BB164/AT164-1)*100)))</f>
        <v>NA</v>
      </c>
      <c r="BD164" s="409"/>
      <c r="BE164" s="23" t="str">
        <f t="shared" ref="BE164:BE166" si="1021">IF(ISERROR((BD164/AV164-1)*100),"NA",IF(((BD164/AV164-1)*100)&gt;100,"NM",IF(((BD164/AV164-1)*100)&lt;-50,"NM",(BD164/AV164-1)*100)))</f>
        <v>NA</v>
      </c>
      <c r="BF164" s="114"/>
      <c r="BG164" s="23"/>
      <c r="BH164" s="114"/>
      <c r="BI164" s="23"/>
      <c r="BJ164" s="114"/>
      <c r="BK164" s="23"/>
      <c r="BL164" s="114"/>
      <c r="BM164" s="23" t="str">
        <f t="shared" ref="BM164:BM166" si="1022">IF(ISERROR((BL164/BD164-1)*100),"NA",IF(((BL164/BD164-1)*100)&gt;100,"NM",IF(((BL164/BD164-1)*100)&lt;-50,"NM",(BL164/BD164-1)*100)))</f>
        <v>NA</v>
      </c>
      <c r="BN164" s="35"/>
      <c r="BO164" s="138"/>
      <c r="BP164" s="35"/>
      <c r="BQ164" s="113"/>
      <c r="BR164" s="113"/>
      <c r="BS164" s="113"/>
      <c r="BT164" s="35"/>
      <c r="BU164" s="37">
        <f>BU158/BU145*100</f>
        <v>7.5830419580419566</v>
      </c>
      <c r="BV164" s="23" t="str">
        <f>IF(ISERROR((BU164/BS164-1)*100),"NA",IF(((BU164/BS164-1)*100)&gt;100,"NM",IF(((BU164/BS164-1)*100)&lt;-50,"NM",(BU164/BS164-1)*100)))</f>
        <v>NA</v>
      </c>
      <c r="BW164" s="37">
        <f>BW158/BW145*100</f>
        <v>7.0761014686248336</v>
      </c>
      <c r="BX164" s="23">
        <f>IF(ISERROR((BW164/BU164-1)*100),"NA",IF(((BW164/BU164-1)*100)&gt;100,"NM",IF(((BW164/BU164-1)*100)&lt;-50,"NM",(BW164/BU164-1)*100)))</f>
        <v>-6.6851863964632718</v>
      </c>
      <c r="BY164" s="37">
        <f>BY158/BY145*100</f>
        <v>7.3750926002140087</v>
      </c>
      <c r="BZ164" s="23">
        <f>IF(ISERROR((BY164/BW164-1)*100),"NA",IF(((BY164/BW164-1)*100)&gt;100,"NM",IF(((BY164/BW164-1)*100)&lt;-50,"NM",(BY164/BW164-1)*100)))</f>
        <v>4.2253652369866446</v>
      </c>
      <c r="CA164" s="37">
        <f>CA158/CA145*100</f>
        <v>7.9684616675054514</v>
      </c>
      <c r="CB164" s="23">
        <f>IF(ISERROR((CA164/BY164-1)*100),"NA",IF(((CA164/BY164-1)*100)&gt;100,"NM",IF(((CA164/BY164-1)*100)&lt;-50,"NM",(CA164/BY164-1)*100)))</f>
        <v>8.045581248352395</v>
      </c>
      <c r="CC164" s="37">
        <f>CC158/CC145*100</f>
        <v>8.5258760337624686</v>
      </c>
      <c r="CD164" s="23">
        <f>IF(ISERROR((CC164/CA164-1)*100),"NA",IF(((CC164/CA164-1)*100)&gt;100,"NM",IF(((CC164/CA164-1)*100)&lt;-50,"NM",(CC164/CA164-1)*100)))</f>
        <v>6.9952569205433246</v>
      </c>
      <c r="CE164" s="37" t="e">
        <f>CE158/CE145*100</f>
        <v>#DIV/0!</v>
      </c>
      <c r="CF164" s="23" t="str">
        <f>IF(ISERROR((CE164/CC164-1)*100),"NA",IF(((CE164/CC164-1)*100)&gt;100,"NM",IF(((CE164/CC164-1)*100)&lt;-50,"NM",(CE164/CC164-1)*100)))</f>
        <v>NA</v>
      </c>
      <c r="CG164" s="37"/>
      <c r="CH164" s="23" t="str">
        <f>IF(ISERROR((CG164/CE164-1)*100),"NA",IF(((CG164/CE164-1)*100)&gt;100,"NM",IF(((CG164/CE164-1)*100)&lt;-50,"NM",(CG164/CE164-1)*100)))</f>
        <v>NA</v>
      </c>
      <c r="CI164" s="37"/>
      <c r="CJ164" s="23"/>
      <c r="CK164" s="114"/>
      <c r="CL164" s="23"/>
      <c r="CM164" s="114"/>
      <c r="CN164" s="23"/>
      <c r="CO164" s="114"/>
      <c r="CP164" s="23"/>
      <c r="CQ164" s="114"/>
      <c r="CR164" s="23"/>
      <c r="CS164" s="23"/>
    </row>
    <row r="165" spans="1:97" ht="12.75" hidden="1" customHeight="1" outlineLevel="1" x14ac:dyDescent="0.2">
      <c r="A165" s="4" t="s">
        <v>172</v>
      </c>
      <c r="B165" s="35">
        <f t="shared" ref="B165:P165" si="1023">B159/B145*100</f>
        <v>1.3414989792942549</v>
      </c>
      <c r="C165" s="59"/>
      <c r="D165" s="35">
        <f t="shared" si="1023"/>
        <v>1.362769146906514</v>
      </c>
      <c r="E165" s="59"/>
      <c r="F165" s="35">
        <f t="shared" si="1023"/>
        <v>1.4108352144469527</v>
      </c>
      <c r="G165" s="59"/>
      <c r="H165" s="35">
        <f t="shared" si="1023"/>
        <v>0.55087491898898244</v>
      </c>
      <c r="I165" s="59"/>
      <c r="J165" s="35">
        <f t="shared" si="1023"/>
        <v>2.4476555588322033</v>
      </c>
      <c r="K165" s="23">
        <f t="shared" si="1017"/>
        <v>82.456758939904901</v>
      </c>
      <c r="L165" s="35">
        <f t="shared" si="1023"/>
        <v>2.4921135646687698</v>
      </c>
      <c r="M165" s="23">
        <f t="shared" si="1017"/>
        <v>82.871293375394345</v>
      </c>
      <c r="N165" s="35">
        <f t="shared" si="1023"/>
        <v>2.7392739273927393</v>
      </c>
      <c r="O165" s="23">
        <f t="shared" si="1017"/>
        <v>94.15973597359735</v>
      </c>
      <c r="P165" s="35">
        <f t="shared" si="1023"/>
        <v>2.6734563971992364</v>
      </c>
      <c r="Q165" s="23" t="str">
        <f t="shared" si="1017"/>
        <v>NM</v>
      </c>
      <c r="R165" s="35">
        <f>R159/R145*100</f>
        <v>2.8871391076115493</v>
      </c>
      <c r="S165" s="23">
        <f t="shared" si="1017"/>
        <v>17.955285709768209</v>
      </c>
      <c r="T165" s="35">
        <f>T159/T145*100</f>
        <v>2.8772164603546337</v>
      </c>
      <c r="U165" s="23">
        <f t="shared" si="1017"/>
        <v>15.452863029420104</v>
      </c>
      <c r="V165" s="35">
        <f>V159/V145*100</f>
        <v>2.8663446054750406</v>
      </c>
      <c r="W165" s="23">
        <f t="shared" si="1017"/>
        <v>4.6388452360165422</v>
      </c>
      <c r="X165" s="35">
        <f>X159/X145*100</f>
        <v>3.2923179248420351</v>
      </c>
      <c r="Y165" s="23">
        <f t="shared" si="1017"/>
        <v>23.148368093496117</v>
      </c>
      <c r="Z165" s="35">
        <f>Z159/Z145*100</f>
        <v>3.5751117222413198</v>
      </c>
      <c r="AA165" s="23">
        <f>IF(ISERROR((Z165/R165-1)*100),"NA",IF(((Z165/R165-1)*100)&gt;100,"NM",IF(((Z165/R165-1)*100)&lt;-50,"NM",(Z165/R165-1)*100)))</f>
        <v>23.828869652176586</v>
      </c>
      <c r="AB165" s="35">
        <f>AB159/AB145*100</f>
        <v>3.91173520561685</v>
      </c>
      <c r="AC165" s="23">
        <f>IF(ISERROR((AB165/T165-1)*100),"NA",IF(((AB165/T165-1)*100)&gt;100,"NM",IF(((AB165/T165-1)*100)&lt;-50,"NM",(AB165/T165-1)*100)))</f>
        <v>35.955541041729823</v>
      </c>
      <c r="AD165" s="35">
        <f>AD159/AD145*100</f>
        <v>3.9280958721704402</v>
      </c>
      <c r="AE165" s="23">
        <f>IF(ISERROR((AD165/V165-1)*100),"NA",IF(((AD165/V165-1)*100)&gt;100,"NM",IF(((AD165/V165-1)*100)&lt;-50,"NM",(AD165/V165-1)*100)))</f>
        <v>37.041996439204674</v>
      </c>
      <c r="AF165" s="35">
        <f>AF159/AF145*100</f>
        <v>3.180914512922465</v>
      </c>
      <c r="AG165" s="23">
        <f>IF(ISERROR((AF165/X165-1)*100),"NA",IF(((AF165/X165-1)*100)&gt;100,"NM",IF(((AF165/X165-1)*100)&lt;-50,"NM",(AF165/X165-1)*100)))</f>
        <v>-3.3837379761833097</v>
      </c>
      <c r="AH165" s="35">
        <f>AH159/AH145*100</f>
        <v>4.1020337814546703</v>
      </c>
      <c r="AI165" s="23">
        <f>IF(ISERROR((AH165/Z165-1)*100),"NA",IF(((AH165/Z165-1)*100)&gt;100,"NM",IF(((AH165/Z165-1)*100)&lt;-50,"NM",(AH165/Z165-1)*100)))</f>
        <v>14.738617983188806</v>
      </c>
      <c r="AJ165" s="35">
        <f>AJ159/AJ145*100</f>
        <v>4.5374604291241658</v>
      </c>
      <c r="AK165" s="23">
        <f>IF(ISERROR((AJ165/AB165-1)*100),"NA",IF(((AJ165/AB165-1)*100)&gt;100,"NM",IF(((AJ165/AB165-1)*100)&lt;-50,"NM",(AJ165/AB165-1)*100)))</f>
        <v>15.996103790687034</v>
      </c>
      <c r="AL165" s="35">
        <f>AL159/AL145*100</f>
        <v>4.2636930141029854</v>
      </c>
      <c r="AM165" s="23">
        <f>IF(ISERROR((AL165/AD165-1)*100),"NA",IF(((AL165/AD165-1)*100)&gt;100,"NM",IF(((AL165/AD165-1)*100)&lt;-50,"NM",(AL165/AD165-1)*100)))</f>
        <v>8.5435069014013987</v>
      </c>
      <c r="AN165" s="409">
        <f t="shared" ref="AN165" si="1024">AN159/AN145*100</f>
        <v>4.5640326975476837</v>
      </c>
      <c r="AO165" s="23">
        <f>IF(ISERROR((AN165/AF165-1)*100),"NA",IF(((AN165/AF165-1)*100)&gt;100,"NM",IF(((AN165/AF165-1)*100)&lt;-50,"NM",(AN165/AF165-1)*100)))</f>
        <v>43.481777929155307</v>
      </c>
      <c r="AP165" s="409"/>
      <c r="AQ165" s="23"/>
      <c r="AR165" s="409"/>
      <c r="AS165" s="23"/>
      <c r="AT165" s="409"/>
      <c r="AU165" s="23"/>
      <c r="AV165" s="409"/>
      <c r="AW165" s="23" t="str">
        <f t="shared" si="1019"/>
        <v>NM</v>
      </c>
      <c r="AX165" s="409"/>
      <c r="AY165" s="23"/>
      <c r="AZ165" s="409"/>
      <c r="BA165" s="23"/>
      <c r="BB165" s="409"/>
      <c r="BC165" s="23" t="str">
        <f t="shared" si="1020"/>
        <v>NA</v>
      </c>
      <c r="BD165" s="409"/>
      <c r="BE165" s="23" t="str">
        <f t="shared" si="1021"/>
        <v>NA</v>
      </c>
      <c r="BF165" s="114"/>
      <c r="BG165" s="23"/>
      <c r="BH165" s="114"/>
      <c r="BI165" s="23"/>
      <c r="BJ165" s="114"/>
      <c r="BK165" s="23"/>
      <c r="BL165" s="114"/>
      <c r="BM165" s="23" t="str">
        <f t="shared" si="1022"/>
        <v>NA</v>
      </c>
      <c r="BN165" s="35"/>
      <c r="BO165" s="138"/>
      <c r="BP165" s="35"/>
      <c r="BQ165" s="113"/>
      <c r="BR165" s="113"/>
      <c r="BS165" s="113"/>
      <c r="BT165" s="35"/>
      <c r="BU165" s="37">
        <f>BU159/BU145*100</f>
        <v>1.1873543123543122</v>
      </c>
      <c r="BV165" s="23" t="str">
        <f>IF(ISERROR((BU165/BS165-1)*100),"NA",IF(((BU165/BS165-1)*100)&gt;100,"NM",IF(((BU165/BS165-1)*100)&lt;-50,"NM",(BU165/BS165-1)*100)))</f>
        <v>NA</v>
      </c>
      <c r="BW165" s="37">
        <f>BW159/BW145*100</f>
        <v>2.583837273227048</v>
      </c>
      <c r="BX165" s="23" t="str">
        <f>IF(ISERROR((BW165/BU165-1)*100),"NA",IF(((BW165/BU165-1)*100)&gt;100,"NM",IF(((BW165/BU165-1)*100)&lt;-50,"NM",(BW165/BU165-1)*100)))</f>
        <v>NM</v>
      </c>
      <c r="BY165" s="37">
        <f>BY159/BY145*100</f>
        <v>2.979669108568606</v>
      </c>
      <c r="BZ165" s="23">
        <f>IF(ISERROR((BY165/BW165-1)*100),"NA",IF(((BY165/BW165-1)*100)&gt;100,"NM",IF(((BY165/BW165-1)*100)&lt;-50,"NM",(BY165/BW165-1)*100)))</f>
        <v>15.31953422311263</v>
      </c>
      <c r="CA165" s="37">
        <f>CA159/CA145*100</f>
        <v>3.6487166582788126</v>
      </c>
      <c r="CB165" s="23">
        <f>IF(ISERROR((CA165/BY165-1)*100),"NA",IF(((CA165/BY165-1)*100)&gt;100,"NM",IF(((CA165/BY165-1)*100)&lt;-50,"NM",(CA165/BY165-1)*100)))</f>
        <v>22.45375326361685</v>
      </c>
      <c r="CC165" s="37">
        <f>CC159/CC145*100</f>
        <v>4.3652485292863838</v>
      </c>
      <c r="CD165" s="23">
        <f>IF(ISERROR((CC165/CA165-1)*100),"NA",IF(((CC165/CA165-1)*100)&gt;100,"NM",IF(((CC165/CA165-1)*100)&lt;-50,"NM",(CC165/CA165-1)*100)))</f>
        <v>19.637914864717843</v>
      </c>
      <c r="CE165" s="37" t="e">
        <f>CE159/CE145*100</f>
        <v>#DIV/0!</v>
      </c>
      <c r="CF165" s="23" t="str">
        <f>IF(ISERROR((CE165/CC165-1)*100),"NA",IF(((CE165/CC165-1)*100)&gt;100,"NM",IF(((CE165/CC165-1)*100)&lt;-50,"NM",(CE165/CC165-1)*100)))</f>
        <v>NA</v>
      </c>
      <c r="CG165" s="37"/>
      <c r="CH165" s="23" t="str">
        <f>IF(ISERROR((CG165/CE165-1)*100),"NA",IF(((CG165/CE165-1)*100)&gt;100,"NM",IF(((CG165/CE165-1)*100)&lt;-50,"NM",(CG165/CE165-1)*100)))</f>
        <v>NA</v>
      </c>
      <c r="CI165" s="37"/>
      <c r="CJ165" s="23"/>
      <c r="CK165" s="114"/>
      <c r="CL165" s="23"/>
      <c r="CM165" s="114"/>
      <c r="CN165" s="23"/>
      <c r="CO165" s="114"/>
      <c r="CP165" s="23"/>
      <c r="CQ165" s="114"/>
      <c r="CR165" s="23"/>
      <c r="CS165" s="23"/>
    </row>
    <row r="166" spans="1:97" ht="12.75" hidden="1" customHeight="1" outlineLevel="1" x14ac:dyDescent="0.2">
      <c r="A166" s="4" t="s">
        <v>127</v>
      </c>
      <c r="B166" s="35">
        <f t="shared" ref="B166:N166" si="1025">B160/B158*100</f>
        <v>113.4387351778656</v>
      </c>
      <c r="C166" s="59"/>
      <c r="D166" s="35">
        <f t="shared" si="1025"/>
        <v>116.41221374045803</v>
      </c>
      <c r="E166" s="59"/>
      <c r="F166" s="35">
        <f t="shared" si="1025"/>
        <v>4.032258064516129</v>
      </c>
      <c r="G166" s="59"/>
      <c r="H166" s="35">
        <f t="shared" si="1025"/>
        <v>-559.71223021582728</v>
      </c>
      <c r="I166" s="59"/>
      <c r="J166" s="35">
        <f t="shared" si="1025"/>
        <v>242.92035398230087</v>
      </c>
      <c r="K166" s="23" t="str">
        <f t="shared" si="1017"/>
        <v>NM</v>
      </c>
      <c r="L166" s="35">
        <f t="shared" si="1025"/>
        <v>261.26126126126127</v>
      </c>
      <c r="M166" s="23" t="str">
        <f t="shared" si="1017"/>
        <v>NM</v>
      </c>
      <c r="N166" s="35">
        <f t="shared" si="1025"/>
        <v>227.96610169491521</v>
      </c>
      <c r="O166" s="23" t="str">
        <f t="shared" si="1017"/>
        <v>NM</v>
      </c>
      <c r="P166" s="35">
        <f>P160/P158*100</f>
        <v>452.07373271889406</v>
      </c>
      <c r="Q166" s="23" t="str">
        <f t="shared" si="1017"/>
        <v>NM</v>
      </c>
      <c r="R166" s="35">
        <f>R160/R158*100</f>
        <v>210.50228310502285</v>
      </c>
      <c r="S166" s="23">
        <f t="shared" si="1017"/>
        <v>-13.345143931265635</v>
      </c>
      <c r="T166" s="35">
        <f>T160/T158*100</f>
        <v>171.55172413793105</v>
      </c>
      <c r="U166" s="23">
        <f t="shared" si="1017"/>
        <v>-34.337098692033287</v>
      </c>
      <c r="V166" s="35">
        <f>V160/V158*100</f>
        <v>62.666666666666671</v>
      </c>
      <c r="W166" s="23" t="str">
        <f t="shared" si="1017"/>
        <v>NM</v>
      </c>
      <c r="X166" s="35">
        <f>X160/X158*100</f>
        <v>102.72727272727271</v>
      </c>
      <c r="Y166" s="23" t="str">
        <f t="shared" si="1017"/>
        <v>NM</v>
      </c>
      <c r="Z166" s="35">
        <f>Z160/Z158*100</f>
        <v>167.2064777327935</v>
      </c>
      <c r="AA166" s="23">
        <f>IF(ISERROR((Z166/R166-1)*100),"NA",IF(((Z166/R166-1)*100)&gt;100,"NM",IF(((Z166/R166-1)*100)&lt;-50,"NM",(Z166/R166-1)*100)))</f>
        <v>-20.567855480516762</v>
      </c>
      <c r="AB166" s="35">
        <f>AB160/AB158*100</f>
        <v>157.08502024291496</v>
      </c>
      <c r="AC166" s="23">
        <f>IF(ISERROR((AB166/T166-1)*100),"NA",IF(((AB166/T166-1)*100)&gt;100,"NM",IF(((AB166/T166-1)*100)&lt;-50,"NM",(AB166/T166-1)*100)))</f>
        <v>-8.4328525217179156</v>
      </c>
      <c r="AD166" s="35">
        <f>AD160/AD158*100</f>
        <v>136.72566371681415</v>
      </c>
      <c r="AE166" s="23" t="str">
        <f>IF(ISERROR((AD166/V166-1)*100),"NA",IF(((AD166/V166-1)*100)&gt;100,"NM",IF(((AD166/V166-1)*100)&lt;-50,"NM",(AD166/V166-1)*100)))</f>
        <v>NM</v>
      </c>
      <c r="AF166" s="35">
        <f>AF160/AF158*100</f>
        <v>227.82608695652172</v>
      </c>
      <c r="AG166" s="23" t="str">
        <f>IF(ISERROR((AF166/X166-1)*100),"NA",IF(((AF166/X166-1)*100)&gt;100,"NM",IF(((AF166/X166-1)*100)&lt;-50,"NM",(AF166/X166-1)*100)))</f>
        <v>NM</v>
      </c>
      <c r="AH166" s="35">
        <f>AH160/AH158*100</f>
        <v>157.48031496062993</v>
      </c>
      <c r="AI166" s="23">
        <f>IF(ISERROR((AH166/Z166-1)*100),"NA",IF(((AH166/Z166-1)*100)&gt;100,"NM",IF(((AH166/Z166-1)*100)&lt;-50,"NM",(AH166/Z166-1)*100)))</f>
        <v>-5.8168576385578818</v>
      </c>
      <c r="AJ166" s="35">
        <f>AJ160/AJ158*100</f>
        <v>165.47619047619048</v>
      </c>
      <c r="AK166" s="23">
        <f>IF(ISERROR((AJ166/AB166-1)*100),"NA",IF(((AJ166/AB166-1)*100)&gt;100,"NM",IF(((AJ166/AB166-1)*100)&lt;-50,"NM",(AJ166/AB166-1)*100)))</f>
        <v>5.34180166912126</v>
      </c>
      <c r="AL166" s="35">
        <f>AL160/AL158*100</f>
        <v>290.32258064516134</v>
      </c>
      <c r="AM166" s="23" t="str">
        <f>IF(ISERROR((AL166/AD166-1)*100),"NA",IF(((AL166/AD166-1)*100)&gt;100,"NM",IF(((AL166/AD166-1)*100)&lt;-50,"NM",(AL166/AD166-1)*100)))</f>
        <v>NM</v>
      </c>
      <c r="AN166" s="409">
        <f t="shared" ref="AN166" si="1026">AN160/AN158*100</f>
        <v>201.6260162601626</v>
      </c>
      <c r="AO166" s="23">
        <f>IF(ISERROR((AN166/AF166-1)*100),"NA",IF(((AN166/AF166-1)*100)&gt;100,"NM",IF(((AN166/AF166-1)*100)&lt;-50,"NM",(AN166/AF166-1)*100)))</f>
        <v>-11.500031030844649</v>
      </c>
      <c r="AP166" s="409"/>
      <c r="AQ166" s="23"/>
      <c r="AR166" s="409"/>
      <c r="AS166" s="23"/>
      <c r="AT166" s="409"/>
      <c r="AU166" s="23"/>
      <c r="AV166" s="409"/>
      <c r="AW166" s="23" t="str">
        <f t="shared" si="1019"/>
        <v>NM</v>
      </c>
      <c r="AX166" s="409"/>
      <c r="AY166" s="23"/>
      <c r="AZ166" s="409"/>
      <c r="BA166" s="23"/>
      <c r="BB166" s="409"/>
      <c r="BC166" s="23" t="str">
        <f t="shared" si="1020"/>
        <v>NA</v>
      </c>
      <c r="BD166" s="409"/>
      <c r="BE166" s="23" t="str">
        <f t="shared" si="1021"/>
        <v>NA</v>
      </c>
      <c r="BF166" s="114"/>
      <c r="BG166" s="23"/>
      <c r="BH166" s="114"/>
      <c r="BI166" s="23"/>
      <c r="BJ166" s="114"/>
      <c r="BK166" s="23"/>
      <c r="BL166" s="114"/>
      <c r="BM166" s="23" t="str">
        <f t="shared" si="1022"/>
        <v>NA</v>
      </c>
      <c r="BN166" s="35"/>
      <c r="BO166" s="138"/>
      <c r="BP166" s="35"/>
      <c r="BQ166" s="37">
        <f>BQ160/BQ158*100</f>
        <v>199.51690821256039</v>
      </c>
      <c r="BR166" s="35"/>
      <c r="BS166" s="37">
        <f>BS160/BS158*100</f>
        <v>174.13622902270481</v>
      </c>
      <c r="BT166" s="35"/>
      <c r="BU166" s="37">
        <f>BU160/BU158*100</f>
        <v>-91.642651296829968</v>
      </c>
      <c r="BV166" s="23" t="str">
        <f>IF(ISERROR((BU166/BS166-1)*100),"NA",IF(((BU166/BS166-1)*100)&gt;100,"NM",IF(((BU166/BS166-1)*100)&lt;-50,"NM",(BU166/BS166-1)*100)))</f>
        <v>NM</v>
      </c>
      <c r="BW166" s="37">
        <f>BW160/BW158*100</f>
        <v>293.89567147613758</v>
      </c>
      <c r="BX166" s="23" t="str">
        <f>IF(ISERROR((BW166/BU166-1)*100),"NA",IF(((BW166/BU166-1)*100)&gt;100,"NM",IF(((BW166/BU166-1)*100)&lt;-50,"NM",(BW166/BU166-1)*100)))</f>
        <v>NM</v>
      </c>
      <c r="BY166" s="37">
        <f>BY160/BY158*100</f>
        <v>136.83035714285714</v>
      </c>
      <c r="BZ166" s="23" t="str">
        <f>IF(ISERROR((BY166/BW166-1)*100),"NA",IF(((BY166/BW166-1)*100)&gt;100,"NM",IF(((BY166/BW166-1)*100)&lt;-50,"NM",(BY166/BW166-1)*100)))</f>
        <v>NM</v>
      </c>
      <c r="CA166" s="37">
        <f>CA160/CA158*100</f>
        <v>172</v>
      </c>
      <c r="CB166" s="23">
        <f>IF(ISERROR((CA166/BY166-1)*100),"NA",IF(((CA166/BY166-1)*100)&gt;100,"NM",IF(((CA166/BY166-1)*100)&lt;-50,"NM",(CA166/BY166-1)*100)))</f>
        <v>25.70309951060359</v>
      </c>
      <c r="CC166" s="37">
        <f>CC160/CC158*100</f>
        <v>203.29999999999998</v>
      </c>
      <c r="CD166" s="23">
        <f>IF(ISERROR((CC166/CA166-1)*100),"NA",IF(((CC166/CA166-1)*100)&gt;100,"NM",IF(((CC166/CA166-1)*100)&lt;-50,"NM",(CC166/CA166-1)*100)))</f>
        <v>18.197674418604649</v>
      </c>
      <c r="CE166" s="37" t="e">
        <f>CE160/CE158*100</f>
        <v>#DIV/0!</v>
      </c>
      <c r="CF166" s="23" t="str">
        <f>IF(ISERROR((CE166/CC166-1)*100),"NA",IF(((CE166/CC166-1)*100)&gt;100,"NM",IF(((CE166/CC166-1)*100)&lt;-50,"NM",(CE166/CC166-1)*100)))</f>
        <v>NA</v>
      </c>
      <c r="CG166" s="37"/>
      <c r="CH166" s="23" t="str">
        <f>IF(ISERROR((CG166/CE166-1)*100),"NA",IF(((CG166/CE166-1)*100)&gt;100,"NM",IF(((CG166/CE166-1)*100)&lt;-50,"NM",(CG166/CE166-1)*100)))</f>
        <v>NA</v>
      </c>
      <c r="CI166" s="37"/>
      <c r="CJ166" s="23"/>
      <c r="CK166" s="114"/>
      <c r="CL166" s="23"/>
      <c r="CM166" s="114"/>
      <c r="CN166" s="23"/>
      <c r="CO166" s="114"/>
      <c r="CP166" s="23"/>
      <c r="CQ166" s="114"/>
      <c r="CR166" s="23"/>
      <c r="CS166" s="23"/>
    </row>
    <row r="167" spans="1:97" ht="12.75" hidden="1" customHeight="1" outlineLevel="1" x14ac:dyDescent="0.2">
      <c r="B167" s="35"/>
      <c r="C167" s="60"/>
      <c r="D167" s="35"/>
      <c r="E167" s="60"/>
      <c r="F167" s="35"/>
      <c r="G167" s="60"/>
      <c r="H167" s="35"/>
      <c r="I167" s="60"/>
      <c r="J167" s="35"/>
      <c r="L167" s="35"/>
      <c r="N167" s="35"/>
      <c r="P167" s="35"/>
      <c r="R167" s="35"/>
      <c r="T167" s="35"/>
      <c r="V167" s="35"/>
      <c r="X167" s="35"/>
      <c r="Z167" s="35"/>
      <c r="AB167" s="35"/>
      <c r="AD167" s="35"/>
      <c r="AF167" s="35"/>
      <c r="AH167" s="35"/>
      <c r="AJ167" s="35"/>
      <c r="AL167" s="35"/>
      <c r="AN167" s="409"/>
      <c r="AP167" s="409"/>
      <c r="AR167" s="409"/>
      <c r="AT167" s="409"/>
      <c r="AV167" s="409"/>
      <c r="AX167" s="409"/>
      <c r="AZ167" s="409"/>
      <c r="BB167" s="409"/>
      <c r="BD167" s="409"/>
      <c r="BF167" s="35"/>
      <c r="BH167" s="35"/>
      <c r="BJ167" s="35"/>
      <c r="BL167" s="35"/>
      <c r="BN167" s="35"/>
      <c r="BO167" s="138"/>
      <c r="BP167" s="35"/>
      <c r="BQ167" s="35"/>
      <c r="BR167" s="35"/>
      <c r="BS167" s="35"/>
      <c r="BT167" s="35"/>
      <c r="BU167" s="37"/>
      <c r="BW167" s="37"/>
      <c r="BY167" s="37"/>
      <c r="CA167" s="37"/>
      <c r="CC167" s="37"/>
      <c r="CE167" s="37"/>
      <c r="CG167" s="37"/>
      <c r="CI167" s="37"/>
      <c r="CK167" s="37"/>
      <c r="CM167" s="37"/>
      <c r="CO167" s="37"/>
      <c r="CQ167" s="37"/>
    </row>
    <row r="168" spans="1:97" ht="12.75" hidden="1" customHeight="1" outlineLevel="1" x14ac:dyDescent="0.2">
      <c r="A168" s="3" t="s">
        <v>128</v>
      </c>
      <c r="B168" s="72">
        <f>B145-B161</f>
        <v>39.399999999999977</v>
      </c>
      <c r="C168" s="59"/>
      <c r="D168" s="72">
        <f>D145-D161</f>
        <v>63.900000000000034</v>
      </c>
      <c r="E168" s="59"/>
      <c r="F168" s="72">
        <f>F145-F161</f>
        <v>84.5</v>
      </c>
      <c r="G168" s="59"/>
      <c r="H168" s="72">
        <f>H145-H161</f>
        <v>199.9</v>
      </c>
      <c r="I168" s="59"/>
      <c r="J168" s="72">
        <f>J145-J161</f>
        <v>36.39999999999992</v>
      </c>
      <c r="K168" s="23">
        <f t="shared" ref="K168:Y169" si="1027">IF(ISERROR((J168/B168-1)*100),"NA",IF(((J168/B168-1)*100)&gt;100,"NM",IF(((J168/B168-1)*100)&lt;-50,"NM",(J168/B168-1)*100)))</f>
        <v>-7.6142131979696881</v>
      </c>
      <c r="L168" s="72">
        <f>L145-L161</f>
        <v>27.100000000000023</v>
      </c>
      <c r="M168" s="23" t="str">
        <f t="shared" si="1027"/>
        <v>NM</v>
      </c>
      <c r="N168" s="72">
        <f>N145-N161</f>
        <v>32.600000000000023</v>
      </c>
      <c r="O168" s="23" t="str">
        <f t="shared" si="1027"/>
        <v>NM</v>
      </c>
      <c r="P168" s="72">
        <f>P145-P161</f>
        <v>6.3000000000000114</v>
      </c>
      <c r="Q168" s="23" t="str">
        <f t="shared" si="1027"/>
        <v>NM</v>
      </c>
      <c r="R168" s="72">
        <f>R145-R161</f>
        <v>54.299999999999955</v>
      </c>
      <c r="S168" s="23">
        <f t="shared" si="1027"/>
        <v>49.175824175824381</v>
      </c>
      <c r="T168" s="73">
        <f>T145-T161</f>
        <v>59.499999999999972</v>
      </c>
      <c r="U168" s="23" t="str">
        <f t="shared" si="1027"/>
        <v>NM</v>
      </c>
      <c r="V168" s="73">
        <f>V145-V161</f>
        <v>96.9</v>
      </c>
      <c r="W168" s="23" t="str">
        <f t="shared" si="1027"/>
        <v>NM</v>
      </c>
      <c r="X168" s="73">
        <f>X145-X161</f>
        <v>83.200000000000045</v>
      </c>
      <c r="Y168" s="23" t="str">
        <f t="shared" si="1027"/>
        <v>NM</v>
      </c>
      <c r="Z168" s="73">
        <f>Z145-Z161</f>
        <v>54.800000000000068</v>
      </c>
      <c r="AA168" s="23">
        <f>IF(ISERROR((Z168/R168-1)*100),"NA",IF(((Z168/R168-1)*100)&gt;100,"NM",IF(((Z168/R168-1)*100)&lt;-50,"NM",(Z168/R168-1)*100)))</f>
        <v>0.92081031307571504</v>
      </c>
      <c r="AB168" s="73">
        <f>AB145-AB161</f>
        <v>64.200000000000045</v>
      </c>
      <c r="AC168" s="23">
        <f>IF(ISERROR((AB168/T168-1)*100),"NA",IF(((AB168/T168-1)*100)&gt;100,"NM",IF(((AB168/T168-1)*100)&lt;-50,"NM",(AB168/T168-1)*100)))</f>
        <v>7.8991596638656736</v>
      </c>
      <c r="AD168" s="73">
        <f>AD145-AD161</f>
        <v>78.299999999999955</v>
      </c>
      <c r="AE168" s="23">
        <f>IF(ISERROR((AD168/V168-1)*100),"NA",IF(((AD168/V168-1)*100)&gt;100,"NM",IF(((AD168/V168-1)*100)&lt;-50,"NM",(AD168/V168-1)*100)))</f>
        <v>-19.195046439628538</v>
      </c>
      <c r="AF168" s="73">
        <f>AF145-AF161</f>
        <v>64.700000000000017</v>
      </c>
      <c r="AG168" s="23">
        <f>IF(ISERROR((AF168/X168-1)*100),"NA",IF(((AF168/X168-1)*100)&gt;100,"NM",IF(((AF168/X168-1)*100)&lt;-50,"NM",(AF168/X168-1)*100)))</f>
        <v>-22.235576923076948</v>
      </c>
      <c r="AH168" s="73">
        <f>AH145-AH161</f>
        <v>68.600000000000023</v>
      </c>
      <c r="AI168" s="23">
        <f>IF(ISERROR((AH168/Z168-1)*100),"NA",IF(((AH168/Z168-1)*100)&gt;100,"NM",IF(((AH168/Z168-1)*100)&lt;-50,"NM",(AH168/Z168-1)*100)))</f>
        <v>25.182481751824692</v>
      </c>
      <c r="AJ168" s="73">
        <f>AJ145-AJ161</f>
        <v>60.999999999999943</v>
      </c>
      <c r="AK168" s="23">
        <f>IF(ISERROR((AJ168/AB168-1)*100),"NA",IF(((AJ168/AB168-1)*100)&gt;100,"NM",IF(((AJ168/AB168-1)*100)&lt;-50,"NM",(AJ168/AB168-1)*100)))</f>
        <v>-4.984423676012617</v>
      </c>
      <c r="AL168" s="73">
        <f>AL145-AL161</f>
        <v>50.599999999999966</v>
      </c>
      <c r="AM168" s="23">
        <f>IF(ISERROR((AL168/AD168-1)*100),"NA",IF(((AL168/AD168-1)*100)&gt;100,"NM",IF(((AL168/AD168-1)*100)&lt;-50,"NM",(AL168/AD168-1)*100)))</f>
        <v>-35.376756066411239</v>
      </c>
      <c r="AN168" s="73">
        <f>AN145-AN161</f>
        <v>62.900000000000034</v>
      </c>
      <c r="AO168" s="23">
        <f>IF(ISERROR((AN168/AF168-1)*100),"NA",IF(((AN168/AF168-1)*100)&gt;100,"NM",IF(((AN168/AF168-1)*100)&lt;-50,"NM",(AN168/AF168-1)*100)))</f>
        <v>-2.7820710973724627</v>
      </c>
      <c r="AP168" s="73"/>
      <c r="AQ168" s="23"/>
      <c r="AR168" s="73"/>
      <c r="AS168" s="23"/>
      <c r="AT168" s="73"/>
      <c r="AU168" s="23"/>
      <c r="AV168" s="73"/>
      <c r="AW168" s="23" t="str">
        <f t="shared" ref="AW168:AW169" si="1028">IF(ISERROR((AV168/AN168-1)*100),"NA",IF(((AV168/AN168-1)*100)&gt;100,"NM",IF(((AV168/AN168-1)*100)&lt;-50,"NM",(AV168/AN168-1)*100)))</f>
        <v>NM</v>
      </c>
      <c r="AX168" s="73"/>
      <c r="AY168" s="23"/>
      <c r="AZ168" s="73"/>
      <c r="BA168" s="23"/>
      <c r="BB168" s="73"/>
      <c r="BC168" s="23" t="str">
        <f t="shared" ref="BC168:BC169" si="1029">IF(ISERROR((BB168/AT168-1)*100),"NA",IF(((BB168/AT168-1)*100)&gt;100,"NM",IF(((BB168/AT168-1)*100)&lt;-50,"NM",(BB168/AT168-1)*100)))</f>
        <v>NA</v>
      </c>
      <c r="BD168" s="73"/>
      <c r="BE168" s="23" t="str">
        <f t="shared" ref="BE168:BE169" si="1030">IF(ISERROR((BD168/AV168-1)*100),"NA",IF(((BD168/AV168-1)*100)&gt;100,"NM",IF(((BD168/AV168-1)*100)&lt;-50,"NM",(BD168/AV168-1)*100)))</f>
        <v>NA</v>
      </c>
      <c r="BF168" s="72"/>
      <c r="BG168" s="23"/>
      <c r="BH168" s="72"/>
      <c r="BI168" s="23"/>
      <c r="BJ168" s="72"/>
      <c r="BK168" s="23"/>
      <c r="BL168" s="72"/>
      <c r="BM168" s="23" t="str">
        <f t="shared" ref="BM168:BM169" si="1031">IF(ISERROR((BL168/BD168-1)*100),"NA",IF(((BL168/BD168-1)*100)&gt;100,"NM",IF(((BL168/BD168-1)*100)&lt;-50,"NM",(BL168/BD168-1)*100)))</f>
        <v>NA</v>
      </c>
      <c r="BN168" s="35"/>
      <c r="BO168" s="137"/>
      <c r="BP168" s="35"/>
      <c r="BQ168" s="73">
        <f>BQ143-BQ161</f>
        <v>48.699999999999989</v>
      </c>
      <c r="BR168" s="35"/>
      <c r="BS168" s="73">
        <f>BS143-BS161</f>
        <v>115.00000000000006</v>
      </c>
      <c r="BT168" s="35"/>
      <c r="BU168" s="72">
        <f>BU145-BU161</f>
        <v>387.70000000000016</v>
      </c>
      <c r="BV168" s="23" t="str">
        <f>IF(ISERROR((BU168/BS168-1)*100),"NA",IF(((BU168/BS168-1)*100)&gt;100,"NM",IF(((BU168/BS168-1)*100)&lt;-50,"NM",(BU168/BS168-1)*100)))</f>
        <v>NM</v>
      </c>
      <c r="BW168" s="72">
        <f>BW145-BW161</f>
        <v>102.40000000000009</v>
      </c>
      <c r="BX168" s="23" t="str">
        <f>IF(ISERROR((BW168/BU168-1)*100),"NA",IF(((BW168/BU168-1)*100)&gt;100,"NM",IF(((BW168/BU168-1)*100)&lt;-50,"NM",(BW168/BU168-1)*100)))</f>
        <v>NM</v>
      </c>
      <c r="BY168" s="72">
        <f>BY145-BY161</f>
        <v>293.89999999999998</v>
      </c>
      <c r="BZ168" s="23" t="str">
        <f>IF(ISERROR((BY168/BW168-1)*100),"NA",IF(((BY168/BW168-1)*100)&gt;100,"NM",IF(((BY168/BW168-1)*100)&lt;-50,"NM",(BY168/BW168-1)*100)))</f>
        <v>NM</v>
      </c>
      <c r="CA168" s="72">
        <f>CA145-CA161</f>
        <v>262.00000000000011</v>
      </c>
      <c r="CB168" s="23">
        <f>IF(ISERROR((CA168/BY168-1)*100),"NA",IF(((CA168/BY168-1)*100)&gt;100,"NM",IF(((CA168/BY168-1)*100)&lt;-50,"NM",(CA168/BY168-1)*100)))</f>
        <v>-10.854031983667866</v>
      </c>
      <c r="CC168" s="72">
        <f>CC145-CC161</f>
        <v>243.10000000000014</v>
      </c>
      <c r="CD168" s="23">
        <f>IF(ISERROR((CC168/CA168-1)*100),"NA",IF(((CC168/CA168-1)*100)&gt;100,"NM",IF(((CC168/CA168-1)*100)&lt;-50,"NM",(CC168/CA168-1)*100)))</f>
        <v>-7.2137404580152609</v>
      </c>
      <c r="CE168" s="72">
        <f>CE145-CE161</f>
        <v>0</v>
      </c>
      <c r="CF168" s="23" t="str">
        <f>IF(ISERROR((CE168/CC168-1)*100),"NA",IF(((CE168/CC168-1)*100)&gt;100,"NM",IF(((CE168/CC168-1)*100)&lt;-50,"NM",(CE168/CC168-1)*100)))</f>
        <v>NM</v>
      </c>
      <c r="CG168" s="72"/>
      <c r="CH168" s="23" t="str">
        <f>IF(ISERROR((CG168/CE168-1)*100),"NA",IF(((CG168/CE168-1)*100)&gt;100,"NM",IF(((CG168/CE168-1)*100)&lt;-50,"NM",(CG168/CE168-1)*100)))</f>
        <v>NA</v>
      </c>
      <c r="CI168" s="72"/>
      <c r="CJ168" s="23"/>
      <c r="CK168" s="72"/>
      <c r="CL168" s="23"/>
      <c r="CM168" s="72"/>
      <c r="CN168" s="23"/>
      <c r="CO168" s="72"/>
      <c r="CP168" s="23"/>
      <c r="CQ168" s="72"/>
      <c r="CR168" s="23"/>
      <c r="CS168" s="23"/>
    </row>
    <row r="169" spans="1:97" ht="12.75" hidden="1" customHeight="1" outlineLevel="1" x14ac:dyDescent="0.2">
      <c r="A169" s="4" t="s">
        <v>129</v>
      </c>
      <c r="B169" s="35">
        <f t="shared" ref="B169:Z169" si="1032">B168/B145*100</f>
        <v>11.490230387868177</v>
      </c>
      <c r="C169" s="59"/>
      <c r="D169" s="35">
        <f t="shared" si="1032"/>
        <v>17.416189697465256</v>
      </c>
      <c r="E169" s="59"/>
      <c r="F169" s="35">
        <f t="shared" si="1032"/>
        <v>23.843115124153499</v>
      </c>
      <c r="G169" s="59"/>
      <c r="H169" s="35">
        <f t="shared" si="1032"/>
        <v>64.776409591704464</v>
      </c>
      <c r="I169" s="59"/>
      <c r="J169" s="35">
        <f t="shared" si="1032"/>
        <v>10.734296667649639</v>
      </c>
      <c r="K169" s="23">
        <f t="shared" si="1027"/>
        <v>-6.5789257021049981</v>
      </c>
      <c r="L169" s="35">
        <f t="shared" si="1032"/>
        <v>8.548895899053635</v>
      </c>
      <c r="M169" s="23" t="str">
        <f t="shared" si="1027"/>
        <v>NM</v>
      </c>
      <c r="N169" s="35">
        <f t="shared" si="1032"/>
        <v>10.759075907590766</v>
      </c>
      <c r="O169" s="23" t="str">
        <f t="shared" si="1027"/>
        <v>NM</v>
      </c>
      <c r="P169" s="35">
        <f t="shared" si="1032"/>
        <v>2.0050922978994308</v>
      </c>
      <c r="Q169" s="23" t="str">
        <f t="shared" si="1027"/>
        <v>NM</v>
      </c>
      <c r="R169" s="35">
        <f t="shared" si="1032"/>
        <v>17.814960629921249</v>
      </c>
      <c r="S169" s="23">
        <f t="shared" si="1027"/>
        <v>65.962998615557893</v>
      </c>
      <c r="T169" s="35">
        <f t="shared" si="1032"/>
        <v>19.906323185011701</v>
      </c>
      <c r="U169" s="23" t="str">
        <f t="shared" si="1027"/>
        <v>NM</v>
      </c>
      <c r="V169" s="35">
        <f t="shared" si="1032"/>
        <v>31.207729468599037</v>
      </c>
      <c r="W169" s="23" t="str">
        <f t="shared" si="1027"/>
        <v>NM</v>
      </c>
      <c r="X169" s="35">
        <f t="shared" si="1032"/>
        <v>27.668772863318935</v>
      </c>
      <c r="Y169" s="23" t="str">
        <f t="shared" si="1027"/>
        <v>NM</v>
      </c>
      <c r="Z169" s="35">
        <f t="shared" si="1032"/>
        <v>18.838088690271594</v>
      </c>
      <c r="AA169" s="23">
        <f>IF(ISERROR((Z169/R169-1)*100),"NA",IF(((Z169/R169-1)*100)&gt;100,"NM",IF(((Z169/R169-1)*100)&lt;-50,"NM",(Z169/R169-1)*100)))</f>
        <v>5.7430834768837036</v>
      </c>
      <c r="AB169" s="35">
        <f t="shared" ref="AB169:AD169" si="1033">AB168/AB145*100</f>
        <v>21.464393179538629</v>
      </c>
      <c r="AC169" s="23">
        <f>IF(ISERROR((AB169/T169-1)*100),"NA",IF(((AB169/T169-1)*100)&gt;100,"NM",IF(((AB169/T169-1)*100)&lt;-50,"NM",(AB169/T169-1)*100)))</f>
        <v>7.8270104430941068</v>
      </c>
      <c r="AD169" s="35">
        <f t="shared" si="1033"/>
        <v>26.065246338215697</v>
      </c>
      <c r="AE169" s="23">
        <f>IF(ISERROR((AD169/V169-1)*100),"NA",IF(((AD169/V169-1)*100)&gt;100,"NM",IF(((AD169/V169-1)*100)&lt;-50,"NM",(AD169/V169-1)*100)))</f>
        <v>-16.478235417791819</v>
      </c>
      <c r="AF169" s="35">
        <f t="shared" ref="AF169:AH169" si="1034">AF168/AF145*100</f>
        <v>21.43803843605037</v>
      </c>
      <c r="AG169" s="23">
        <f>IF(ISERROR((AF169/X169-1)*100),"NA",IF(((AF169/X169-1)*100)&gt;100,"NM",IF(((AF169/X169-1)*100)&lt;-50,"NM",(AF169/X169-1)*100)))</f>
        <v>-22.519012527399717</v>
      </c>
      <c r="AH169" s="35">
        <f t="shared" si="1034"/>
        <v>23.647018269562224</v>
      </c>
      <c r="AI169" s="23">
        <f>IF(ISERROR((AH169/Z169-1)*100),"NA",IF(((AH169/Z169-1)*100)&gt;100,"NM",IF(((AH169/Z169-1)*100)&lt;-50,"NM",(AH169/Z169-1)*100)))</f>
        <v>25.527693697365738</v>
      </c>
      <c r="AJ169" s="35">
        <f t="shared" ref="AJ169:AL169" si="1035">AJ168/AJ145*100</f>
        <v>21.456208230742156</v>
      </c>
      <c r="AK169" s="23">
        <f>IF(ISERROR((AJ169/AB169-1)*100),"NA",IF(((AJ169/AB169-1)*100)&gt;100,"NM",IF(((AJ169/AB169-1)*100)&lt;-50,"NM",(AJ169/AB169-1)*100)))</f>
        <v>-3.8132682009739405E-2</v>
      </c>
      <c r="AL169" s="35">
        <f t="shared" si="1035"/>
        <v>16.595605116431607</v>
      </c>
      <c r="AM169" s="23">
        <f>IF(ISERROR((AL169/AD169-1)*100),"NA",IF(((AL169/AD169-1)*100)&gt;100,"NM",IF(((AL169/AD169-1)*100)&lt;-50,"NM",(AL169/AD169-1)*100)))</f>
        <v>-36.33052647540157</v>
      </c>
      <c r="AN169" s="409">
        <f t="shared" ref="AN169" si="1036">AN168/AN145*100</f>
        <v>21.423705722070853</v>
      </c>
      <c r="AO169" s="23">
        <f>IF(ISERROR((AN169/AF169-1)*100),"NA",IF(((AN169/AF169-1)*100)&gt;100,"NM",IF(((AN169/AF169-1)*100)&lt;-50,"NM",(AN169/AF169-1)*100)))</f>
        <v>-6.6856461808628698E-2</v>
      </c>
      <c r="AP169" s="409"/>
      <c r="AQ169" s="23"/>
      <c r="AR169" s="409"/>
      <c r="AS169" s="23"/>
      <c r="AT169" s="409"/>
      <c r="AU169" s="23"/>
      <c r="AV169" s="409"/>
      <c r="AW169" s="23" t="str">
        <f t="shared" si="1028"/>
        <v>NM</v>
      </c>
      <c r="AX169" s="409"/>
      <c r="AY169" s="23"/>
      <c r="AZ169" s="409"/>
      <c r="BA169" s="23"/>
      <c r="BB169" s="409"/>
      <c r="BC169" s="23" t="str">
        <f t="shared" si="1029"/>
        <v>NA</v>
      </c>
      <c r="BD169" s="409"/>
      <c r="BE169" s="23" t="str">
        <f t="shared" si="1030"/>
        <v>NA</v>
      </c>
      <c r="BF169" s="35"/>
      <c r="BG169" s="23"/>
      <c r="BH169" s="35"/>
      <c r="BI169" s="23"/>
      <c r="BJ169" s="35"/>
      <c r="BK169" s="23"/>
      <c r="BL169" s="35"/>
      <c r="BM169" s="23" t="str">
        <f t="shared" si="1031"/>
        <v>NA</v>
      </c>
      <c r="BN169" s="35"/>
      <c r="BO169" s="138"/>
      <c r="BP169" s="35"/>
      <c r="BQ169" s="113"/>
      <c r="BR169" s="113"/>
      <c r="BS169" s="113"/>
      <c r="BT169" s="35"/>
      <c r="BU169" s="37">
        <f>BU168/BU145*100</f>
        <v>28.241550116550123</v>
      </c>
      <c r="BV169" s="23" t="str">
        <f>IF(ISERROR((BU169/BS169-1)*100),"NA",IF(((BU169/BS169-1)*100)&gt;100,"NM",IF(((BU169/BS169-1)*100)&lt;-50,"NM",(BU169/BS169-1)*100)))</f>
        <v>NA</v>
      </c>
      <c r="BW169" s="37">
        <f>BW168/BW145*100</f>
        <v>8.0420953428100272</v>
      </c>
      <c r="BX169" s="23" t="str">
        <f>IF(ISERROR((BW169/BU169-1)*100),"NA",IF(((BW169/BU169-1)*100)&gt;100,"NM",IF(((BW169/BU169-1)*100)&lt;-50,"NM",(BW169/BU169-1)*100)))</f>
        <v>NM</v>
      </c>
      <c r="BY169" s="37">
        <f>BY168/BY145*100</f>
        <v>24.191291464318045</v>
      </c>
      <c r="BZ169" s="23" t="str">
        <f>IF(ISERROR((BY169/BW169-1)*100),"NA",IF(((BY169/BW169-1)*100)&gt;100,"NM",IF(((BY169/BW169-1)*100)&lt;-50,"NM",(BY169/BW169-1)*100)))</f>
        <v>NM</v>
      </c>
      <c r="CA169" s="37">
        <f>CA168/CA145*100</f>
        <v>21.976178493541358</v>
      </c>
      <c r="CB169" s="23">
        <f>IF(ISERROR((CA169/BY169-1)*100),"NA",IF(((CA169/BY169-1)*100)&gt;100,"NM",IF(((CA169/BY169-1)*100)&lt;-50,"NM",(CA169/BY169-1)*100)))</f>
        <v>-9.1566544681748852</v>
      </c>
      <c r="CC169" s="37">
        <f>CC168/CC145*100</f>
        <v>20.726404638076573</v>
      </c>
      <c r="CD169" s="23">
        <f>IF(ISERROR((CC169/CA169-1)*100),"NA",IF(((CC169/CA169-1)*100)&gt;100,"NM",IF(((CC169/CA169-1)*100)&lt;-50,"NM",(CC169/CA169-1)*100)))</f>
        <v>-5.6869480552867007</v>
      </c>
      <c r="CE169" s="37" t="e">
        <f>CE168/CE145*100</f>
        <v>#DIV/0!</v>
      </c>
      <c r="CF169" s="23" t="str">
        <f>IF(ISERROR((CE169/CC169-1)*100),"NA",IF(((CE169/CC169-1)*100)&gt;100,"NM",IF(((CE169/CC169-1)*100)&lt;-50,"NM",(CE169/CC169-1)*100)))</f>
        <v>NA</v>
      </c>
      <c r="CG169" s="37"/>
      <c r="CH169" s="23" t="str">
        <f>IF(ISERROR((CG169/CE169-1)*100),"NA",IF(((CG169/CE169-1)*100)&gt;100,"NM",IF(((CG169/CE169-1)*100)&lt;-50,"NM",(CG169/CE169-1)*100)))</f>
        <v>NA</v>
      </c>
      <c r="CI169" s="37"/>
      <c r="CJ169" s="23"/>
      <c r="CK169" s="37"/>
      <c r="CL169" s="23"/>
      <c r="CM169" s="37"/>
      <c r="CN169" s="23"/>
      <c r="CO169" s="37"/>
      <c r="CP169" s="23"/>
      <c r="CQ169" s="37"/>
      <c r="CR169" s="23"/>
      <c r="CS169" s="23"/>
    </row>
    <row r="170" spans="1:97" ht="12.75" hidden="1" customHeight="1" outlineLevel="1" x14ac:dyDescent="0.2">
      <c r="B170" s="35"/>
      <c r="C170" s="60"/>
      <c r="D170" s="35"/>
      <c r="E170" s="60"/>
      <c r="F170" s="35"/>
      <c r="G170" s="60"/>
      <c r="H170" s="35"/>
      <c r="I170" s="60"/>
      <c r="J170" s="35"/>
      <c r="L170" s="35"/>
      <c r="N170" s="35"/>
      <c r="P170" s="35"/>
      <c r="R170" s="35"/>
      <c r="T170" s="35"/>
      <c r="V170" s="35"/>
      <c r="X170" s="35"/>
      <c r="Z170" s="35"/>
      <c r="AB170" s="35"/>
      <c r="AD170" s="35"/>
      <c r="AF170" s="35"/>
      <c r="AH170" s="35"/>
      <c r="AJ170" s="35"/>
      <c r="AL170" s="35"/>
      <c r="AN170" s="409"/>
      <c r="AP170" s="409"/>
      <c r="AR170" s="409"/>
      <c r="AT170" s="409"/>
      <c r="AV170" s="409"/>
      <c r="AX170" s="409"/>
      <c r="AZ170" s="409"/>
      <c r="BB170" s="409"/>
      <c r="BD170" s="409"/>
      <c r="BF170" s="35"/>
      <c r="BH170" s="35"/>
      <c r="BJ170" s="35"/>
      <c r="BL170" s="35"/>
      <c r="BN170" s="35"/>
      <c r="BO170" s="138"/>
      <c r="BP170" s="35"/>
      <c r="BQ170" s="35"/>
      <c r="BR170" s="35"/>
      <c r="BS170" s="35"/>
      <c r="BT170" s="35"/>
      <c r="BU170" s="37"/>
      <c r="BW170" s="37"/>
      <c r="BY170" s="37"/>
      <c r="CA170" s="37"/>
      <c r="CC170" s="37"/>
      <c r="CE170" s="37"/>
      <c r="CG170" s="37"/>
      <c r="CI170" s="37"/>
      <c r="CK170" s="37"/>
      <c r="CM170" s="37"/>
      <c r="CO170" s="37"/>
      <c r="CQ170" s="37"/>
    </row>
    <row r="171" spans="1:97" ht="12.75" hidden="1" customHeight="1" outlineLevel="1" x14ac:dyDescent="0.2">
      <c r="A171" s="12" t="s">
        <v>163</v>
      </c>
      <c r="B171" s="49">
        <v>12.7</v>
      </c>
      <c r="C171" s="59"/>
      <c r="D171" s="49">
        <v>22.2</v>
      </c>
      <c r="E171" s="59"/>
      <c r="F171" s="49">
        <v>53.3</v>
      </c>
      <c r="G171" s="59"/>
      <c r="H171" s="49">
        <v>177.9</v>
      </c>
      <c r="I171" s="59"/>
      <c r="J171" s="49">
        <v>-20.3</v>
      </c>
      <c r="K171" s="23" t="str">
        <f>IF(ISERROR((J171/B171-1)*100),"NA",IF(((J171/B171-1)*100)&gt;100,"NM",IF(((J171/B171-1)*100)&lt;-50,"NM",(J171/B171-1)*100)))</f>
        <v>NM</v>
      </c>
      <c r="L171" s="49">
        <v>-8.6</v>
      </c>
      <c r="M171" s="23" t="str">
        <f>IF(ISERROR((L171/D171-1)*100),"NA",IF(((L171/D171-1)*100)&gt;100,"NM",IF(((L171/D171-1)*100)&lt;-50,"NM",(L171/D171-1)*100)))</f>
        <v>NM</v>
      </c>
      <c r="N171" s="49">
        <v>-12.9</v>
      </c>
      <c r="O171" s="23" t="str">
        <f>IF(ISERROR((N171/F171-1)*100),"NA",IF(((N171/F171-1)*100)&gt;100,"NM",IF(((N171/F171-1)*100)&lt;-50,"NM",(N171/F171-1)*100)))</f>
        <v>NM</v>
      </c>
      <c r="P171" s="48">
        <v>-44.4</v>
      </c>
      <c r="Q171" s="23" t="str">
        <f>IF(ISERROR((P171/H171-1)*100),"NA",IF(((P171/H171-1)*100)&gt;100,"NM",IF(((P171/H171-1)*100)&lt;-50,"NM",(P171/H171-1)*100)))</f>
        <v>NM</v>
      </c>
      <c r="R171" s="48">
        <v>7</v>
      </c>
      <c r="S171" s="23" t="str">
        <f>IF(ISERROR((R171/J171-1)*100),"NA",IF(((R171/J171-1)*100)&gt;100,"NM",IF(((R171/J171-1)*100)&lt;-50,"NM",(R171/J171-1)*100)))</f>
        <v>NM</v>
      </c>
      <c r="T171" s="48">
        <f>16.9-R171</f>
        <v>9.8999999999999986</v>
      </c>
      <c r="U171" s="23" t="str">
        <f>IF(ISERROR((T171/L171-1)*100),"NA",IF(((T171/L171-1)*100)&gt;100,"NM",IF(((T171/L171-1)*100)&lt;-50,"NM",(T171/L171-1)*100)))</f>
        <v>NM</v>
      </c>
      <c r="V171" s="48">
        <f>56.5-T171-R171</f>
        <v>39.6</v>
      </c>
      <c r="W171" s="23" t="str">
        <f>IF(ISERROR((V171/N171-1)*100),"NA",IF(((V171/N171-1)*100)&gt;100,"NM",IF(((V171/N171-1)*100)&lt;-50,"NM",(V171/N171-1)*100)))</f>
        <v>NM</v>
      </c>
      <c r="X171" s="48">
        <v>26.8</v>
      </c>
      <c r="Y171" s="23" t="str">
        <f>IF(ISERROR((X171/P171-1)*100),"NA",IF(((X171/P171-1)*100)&gt;100,"NM",IF(((X171/P171-1)*100)&lt;-50,"NM",(X171/P171-1)*100)))</f>
        <v>NM</v>
      </c>
      <c r="Z171" s="48">
        <v>3.2</v>
      </c>
      <c r="AA171" s="23" t="str">
        <f>IF(ISERROR((Z171/R171-1)*100),"NA",IF(((Z171/R171-1)*100)&gt;100,"NM",IF(((Z171/R171-1)*100)&lt;-50,"NM",(Z171/R171-1)*100)))</f>
        <v>NM</v>
      </c>
      <c r="AB171" s="48">
        <v>6.5</v>
      </c>
      <c r="AC171" s="23">
        <f>IF(ISERROR((AB171/T171-1)*100),"NA",IF(((AB171/T171-1)*100)&gt;100,"NM",IF(((AB171/T171-1)*100)&lt;-50,"NM",(AB171/T171-1)*100)))</f>
        <v>-34.343434343434332</v>
      </c>
      <c r="AD171" s="48">
        <v>17.8</v>
      </c>
      <c r="AE171" s="23" t="str">
        <f>IF(ISERROR((AD171/V171-1)*100),"NA",IF(((AD171/V171-1)*100)&gt;100,"NM",IF(((AD171/V171-1)*100)&lt;-50,"NM",(AD171/V171-1)*100)))</f>
        <v>NM</v>
      </c>
      <c r="AF171" s="49">
        <v>-1.1000000000000001</v>
      </c>
      <c r="AG171" s="23" t="str">
        <f>IF(ISERROR((AF171/X171-1)*100),"NA",IF(((AF171/X171-1)*100)&gt;100,"NM",IF(((AF171/X171-1)*100)&lt;-50,"NM",(AF171/X171-1)*100)))</f>
        <v>NM</v>
      </c>
      <c r="AH171" s="49">
        <v>9.5</v>
      </c>
      <c r="AI171" s="23" t="str">
        <f>IF(ISERROR((AH171/Z171-1)*100),"NA",IF(((AH171/Z171-1)*100)&gt;100,"NM",IF(((AH171/Z171-1)*100)&lt;-50,"NM",(AH171/Z171-1)*100)))</f>
        <v>NM</v>
      </c>
      <c r="AJ171" s="49">
        <v>5</v>
      </c>
      <c r="AK171" s="23">
        <f>IF(ISERROR((AJ171/AB171-1)*100),"NA",IF(((AJ171/AB171-1)*100)&gt;100,"NM",IF(((AJ171/AB171-1)*100)&lt;-50,"NM",(AJ171/AB171-1)*100)))</f>
        <v>-23.076923076923073</v>
      </c>
      <c r="AL171" s="49">
        <v>-12.9</v>
      </c>
      <c r="AM171" s="23" t="str">
        <f>IF(ISERROR((AL171/AD171-1)*100),"NA",IF(((AL171/AD171-1)*100)&gt;100,"NM",IF(((AL171/AD171-1)*100)&lt;-50,"NM",(AL171/AD171-1)*100)))</f>
        <v>NM</v>
      </c>
      <c r="AN171" s="158">
        <v>10.9</v>
      </c>
      <c r="AO171" s="23" t="str">
        <f>IF(ISERROR((AN171/AF171-1)*100),"NA",IF(((AN171/AF171-1)*100)&gt;100,"NM",IF(((AN171/AF171-1)*100)&lt;-50,"NM",(AN171/AF171-1)*100)))</f>
        <v>NM</v>
      </c>
      <c r="AP171" s="158"/>
      <c r="AQ171" s="23"/>
      <c r="AR171" s="158"/>
      <c r="AS171" s="23"/>
      <c r="AT171" s="158"/>
      <c r="AU171" s="23"/>
      <c r="AV171" s="158"/>
      <c r="AW171" s="23" t="str">
        <f t="shared" ref="AW171:AW172" si="1037">IF(ISERROR((AV171/AN171-1)*100),"NA",IF(((AV171/AN171-1)*100)&gt;100,"NM",IF(((AV171/AN171-1)*100)&lt;-50,"NM",(AV171/AN171-1)*100)))</f>
        <v>NM</v>
      </c>
      <c r="AX171" s="158"/>
      <c r="AY171" s="23"/>
      <c r="AZ171" s="158"/>
      <c r="BA171" s="23"/>
      <c r="BB171" s="158"/>
      <c r="BC171" s="23" t="str">
        <f t="shared" ref="BC171:BC172" si="1038">IF(ISERROR((BB171/AT171-1)*100),"NA",IF(((BB171/AT171-1)*100)&gt;100,"NM",IF(((BB171/AT171-1)*100)&lt;-50,"NM",(BB171/AT171-1)*100)))</f>
        <v>NA</v>
      </c>
      <c r="BD171" s="158"/>
      <c r="BE171" s="23" t="str">
        <f t="shared" ref="BE171:BE172" si="1039">IF(ISERROR((BD171/AV171-1)*100),"NA",IF(((BD171/AV171-1)*100)&gt;100,"NM",IF(((BD171/AV171-1)*100)&lt;-50,"NM",(BD171/AV171-1)*100)))</f>
        <v>NA</v>
      </c>
      <c r="BF171" s="48"/>
      <c r="BG171" s="23"/>
      <c r="BH171" s="48"/>
      <c r="BI171" s="23"/>
      <c r="BJ171" s="48"/>
      <c r="BK171" s="23"/>
      <c r="BL171" s="48"/>
      <c r="BM171" s="23" t="str">
        <f t="shared" ref="BM171:BM172" si="1040">IF(ISERROR((BL171/BD171-1)*100),"NA",IF(((BL171/BD171-1)*100)&gt;100,"NM",IF(((BL171/BD171-1)*100)&lt;-50,"NM",(BL171/BD171-1)*100)))</f>
        <v>NA</v>
      </c>
      <c r="BN171" s="35"/>
      <c r="BO171" s="137"/>
      <c r="BP171" s="35"/>
      <c r="BQ171" s="48">
        <v>6</v>
      </c>
      <c r="BR171" s="35"/>
      <c r="BS171" s="48">
        <v>-10.199999999999999</v>
      </c>
      <c r="BT171" s="35"/>
      <c r="BU171" s="56">
        <f>B171+D171+F171+H171</f>
        <v>266.10000000000002</v>
      </c>
      <c r="BV171" s="23" t="str">
        <f t="shared" ref="BV171:BV176" si="1041">IF(ISERROR((BU171/BS171-1)*100),"NA",IF(((BU171/BS171-1)*100)&gt;100,"NM",IF(((BU171/BS171-1)*100)&lt;-50,"NM",(BU171/BS171-1)*100)))</f>
        <v>NM</v>
      </c>
      <c r="BW171" s="56">
        <f>J171+L171+N171+P171</f>
        <v>-86.199999999999989</v>
      </c>
      <c r="BX171" s="23" t="str">
        <f t="shared" ref="BX171:BX176" si="1042">IF(ISERROR((BW171/BU171-1)*100),"NA",IF(((BW171/BU171-1)*100)&gt;100,"NM",IF(((BW171/BU171-1)*100)&lt;-50,"NM",(BW171/BU171-1)*100)))</f>
        <v>NM</v>
      </c>
      <c r="BY171" s="56">
        <f>R171+T171+V171+X171</f>
        <v>83.3</v>
      </c>
      <c r="BZ171" s="23" t="str">
        <f>IF(ISERROR((BY171/BW171-1)*100),"NA",IF(((BY171/BW171-1)*100)&gt;100,"NM",IF(((BY171/BW171-1)*100)&lt;-50,"NM",(BY171/BW171-1)*100)))</f>
        <v>NM</v>
      </c>
      <c r="CA171" s="56">
        <f>Z171+AB171+AD171+AF171</f>
        <v>26.4</v>
      </c>
      <c r="CB171" s="23" t="str">
        <f>IF(ISERROR((CA171/BY171-1)*100),"NA",IF(((CA171/BY171-1)*100)&gt;100,"NM",IF(((CA171/BY171-1)*100)&lt;-50,"NM",(CA171/BY171-1)*100)))</f>
        <v>NM</v>
      </c>
      <c r="CC171" s="56">
        <f>AH171+AJ171+AL171+AN171</f>
        <v>12.5</v>
      </c>
      <c r="CD171" s="23" t="str">
        <f>IF(ISERROR((CC171/CA171-1)*100),"NA",IF(((CC171/CA171-1)*100)&gt;100,"NM",IF(((CC171/CA171-1)*100)&lt;-50,"NM",(CC171/CA171-1)*100)))</f>
        <v>NM</v>
      </c>
      <c r="CE171" s="56">
        <f>AP171+AR171+AT171+AV171</f>
        <v>0</v>
      </c>
      <c r="CF171" s="23" t="str">
        <f>IF(ISERROR((CE171/CC171-1)*100),"NA",IF(((CE171/CC171-1)*100)&gt;100,"NM",IF(((CE171/CC171-1)*100)&lt;-50,"NM",(CE171/CC171-1)*100)))</f>
        <v>NM</v>
      </c>
      <c r="CG171" s="56"/>
      <c r="CH171" s="23" t="str">
        <f>IF(ISERROR((CG171/CE171-1)*100),"NA",IF(((CG171/CE171-1)*100)&gt;100,"NM",IF(((CG171/CE171-1)*100)&lt;-50,"NM",(CG171/CE171-1)*100)))</f>
        <v>NA</v>
      </c>
      <c r="CI171" s="56"/>
      <c r="CJ171" s="23"/>
      <c r="CK171" s="49"/>
      <c r="CL171" s="23"/>
      <c r="CM171" s="49"/>
      <c r="CN171" s="23"/>
      <c r="CO171" s="49"/>
      <c r="CP171" s="23"/>
      <c r="CQ171" s="49"/>
      <c r="CR171" s="23"/>
      <c r="CS171" s="23"/>
    </row>
    <row r="172" spans="1:97" ht="12.75" hidden="1" customHeight="1" outlineLevel="1" x14ac:dyDescent="0.2">
      <c r="A172" s="12" t="s">
        <v>164</v>
      </c>
      <c r="B172" s="49">
        <v>0</v>
      </c>
      <c r="C172" s="59"/>
      <c r="D172" s="49">
        <v>0</v>
      </c>
      <c r="E172" s="59"/>
      <c r="F172" s="49">
        <v>0</v>
      </c>
      <c r="G172" s="59"/>
      <c r="H172" s="49">
        <v>0</v>
      </c>
      <c r="I172" s="59"/>
      <c r="J172" s="49">
        <v>7.6</v>
      </c>
      <c r="K172" s="23" t="str">
        <f>IF(ISERROR((J172/B172-1)*100),"NA",IF(((J172/B172-1)*100)&gt;100,"NM",IF(((J172/B172-1)*100)&lt;-50,"NM",(J172/B172-1)*100)))</f>
        <v>NA</v>
      </c>
      <c r="L172" s="49">
        <v>-18.5</v>
      </c>
      <c r="M172" s="23" t="str">
        <f>IF(ISERROR((L172/D172-1)*100),"NA",IF(((L172/D172-1)*100)&gt;100,"NM",IF(((L172/D172-1)*100)&lt;-50,"NM",(L172/D172-1)*100)))</f>
        <v>NA</v>
      </c>
      <c r="N172" s="49">
        <v>-0.3</v>
      </c>
      <c r="O172" s="23" t="str">
        <f>IF(ISERROR((N172/F172-1)*100),"NA",IF(((N172/F172-1)*100)&gt;100,"NM",IF(((N172/F172-1)*100)&lt;-50,"NM",(N172/F172-1)*100)))</f>
        <v>NA</v>
      </c>
      <c r="P172" s="48">
        <v>0</v>
      </c>
      <c r="Q172" s="23" t="str">
        <f>IF(ISERROR((P172/H172-1)*100),"NA",IF(((P172/H172-1)*100)&gt;100,"NM",IF(((P172/H172-1)*100)&lt;-50,"NM",(P172/H172-1)*100)))</f>
        <v>NA</v>
      </c>
      <c r="R172" s="48">
        <v>0</v>
      </c>
      <c r="S172" s="23" t="str">
        <f>IF(ISERROR((R172/J172-1)*100),"NA",IF(((R172/J172-1)*100)&gt;100,"NM",IF(((R172/J172-1)*100)&lt;-50,"NM",(R172/J172-1)*100)))</f>
        <v>NM</v>
      </c>
      <c r="T172" s="48">
        <v>0</v>
      </c>
      <c r="U172" s="23" t="str">
        <f>IF(ISERROR((T172/L172-1)*100),"NA",IF(((T172/L172-1)*100)&gt;100,"NM",IF(((T172/L172-1)*100)&lt;-50,"NM",(T172/L172-1)*100)))</f>
        <v>NM</v>
      </c>
      <c r="V172" s="48">
        <v>0</v>
      </c>
      <c r="W172" s="23" t="str">
        <f>IF(ISERROR((V172/N172-1)*100),"NA",IF(((V172/N172-1)*100)&gt;100,"NM",IF(((V172/N172-1)*100)&lt;-50,"NM",(V172/N172-1)*100)))</f>
        <v>NM</v>
      </c>
      <c r="X172" s="48">
        <v>0</v>
      </c>
      <c r="Y172" s="23" t="str">
        <f>IF(ISERROR((X172/P172-1)*100),"NA",IF(((X172/P172-1)*100)&gt;100,"NM",IF(((X172/P172-1)*100)&lt;-50,"NM",(X172/P172-1)*100)))</f>
        <v>NA</v>
      </c>
      <c r="Z172" s="48">
        <v>0</v>
      </c>
      <c r="AA172" s="23" t="str">
        <f>IF(ISERROR((Z172/R172-1)*100),"NA",IF(((Z172/R172-1)*100)&gt;100,"NM",IF(((Z172/R172-1)*100)&lt;-50,"NM",(Z172/R172-1)*100)))</f>
        <v>NA</v>
      </c>
      <c r="AB172" s="48">
        <v>0</v>
      </c>
      <c r="AC172" s="23" t="str">
        <f>IF(ISERROR((AB172/T172-1)*100),"NA",IF(((AB172/T172-1)*100)&gt;100,"NM",IF(((AB172/T172-1)*100)&lt;-50,"NM",(AB172/T172-1)*100)))</f>
        <v>NA</v>
      </c>
      <c r="AD172" s="48">
        <v>0</v>
      </c>
      <c r="AE172" s="23" t="str">
        <f>IF(ISERROR((AD172/V172-1)*100),"NA",IF(((AD172/V172-1)*100)&gt;100,"NM",IF(((AD172/V172-1)*100)&lt;-50,"NM",(AD172/V172-1)*100)))</f>
        <v>NA</v>
      </c>
      <c r="AF172" s="49">
        <v>0</v>
      </c>
      <c r="AG172" s="23" t="str">
        <f>IF(ISERROR((AF172/X172-1)*100),"NA",IF(((AF172/X172-1)*100)&gt;100,"NM",IF(((AF172/X172-1)*100)&lt;-50,"NM",(AF172/X172-1)*100)))</f>
        <v>NA</v>
      </c>
      <c r="AH172" s="49">
        <v>0</v>
      </c>
      <c r="AI172" s="23" t="str">
        <f>IF(ISERROR((AH172/Z172-1)*100),"NA",IF(((AH172/Z172-1)*100)&gt;100,"NM",IF(((AH172/Z172-1)*100)&lt;-50,"NM",(AH172/Z172-1)*100)))</f>
        <v>NA</v>
      </c>
      <c r="AJ172" s="49">
        <v>0</v>
      </c>
      <c r="AK172" s="23" t="str">
        <f>IF(ISERROR((AJ172/AB172-1)*100),"NA",IF(((AJ172/AB172-1)*100)&gt;100,"NM",IF(((AJ172/AB172-1)*100)&lt;-50,"NM",(AJ172/AB172-1)*100)))</f>
        <v>NA</v>
      </c>
      <c r="AL172" s="49">
        <v>0</v>
      </c>
      <c r="AM172" s="23" t="str">
        <f>IF(ISERROR((AL172/AD172-1)*100),"NA",IF(((AL172/AD172-1)*100)&gt;100,"NM",IF(((AL172/AD172-1)*100)&lt;-50,"NM",(AL172/AD172-1)*100)))</f>
        <v>NA</v>
      </c>
      <c r="AN172" s="158">
        <v>0</v>
      </c>
      <c r="AO172" s="23" t="str">
        <f>IF(ISERROR((AN172/AF172-1)*100),"NA",IF(((AN172/AF172-1)*100)&gt;100,"NM",IF(((AN172/AF172-1)*100)&lt;-50,"NM",(AN172/AF172-1)*100)))</f>
        <v>NA</v>
      </c>
      <c r="AP172" s="158"/>
      <c r="AQ172" s="23"/>
      <c r="AR172" s="158"/>
      <c r="AS172" s="23"/>
      <c r="AT172" s="158"/>
      <c r="AU172" s="23"/>
      <c r="AV172" s="158"/>
      <c r="AW172" s="23" t="str">
        <f t="shared" si="1037"/>
        <v>NA</v>
      </c>
      <c r="AX172" s="158"/>
      <c r="AY172" s="23"/>
      <c r="AZ172" s="158"/>
      <c r="BA172" s="23"/>
      <c r="BB172" s="158"/>
      <c r="BC172" s="23" t="str">
        <f t="shared" si="1038"/>
        <v>NA</v>
      </c>
      <c r="BD172" s="158"/>
      <c r="BE172" s="23" t="str">
        <f t="shared" si="1039"/>
        <v>NA</v>
      </c>
      <c r="BF172" s="48"/>
      <c r="BG172" s="23"/>
      <c r="BH172" s="48"/>
      <c r="BI172" s="23"/>
      <c r="BJ172" s="48"/>
      <c r="BK172" s="23"/>
      <c r="BL172" s="48"/>
      <c r="BM172" s="23" t="str">
        <f t="shared" si="1040"/>
        <v>NA</v>
      </c>
      <c r="BN172" s="35"/>
      <c r="BO172" s="137"/>
      <c r="BP172" s="35"/>
      <c r="BQ172" s="48">
        <v>0</v>
      </c>
      <c r="BR172" s="35"/>
      <c r="BS172" s="48">
        <v>0</v>
      </c>
      <c r="BT172" s="35"/>
      <c r="BU172" s="56">
        <f>B172+D172+F172+H172</f>
        <v>0</v>
      </c>
      <c r="BV172" s="23" t="str">
        <f t="shared" si="1041"/>
        <v>NA</v>
      </c>
      <c r="BW172" s="56">
        <f>J172+L172+N172+P172</f>
        <v>-11.200000000000001</v>
      </c>
      <c r="BX172" s="23" t="str">
        <f t="shared" si="1042"/>
        <v>NA</v>
      </c>
      <c r="BY172" s="56">
        <f>R172+T172+V172+X172</f>
        <v>0</v>
      </c>
      <c r="BZ172" s="23" t="str">
        <f>IF(ISERROR((BY172/BW172-1)*100),"NA",IF(((BY172/BW172-1)*100)&gt;100,"NM",IF(((BY172/BW172-1)*100)&lt;-50,"NM",(BY172/BW172-1)*100)))</f>
        <v>NM</v>
      </c>
      <c r="CA172" s="56">
        <f>Z172+AB172+AD172+AF172</f>
        <v>0</v>
      </c>
      <c r="CB172" s="23" t="str">
        <f>IF(ISERROR((CA172/BY172-1)*100),"NA",IF(((CA172/BY172-1)*100)&gt;100,"NM",IF(((CA172/BY172-1)*100)&lt;-50,"NM",(CA172/BY172-1)*100)))</f>
        <v>NA</v>
      </c>
      <c r="CC172" s="56">
        <f>AH172+AJ172+AL172+AN172</f>
        <v>0</v>
      </c>
      <c r="CD172" s="23" t="str">
        <f>IF(ISERROR((CC172/CA172-1)*100),"NA",IF(((CC172/CA172-1)*100)&gt;100,"NM",IF(((CC172/CA172-1)*100)&lt;-50,"NM",(CC172/CA172-1)*100)))</f>
        <v>NA</v>
      </c>
      <c r="CE172" s="56">
        <f>AP172+AR172+AT172+AV172</f>
        <v>0</v>
      </c>
      <c r="CF172" s="23" t="str">
        <f>IF(ISERROR((CE172/CC172-1)*100),"NA",IF(((CE172/CC172-1)*100)&gt;100,"NM",IF(((CE172/CC172-1)*100)&lt;-50,"NM",(CE172/CC172-1)*100)))</f>
        <v>NA</v>
      </c>
      <c r="CG172" s="56"/>
      <c r="CH172" s="23" t="str">
        <f>IF(ISERROR((CG172/CE172-1)*100),"NA",IF(((CG172/CE172-1)*100)&gt;100,"NM",IF(((CG172/CE172-1)*100)&lt;-50,"NM",(CG172/CE172-1)*100)))</f>
        <v>NA</v>
      </c>
      <c r="CI172" s="56"/>
      <c r="CJ172" s="23"/>
      <c r="CK172" s="49"/>
      <c r="CL172" s="23"/>
      <c r="CM172" s="49"/>
      <c r="CN172" s="23"/>
      <c r="CO172" s="49"/>
      <c r="CP172" s="23"/>
      <c r="CQ172" s="49"/>
      <c r="CR172" s="23"/>
      <c r="CS172" s="23"/>
    </row>
    <row r="173" spans="1:97" ht="12.75" hidden="1" customHeight="1" outlineLevel="1" x14ac:dyDescent="0.2">
      <c r="A173" s="12" t="s">
        <v>14</v>
      </c>
      <c r="B173" s="49"/>
      <c r="C173" s="59"/>
      <c r="D173" s="49"/>
      <c r="E173" s="59"/>
      <c r="F173" s="49"/>
      <c r="G173" s="59"/>
      <c r="H173" s="49"/>
      <c r="I173" s="59"/>
      <c r="J173" s="49"/>
      <c r="K173" s="23"/>
      <c r="L173" s="49"/>
      <c r="M173" s="23"/>
      <c r="N173" s="49"/>
      <c r="O173" s="23"/>
      <c r="P173" s="48"/>
      <c r="Q173" s="23"/>
      <c r="R173" s="48">
        <f>(13*0.5/4)</f>
        <v>1.625</v>
      </c>
      <c r="S173" s="23"/>
      <c r="T173" s="48">
        <f>11.1-6</f>
        <v>5.0999999999999996</v>
      </c>
      <c r="U173" s="23"/>
      <c r="V173" s="48">
        <f>52.7-V171</f>
        <v>13.100000000000001</v>
      </c>
      <c r="W173" s="23"/>
      <c r="X173" s="48">
        <v>0.8</v>
      </c>
      <c r="Y173" s="23"/>
      <c r="Z173" s="48">
        <v>0</v>
      </c>
      <c r="AA173" s="23"/>
      <c r="AB173" s="48">
        <v>0</v>
      </c>
      <c r="AC173" s="23"/>
      <c r="AD173" s="48">
        <v>6.22</v>
      </c>
      <c r="AE173" s="23"/>
      <c r="AF173" s="49">
        <v>2.8</v>
      </c>
      <c r="AG173" s="23"/>
      <c r="AH173" s="49">
        <v>-1.78</v>
      </c>
      <c r="AI173" s="23"/>
      <c r="AJ173" s="49"/>
      <c r="AK173" s="23"/>
      <c r="AL173" s="49">
        <f>-0.612/0.68</f>
        <v>-0.89999999999999991</v>
      </c>
      <c r="AM173" s="23"/>
      <c r="AN173" s="510">
        <v>0</v>
      </c>
      <c r="AO173" s="23"/>
      <c r="AP173" s="510"/>
      <c r="AQ173" s="23"/>
      <c r="AR173" s="510"/>
      <c r="AS173" s="23"/>
      <c r="AT173" s="510"/>
      <c r="AU173" s="23"/>
      <c r="AV173" s="510"/>
      <c r="AW173" s="23"/>
      <c r="AX173" s="510"/>
      <c r="AY173" s="23"/>
      <c r="AZ173" s="510"/>
      <c r="BA173" s="23"/>
      <c r="BB173" s="510"/>
      <c r="BC173" s="23"/>
      <c r="BD173" s="510"/>
      <c r="BE173" s="23"/>
      <c r="BF173" s="48"/>
      <c r="BG173" s="23"/>
      <c r="BH173" s="48"/>
      <c r="BI173" s="23"/>
      <c r="BJ173" s="48"/>
      <c r="BK173" s="23"/>
      <c r="BL173" s="48"/>
      <c r="BM173" s="23"/>
      <c r="BN173" s="35"/>
      <c r="BO173" s="137"/>
      <c r="BP173" s="35"/>
      <c r="BQ173" s="48"/>
      <c r="BR173" s="35"/>
      <c r="BS173" s="48"/>
      <c r="BT173" s="35"/>
      <c r="BU173" s="56">
        <f>B173+D173+F173+H173</f>
        <v>0</v>
      </c>
      <c r="BV173" s="23" t="str">
        <f t="shared" si="1041"/>
        <v>NA</v>
      </c>
      <c r="BW173" s="56">
        <f>J173+L173+N173+P173</f>
        <v>0</v>
      </c>
      <c r="BX173" s="23" t="str">
        <f t="shared" si="1042"/>
        <v>NA</v>
      </c>
      <c r="BY173" s="56">
        <f>R173+T173+V173+X173</f>
        <v>20.625000000000004</v>
      </c>
      <c r="BZ173" s="23"/>
      <c r="CA173" s="56">
        <f>Z173+AB173+AD173+AF173</f>
        <v>9.02</v>
      </c>
      <c r="CB173" s="23"/>
      <c r="CC173" s="56">
        <f>AH173+AJ173+AL173+AN173</f>
        <v>-2.6799999999999997</v>
      </c>
      <c r="CD173" s="23"/>
      <c r="CE173" s="56">
        <f>AP173+AR173+AT173+AV173</f>
        <v>0</v>
      </c>
      <c r="CF173" s="23"/>
      <c r="CG173" s="56"/>
      <c r="CH173" s="23"/>
      <c r="CI173" s="56"/>
      <c r="CJ173" s="23"/>
      <c r="CK173" s="49"/>
      <c r="CL173" s="23"/>
      <c r="CM173" s="49"/>
      <c r="CN173" s="23"/>
      <c r="CO173" s="49"/>
      <c r="CP173" s="23"/>
      <c r="CQ173" s="49"/>
      <c r="CR173" s="23"/>
      <c r="CS173" s="23"/>
    </row>
    <row r="174" spans="1:97" ht="12.75" hidden="1" customHeight="1" outlineLevel="1" x14ac:dyDescent="0.2">
      <c r="A174" s="4" t="s">
        <v>12</v>
      </c>
      <c r="B174" s="36">
        <f>B171+B172+B173</f>
        <v>12.7</v>
      </c>
      <c r="C174" s="59"/>
      <c r="D174" s="36">
        <f>D171+D172+D173</f>
        <v>22.2</v>
      </c>
      <c r="E174" s="59"/>
      <c r="F174" s="36">
        <f>F171+F172+F173</f>
        <v>53.3</v>
      </c>
      <c r="G174" s="59"/>
      <c r="H174" s="36">
        <f>H171+H172+H173</f>
        <v>177.9</v>
      </c>
      <c r="I174" s="59"/>
      <c r="J174" s="36">
        <f>J171+J172+J173</f>
        <v>-12.700000000000001</v>
      </c>
      <c r="K174" s="23" t="str">
        <f>IF(ISERROR((J174/B174-1)*100),"NA",IF(((J174/B174-1)*100)&gt;100,"NM",IF(((J174/B174-1)*100)&lt;-50,"NM",(J174/B174-1)*100)))</f>
        <v>NM</v>
      </c>
      <c r="L174" s="36">
        <f>L171+L172+L173</f>
        <v>-27.1</v>
      </c>
      <c r="M174" s="23" t="str">
        <f>IF(ISERROR((L174/D174-1)*100),"NA",IF(((L174/D174-1)*100)&gt;100,"NM",IF(((L174/D174-1)*100)&lt;-50,"NM",(L174/D174-1)*100)))</f>
        <v>NM</v>
      </c>
      <c r="N174" s="36">
        <f>N171+N172+N173</f>
        <v>-13.200000000000001</v>
      </c>
      <c r="O174" s="23" t="str">
        <f>IF(ISERROR((N174/F174-1)*100),"NA",IF(((N174/F174-1)*100)&gt;100,"NM",IF(((N174/F174-1)*100)&lt;-50,"NM",(N174/F174-1)*100)))</f>
        <v>NM</v>
      </c>
      <c r="P174" s="36">
        <f>P171+P172+P173</f>
        <v>-44.4</v>
      </c>
      <c r="Q174" s="23" t="str">
        <f>IF(ISERROR((P174/H174-1)*100),"NA",IF(((P174/H174-1)*100)&gt;100,"NM",IF(((P174/H174-1)*100)&lt;-50,"NM",(P174/H174-1)*100)))</f>
        <v>NM</v>
      </c>
      <c r="R174" s="36">
        <f>R171+R172+R173</f>
        <v>8.625</v>
      </c>
      <c r="S174" s="23" t="str">
        <f>IF(ISERROR((R174/J174-1)*100),"NA",IF(((R174/J174-1)*100)&gt;100,"NM",IF(((R174/J174-1)*100)&lt;-50,"NM",(R174/J174-1)*100)))</f>
        <v>NM</v>
      </c>
      <c r="T174" s="36">
        <f>T171+T172+T173</f>
        <v>14.999999999999998</v>
      </c>
      <c r="U174" s="23" t="str">
        <f>IF(ISERROR((T174/L174-1)*100),"NA",IF(((T174/L174-1)*100)&gt;100,"NM",IF(((T174/L174-1)*100)&lt;-50,"NM",(T174/L174-1)*100)))</f>
        <v>NM</v>
      </c>
      <c r="V174" s="36">
        <f>V171+V172+V173</f>
        <v>52.7</v>
      </c>
      <c r="W174" s="23" t="str">
        <f>IF(ISERROR((V174/N174-1)*100),"NA",IF(((V174/N174-1)*100)&gt;100,"NM",IF(((V174/N174-1)*100)&lt;-50,"NM",(V174/N174-1)*100)))</f>
        <v>NM</v>
      </c>
      <c r="X174" s="36">
        <f>X171+X172+X173</f>
        <v>27.6</v>
      </c>
      <c r="Y174" s="23" t="str">
        <f>IF(ISERROR((X174/P174-1)*100),"NA",IF(((X174/P174-1)*100)&gt;100,"NM",IF(((X174/P174-1)*100)&lt;-50,"NM",(X174/P174-1)*100)))</f>
        <v>NM</v>
      </c>
      <c r="Z174" s="36">
        <f>Z171+Z172+Z173</f>
        <v>3.2</v>
      </c>
      <c r="AA174" s="23" t="str">
        <f>IF(ISERROR((Z174/R174-1)*100),"NA",IF(((Z174/R174-1)*100)&gt;100,"NM",IF(((Z174/R174-1)*100)&lt;-50,"NM",(Z174/R174-1)*100)))</f>
        <v>NM</v>
      </c>
      <c r="AB174" s="36">
        <f>AB171+AB172+AB173</f>
        <v>6.5</v>
      </c>
      <c r="AC174" s="23" t="str">
        <f>IF(ISERROR((AB174/T174-1)*100),"NA",IF(((AB174/T174-1)*100)&gt;100,"NM",IF(((AB174/T174-1)*100)&lt;-50,"NM",(AB174/T174-1)*100)))</f>
        <v>NM</v>
      </c>
      <c r="AD174" s="36">
        <f>AD171+AD172+AD173</f>
        <v>24.02</v>
      </c>
      <c r="AE174" s="23" t="str">
        <f>IF(ISERROR((AD174/V174-1)*100),"NA",IF(((AD174/V174-1)*100)&gt;100,"NM",IF(((AD174/V174-1)*100)&lt;-50,"NM",(AD174/V174-1)*100)))</f>
        <v>NM</v>
      </c>
      <c r="AF174" s="36">
        <f>AF171+AF172+AF173</f>
        <v>1.6999999999999997</v>
      </c>
      <c r="AG174" s="23" t="str">
        <f>IF(ISERROR((AF174/X174-1)*100),"NA",IF(((AF174/X174-1)*100)&gt;100,"NM",IF(((AF174/X174-1)*100)&lt;-50,"NM",(AF174/X174-1)*100)))</f>
        <v>NM</v>
      </c>
      <c r="AH174" s="36">
        <f>AH171+AH172+AH173</f>
        <v>7.72</v>
      </c>
      <c r="AI174" s="23" t="str">
        <f>IF(ISERROR((AH174/Z174-1)*100),"NA",IF(((AH174/Z174-1)*100)&gt;100,"NM",IF(((AH174/Z174-1)*100)&lt;-50,"NM",(AH174/Z174-1)*100)))</f>
        <v>NM</v>
      </c>
      <c r="AJ174" s="36">
        <f>AJ171+AJ172+AJ173</f>
        <v>5</v>
      </c>
      <c r="AK174" s="23">
        <f>IF(ISERROR((AJ174/AB174-1)*100),"NA",IF(((AJ174/AB174-1)*100)&gt;100,"NM",IF(((AJ174/AB174-1)*100)&lt;-50,"NM",(AJ174/AB174-1)*100)))</f>
        <v>-23.076923076923073</v>
      </c>
      <c r="AL174" s="36">
        <f>AL171+AL172+AL173</f>
        <v>-13.8</v>
      </c>
      <c r="AM174" s="23" t="str">
        <f>IF(ISERROR((AL174/AD174-1)*100),"NA",IF(((AL174/AD174-1)*100)&gt;100,"NM",IF(((AL174/AD174-1)*100)&lt;-50,"NM",(AL174/AD174-1)*100)))</f>
        <v>NM</v>
      </c>
      <c r="AN174" s="410">
        <f t="shared" ref="AN174" si="1043">AN171+AN172+AN173</f>
        <v>10.9</v>
      </c>
      <c r="AO174" s="23" t="str">
        <f>IF(ISERROR((AN174/AF174-1)*100),"NA",IF(((AN174/AF174-1)*100)&gt;100,"NM",IF(((AN174/AF174-1)*100)&lt;-50,"NM",(AN174/AF174-1)*100)))</f>
        <v>NM</v>
      </c>
      <c r="AP174" s="410"/>
      <c r="AQ174" s="23"/>
      <c r="AR174" s="410"/>
      <c r="AS174" s="23"/>
      <c r="AT174" s="410"/>
      <c r="AU174" s="23"/>
      <c r="AV174" s="410"/>
      <c r="AW174" s="23" t="str">
        <f t="shared" ref="AW174:AW176" si="1044">IF(ISERROR((AV174/AN174-1)*100),"NA",IF(((AV174/AN174-1)*100)&gt;100,"NM",IF(((AV174/AN174-1)*100)&lt;-50,"NM",(AV174/AN174-1)*100)))</f>
        <v>NM</v>
      </c>
      <c r="AX174" s="410"/>
      <c r="AY174" s="23"/>
      <c r="AZ174" s="410"/>
      <c r="BA174" s="23"/>
      <c r="BB174" s="410"/>
      <c r="BC174" s="23" t="str">
        <f t="shared" ref="BC174:BC176" si="1045">IF(ISERROR((BB174/AT174-1)*100),"NA",IF(((BB174/AT174-1)*100)&gt;100,"NM",IF(((BB174/AT174-1)*100)&lt;-50,"NM",(BB174/AT174-1)*100)))</f>
        <v>NA</v>
      </c>
      <c r="BD174" s="410"/>
      <c r="BE174" s="23" t="str">
        <f t="shared" ref="BE174:BE176" si="1046">IF(ISERROR((BD174/AV174-1)*100),"NA",IF(((BD174/AV174-1)*100)&gt;100,"NM",IF(((BD174/AV174-1)*100)&lt;-50,"NM",(BD174/AV174-1)*100)))</f>
        <v>NA</v>
      </c>
      <c r="BF174" s="36"/>
      <c r="BG174" s="23"/>
      <c r="BH174" s="36"/>
      <c r="BI174" s="23"/>
      <c r="BJ174" s="36"/>
      <c r="BK174" s="23"/>
      <c r="BL174" s="36"/>
      <c r="BM174" s="23" t="str">
        <f t="shared" ref="BM174:BM176" si="1047">IF(ISERROR((BL174/BD174-1)*100),"NA",IF(((BL174/BD174-1)*100)&gt;100,"NM",IF(((BL174/BD174-1)*100)&lt;-50,"NM",(BL174/BD174-1)*100)))</f>
        <v>NA</v>
      </c>
      <c r="BN174" s="35"/>
      <c r="BO174" s="137"/>
      <c r="BP174" s="35"/>
      <c r="BQ174" s="56">
        <f>BQ171+BQ172</f>
        <v>6</v>
      </c>
      <c r="BR174" s="37"/>
      <c r="BS174" s="56">
        <f>BS171+BS172</f>
        <v>-10.199999999999999</v>
      </c>
      <c r="BT174" s="35"/>
      <c r="BU174" s="36">
        <f>BU171+BU172+BU173</f>
        <v>266.10000000000002</v>
      </c>
      <c r="BV174" s="23" t="str">
        <f t="shared" si="1041"/>
        <v>NM</v>
      </c>
      <c r="BW174" s="36">
        <f>BW171+BW172+BW173</f>
        <v>-97.399999999999991</v>
      </c>
      <c r="BX174" s="23" t="str">
        <f t="shared" si="1042"/>
        <v>NM</v>
      </c>
      <c r="BY174" s="36">
        <f>BY171+BY172+BY173</f>
        <v>103.925</v>
      </c>
      <c r="BZ174" s="23" t="str">
        <f>IF(ISERROR((BY174/BW174-1)*100),"NA",IF(((BY174/BW174-1)*100)&gt;100,"NM",IF(((BY174/BW174-1)*100)&lt;-50,"NM",(BY174/BW174-1)*100)))</f>
        <v>NM</v>
      </c>
      <c r="CA174" s="36">
        <f>CA171+CA172+CA173</f>
        <v>35.42</v>
      </c>
      <c r="CB174" s="23" t="str">
        <f>IF(ISERROR((CA174/BY174-1)*100),"NA",IF(((CA174/BY174-1)*100)&gt;100,"NM",IF(((CA174/BY174-1)*100)&lt;-50,"NM",(CA174/BY174-1)*100)))</f>
        <v>NM</v>
      </c>
      <c r="CC174" s="36">
        <f>CC171+CC172+CC173</f>
        <v>9.82</v>
      </c>
      <c r="CD174" s="23" t="str">
        <f>IF(ISERROR((CC174/CA174-1)*100),"NA",IF(((CC174/CA174-1)*100)&gt;100,"NM",IF(((CC174/CA174-1)*100)&lt;-50,"NM",(CC174/CA174-1)*100)))</f>
        <v>NM</v>
      </c>
      <c r="CE174" s="36">
        <f>CE171+CE172+CE173</f>
        <v>0</v>
      </c>
      <c r="CF174" s="23" t="str">
        <f>IF(ISERROR((CE174/CC174-1)*100),"NA",IF(((CE174/CC174-1)*100)&gt;100,"NM",IF(((CE174/CC174-1)*100)&lt;-50,"NM",(CE174/CC174-1)*100)))</f>
        <v>NM</v>
      </c>
      <c r="CG174" s="36"/>
      <c r="CH174" s="23" t="str">
        <f>IF(ISERROR((CG174/CE174-1)*100),"NA",IF(((CG174/CE174-1)*100)&gt;100,"NM",IF(((CG174/CE174-1)*100)&lt;-50,"NM",(CG174/CE174-1)*100)))</f>
        <v>NA</v>
      </c>
      <c r="CI174" s="36"/>
      <c r="CJ174" s="23"/>
      <c r="CK174" s="36"/>
      <c r="CL174" s="23"/>
      <c r="CM174" s="36"/>
      <c r="CN174" s="23"/>
      <c r="CO174" s="36"/>
      <c r="CP174" s="23"/>
      <c r="CQ174" s="36"/>
      <c r="CR174" s="23"/>
      <c r="CS174" s="23"/>
    </row>
    <row r="175" spans="1:97" ht="12.75" hidden="1" customHeight="1" outlineLevel="1" x14ac:dyDescent="0.2">
      <c r="A175" s="3" t="s">
        <v>130</v>
      </c>
      <c r="B175" s="72">
        <f t="shared" ref="B175:Z175" si="1048">B168-B174</f>
        <v>26.699999999999978</v>
      </c>
      <c r="C175" s="59"/>
      <c r="D175" s="72">
        <f t="shared" si="1048"/>
        <v>41.700000000000031</v>
      </c>
      <c r="E175" s="59"/>
      <c r="F175" s="72">
        <f t="shared" si="1048"/>
        <v>31.200000000000003</v>
      </c>
      <c r="G175" s="59"/>
      <c r="H175" s="72">
        <f t="shared" si="1048"/>
        <v>22</v>
      </c>
      <c r="I175" s="59"/>
      <c r="J175" s="72">
        <f t="shared" si="1048"/>
        <v>49.099999999999923</v>
      </c>
      <c r="K175" s="23">
        <f>IF(ISERROR((J175/B175-1)*100),"NA",IF(((J175/B175-1)*100)&gt;100,"NM",IF(((J175/B175-1)*100)&lt;-50,"NM",(J175/B175-1)*100)))</f>
        <v>83.8951310861422</v>
      </c>
      <c r="L175" s="72">
        <f t="shared" si="1048"/>
        <v>54.200000000000024</v>
      </c>
      <c r="M175" s="23">
        <f>IF(ISERROR((L175/D175-1)*100),"NA",IF(((L175/D175-1)*100)&gt;100,"NM",IF(((L175/D175-1)*100)&lt;-50,"NM",(L175/D175-1)*100)))</f>
        <v>29.976019184652248</v>
      </c>
      <c r="N175" s="72">
        <f t="shared" si="1048"/>
        <v>45.800000000000026</v>
      </c>
      <c r="O175" s="23">
        <f>IF(ISERROR((N175/F175-1)*100),"NA",IF(((N175/F175-1)*100)&gt;100,"NM",IF(((N175/F175-1)*100)&lt;-50,"NM",(N175/F175-1)*100)))</f>
        <v>46.794871794871874</v>
      </c>
      <c r="P175" s="72">
        <f t="shared" si="1048"/>
        <v>50.70000000000001</v>
      </c>
      <c r="Q175" s="23" t="str">
        <f>IF(ISERROR((P175/H175-1)*100),"NA",IF(((P175/H175-1)*100)&gt;100,"NM",IF(((P175/H175-1)*100)&lt;-50,"NM",(P175/H175-1)*100)))</f>
        <v>NM</v>
      </c>
      <c r="R175" s="72">
        <f t="shared" si="1048"/>
        <v>45.674999999999955</v>
      </c>
      <c r="S175" s="23">
        <f>IF(ISERROR((R175/J175-1)*100),"NA",IF(((R175/J175-1)*100)&gt;100,"NM",IF(((R175/J175-1)*100)&lt;-50,"NM",(R175/J175-1)*100)))</f>
        <v>-6.9755600814663481</v>
      </c>
      <c r="T175" s="72">
        <f t="shared" si="1048"/>
        <v>44.499999999999972</v>
      </c>
      <c r="U175" s="23">
        <f>IF(ISERROR((T175/L175-1)*100),"NA",IF(((T175/L175-1)*100)&gt;100,"NM",IF(((T175/L175-1)*100)&lt;-50,"NM",(T175/L175-1)*100)))</f>
        <v>-17.896678966789757</v>
      </c>
      <c r="V175" s="72">
        <f t="shared" si="1048"/>
        <v>44.2</v>
      </c>
      <c r="W175" s="23">
        <f>IF(ISERROR((V175/N175-1)*100),"NA",IF(((V175/N175-1)*100)&gt;100,"NM",IF(((V175/N175-1)*100)&lt;-50,"NM",(V175/N175-1)*100)))</f>
        <v>-3.4934497816594412</v>
      </c>
      <c r="X175" s="72">
        <f t="shared" si="1048"/>
        <v>55.600000000000044</v>
      </c>
      <c r="Y175" s="23">
        <f>IF(ISERROR((X175/P175-1)*100),"NA",IF(((X175/P175-1)*100)&gt;100,"NM",IF(((X175/P175-1)*100)&lt;-50,"NM",(X175/P175-1)*100)))</f>
        <v>9.664694280078967</v>
      </c>
      <c r="Z175" s="72">
        <f t="shared" si="1048"/>
        <v>51.600000000000065</v>
      </c>
      <c r="AA175" s="23">
        <f>IF(ISERROR((Z175/R175-1)*100),"NA",IF(((Z175/R175-1)*100)&gt;100,"NM",IF(((Z175/R175-1)*100)&lt;-50,"NM",(Z175/R175-1)*100)))</f>
        <v>12.972085385878751</v>
      </c>
      <c r="AB175" s="72">
        <f t="shared" ref="AB175:AD175" si="1049">AB168-AB174</f>
        <v>57.700000000000045</v>
      </c>
      <c r="AC175" s="23">
        <f>IF(ISERROR((AB175/T175-1)*100),"NA",IF(((AB175/T175-1)*100)&gt;100,"NM",IF(((AB175/T175-1)*100)&lt;-50,"NM",(AB175/T175-1)*100)))</f>
        <v>29.662921348314786</v>
      </c>
      <c r="AD175" s="72">
        <f t="shared" si="1049"/>
        <v>54.279999999999959</v>
      </c>
      <c r="AE175" s="23">
        <f>IF(ISERROR((AD175/V175-1)*100),"NA",IF(((AD175/V175-1)*100)&gt;100,"NM",IF(((AD175/V175-1)*100)&lt;-50,"NM",(AD175/V175-1)*100)))</f>
        <v>22.805429864253291</v>
      </c>
      <c r="AF175" s="72">
        <f t="shared" ref="AF175:AH175" si="1050">AF168-AF174</f>
        <v>63.000000000000014</v>
      </c>
      <c r="AG175" s="23">
        <f>IF(ISERROR((AF175/X175-1)*100),"NA",IF(((AF175/X175-1)*100)&gt;100,"NM",IF(((AF175/X175-1)*100)&lt;-50,"NM",(AF175/X175-1)*100)))</f>
        <v>13.309352517985552</v>
      </c>
      <c r="AH175" s="72">
        <f t="shared" si="1050"/>
        <v>60.880000000000024</v>
      </c>
      <c r="AI175" s="23">
        <f>IF(ISERROR((AH175/Z175-1)*100),"NA",IF(((AH175/Z175-1)*100)&gt;100,"NM",IF(((AH175/Z175-1)*100)&lt;-50,"NM",(AH175/Z175-1)*100)))</f>
        <v>17.984496124030901</v>
      </c>
      <c r="AJ175" s="72">
        <f t="shared" ref="AJ175:AL175" si="1051">AJ168-AJ174</f>
        <v>55.999999999999943</v>
      </c>
      <c r="AK175" s="23">
        <f>IF(ISERROR((AJ175/AB175-1)*100),"NA",IF(((AJ175/AB175-1)*100)&gt;100,"NM",IF(((AJ175/AB175-1)*100)&lt;-50,"NM",(AJ175/AB175-1)*100)))</f>
        <v>-2.9462738301561542</v>
      </c>
      <c r="AL175" s="72">
        <f t="shared" si="1051"/>
        <v>64.399999999999963</v>
      </c>
      <c r="AM175" s="23">
        <f>IF(ISERROR((AL175/AD175-1)*100),"NA",IF(((AL175/AD175-1)*100)&gt;100,"NM",IF(((AL175/AD175-1)*100)&lt;-50,"NM",(AL175/AD175-1)*100)))</f>
        <v>18.644067796610187</v>
      </c>
      <c r="AN175" s="72">
        <f t="shared" ref="AN175" si="1052">AN168-AN174</f>
        <v>52.000000000000036</v>
      </c>
      <c r="AO175" s="23">
        <f>IF(ISERROR((AN175/AF175-1)*100),"NA",IF(((AN175/AF175-1)*100)&gt;100,"NM",IF(((AN175/AF175-1)*100)&lt;-50,"NM",(AN175/AF175-1)*100)))</f>
        <v>-17.46031746031742</v>
      </c>
      <c r="AP175" s="72"/>
      <c r="AQ175" s="23"/>
      <c r="AR175" s="72"/>
      <c r="AS175" s="23"/>
      <c r="AT175" s="72"/>
      <c r="AU175" s="23"/>
      <c r="AV175" s="72"/>
      <c r="AW175" s="23" t="str">
        <f t="shared" si="1044"/>
        <v>NM</v>
      </c>
      <c r="AX175" s="72"/>
      <c r="AY175" s="23"/>
      <c r="AZ175" s="72"/>
      <c r="BA175" s="23"/>
      <c r="BB175" s="72"/>
      <c r="BC175" s="23" t="str">
        <f t="shared" si="1045"/>
        <v>NA</v>
      </c>
      <c r="BD175" s="72"/>
      <c r="BE175" s="23" t="str">
        <f t="shared" si="1046"/>
        <v>NA</v>
      </c>
      <c r="BF175" s="72"/>
      <c r="BG175" s="23"/>
      <c r="BH175" s="72"/>
      <c r="BI175" s="23"/>
      <c r="BJ175" s="72"/>
      <c r="BK175" s="23"/>
      <c r="BL175" s="72"/>
      <c r="BM175" s="23" t="str">
        <f t="shared" si="1047"/>
        <v>NA</v>
      </c>
      <c r="BN175" s="35"/>
      <c r="BO175" s="137"/>
      <c r="BP175" s="35"/>
      <c r="BQ175" s="73">
        <f>BQ168-BQ174</f>
        <v>42.699999999999989</v>
      </c>
      <c r="BR175" s="37"/>
      <c r="BS175" s="73">
        <f>BS168-BS174</f>
        <v>125.20000000000006</v>
      </c>
      <c r="BT175" s="35"/>
      <c r="BU175" s="73">
        <f>BU168-BU174</f>
        <v>121.60000000000014</v>
      </c>
      <c r="BV175" s="23">
        <f t="shared" si="1041"/>
        <v>-2.8753993610223016</v>
      </c>
      <c r="BW175" s="73">
        <f>BW168-BW174</f>
        <v>199.80000000000007</v>
      </c>
      <c r="BX175" s="23">
        <f t="shared" si="1042"/>
        <v>64.309210526315667</v>
      </c>
      <c r="BY175" s="73">
        <f>BY168-BY174</f>
        <v>189.97499999999997</v>
      </c>
      <c r="BZ175" s="23">
        <f>IF(ISERROR((BY175/BW175-1)*100),"NA",IF(((BY175/BW175-1)*100)&gt;100,"NM",IF(((BY175/BW175-1)*100)&lt;-50,"NM",(BY175/BW175-1)*100)))</f>
        <v>-4.917417417417469</v>
      </c>
      <c r="CA175" s="73">
        <f>CA168-CA174</f>
        <v>226.5800000000001</v>
      </c>
      <c r="CB175" s="23">
        <f>IF(ISERROR((CA175/BY175-1)*100),"NA",IF(((CA175/BY175-1)*100)&gt;100,"NM",IF(((CA175/BY175-1)*100)&lt;-50,"NM",(CA175/BY175-1)*100)))</f>
        <v>19.268324779576339</v>
      </c>
      <c r="CC175" s="73">
        <f>CC168-CC174</f>
        <v>233.28000000000014</v>
      </c>
      <c r="CD175" s="23">
        <f>IF(ISERROR((CC175/CA175-1)*100),"NA",IF(((CC175/CA175-1)*100)&gt;100,"NM",IF(((CC175/CA175-1)*100)&lt;-50,"NM",(CC175/CA175-1)*100)))</f>
        <v>2.9570129755494889</v>
      </c>
      <c r="CE175" s="73">
        <f>CE168-CE174</f>
        <v>0</v>
      </c>
      <c r="CF175" s="23" t="str">
        <f>IF(ISERROR((CE175/CC175-1)*100),"NA",IF(((CE175/CC175-1)*100)&gt;100,"NM",IF(((CE175/CC175-1)*100)&lt;-50,"NM",(CE175/CC175-1)*100)))</f>
        <v>NM</v>
      </c>
      <c r="CG175" s="73"/>
      <c r="CH175" s="23" t="str">
        <f>IF(ISERROR((CG175/CE175-1)*100),"NA",IF(((CG175/CE175-1)*100)&gt;100,"NM",IF(((CG175/CE175-1)*100)&lt;-50,"NM",(CG175/CE175-1)*100)))</f>
        <v>NA</v>
      </c>
      <c r="CI175" s="73"/>
      <c r="CJ175" s="23"/>
      <c r="CK175" s="73"/>
      <c r="CL175" s="23"/>
      <c r="CM175" s="73"/>
      <c r="CN175" s="23"/>
      <c r="CO175" s="73"/>
      <c r="CP175" s="23"/>
      <c r="CQ175" s="73"/>
      <c r="CR175" s="23"/>
      <c r="CS175" s="23"/>
    </row>
    <row r="176" spans="1:97" ht="12.75" hidden="1" customHeight="1" outlineLevel="1" x14ac:dyDescent="0.2">
      <c r="A176" s="4" t="s">
        <v>131</v>
      </c>
      <c r="B176" s="35">
        <f t="shared" ref="B176:Z176" si="1053">B175/B145*100</f>
        <v>7.7865266841644729</v>
      </c>
      <c r="C176" s="59"/>
      <c r="D176" s="35">
        <f t="shared" si="1053"/>
        <v>11.365494685200336</v>
      </c>
      <c r="E176" s="59"/>
      <c r="F176" s="35">
        <f t="shared" si="1053"/>
        <v>8.8036117381489856</v>
      </c>
      <c r="G176" s="59"/>
      <c r="H176" s="35">
        <f t="shared" si="1053"/>
        <v>7.1289695398574198</v>
      </c>
      <c r="I176" s="59"/>
      <c r="J176" s="35">
        <f t="shared" si="1053"/>
        <v>14.479504570923011</v>
      </c>
      <c r="K176" s="23">
        <f>IF(ISERROR((J176/B176-1)*100),"NA",IF(((J176/B176-1)*100)&gt;100,"NM",IF(((J176/B176-1)*100)&lt;-50,"NM",(J176/B176-1)*100)))</f>
        <v>85.955884545674337</v>
      </c>
      <c r="L176" s="35">
        <f t="shared" si="1053"/>
        <v>17.097791798107263</v>
      </c>
      <c r="M176" s="23">
        <f>IF(ISERROR((L176/D176-1)*100),"NA",IF(((L176/D176-1)*100)&gt;100,"NM",IF(((L176/D176-1)*100)&lt;-50,"NM",(L176/D176-1)*100)))</f>
        <v>50.43596668406596</v>
      </c>
      <c r="N176" s="35">
        <f t="shared" si="1053"/>
        <v>15.115511551155125</v>
      </c>
      <c r="O176" s="23">
        <f>IF(ISERROR((N176/F176-1)*100),"NA",IF(((N176/F176-1)*100)&gt;100,"NM",IF(((N176/F176-1)*100)&lt;-50,"NM",(N176/F176-1)*100)))</f>
        <v>71.696708132351787</v>
      </c>
      <c r="P176" s="35">
        <f t="shared" si="1053"/>
        <v>16.136218968809679</v>
      </c>
      <c r="Q176" s="23" t="str">
        <f>IF(ISERROR((P176/H176-1)*100),"NA",IF(((P176/H176-1)*100)&gt;100,"NM",IF(((P176/H176-1)*100)&lt;-50,"NM",(P176/H176-1)*100)))</f>
        <v>NM</v>
      </c>
      <c r="R176" s="35">
        <f t="shared" si="1053"/>
        <v>14.985236220472428</v>
      </c>
      <c r="S176" s="23">
        <f>IF(ISERROR((R176/J176-1)*100),"NA",IF(((R176/J176-1)*100)&gt;100,"NM",IF(((R176/J176-1)*100)&lt;-50,"NM",(R176/J176-1)*100)))</f>
        <v>3.4927413923056649</v>
      </c>
      <c r="T176" s="35">
        <f t="shared" si="1053"/>
        <v>14.887922382067572</v>
      </c>
      <c r="U176" s="23">
        <f>IF(ISERROR((T176/L176-1)*100),"NA",IF(((T176/L176-1)*100)&gt;100,"NM",IF(((T176/L176-1)*100)&lt;-50,"NM",(T176/L176-1)*100)))</f>
        <v>-12.924882008940619</v>
      </c>
      <c r="V176" s="35">
        <f t="shared" si="1053"/>
        <v>14.23510466988728</v>
      </c>
      <c r="W176" s="23">
        <f>IF(ISERROR((V176/N176-1)*100),"NA",IF(((V176/N176-1)*100)&gt;100,"NM",IF(((V176/N176-1)*100)&lt;-50,"NM",(V176/N176-1)*100)))</f>
        <v>-5.8245258738898853</v>
      </c>
      <c r="X176" s="35">
        <f t="shared" si="1053"/>
        <v>18.490189557698713</v>
      </c>
      <c r="Y176" s="23">
        <f>IF(ISERROR((X176/P176-1)*100),"NA",IF(((X176/P176-1)*100)&gt;100,"NM",IF(((X176/P176-1)*100)&lt;-50,"NM",(X176/P176-1)*100)))</f>
        <v>14.588117535087463</v>
      </c>
      <c r="Z176" s="35">
        <f t="shared" si="1053"/>
        <v>17.738054314197338</v>
      </c>
      <c r="AA176" s="23">
        <f>IF(ISERROR((Z176/R176-1)*100),"NA",IF(((Z176/R176-1)*100)&gt;100,"NM",IF(((Z176/R176-1)*100)&lt;-50,"NM",(Z176/R176-1)*100)))</f>
        <v>18.370201531852292</v>
      </c>
      <c r="AB176" s="35">
        <f t="shared" ref="AB176:AD176" si="1054">AB175/AB145*100</f>
        <v>19.291206954195935</v>
      </c>
      <c r="AC176" s="23">
        <f>IF(ISERROR((AB176/T176-1)*100),"NA",IF(((AB176/T176-1)*100)&gt;100,"NM",IF(((AB176/T176-1)*100)&lt;-50,"NM",(AB176/T176-1)*100)))</f>
        <v>29.576219294588068</v>
      </c>
      <c r="AD176" s="35">
        <f t="shared" si="1054"/>
        <v>18.069241011984008</v>
      </c>
      <c r="AE176" s="23">
        <f>IF(ISERROR((AD176/V176-1)*100),"NA",IF(((AD176/V176-1)*100)&gt;100,"NM",IF(((AD176/V176-1)*100)&lt;-50,"NM",(AD176/V176-1)*100)))</f>
        <v>26.93437407739896</v>
      </c>
      <c r="AF176" s="35">
        <f t="shared" ref="AF176:AH176" si="1055">AF175/AF145*100</f>
        <v>20.874751491053679</v>
      </c>
      <c r="AG176" s="23">
        <f>IF(ISERROR((AF176/X176-1)*100),"NA",IF(((AF176/X176-1)*100)&gt;100,"NM",IF(((AF176/X176-1)*100)&lt;-50,"NM",(AF176/X176-1)*100)))</f>
        <v>12.896362830212915</v>
      </c>
      <c r="AH176" s="35">
        <f t="shared" si="1055"/>
        <v>20.985866942433653</v>
      </c>
      <c r="AI176" s="23">
        <f>IF(ISERROR((AH176/Z176-1)*100),"NA",IF(((AH176/Z176-1)*100)&gt;100,"NM",IF(((AH176/Z176-1)*100)&lt;-50,"NM",(AH176/Z176-1)*100)))</f>
        <v>18.309858402208199</v>
      </c>
      <c r="AJ176" s="35">
        <f t="shared" ref="AJ176:AL176" si="1056">AJ175/AJ145*100</f>
        <v>19.697502638058374</v>
      </c>
      <c r="AK176" s="23">
        <f>IF(ISERROR((AJ176/AB176-1)*100),"NA",IF(((AJ176/AB176-1)*100)&gt;100,"NM",IF(((AJ176/AB176-1)*100)&lt;-50,"NM",(AJ176/AB176-1)*100)))</f>
        <v>2.1061185276127548</v>
      </c>
      <c r="AL176" s="35">
        <f t="shared" si="1056"/>
        <v>21.121679239094775</v>
      </c>
      <c r="AM176" s="23">
        <f>IF(ISERROR((AL176/AD176-1)*100),"NA",IF(((AL176/AD176-1)*100)&gt;100,"NM",IF(((AL176/AD176-1)*100)&lt;-50,"NM",(AL176/AD176-1)*100)))</f>
        <v>16.893007432278463</v>
      </c>
      <c r="AN176" s="409">
        <f t="shared" ref="AN176" si="1057">AN175/AN145*100</f>
        <v>17.711171662125352</v>
      </c>
      <c r="AO176" s="23">
        <f>IF(ISERROR((AN176/AF176-1)*100),"NA",IF(((AN176/AF176-1)*100)&gt;100,"NM",IF(((AN176/AF176-1)*100)&lt;-50,"NM",(AN176/AF176-1)*100)))</f>
        <v>-15.155053847151889</v>
      </c>
      <c r="AP176" s="409"/>
      <c r="AQ176" s="23"/>
      <c r="AR176" s="409"/>
      <c r="AS176" s="23"/>
      <c r="AT176" s="409"/>
      <c r="AU176" s="23"/>
      <c r="AV176" s="409"/>
      <c r="AW176" s="23" t="str">
        <f t="shared" si="1044"/>
        <v>NM</v>
      </c>
      <c r="AX176" s="409"/>
      <c r="AY176" s="23"/>
      <c r="AZ176" s="409"/>
      <c r="BA176" s="23"/>
      <c r="BB176" s="409"/>
      <c r="BC176" s="23" t="str">
        <f t="shared" si="1045"/>
        <v>NA</v>
      </c>
      <c r="BD176" s="409"/>
      <c r="BE176" s="23" t="str">
        <f t="shared" si="1046"/>
        <v>NA</v>
      </c>
      <c r="BF176" s="35"/>
      <c r="BG176" s="23"/>
      <c r="BH176" s="35"/>
      <c r="BI176" s="23"/>
      <c r="BJ176" s="35"/>
      <c r="BK176" s="23"/>
      <c r="BL176" s="35"/>
      <c r="BM176" s="23" t="str">
        <f t="shared" si="1047"/>
        <v>NA</v>
      </c>
      <c r="BN176" s="35"/>
      <c r="BO176" s="138"/>
      <c r="BP176" s="35"/>
      <c r="BQ176" s="113"/>
      <c r="BR176" s="113"/>
      <c r="BS176" s="113"/>
      <c r="BT176" s="35"/>
      <c r="BU176" s="35">
        <f>BU175/BU145*100</f>
        <v>8.8578088578088661</v>
      </c>
      <c r="BV176" s="23" t="str">
        <f t="shared" si="1041"/>
        <v>NA</v>
      </c>
      <c r="BW176" s="35">
        <f>BW175/BW145*100</f>
        <v>15.6915102489594</v>
      </c>
      <c r="BX176" s="23">
        <f t="shared" si="1042"/>
        <v>77.148892021146736</v>
      </c>
      <c r="BY176" s="35">
        <f>BY175/BY145*100</f>
        <v>15.637089472384554</v>
      </c>
      <c r="CA176" s="35">
        <f>CA175/CA145*100</f>
        <v>19.005200469719853</v>
      </c>
      <c r="CB176" s="23">
        <f>IF(ISERROR((CA176/BY176-1)*100),"NA",IF(((CA176/BY176-1)*100)&gt;100,"NM",IF(((CA176/BY176-1)*100)&lt;-50,"NM",(CA176/BY176-1)*100)))</f>
        <v>21.53924490413295</v>
      </c>
      <c r="CC176" s="35">
        <f>CC175/CC145*100</f>
        <v>19.889163611561099</v>
      </c>
      <c r="CD176" s="23">
        <f>IF(ISERROR((CC176/CA176-1)*100),"NA",IF(((CC176/CA176-1)*100)&gt;100,"NM",IF(((CC176/CA176-1)*100)&lt;-50,"NM",(CC176/CA176-1)*100)))</f>
        <v>4.6511645233609844</v>
      </c>
      <c r="CE176" s="35" t="e">
        <f>CE175/CE145*100</f>
        <v>#DIV/0!</v>
      </c>
      <c r="CF176" s="23" t="str">
        <f>IF(ISERROR((CE176/CC176-1)*100),"NA",IF(((CE176/CC176-1)*100)&gt;100,"NM",IF(((CE176/CC176-1)*100)&lt;-50,"NM",(CE176/CC176-1)*100)))</f>
        <v>NA</v>
      </c>
      <c r="CG176" s="35"/>
      <c r="CH176" s="23" t="str">
        <f>IF(ISERROR((CG176/CE176-1)*100),"NA",IF(((CG176/CE176-1)*100)&gt;100,"NM",IF(((CG176/CE176-1)*100)&lt;-50,"NM",(CG176/CE176-1)*100)))</f>
        <v>NA</v>
      </c>
      <c r="CI176" s="35"/>
      <c r="CJ176" s="23"/>
      <c r="CK176" s="35"/>
      <c r="CL176" s="23"/>
      <c r="CM176" s="35"/>
      <c r="CN176" s="23"/>
      <c r="CO176" s="35"/>
      <c r="CP176" s="23"/>
      <c r="CQ176" s="35"/>
      <c r="CR176" s="23"/>
      <c r="CS176" s="23"/>
    </row>
    <row r="177" spans="1:105" ht="12.75" hidden="1" customHeight="1" outlineLevel="1" x14ac:dyDescent="0.2">
      <c r="B177" s="35"/>
      <c r="C177" s="59"/>
      <c r="D177" s="35"/>
      <c r="E177" s="59"/>
      <c r="F177" s="35"/>
      <c r="G177" s="59"/>
      <c r="H177" s="35"/>
      <c r="I177" s="59"/>
      <c r="J177" s="35"/>
      <c r="K177" s="23"/>
      <c r="L177" s="35"/>
      <c r="M177" s="23"/>
      <c r="N177" s="35"/>
      <c r="O177" s="23"/>
      <c r="P177" s="35"/>
      <c r="Q177" s="23"/>
      <c r="R177" s="35"/>
      <c r="S177" s="23"/>
      <c r="T177" s="35"/>
      <c r="U177" s="23"/>
      <c r="V177" s="35"/>
      <c r="W177" s="23"/>
      <c r="X177" s="35"/>
      <c r="Y177" s="23"/>
      <c r="Z177" s="35"/>
      <c r="AA177" s="23"/>
      <c r="AB177" s="35"/>
      <c r="AC177" s="23"/>
      <c r="AD177" s="35"/>
      <c r="AE177" s="23"/>
      <c r="AF177" s="35"/>
      <c r="AG177" s="23"/>
      <c r="AH177" s="35"/>
      <c r="AI177" s="23"/>
      <c r="AJ177" s="35"/>
      <c r="AK177" s="23"/>
      <c r="AL177" s="35"/>
      <c r="AM177" s="23"/>
      <c r="AN177" s="409"/>
      <c r="AO177" s="23"/>
      <c r="AP177" s="409"/>
      <c r="AQ177" s="23"/>
      <c r="AR177" s="409"/>
      <c r="AS177" s="23"/>
      <c r="AT177" s="409"/>
      <c r="AU177" s="23"/>
      <c r="AV177" s="409"/>
      <c r="AW177" s="23"/>
      <c r="AX177" s="409"/>
      <c r="AY177" s="23"/>
      <c r="AZ177" s="409"/>
      <c r="BA177" s="23"/>
      <c r="BB177" s="409"/>
      <c r="BC177" s="23"/>
      <c r="BD177" s="409"/>
      <c r="BE177" s="23"/>
      <c r="BF177" s="35"/>
      <c r="BG177" s="23"/>
      <c r="BH177" s="35"/>
      <c r="BI177" s="23"/>
      <c r="BJ177" s="35"/>
      <c r="BK177" s="23"/>
      <c r="BL177" s="35"/>
      <c r="BM177" s="23"/>
      <c r="BN177" s="35"/>
      <c r="BO177" s="138"/>
      <c r="BP177" s="35"/>
      <c r="BQ177" s="113"/>
      <c r="BR177" s="113"/>
      <c r="BS177" s="113"/>
      <c r="BT177" s="35"/>
      <c r="BU177" s="35"/>
      <c r="BV177" s="23"/>
      <c r="BW177" s="35"/>
      <c r="BX177" s="23"/>
      <c r="BY177" s="35"/>
      <c r="BZ177" s="23"/>
      <c r="CA177" s="35"/>
      <c r="CB177" s="23"/>
      <c r="CC177" s="35"/>
      <c r="CD177" s="23"/>
      <c r="CE177" s="35"/>
      <c r="CF177" s="23"/>
      <c r="CG177" s="35"/>
      <c r="CH177" s="23"/>
      <c r="CI177" s="35"/>
      <c r="CJ177" s="23"/>
      <c r="CK177" s="35"/>
      <c r="CL177" s="23"/>
      <c r="CM177" s="35"/>
      <c r="CN177" s="23"/>
      <c r="CO177" s="35"/>
      <c r="CP177" s="23"/>
      <c r="CQ177" s="35"/>
      <c r="CR177" s="23"/>
      <c r="CS177" s="23"/>
    </row>
    <row r="178" spans="1:105" ht="12.75" hidden="1" customHeight="1" outlineLevel="1" x14ac:dyDescent="0.2">
      <c r="A178" s="3" t="s">
        <v>506</v>
      </c>
      <c r="B178" s="115"/>
      <c r="C178" s="59"/>
      <c r="D178" s="115"/>
      <c r="E178" s="59"/>
      <c r="F178" s="115"/>
      <c r="G178" s="59"/>
      <c r="H178" s="115"/>
      <c r="I178" s="59"/>
      <c r="J178" s="115"/>
      <c r="K178" s="23"/>
      <c r="L178" s="115"/>
      <c r="M178" s="23"/>
      <c r="N178" s="115"/>
      <c r="O178" s="23"/>
      <c r="P178" s="115"/>
      <c r="Q178" s="23"/>
      <c r="R178" s="526"/>
      <c r="S178" s="23"/>
      <c r="T178" s="526"/>
      <c r="U178" s="23"/>
      <c r="V178" s="526"/>
      <c r="W178" s="23" t="str">
        <f t="shared" ref="W178:W181" si="1058">IF(ISERROR((V178/N178-1)*100),"NA",IF(((V178/N178-1)*100)&gt;100,"NM",IF(((V178/N178-1)*100)&lt;-50,"NM",(V178/N178-1)*100)))</f>
        <v>NA</v>
      </c>
      <c r="X178" s="526">
        <v>7.3</v>
      </c>
      <c r="Y178" s="23" t="str">
        <f t="shared" ref="Y178:Y181" si="1059">IF(ISERROR((X178/P178-1)*100),"NA",IF(((X178/P178-1)*100)&gt;100,"NM",IF(((X178/P178-1)*100)&lt;-50,"NM",(X178/P178-1)*100)))</f>
        <v>NA</v>
      </c>
      <c r="Z178" s="526">
        <v>7.5</v>
      </c>
      <c r="AA178" s="23" t="str">
        <f t="shared" ref="AA178:AA181" si="1060">IF(ISERROR((Z178/R178-1)*100),"NA",IF(((Z178/R178-1)*100)&gt;100,"NM",IF(((Z178/R178-1)*100)&lt;-50,"NM",(Z178/R178-1)*100)))</f>
        <v>NA</v>
      </c>
      <c r="AB178" s="526">
        <v>7.8</v>
      </c>
      <c r="AC178" s="23" t="str">
        <f t="shared" ref="AC178:AC181" si="1061">IF(ISERROR((AB178/T178-1)*100),"NA",IF(((AB178/T178-1)*100)&gt;100,"NM",IF(((AB178/T178-1)*100)&lt;-50,"NM",(AB178/T178-1)*100)))</f>
        <v>NA</v>
      </c>
      <c r="AD178" s="526">
        <v>8.6</v>
      </c>
      <c r="AE178" s="23" t="str">
        <f t="shared" ref="AE178:AE181" si="1062">IF(ISERROR((AD178/V178-1)*100),"NA",IF(((AD178/V178-1)*100)&gt;100,"NM",IF(((AD178/V178-1)*100)&lt;-50,"NM",(AD178/V178-1)*100)))</f>
        <v>NA</v>
      </c>
      <c r="AF178" s="526">
        <v>9</v>
      </c>
      <c r="AG178" s="23">
        <f t="shared" ref="AG178:AG181" si="1063">IF(ISERROR((AF178/X178-1)*100),"NA",IF(((AF178/X178-1)*100)&gt;100,"NM",IF(((AF178/X178-1)*100)&lt;-50,"NM",(AF178/X178-1)*100)))</f>
        <v>23.287671232876718</v>
      </c>
      <c r="AH178" s="526">
        <v>9.5</v>
      </c>
      <c r="AI178" s="23">
        <f t="shared" ref="AI178:AI181" si="1064">IF(ISERROR((AH178/Z178-1)*100),"NA",IF(((AH178/Z178-1)*100)&gt;100,"NM",IF(((AH178/Z178-1)*100)&lt;-50,"NM",(AH178/Z178-1)*100)))</f>
        <v>26.666666666666661</v>
      </c>
      <c r="AJ178" s="526">
        <v>9.5</v>
      </c>
      <c r="AK178" s="23">
        <f t="shared" ref="AK178:AK181" si="1065">IF(ISERROR((AJ178/AB178-1)*100),"NA",IF(((AJ178/AB178-1)*100)&gt;100,"NM",IF(((AJ178/AB178-1)*100)&lt;-50,"NM",(AJ178/AB178-1)*100)))</f>
        <v>21.794871794871806</v>
      </c>
      <c r="AL178" s="526">
        <v>9.6999999999999993</v>
      </c>
      <c r="AM178" s="23">
        <f t="shared" ref="AM178:AM181" si="1066">IF(ISERROR((AL178/AD178-1)*100),"NA",IF(((AL178/AD178-1)*100)&gt;100,"NM",IF(((AL178/AD178-1)*100)&lt;-50,"NM",(AL178/AD178-1)*100)))</f>
        <v>12.790697674418606</v>
      </c>
      <c r="AN178" s="526">
        <v>9.3000000000000007</v>
      </c>
      <c r="AO178" s="23">
        <f t="shared" ref="AO178:AO181" si="1067">IF(ISERROR((AN178/AF178-1)*100),"NA",IF(((AN178/AF178-1)*100)&gt;100,"NM",IF(((AN178/AF178-1)*100)&lt;-50,"NM",(AN178/AF178-1)*100)))</f>
        <v>3.3333333333333437</v>
      </c>
      <c r="AP178" s="526"/>
      <c r="AQ178" s="23"/>
      <c r="AR178" s="530"/>
      <c r="AS178" s="23"/>
      <c r="AT178" s="530"/>
      <c r="AU178" s="23"/>
      <c r="AV178" s="530"/>
      <c r="AW178" s="23"/>
      <c r="AX178" s="530"/>
      <c r="AY178" s="23"/>
      <c r="AZ178" s="530"/>
      <c r="BA178" s="23"/>
      <c r="BB178" s="530"/>
      <c r="BC178" s="23"/>
      <c r="BD178" s="530"/>
      <c r="BE178" s="23"/>
      <c r="BF178" s="533"/>
      <c r="BG178" s="23"/>
      <c r="BH178" s="533"/>
      <c r="BI178" s="23"/>
      <c r="BJ178" s="533"/>
      <c r="BK178" s="23"/>
      <c r="BL178" s="533"/>
      <c r="BM178" s="23"/>
      <c r="BN178" s="35"/>
      <c r="BO178" s="138"/>
      <c r="BP178" s="35"/>
      <c r="BQ178" s="113"/>
      <c r="BR178" s="113"/>
      <c r="BS178" s="113"/>
      <c r="BT178" s="35"/>
      <c r="BU178" s="115"/>
      <c r="BV178" s="23"/>
      <c r="BW178" s="115"/>
      <c r="BX178" s="23"/>
      <c r="BY178" s="533">
        <f>X178</f>
        <v>7.3</v>
      </c>
      <c r="BZ178" s="23">
        <f>IF(ISERROR((BY176/BW176-1)*100),"NA",IF(((BY176/BW176-1)*100)&gt;100,"NM",IF(((BY176/BW176-1)*100)&lt;-50,"NM",(BY176/BW176-1)*100)))</f>
        <v>-0.34681669075451449</v>
      </c>
      <c r="CA178" s="533">
        <f>AF178</f>
        <v>9</v>
      </c>
      <c r="CB178" s="23">
        <f t="shared" ref="CB178:CB181" si="1068">IF(ISERROR((CA178/BY178-1)*100),"NA",IF(((CA178/BY178-1)*100)&gt;100,"NM",IF(((CA178/BY178-1)*100)&lt;-50,"NM",(CA178/BY178-1)*100)))</f>
        <v>23.287671232876718</v>
      </c>
      <c r="CC178" s="533">
        <f>AN178</f>
        <v>9.3000000000000007</v>
      </c>
      <c r="CD178" s="23">
        <f t="shared" ref="CD178:CD181" si="1069">IF(ISERROR((CC178/CA178-1)*100),"NA",IF(((CC178/CA178-1)*100)&gt;100,"NM",IF(((CC178/CA178-1)*100)&lt;-50,"NM",(CC178/CA178-1)*100)))</f>
        <v>3.3333333333333437</v>
      </c>
      <c r="CE178" s="533">
        <f>AV178</f>
        <v>0</v>
      </c>
      <c r="CF178" s="23"/>
      <c r="CG178" s="533"/>
      <c r="CH178" s="23"/>
      <c r="CI178" s="533"/>
      <c r="CJ178" s="23"/>
      <c r="CK178" s="409"/>
      <c r="CL178" s="23"/>
      <c r="CM178" s="409"/>
      <c r="CN178" s="23"/>
      <c r="CO178" s="409"/>
      <c r="CP178" s="23"/>
      <c r="CQ178" s="409"/>
      <c r="CR178" s="23"/>
      <c r="CS178" s="23"/>
    </row>
    <row r="179" spans="1:105" ht="12.75" hidden="1" customHeight="1" outlineLevel="1" x14ac:dyDescent="0.2">
      <c r="A179" s="408" t="s">
        <v>503</v>
      </c>
      <c r="B179" s="115"/>
      <c r="C179" s="59"/>
      <c r="D179" s="115"/>
      <c r="E179" s="59"/>
      <c r="F179" s="115"/>
      <c r="G179" s="59"/>
      <c r="H179" s="115"/>
      <c r="I179" s="59"/>
      <c r="J179" s="115"/>
      <c r="K179" s="23"/>
      <c r="L179" s="115"/>
      <c r="M179" s="23"/>
      <c r="N179" s="115"/>
      <c r="O179" s="23"/>
      <c r="P179" s="115"/>
      <c r="Q179" s="23"/>
      <c r="R179" s="115"/>
      <c r="S179" s="23"/>
      <c r="T179" s="529"/>
      <c r="U179" s="23"/>
      <c r="V179" s="529"/>
      <c r="W179" s="23" t="str">
        <f t="shared" si="1058"/>
        <v>NA</v>
      </c>
      <c r="X179" s="48">
        <v>1810</v>
      </c>
      <c r="Y179" s="23" t="str">
        <f t="shared" si="1059"/>
        <v>NA</v>
      </c>
      <c r="Z179" s="529">
        <f t="shared" ref="Z179" si="1070">X180</f>
        <v>1713</v>
      </c>
      <c r="AA179" s="23" t="str">
        <f t="shared" si="1060"/>
        <v>NA</v>
      </c>
      <c r="AB179" s="529">
        <f t="shared" ref="AB179" si="1071">Z180</f>
        <v>1702</v>
      </c>
      <c r="AC179" s="23" t="str">
        <f t="shared" si="1061"/>
        <v>NA</v>
      </c>
      <c r="AD179" s="529">
        <f t="shared" ref="AD179" si="1072">AB180</f>
        <v>1696</v>
      </c>
      <c r="AE179" s="23" t="str">
        <f t="shared" si="1062"/>
        <v>NA</v>
      </c>
      <c r="AF179" s="529">
        <f t="shared" ref="AF179" si="1073">AD180</f>
        <v>1694</v>
      </c>
      <c r="AG179" s="23">
        <f t="shared" si="1063"/>
        <v>-6.4088397790055263</v>
      </c>
      <c r="AH179" s="529">
        <f t="shared" ref="AH179" si="1074">AF180</f>
        <v>1660</v>
      </c>
      <c r="AI179" s="23">
        <f t="shared" si="1064"/>
        <v>-3.0939871570344391</v>
      </c>
      <c r="AJ179" s="529">
        <f t="shared" ref="AJ179" si="1075">AH180</f>
        <v>1664</v>
      </c>
      <c r="AK179" s="23">
        <f t="shared" si="1065"/>
        <v>-2.2326674500587562</v>
      </c>
      <c r="AL179" s="529">
        <f t="shared" ref="AL179" si="1076">AJ180</f>
        <v>1713</v>
      </c>
      <c r="AM179" s="23">
        <f t="shared" si="1066"/>
        <v>1.0023584905660465</v>
      </c>
      <c r="AN179" s="529">
        <f t="shared" ref="AN179" si="1077">AL180</f>
        <v>1722</v>
      </c>
      <c r="AO179" s="23">
        <f t="shared" si="1067"/>
        <v>1.6528925619834656</v>
      </c>
      <c r="AP179" s="529"/>
      <c r="AQ179" s="23"/>
      <c r="AR179" s="527"/>
      <c r="AS179" s="23"/>
      <c r="AT179" s="527"/>
      <c r="AU179" s="23"/>
      <c r="AV179" s="527"/>
      <c r="AW179" s="23"/>
      <c r="AX179" s="527"/>
      <c r="AY179" s="23"/>
      <c r="AZ179" s="527"/>
      <c r="BA179" s="23"/>
      <c r="BB179" s="527"/>
      <c r="BC179" s="23"/>
      <c r="BD179" s="527"/>
      <c r="BE179" s="23"/>
      <c r="BF179" s="529"/>
      <c r="BG179" s="23"/>
      <c r="BH179" s="529"/>
      <c r="BI179" s="23"/>
      <c r="BJ179" s="529"/>
      <c r="BK179" s="23"/>
      <c r="BL179" s="529"/>
      <c r="BM179" s="23"/>
      <c r="BN179" s="35"/>
      <c r="BO179" s="138"/>
      <c r="BP179" s="35"/>
      <c r="BQ179" s="113"/>
      <c r="BR179" s="113"/>
      <c r="BS179" s="113"/>
      <c r="BT179" s="35"/>
      <c r="BU179" s="115"/>
      <c r="BV179" s="23"/>
      <c r="BW179" s="115"/>
      <c r="BX179" s="23"/>
      <c r="BY179" s="527">
        <f>X179</f>
        <v>1810</v>
      </c>
      <c r="BZ179" s="23" t="str">
        <f t="shared" ref="BZ179:BZ181" si="1078">IF(ISERROR((BY179/BW179-1)*100),"NA",IF(((BY179/BW179-1)*100)&gt;100,"NM",IF(((BY179/BW179-1)*100)&lt;-50,"NM",(BY179/BW179-1)*100)))</f>
        <v>NA</v>
      </c>
      <c r="CA179" s="527">
        <f>AF179</f>
        <v>1694</v>
      </c>
      <c r="CB179" s="23">
        <f t="shared" si="1068"/>
        <v>-6.4088397790055263</v>
      </c>
      <c r="CC179" s="527">
        <f>AN179</f>
        <v>1722</v>
      </c>
      <c r="CD179" s="23">
        <f t="shared" si="1069"/>
        <v>1.6528925619834656</v>
      </c>
      <c r="CE179" s="527">
        <f>AV179</f>
        <v>0</v>
      </c>
      <c r="CF179" s="23"/>
      <c r="CG179" s="527"/>
      <c r="CH179" s="23"/>
      <c r="CI179" s="527"/>
      <c r="CJ179" s="23"/>
      <c r="CK179" s="410"/>
      <c r="CL179" s="23"/>
      <c r="CM179" s="410"/>
      <c r="CN179" s="23"/>
      <c r="CO179" s="410"/>
      <c r="CP179" s="23"/>
      <c r="CQ179" s="410"/>
      <c r="CR179" s="23"/>
      <c r="CS179" s="23"/>
    </row>
    <row r="180" spans="1:105" ht="12.75" hidden="1" customHeight="1" outlineLevel="1" x14ac:dyDescent="0.2">
      <c r="A180" s="408" t="s">
        <v>504</v>
      </c>
      <c r="B180" s="115"/>
      <c r="C180" s="59"/>
      <c r="D180" s="115"/>
      <c r="E180" s="59"/>
      <c r="F180" s="115"/>
      <c r="G180" s="59"/>
      <c r="H180" s="115"/>
      <c r="I180" s="59"/>
      <c r="J180" s="115"/>
      <c r="K180" s="23"/>
      <c r="L180" s="115"/>
      <c r="M180" s="23"/>
      <c r="N180" s="115"/>
      <c r="O180" s="23"/>
      <c r="P180" s="115"/>
      <c r="Q180" s="23"/>
      <c r="R180" s="528"/>
      <c r="S180" s="23"/>
      <c r="T180" s="528"/>
      <c r="U180" s="23"/>
      <c r="V180" s="528"/>
      <c r="W180" s="23" t="str">
        <f t="shared" si="1058"/>
        <v>NA</v>
      </c>
      <c r="X180" s="528">
        <v>1713</v>
      </c>
      <c r="Y180" s="23" t="str">
        <f t="shared" si="1059"/>
        <v>NA</v>
      </c>
      <c r="Z180" s="528">
        <v>1702</v>
      </c>
      <c r="AA180" s="23" t="str">
        <f t="shared" si="1060"/>
        <v>NA</v>
      </c>
      <c r="AB180" s="528">
        <v>1696</v>
      </c>
      <c r="AC180" s="23" t="str">
        <f t="shared" si="1061"/>
        <v>NA</v>
      </c>
      <c r="AD180" s="528">
        <v>1694</v>
      </c>
      <c r="AE180" s="23" t="str">
        <f t="shared" si="1062"/>
        <v>NA</v>
      </c>
      <c r="AF180" s="528">
        <v>1660</v>
      </c>
      <c r="AG180" s="23">
        <f t="shared" si="1063"/>
        <v>-3.0939871570344391</v>
      </c>
      <c r="AH180" s="528">
        <v>1664</v>
      </c>
      <c r="AI180" s="23">
        <f t="shared" si="1064"/>
        <v>-2.2326674500587562</v>
      </c>
      <c r="AJ180" s="528">
        <v>1713</v>
      </c>
      <c r="AK180" s="23">
        <f t="shared" si="1065"/>
        <v>1.0023584905660465</v>
      </c>
      <c r="AL180" s="528">
        <v>1722</v>
      </c>
      <c r="AM180" s="23">
        <f t="shared" si="1066"/>
        <v>1.6528925619834656</v>
      </c>
      <c r="AN180" s="528">
        <v>1656</v>
      </c>
      <c r="AO180" s="23">
        <f t="shared" si="1067"/>
        <v>-0.24096385542168308</v>
      </c>
      <c r="AP180" s="528"/>
      <c r="AQ180" s="23"/>
      <c r="AR180" s="528"/>
      <c r="AS180" s="23"/>
      <c r="AT180" s="528"/>
      <c r="AU180" s="23"/>
      <c r="AV180" s="528"/>
      <c r="AW180" s="23"/>
      <c r="AX180" s="528"/>
      <c r="AY180" s="23"/>
      <c r="AZ180" s="528"/>
      <c r="BA180" s="23"/>
      <c r="BB180" s="528"/>
      <c r="BC180" s="23"/>
      <c r="BD180" s="528"/>
      <c r="BE180" s="23"/>
      <c r="BF180" s="528"/>
      <c r="BG180" s="23"/>
      <c r="BH180" s="528"/>
      <c r="BI180" s="23"/>
      <c r="BJ180" s="528"/>
      <c r="BK180" s="23"/>
      <c r="BL180" s="528"/>
      <c r="BM180" s="23"/>
      <c r="BN180" s="35"/>
      <c r="BO180" s="138"/>
      <c r="BP180" s="35"/>
      <c r="BQ180" s="113"/>
      <c r="BR180" s="113"/>
      <c r="BS180" s="113"/>
      <c r="BT180" s="35"/>
      <c r="BU180" s="115"/>
      <c r="BV180" s="23"/>
      <c r="BW180" s="115"/>
      <c r="BX180" s="23"/>
      <c r="BY180" s="527">
        <f>X180</f>
        <v>1713</v>
      </c>
      <c r="BZ180" s="23" t="str">
        <f t="shared" si="1078"/>
        <v>NA</v>
      </c>
      <c r="CA180" s="527">
        <f>AF180</f>
        <v>1660</v>
      </c>
      <c r="CB180" s="23">
        <f t="shared" si="1068"/>
        <v>-3.0939871570344391</v>
      </c>
      <c r="CC180" s="527">
        <f>AN180</f>
        <v>1656</v>
      </c>
      <c r="CD180" s="23">
        <f t="shared" si="1069"/>
        <v>-0.24096385542168308</v>
      </c>
      <c r="CE180" s="527">
        <f>AV180</f>
        <v>0</v>
      </c>
      <c r="CF180" s="23"/>
      <c r="CG180" s="527"/>
      <c r="CH180" s="23"/>
      <c r="CI180" s="527"/>
      <c r="CJ180" s="23"/>
      <c r="CK180" s="538"/>
      <c r="CL180" s="23"/>
      <c r="CM180" s="538"/>
      <c r="CN180" s="23"/>
      <c r="CO180" s="538"/>
      <c r="CP180" s="23"/>
      <c r="CQ180" s="538"/>
      <c r="CR180" s="23"/>
      <c r="CS180" s="23"/>
    </row>
    <row r="181" spans="1:105" ht="12.75" hidden="1" customHeight="1" outlineLevel="1" x14ac:dyDescent="0.2">
      <c r="A181" s="408" t="s">
        <v>505</v>
      </c>
      <c r="B181" s="115"/>
      <c r="C181" s="59"/>
      <c r="D181" s="115"/>
      <c r="E181" s="59"/>
      <c r="F181" s="115"/>
      <c r="G181" s="59"/>
      <c r="H181" s="115"/>
      <c r="I181" s="59"/>
      <c r="J181" s="115"/>
      <c r="K181" s="23"/>
      <c r="L181" s="115"/>
      <c r="M181" s="23"/>
      <c r="N181" s="115"/>
      <c r="O181" s="23"/>
      <c r="P181" s="115"/>
      <c r="Q181" s="23"/>
      <c r="R181" s="528"/>
      <c r="S181" s="23"/>
      <c r="T181" s="528"/>
      <c r="U181" s="23"/>
      <c r="V181" s="528"/>
      <c r="W181" s="23" t="str">
        <f t="shared" si="1058"/>
        <v>NA</v>
      </c>
      <c r="X181" s="528">
        <v>1762</v>
      </c>
      <c r="Y181" s="23" t="str">
        <f t="shared" si="1059"/>
        <v>NA</v>
      </c>
      <c r="Z181" s="528">
        <v>1755</v>
      </c>
      <c r="AA181" s="23" t="str">
        <f t="shared" si="1060"/>
        <v>NA</v>
      </c>
      <c r="AB181" s="528">
        <v>1736</v>
      </c>
      <c r="AC181" s="23" t="str">
        <f t="shared" si="1061"/>
        <v>NA</v>
      </c>
      <c r="AD181" s="528">
        <v>1713</v>
      </c>
      <c r="AE181" s="23" t="str">
        <f t="shared" si="1062"/>
        <v>NA</v>
      </c>
      <c r="AF181" s="528">
        <v>1694</v>
      </c>
      <c r="AG181" s="23">
        <f t="shared" si="1063"/>
        <v>-3.8592508513053403</v>
      </c>
      <c r="AH181" s="528">
        <v>1683</v>
      </c>
      <c r="AI181" s="23">
        <f t="shared" si="1064"/>
        <v>-4.1025641025640986</v>
      </c>
      <c r="AJ181" s="528">
        <v>1680</v>
      </c>
      <c r="AK181" s="23">
        <f t="shared" si="1065"/>
        <v>-3.2258064516129004</v>
      </c>
      <c r="AL181" s="528">
        <v>1686</v>
      </c>
      <c r="AM181" s="23">
        <f t="shared" si="1066"/>
        <v>-1.5761821366024553</v>
      </c>
      <c r="AN181" s="528">
        <v>1689</v>
      </c>
      <c r="AO181" s="23">
        <f t="shared" si="1067"/>
        <v>-0.29515938606847758</v>
      </c>
      <c r="AP181" s="528"/>
      <c r="AQ181" s="23"/>
      <c r="AR181" s="528"/>
      <c r="AS181" s="23"/>
      <c r="AT181" s="528"/>
      <c r="AU181" s="23"/>
      <c r="AV181" s="528"/>
      <c r="AW181" s="23"/>
      <c r="AX181" s="528"/>
      <c r="AY181" s="23"/>
      <c r="AZ181" s="528"/>
      <c r="BA181" s="23"/>
      <c r="BB181" s="528"/>
      <c r="BC181" s="23"/>
      <c r="BD181" s="528"/>
      <c r="BE181" s="23"/>
      <c r="BF181" s="528"/>
      <c r="BG181" s="23"/>
      <c r="BH181" s="528"/>
      <c r="BI181" s="23"/>
      <c r="BJ181" s="528"/>
      <c r="BK181" s="23"/>
      <c r="BL181" s="528"/>
      <c r="BM181" s="23"/>
      <c r="BN181" s="35"/>
      <c r="BO181" s="138"/>
      <c r="BP181" s="35"/>
      <c r="BQ181" s="113"/>
      <c r="BR181" s="113"/>
      <c r="BS181" s="113"/>
      <c r="BT181" s="35"/>
      <c r="BU181" s="115"/>
      <c r="BV181" s="23"/>
      <c r="BW181" s="115"/>
      <c r="BX181" s="23"/>
      <c r="BY181" s="527">
        <f>X181</f>
        <v>1762</v>
      </c>
      <c r="BZ181" s="23" t="str">
        <f t="shared" si="1078"/>
        <v>NA</v>
      </c>
      <c r="CA181" s="527">
        <f>AF181</f>
        <v>1694</v>
      </c>
      <c r="CB181" s="23">
        <f t="shared" si="1068"/>
        <v>-3.8592508513053403</v>
      </c>
      <c r="CC181" s="527">
        <f>AN181</f>
        <v>1689</v>
      </c>
      <c r="CD181" s="23">
        <f t="shared" si="1069"/>
        <v>-0.29515938606847758</v>
      </c>
      <c r="CE181" s="527">
        <f>AV181</f>
        <v>0</v>
      </c>
      <c r="CF181" s="23"/>
      <c r="CG181" s="527"/>
      <c r="CH181" s="23"/>
      <c r="CI181" s="527"/>
      <c r="CJ181" s="23"/>
      <c r="CK181" s="410"/>
      <c r="CL181" s="23"/>
      <c r="CM181" s="410"/>
      <c r="CN181" s="23"/>
      <c r="CO181" s="410"/>
      <c r="CP181" s="23"/>
      <c r="CQ181" s="410"/>
      <c r="CR181" s="23"/>
      <c r="CS181" s="23"/>
    </row>
    <row r="182" spans="1:105" ht="12.75" hidden="1" customHeight="1" outlineLevel="1" x14ac:dyDescent="0.2">
      <c r="B182" s="5"/>
      <c r="D182" s="5"/>
      <c r="F182" s="5"/>
      <c r="H182" s="5"/>
      <c r="J182" s="5"/>
      <c r="L182" s="5"/>
      <c r="N182" s="5"/>
      <c r="P182" s="5"/>
      <c r="R182" s="5"/>
      <c r="T182" s="5"/>
      <c r="V182" s="5"/>
      <c r="X182" s="5"/>
      <c r="Z182" s="5"/>
      <c r="AB182" s="5"/>
      <c r="AD182" s="5"/>
      <c r="AF182" s="5"/>
      <c r="AH182" s="5"/>
      <c r="AJ182" s="5"/>
      <c r="AL182" s="5"/>
      <c r="AN182" s="475"/>
      <c r="AP182" s="475"/>
      <c r="AR182" s="475"/>
      <c r="AT182" s="475"/>
      <c r="AV182" s="475"/>
      <c r="AX182" s="475"/>
      <c r="AZ182" s="475"/>
      <c r="BB182" s="475"/>
      <c r="BD182" s="475"/>
      <c r="BF182" s="5"/>
      <c r="BH182" s="5"/>
      <c r="BJ182" s="5"/>
      <c r="BL182" s="5"/>
      <c r="BN182" s="5"/>
      <c r="BO182" s="136"/>
      <c r="BP182" s="5"/>
      <c r="BQ182" s="5"/>
      <c r="BR182" s="5"/>
      <c r="BS182" s="5"/>
      <c r="BT182" s="5"/>
      <c r="BU182" s="5"/>
      <c r="BW182" s="5"/>
      <c r="CD182" s="23"/>
    </row>
    <row r="183" spans="1:105" s="129" customFormat="1" ht="12.75" customHeight="1" collapsed="1" x14ac:dyDescent="0.2">
      <c r="A183" s="126" t="s">
        <v>137</v>
      </c>
      <c r="B183" s="127"/>
      <c r="C183" s="128"/>
      <c r="D183" s="127"/>
      <c r="E183" s="128"/>
      <c r="F183" s="127"/>
      <c r="G183" s="128"/>
      <c r="H183" s="127"/>
      <c r="I183" s="128"/>
      <c r="K183" s="130"/>
      <c r="M183" s="130"/>
      <c r="O183" s="130"/>
      <c r="Q183" s="130"/>
      <c r="S183" s="130"/>
      <c r="U183" s="130"/>
      <c r="W183" s="130"/>
      <c r="Y183" s="130"/>
      <c r="AA183" s="130"/>
      <c r="AC183" s="130"/>
      <c r="AE183" s="130"/>
      <c r="AG183" s="130"/>
      <c r="AI183" s="130"/>
      <c r="AK183" s="130"/>
      <c r="AM183" s="130"/>
      <c r="AO183" s="130"/>
      <c r="AQ183" s="130"/>
      <c r="AS183" s="130"/>
      <c r="AU183" s="130"/>
      <c r="AW183" s="130"/>
      <c r="AY183" s="130"/>
      <c r="BA183" s="130"/>
      <c r="BC183" s="130"/>
      <c r="BE183" s="130"/>
      <c r="BG183" s="130"/>
      <c r="BI183" s="130"/>
      <c r="BK183" s="130"/>
      <c r="BM183" s="130"/>
      <c r="BO183" s="135"/>
      <c r="BV183" s="130"/>
      <c r="BX183" s="130"/>
      <c r="BZ183" s="130"/>
      <c r="CB183" s="130"/>
      <c r="CD183" s="130"/>
      <c r="CF183" s="130"/>
      <c r="CH183" s="130"/>
      <c r="CJ183" s="130"/>
      <c r="CL183" s="130"/>
      <c r="CN183" s="130"/>
      <c r="CP183" s="130"/>
      <c r="CR183" s="130"/>
      <c r="CS183" s="130"/>
      <c r="CV183"/>
      <c r="CW183"/>
      <c r="CX183"/>
      <c r="CY183"/>
      <c r="CZ183"/>
      <c r="DA183"/>
    </row>
    <row r="184" spans="1:105" ht="12.75" customHeight="1" x14ac:dyDescent="0.2">
      <c r="J184" s="5"/>
      <c r="L184" s="5"/>
      <c r="N184" s="5"/>
      <c r="P184" s="5"/>
      <c r="R184" s="5"/>
      <c r="T184" s="5"/>
      <c r="V184" s="5"/>
      <c r="X184" s="5"/>
      <c r="Z184" s="5"/>
      <c r="AB184" s="5"/>
      <c r="AD184" s="5"/>
      <c r="AF184" s="5"/>
      <c r="AH184" s="5"/>
      <c r="AJ184" s="5"/>
      <c r="AL184" s="5"/>
      <c r="AN184" s="475"/>
      <c r="AP184" s="475"/>
      <c r="AR184" s="475"/>
      <c r="AT184" s="475"/>
      <c r="AV184" s="475"/>
      <c r="AX184" s="475"/>
      <c r="AZ184" s="475"/>
      <c r="BB184" s="475"/>
      <c r="BD184" s="475"/>
      <c r="BF184" s="5"/>
      <c r="BH184" s="584"/>
      <c r="BJ184" s="5"/>
      <c r="BL184" s="5"/>
      <c r="BN184" s="5"/>
      <c r="BO184" s="136"/>
      <c r="BP184" s="5"/>
      <c r="BQ184" s="5"/>
      <c r="BR184" s="5"/>
      <c r="BS184" s="5"/>
      <c r="BT184" s="5"/>
      <c r="BU184" s="5"/>
      <c r="BW184" s="5"/>
    </row>
    <row r="185" spans="1:105" ht="12.75" customHeight="1" x14ac:dyDescent="0.2">
      <c r="A185" s="3" t="s">
        <v>203</v>
      </c>
      <c r="J185" s="5"/>
      <c r="L185" s="5"/>
      <c r="N185" s="5"/>
      <c r="P185" s="5"/>
      <c r="R185" s="5"/>
      <c r="T185" s="5"/>
      <c r="V185" s="5"/>
      <c r="X185" s="5"/>
      <c r="Z185" s="5"/>
      <c r="AB185" s="5"/>
      <c r="AD185" s="5"/>
      <c r="AF185" s="5"/>
      <c r="AH185" s="5"/>
      <c r="AJ185" s="5"/>
      <c r="AL185" s="5"/>
      <c r="AN185" s="475"/>
      <c r="AP185" s="475"/>
      <c r="AR185" s="475"/>
      <c r="AT185" s="475"/>
      <c r="AV185" s="475"/>
      <c r="AX185" s="475"/>
      <c r="AZ185" s="475"/>
      <c r="BB185" s="475"/>
      <c r="BD185" s="475"/>
      <c r="BF185" s="5"/>
      <c r="BH185" s="5"/>
      <c r="BJ185" s="5"/>
      <c r="BL185" s="5"/>
      <c r="BN185" s="5"/>
      <c r="BO185" s="136"/>
      <c r="BP185" s="5"/>
      <c r="BQ185" s="5"/>
      <c r="BR185" s="5"/>
      <c r="BS185" s="5"/>
      <c r="BT185" s="5"/>
      <c r="BU185" s="5"/>
      <c r="BW185" s="5"/>
    </row>
    <row r="186" spans="1:105" ht="12.75" customHeight="1" x14ac:dyDescent="0.2">
      <c r="A186" s="3" t="s">
        <v>179</v>
      </c>
      <c r="J186" s="5"/>
      <c r="L186" s="5"/>
      <c r="N186" s="5"/>
      <c r="P186" s="5"/>
      <c r="R186" s="5"/>
      <c r="T186" s="5"/>
      <c r="V186" s="5"/>
      <c r="X186" s="5"/>
      <c r="Z186" s="5"/>
      <c r="AB186" s="5"/>
      <c r="AD186" s="5"/>
      <c r="AF186" s="5"/>
      <c r="AH186" s="5"/>
      <c r="AJ186" s="5"/>
      <c r="AL186" s="5"/>
      <c r="AN186" s="475"/>
      <c r="AP186" s="475"/>
      <c r="AR186" s="475"/>
      <c r="AT186" s="475"/>
      <c r="AV186" s="475"/>
      <c r="AX186" s="475"/>
      <c r="AZ186" s="475"/>
      <c r="BB186" s="475"/>
      <c r="BD186" s="475"/>
      <c r="BF186" s="5"/>
      <c r="BH186" s="5"/>
      <c r="BJ186" s="5"/>
      <c r="BL186" s="5"/>
      <c r="BN186" s="5"/>
      <c r="BO186" s="136"/>
      <c r="BP186" s="5"/>
      <c r="BQ186" s="5"/>
      <c r="BR186" s="5"/>
      <c r="BS186" s="5"/>
      <c r="BT186" s="5"/>
      <c r="BU186" s="5"/>
      <c r="BW186" s="5"/>
    </row>
    <row r="187" spans="1:105" ht="12.75" customHeight="1" x14ac:dyDescent="0.2">
      <c r="A187" s="4" t="s">
        <v>184</v>
      </c>
      <c r="B187" s="49">
        <v>47302.646000000001</v>
      </c>
      <c r="C187" s="59"/>
      <c r="D187" s="56">
        <f>B193</f>
        <v>49432.822999999997</v>
      </c>
      <c r="E187" s="59"/>
      <c r="F187" s="56">
        <f>D193</f>
        <v>51968.115999999987</v>
      </c>
      <c r="G187" s="59"/>
      <c r="H187" s="56">
        <f>F193</f>
        <v>48352.192999999992</v>
      </c>
      <c r="I187" s="59"/>
      <c r="J187" s="56">
        <f>H193</f>
        <v>49391.673999999992</v>
      </c>
      <c r="K187" s="23">
        <f t="shared" ref="K187:Y194" si="1079">IF(ISERROR((J187/B187-1)*100),"NA",IF(((J187/B187-1)*100)&gt;100,"NM",IF(((J187/B187-1)*100)&lt;-50,"NM",(J187/B187-1)*100)))</f>
        <v>4.41630263135806</v>
      </c>
      <c r="L187" s="56">
        <f>J193</f>
        <v>49754.923999999992</v>
      </c>
      <c r="M187" s="23">
        <f t="shared" si="1079"/>
        <v>0.65159337551892182</v>
      </c>
      <c r="N187" s="56">
        <f>L193</f>
        <v>48879.87799999999</v>
      </c>
      <c r="O187" s="23">
        <f t="shared" si="1079"/>
        <v>-5.9425629360895016</v>
      </c>
      <c r="P187" s="56">
        <f>N193</f>
        <v>50761.520999999986</v>
      </c>
      <c r="Q187" s="23">
        <f t="shared" si="1079"/>
        <v>4.9828722349780419</v>
      </c>
      <c r="R187" s="56">
        <f>P193</f>
        <v>54062.005999999987</v>
      </c>
      <c r="S187" s="23">
        <f t="shared" si="1079"/>
        <v>9.4557070489248662</v>
      </c>
      <c r="T187" s="56">
        <f>R193</f>
        <v>58002.205999999984</v>
      </c>
      <c r="U187" s="23">
        <f t="shared" si="1079"/>
        <v>16.575810667502957</v>
      </c>
      <c r="V187" s="56">
        <f>T193</f>
        <v>60644.005999999979</v>
      </c>
      <c r="W187" s="23">
        <f t="shared" si="1079"/>
        <v>24.067425045537117</v>
      </c>
      <c r="X187" s="56">
        <f>V193</f>
        <v>63275.505999999987</v>
      </c>
      <c r="Y187" s="23">
        <f t="shared" si="1079"/>
        <v>24.652502039881764</v>
      </c>
      <c r="Z187" s="56">
        <f>X193</f>
        <v>66362.405999999988</v>
      </c>
      <c r="AA187" s="23">
        <f t="shared" ref="AA187:AA194" si="1080">IF(ISERROR((Z187/R187-1)*100),"NA",IF(((Z187/R187-1)*100)&gt;100,"NM",IF(((Z187/R187-1)*100)&lt;-50,"NM",(Z187/R187-1)*100)))</f>
        <v>22.752392872732095</v>
      </c>
      <c r="AB187" s="56">
        <f>Z193</f>
        <v>69104.606</v>
      </c>
      <c r="AC187" s="23">
        <f t="shared" ref="AC187:AC194" si="1081">IF(ISERROR((AB187/T187-1)*100),"NA",IF(((AB187/T187-1)*100)&gt;100,"NM",IF(((AB187/T187-1)*100)&lt;-50,"NM",(AB187/T187-1)*100)))</f>
        <v>19.141340934515515</v>
      </c>
      <c r="AD187" s="56">
        <f>AB193</f>
        <v>70518.405999999988</v>
      </c>
      <c r="AE187" s="23">
        <f t="shared" ref="AE187:AE194" si="1082">IF(ISERROR((AD187/V187-1)*100),"NA",IF(((AD187/V187-1)*100)&gt;100,"NM",IF(((AD187/V187-1)*100)&lt;-50,"NM",(AD187/V187-1)*100)))</f>
        <v>16.282565502021761</v>
      </c>
      <c r="AF187" s="56">
        <f>AD193</f>
        <v>69232.405999999974</v>
      </c>
      <c r="AG187" s="23">
        <f t="shared" ref="AG187:AG194" si="1083">IF(ISERROR((AF187/X187-1)*100),"NA",IF(((AF187/X187-1)*100)&gt;100,"NM",IF(((AF187/X187-1)*100)&lt;-50,"NM",(AF187/X187-1)*100)))</f>
        <v>9.4142273631126585</v>
      </c>
      <c r="AH187" s="56">
        <f>AF193</f>
        <v>69644.505999999979</v>
      </c>
      <c r="AI187" s="23">
        <f t="shared" ref="AI187:AI194" si="1084">IF(ISERROR((AH187/Z187-1)*100),"NA",IF(((AH187/Z187-1)*100)&gt;100,"NM",IF(((AH187/Z187-1)*100)&lt;-50,"NM",(AH187/Z187-1)*100)))</f>
        <v>4.9457218293140093</v>
      </c>
      <c r="AJ187" s="56">
        <f>AH193</f>
        <v>71188.705999999976</v>
      </c>
      <c r="AK187" s="23">
        <f t="shared" ref="AK187:AK194" si="1085">IF(ISERROR((AJ187/AB187-1)*100),"NA",IF(((AJ187/AB187-1)*100)&gt;100,"NM",IF(((AJ187/AB187-1)*100)&lt;-50,"NM",(AJ187/AB187-1)*100)))</f>
        <v>3.0158626474188654</v>
      </c>
      <c r="AL187" s="56">
        <f>AJ193</f>
        <v>70812.305999999982</v>
      </c>
      <c r="AM187" s="23">
        <f t="shared" ref="AM187:AM194" si="1086">IF(ISERROR((AL187/AD187-1)*100),"NA",IF(((AL187/AD187-1)*100)&gt;100,"NM",IF(((AL187/AD187-1)*100)&lt;-50,"NM",(AL187/AD187-1)*100)))</f>
        <v>0.41677062297749146</v>
      </c>
      <c r="AN187" s="413">
        <f t="shared" ref="AN187:AP187" si="1087">AL193</f>
        <v>67929.906000000003</v>
      </c>
      <c r="AO187" s="23">
        <f t="shared" ref="AO187:AO194" si="1088">IF(ISERROR((AN187/AF187-1)*100),"NA",IF(((AN187/AF187-1)*100)&gt;100,"NM",IF(((AN187/AF187-1)*100)&lt;-50,"NM",(AN187/AF187-1)*100)))</f>
        <v>-1.8813444097262377</v>
      </c>
      <c r="AP187" s="413">
        <f t="shared" si="1087"/>
        <v>68143.706000000006</v>
      </c>
      <c r="AQ187" s="23">
        <f t="shared" ref="AQ187:AQ194" si="1089">IF(ISERROR((AP187/AH187-1)*100),"NA",IF(((AP187/AH187-1)*100)&gt;100,"NM",IF(((AP187/AH187-1)*100)&lt;-50,"NM",(AP187/AH187-1)*100)))</f>
        <v>-2.1549438515652275</v>
      </c>
      <c r="AR187" s="413">
        <f t="shared" ref="AR187:AT187" si="1090">AP193</f>
        <v>69472.406000000003</v>
      </c>
      <c r="AS187" s="23">
        <f t="shared" ref="AS187:AS194" si="1091">IF(ISERROR((AR187/AJ187-1)*100),"NA",IF(((AR187/AJ187-1)*100)&gt;100,"NM",IF(((AR187/AJ187-1)*100)&lt;-50,"NM",(AR187/AJ187-1)*100)))</f>
        <v>-2.4109161360511</v>
      </c>
      <c r="AT187" s="413">
        <f t="shared" si="1090"/>
        <v>71034.006000000008</v>
      </c>
      <c r="AU187" s="23">
        <f t="shared" ref="AU187:AU194" si="1092">IF(ISERROR((AT187/AL187-1)*100),"NA",IF(((AT187/AL187-1)*100)&gt;100,"NM",IF(((AT187/AL187-1)*100)&lt;-50,"NM",(AT187/AL187-1)*100)))</f>
        <v>0.31308117546691161</v>
      </c>
      <c r="AV187" s="413">
        <f t="shared" ref="AV187:AX187" si="1093">AT193</f>
        <v>72813.206000000006</v>
      </c>
      <c r="AW187" s="23">
        <f t="shared" ref="AW187:AW194" si="1094">IF(ISERROR((AV187/AN187-1)*100),"NA",IF(((AV187/AN187-1)*100)&gt;100,"NM",IF(((AV187/AN187-1)*100)&lt;-50,"NM",(AV187/AN187-1)*100)))</f>
        <v>7.1887336337547847</v>
      </c>
      <c r="AX187" s="413">
        <f t="shared" si="1093"/>
        <v>73991.906000000003</v>
      </c>
      <c r="AY187" s="23">
        <f t="shared" ref="AY187:AY194" si="1095">IF(ISERROR((AX187/AP187-1)*100),"NA",IF(((AX187/AP187-1)*100)&gt;100,"NM",IF(((AX187/AP187-1)*100)&lt;-50,"NM",(AX187/AP187-1)*100)))</f>
        <v>8.5821572428127055</v>
      </c>
      <c r="AZ187" s="413">
        <f t="shared" ref="AZ187" si="1096">AX193</f>
        <v>76194.906000000003</v>
      </c>
      <c r="BA187" s="23">
        <f t="shared" ref="BA187:BA194" si="1097">IF(ISERROR((AZ187/AR187-1)*100),"NA",IF(((AZ187/AR187-1)*100)&gt;100,"NM",IF(((AZ187/AR187-1)*100)&lt;-50,"NM",(AZ187/AR187-1)*100)))</f>
        <v>9.6765037905841353</v>
      </c>
      <c r="BB187" s="413">
        <f t="shared" ref="BB187:BD187" si="1098">AZ193</f>
        <v>80158.305999999997</v>
      </c>
      <c r="BC187" s="23">
        <f t="shared" ref="BC187:BC194" si="1099">IF(ISERROR((BB187/AT187-1)*100),"NA",IF(((BB187/AT187-1)*100)&gt;100,"NM",IF(((BB187/AT187-1)*100)&lt;-50,"NM",(BB187/AT187-1)*100)))</f>
        <v>12.844974560494293</v>
      </c>
      <c r="BD187" s="413">
        <f t="shared" si="1098"/>
        <v>83070.405999999988</v>
      </c>
      <c r="BE187" s="23">
        <f t="shared" ref="BE187:BE194" si="1100">IF(ISERROR((BD187/AV187-1)*100),"NA",IF(((BD187/AV187-1)*100)&gt;100,"NM",IF(((BD187/AV187-1)*100)&lt;-50,"NM",(BD187/AV187-1)*100)))</f>
        <v>14.087005041365686</v>
      </c>
      <c r="BF187" s="36">
        <f t="shared" ref="BF187:BJ187" si="1101">BD193</f>
        <v>85804.405999999988</v>
      </c>
      <c r="BG187" s="23">
        <f t="shared" ref="BG187:BG194" si="1102">IF(ISERROR((BF187/AX187-1)*100),"NA",IF(((BF187/AX187-1)*100)&gt;100,"NM",IF(((BF187/AX187-1)*100)&lt;-50,"NM",(BF187/AX187-1)*100)))</f>
        <v>15.964584018149196</v>
      </c>
      <c r="BH187" s="36">
        <f t="shared" si="1101"/>
        <v>86256.725698852795</v>
      </c>
      <c r="BI187" s="23">
        <f t="shared" ref="BI187:BI194" si="1103">IF(ISERROR((BH187/AZ187-1)*100),"NA",IF(((BH187/AZ187-1)*100)&gt;100,"NM",IF(((BH187/AZ187-1)*100)&lt;-50,"NM",(BH187/AZ187-1)*100)))</f>
        <v>13.205370577992181</v>
      </c>
      <c r="BJ187" s="36">
        <f t="shared" si="1101"/>
        <v>87932.83749172758</v>
      </c>
      <c r="BK187" s="23">
        <f t="shared" ref="BK187:BK194" si="1104">IF(ISERROR((BJ187/BB187-1)*100),"NA",IF(((BJ187/BB187-1)*100)&gt;100,"NM",IF(((BJ187/BB187-1)*100)&lt;-50,"NM",(BJ187/BB187-1)*100)))</f>
        <v>9.6989717967936873</v>
      </c>
      <c r="BL187" s="36">
        <f t="shared" ref="BL187" si="1105">BJ193</f>
        <v>89640.547344121616</v>
      </c>
      <c r="BM187" s="23">
        <f t="shared" ref="BM187:BM194" si="1106">IF(ISERROR((BL187/BD187-1)*100),"NA",IF(((BL187/BD187-1)*100)&gt;100,"NM",IF(((BL187/BD187-1)*100)&lt;-50,"NM",(BL187/BD187-1)*100)))</f>
        <v>7.9091239112538236</v>
      </c>
      <c r="BN187" s="36"/>
      <c r="BO187" s="137"/>
      <c r="BP187" s="36"/>
      <c r="BQ187" s="112"/>
      <c r="BR187" s="36"/>
      <c r="BS187" s="36">
        <f>BQ193</f>
        <v>48602.2</v>
      </c>
      <c r="BT187" s="36"/>
      <c r="BU187" s="36">
        <f>BS193</f>
        <v>47302.6</v>
      </c>
      <c r="BV187" s="23">
        <f t="shared" ref="BV187:BV196" si="1107">IF(ISERROR((BU187/BS187-1)*100),"NA",IF(((BU187/BS187-1)*100)&gt;100,"NM",IF(((BU187/BS187-1)*100)&lt;-50,"NM",(BU187/BS187-1)*100)))</f>
        <v>-2.6739530309327519</v>
      </c>
      <c r="BW187" s="36">
        <f>BU193</f>
        <v>49391.628000000004</v>
      </c>
      <c r="BX187" s="23">
        <f t="shared" ref="BX187:BX194" si="1108">IF(ISERROR((BW187/BU187-1)*100),"NA",IF(((BW187/BU187-1)*100)&gt;100,"NM",IF(((BW187/BU187-1)*100)&lt;-50,"NM",(BW187/BU187-1)*100)))</f>
        <v>4.4163069260463539</v>
      </c>
      <c r="BY187" s="36">
        <f>BW193</f>
        <v>54061.96</v>
      </c>
      <c r="BZ187" s="23">
        <f t="shared" ref="BZ187:CR194" si="1109">IF(ISERROR((BY187/BW187-1)*100),"NA",IF(((BY187/BW187-1)*100)&gt;100,"NM",IF(((BY187/BW187-1)*100)&lt;-50,"NM",(BY187/BW187-1)*100)))</f>
        <v>9.4557158553267193</v>
      </c>
      <c r="CA187" s="36">
        <f>BY193</f>
        <v>66362.359999999986</v>
      </c>
      <c r="CB187" s="23">
        <f t="shared" si="1109"/>
        <v>22.752412232186892</v>
      </c>
      <c r="CC187" s="36">
        <f>CA193</f>
        <v>69644.459999999992</v>
      </c>
      <c r="CD187" s="23">
        <f t="shared" si="1109"/>
        <v>4.9457252575104471</v>
      </c>
      <c r="CE187" s="36">
        <f>CC193</f>
        <v>68143.659999999989</v>
      </c>
      <c r="CF187" s="23">
        <f t="shared" si="1109"/>
        <v>-2.1549452749005438</v>
      </c>
      <c r="CG187" s="36">
        <f>CE193</f>
        <v>73991.859999999986</v>
      </c>
      <c r="CH187" s="23">
        <f t="shared" si="1109"/>
        <v>8.58216303615038</v>
      </c>
      <c r="CI187" s="36">
        <f>CG193</f>
        <v>85804.359999999986</v>
      </c>
      <c r="CJ187" s="23">
        <f t="shared" si="1109"/>
        <v>15.964593943171579</v>
      </c>
      <c r="CK187" s="36">
        <f>CI193</f>
        <v>91380.404942652982</v>
      </c>
      <c r="CL187" s="23">
        <f t="shared" si="1109"/>
        <v>6.4985566498637182</v>
      </c>
      <c r="CM187" s="36">
        <f>CK193</f>
        <v>97305.815211426408</v>
      </c>
      <c r="CN187" s="23">
        <f t="shared" si="1109"/>
        <v>6.4843335641727506</v>
      </c>
      <c r="CO187" s="36">
        <f>CM193</f>
        <v>103602.48017994451</v>
      </c>
      <c r="CP187" s="23">
        <f t="shared" si="1109"/>
        <v>6.4710058230709855</v>
      </c>
      <c r="CQ187" s="36">
        <f>CO193</f>
        <v>110293.66069358855</v>
      </c>
      <c r="CR187" s="23">
        <f t="shared" si="1109"/>
        <v>6.4585138328950187</v>
      </c>
      <c r="CS187" s="23">
        <f t="shared" ref="CS187:CS194" si="1110">IF(ISERROR(((CQ187/CG187)^0.2-1)*100),"NA",IF((((CQ187/CG187)^0.2-1)*100)&gt;100,"NM",IF((((CQ187/CG187)^0.2-1)*100)&lt;-50,"NM",((CQ187/CG187)^0.2-1)*100)))</f>
        <v>8.3111884887587362</v>
      </c>
    </row>
    <row r="188" spans="1:105" ht="12.75" customHeight="1" x14ac:dyDescent="0.2">
      <c r="A188" s="4" t="s">
        <v>138</v>
      </c>
      <c r="B188" s="49">
        <v>2968.9</v>
      </c>
      <c r="C188" s="59"/>
      <c r="D188" s="49">
        <v>4767</v>
      </c>
      <c r="E188" s="59"/>
      <c r="F188" s="49">
        <v>2220.9</v>
      </c>
      <c r="G188" s="59"/>
      <c r="H188" s="49">
        <v>2525.1</v>
      </c>
      <c r="I188" s="59"/>
      <c r="J188" s="49">
        <v>2515.6999999999998</v>
      </c>
      <c r="K188" s="23">
        <f t="shared" si="1079"/>
        <v>-15.264912930715091</v>
      </c>
      <c r="L188" s="49">
        <v>2093.5</v>
      </c>
      <c r="M188" s="23" t="str">
        <f t="shared" si="1079"/>
        <v>NM</v>
      </c>
      <c r="N188" s="49">
        <v>2732.9</v>
      </c>
      <c r="O188" s="23">
        <f t="shared" si="1079"/>
        <v>23.053716961592151</v>
      </c>
      <c r="P188" s="48">
        <f>481.3+5536.4</f>
        <v>6017.7</v>
      </c>
      <c r="Q188" s="23" t="str">
        <f t="shared" si="1079"/>
        <v>NM</v>
      </c>
      <c r="R188" s="48">
        <f>197.6+4598</f>
        <v>4795.6000000000004</v>
      </c>
      <c r="S188" s="23">
        <f t="shared" si="1079"/>
        <v>90.626863298485546</v>
      </c>
      <c r="T188" s="48">
        <v>5760.6</v>
      </c>
      <c r="U188" s="23" t="str">
        <f t="shared" si="1079"/>
        <v>NM</v>
      </c>
      <c r="V188" s="48">
        <v>3875.4</v>
      </c>
      <c r="W188" s="23">
        <f t="shared" si="1079"/>
        <v>41.805408174466677</v>
      </c>
      <c r="X188" s="48">
        <v>4589.8999999999996</v>
      </c>
      <c r="Y188" s="215">
        <f t="shared" si="1079"/>
        <v>-23.726672981371621</v>
      </c>
      <c r="Z188" s="48">
        <v>4189.3</v>
      </c>
      <c r="AA188" s="215">
        <f t="shared" si="1080"/>
        <v>-12.642839269330219</v>
      </c>
      <c r="AB188" s="48">
        <v>3106.7</v>
      </c>
      <c r="AC188" s="23">
        <f t="shared" si="1081"/>
        <v>-46.069853834670006</v>
      </c>
      <c r="AD188" s="48">
        <v>2872.2</v>
      </c>
      <c r="AE188" s="23">
        <f t="shared" si="1082"/>
        <v>-25.886360117665276</v>
      </c>
      <c r="AF188" s="48">
        <v>3932.3</v>
      </c>
      <c r="AG188" s="23">
        <f t="shared" si="1083"/>
        <v>-14.327109523083282</v>
      </c>
      <c r="AH188" s="48">
        <v>3891.1</v>
      </c>
      <c r="AI188" s="23">
        <f t="shared" si="1084"/>
        <v>-7.1181342945122132</v>
      </c>
      <c r="AJ188" s="48">
        <v>3748</v>
      </c>
      <c r="AK188" s="23">
        <f t="shared" si="1085"/>
        <v>20.642482376798533</v>
      </c>
      <c r="AL188" s="48">
        <v>3884.6</v>
      </c>
      <c r="AM188" s="23">
        <f t="shared" si="1086"/>
        <v>35.248241765893738</v>
      </c>
      <c r="AN188" s="287">
        <v>2497.5</v>
      </c>
      <c r="AO188" s="23">
        <f t="shared" si="1088"/>
        <v>-36.487551814459728</v>
      </c>
      <c r="AP188" s="287">
        <v>3858.2</v>
      </c>
      <c r="AQ188" s="23">
        <f t="shared" si="1089"/>
        <v>-0.84551926190538085</v>
      </c>
      <c r="AR188" s="287">
        <v>3540.4</v>
      </c>
      <c r="AS188" s="23">
        <f t="shared" si="1091"/>
        <v>-5.5389541088580518</v>
      </c>
      <c r="AT188" s="287">
        <v>3459.4</v>
      </c>
      <c r="AU188" s="23">
        <f t="shared" si="1092"/>
        <v>-10.94578592390465</v>
      </c>
      <c r="AV188" s="287">
        <v>5995.2</v>
      </c>
      <c r="AW188" s="23" t="str">
        <f t="shared" si="1094"/>
        <v>NM</v>
      </c>
      <c r="AX188" s="287">
        <v>3832.6</v>
      </c>
      <c r="AY188" s="23">
        <f t="shared" si="1095"/>
        <v>-0.66352184956715021</v>
      </c>
      <c r="AZ188" s="287">
        <v>5499.9</v>
      </c>
      <c r="BA188" s="23">
        <f t="shared" si="1097"/>
        <v>55.346853462885527</v>
      </c>
      <c r="BB188" s="287">
        <v>5290</v>
      </c>
      <c r="BC188" s="23">
        <f t="shared" si="1099"/>
        <v>52.916690755622355</v>
      </c>
      <c r="BD188" s="287">
        <v>4219</v>
      </c>
      <c r="BE188" s="23">
        <f t="shared" si="1100"/>
        <v>-29.627034961302368</v>
      </c>
      <c r="BF188" s="36">
        <f t="shared" ref="BF188" si="1111">BF$187*BF198/400</f>
        <v>4719.2423299999991</v>
      </c>
      <c r="BG188" s="23">
        <f t="shared" si="1102"/>
        <v>23.134225590982595</v>
      </c>
      <c r="BH188" s="36">
        <f t="shared" ref="BH188" si="1112">BH$187*BH198/400</f>
        <v>4744.1199134369035</v>
      </c>
      <c r="BI188" s="23">
        <f t="shared" si="1103"/>
        <v>-13.74170596852845</v>
      </c>
      <c r="BJ188" s="36">
        <f t="shared" ref="BJ188" si="1113">BJ$187*BJ198/400</f>
        <v>4836.3060620450169</v>
      </c>
      <c r="BK188" s="23">
        <f t="shared" si="1104"/>
        <v>-8.5764449518900392</v>
      </c>
      <c r="BL188" s="36">
        <f t="shared" ref="BL188" si="1114">BL$187*BL198/400</f>
        <v>4930.2301039266886</v>
      </c>
      <c r="BM188" s="23">
        <f t="shared" si="1106"/>
        <v>16.85778866856338</v>
      </c>
      <c r="BN188" s="36"/>
      <c r="BO188" s="137"/>
      <c r="BP188" s="36"/>
      <c r="BQ188" s="112"/>
      <c r="BR188" s="112"/>
      <c r="BS188" s="112"/>
      <c r="BT188" s="36"/>
      <c r="BU188" s="56">
        <f>B188+D188+F188+H188</f>
        <v>12481.9</v>
      </c>
      <c r="BV188" s="23" t="str">
        <f t="shared" si="1107"/>
        <v>NA</v>
      </c>
      <c r="BW188" s="56">
        <f>J188+L188+N188+P188</f>
        <v>13359.8</v>
      </c>
      <c r="BX188" s="23">
        <f t="shared" si="1108"/>
        <v>7.0333843405250729</v>
      </c>
      <c r="BY188" s="56">
        <f>R188+T188+V188+X188</f>
        <v>19021.5</v>
      </c>
      <c r="BZ188" s="23">
        <f t="shared" si="1109"/>
        <v>42.37862842258118</v>
      </c>
      <c r="CA188" s="56">
        <f>Z188+AB188+AD188+AF188</f>
        <v>14100.5</v>
      </c>
      <c r="CB188" s="23">
        <f t="shared" si="1109"/>
        <v>-25.870725231974344</v>
      </c>
      <c r="CC188" s="56">
        <f>AH188+AJ188+AL188+AN188</f>
        <v>14021.2</v>
      </c>
      <c r="CD188" s="23">
        <f t="shared" si="1109"/>
        <v>-0.56239140456011416</v>
      </c>
      <c r="CE188" s="56">
        <f>AP188+AR188+AT188+AV188</f>
        <v>16853.2</v>
      </c>
      <c r="CF188" s="23">
        <f t="shared" si="1109"/>
        <v>20.197985907055038</v>
      </c>
      <c r="CG188" s="56">
        <f>AX188+AZ188+BB188+BD188</f>
        <v>18841.5</v>
      </c>
      <c r="CH188" s="23">
        <f t="shared" si="1109"/>
        <v>11.797759475945213</v>
      </c>
      <c r="CI188" s="56">
        <f>BF188+BH188+BJ188+BL188</f>
        <v>19229.898409408608</v>
      </c>
      <c r="CJ188" s="23">
        <f t="shared" si="1109"/>
        <v>2.0613985585468786</v>
      </c>
      <c r="CK188" s="36">
        <f>CK$187*CK198/100</f>
        <v>20479.564251255266</v>
      </c>
      <c r="CL188" s="23">
        <f t="shared" si="1109"/>
        <v>6.498556649863696</v>
      </c>
      <c r="CM188" s="36">
        <f>CM$187*CM198/100</f>
        <v>21807.527509795738</v>
      </c>
      <c r="CN188" s="23">
        <f t="shared" si="1109"/>
        <v>6.4843335641727728</v>
      </c>
      <c r="CO188" s="36">
        <f>CO$187*CO198/100</f>
        <v>23218.693884822427</v>
      </c>
      <c r="CP188" s="23">
        <f t="shared" si="1109"/>
        <v>6.4710058230709855</v>
      </c>
      <c r="CQ188" s="36">
        <f>CQ$187*CQ198/100</f>
        <v>24718.276441191236</v>
      </c>
      <c r="CR188" s="23">
        <f t="shared" si="1109"/>
        <v>6.4585138328950187</v>
      </c>
      <c r="CS188" s="23">
        <f t="shared" si="1110"/>
        <v>5.5797287876216739</v>
      </c>
    </row>
    <row r="189" spans="1:105" ht="12.75" customHeight="1" x14ac:dyDescent="0.2">
      <c r="A189" s="4" t="s">
        <v>139</v>
      </c>
      <c r="B189" s="49">
        <v>-2515.9740000000002</v>
      </c>
      <c r="C189" s="59"/>
      <c r="D189" s="49">
        <v>-2363.2620000000002</v>
      </c>
      <c r="E189" s="59"/>
      <c r="F189" s="49">
        <v>-2887.721</v>
      </c>
      <c r="G189" s="59"/>
      <c r="H189" s="49">
        <v>-2316.04</v>
      </c>
      <c r="I189" s="59"/>
      <c r="J189" s="49">
        <v>-2701.7339999999999</v>
      </c>
      <c r="K189" s="23">
        <f t="shared" si="1079"/>
        <v>7.3832241509649732</v>
      </c>
      <c r="L189" s="49">
        <v>-2059.0120000000002</v>
      </c>
      <c r="M189" s="23">
        <f t="shared" si="1079"/>
        <v>-12.874154452616759</v>
      </c>
      <c r="N189" s="49">
        <v>-2403.6750000000002</v>
      </c>
      <c r="O189" s="23">
        <f t="shared" si="1079"/>
        <v>-16.762214909265815</v>
      </c>
      <c r="P189" s="48">
        <v>-2255.5349999999999</v>
      </c>
      <c r="Q189" s="23">
        <f t="shared" si="1079"/>
        <v>-2.612433291307581</v>
      </c>
      <c r="R189" s="48">
        <v>-2164.9</v>
      </c>
      <c r="S189" s="23">
        <f t="shared" si="1079"/>
        <v>-19.869979798159253</v>
      </c>
      <c r="T189" s="48">
        <v>-2615.4</v>
      </c>
      <c r="U189" s="23">
        <f t="shared" si="1079"/>
        <v>27.022086321012218</v>
      </c>
      <c r="V189" s="48">
        <v>-3160.6</v>
      </c>
      <c r="W189" s="23">
        <f t="shared" si="1079"/>
        <v>31.490322110934276</v>
      </c>
      <c r="X189" s="48">
        <v>-3302.9</v>
      </c>
      <c r="Y189" s="215">
        <f t="shared" si="1079"/>
        <v>46.435324656899589</v>
      </c>
      <c r="Z189" s="48">
        <v>-2844</v>
      </c>
      <c r="AA189" s="215">
        <f t="shared" si="1080"/>
        <v>31.368654441313669</v>
      </c>
      <c r="AB189" s="48">
        <v>-3701.5</v>
      </c>
      <c r="AC189" s="23">
        <f t="shared" si="1081"/>
        <v>41.527108664066681</v>
      </c>
      <c r="AD189" s="48">
        <v>-3284.8</v>
      </c>
      <c r="AE189" s="23">
        <f t="shared" si="1082"/>
        <v>3.9296336138707977</v>
      </c>
      <c r="AF189" s="48">
        <v>-3133.8</v>
      </c>
      <c r="AG189" s="23">
        <f t="shared" si="1083"/>
        <v>-5.1197432559266121</v>
      </c>
      <c r="AH189" s="48">
        <v>-3142.6</v>
      </c>
      <c r="AI189" s="23">
        <f t="shared" si="1084"/>
        <v>10.499296765119537</v>
      </c>
      <c r="AJ189" s="48">
        <v>-3202.2</v>
      </c>
      <c r="AK189" s="23">
        <f t="shared" si="1085"/>
        <v>-13.489126029987853</v>
      </c>
      <c r="AL189" s="48">
        <v>-5010.8999999999996</v>
      </c>
      <c r="AM189" s="23">
        <f t="shared" si="1086"/>
        <v>52.548100340964425</v>
      </c>
      <c r="AN189" s="287">
        <v>-3183.5</v>
      </c>
      <c r="AO189" s="23">
        <f t="shared" si="1088"/>
        <v>1.5859340098283159</v>
      </c>
      <c r="AP189" s="287">
        <v>-3340.9</v>
      </c>
      <c r="AQ189" s="23">
        <f t="shared" si="1089"/>
        <v>6.3100617323235575</v>
      </c>
      <c r="AR189" s="287">
        <v>-3076.4</v>
      </c>
      <c r="AS189" s="23">
        <f t="shared" si="1091"/>
        <v>-3.9285491224782865</v>
      </c>
      <c r="AT189" s="287">
        <v>-3284.6</v>
      </c>
      <c r="AU189" s="23">
        <f t="shared" si="1092"/>
        <v>-34.45089704444311</v>
      </c>
      <c r="AV189" s="287">
        <v>-4412.2</v>
      </c>
      <c r="AW189" s="23">
        <f t="shared" si="1094"/>
        <v>38.595885032197266</v>
      </c>
      <c r="AX189" s="287">
        <v>-3264.2</v>
      </c>
      <c r="AY189" s="23">
        <f t="shared" si="1095"/>
        <v>-2.295788559968881</v>
      </c>
      <c r="AZ189" s="287">
        <v>-3114.9</v>
      </c>
      <c r="BA189" s="23">
        <f t="shared" si="1097"/>
        <v>1.2514627486672758</v>
      </c>
      <c r="BB189" s="287">
        <v>-4062.1</v>
      </c>
      <c r="BC189" s="23">
        <f t="shared" si="1099"/>
        <v>23.671071058880845</v>
      </c>
      <c r="BD189" s="287">
        <v>-3384</v>
      </c>
      <c r="BE189" s="23">
        <f t="shared" si="1100"/>
        <v>-23.303567381351709</v>
      </c>
      <c r="BF189" s="36">
        <f t="shared" ref="BF189" si="1115">BF$187*BF199/400</f>
        <v>-3861.1982699999994</v>
      </c>
      <c r="BG189" s="23">
        <f t="shared" si="1102"/>
        <v>18.289267508118368</v>
      </c>
      <c r="BH189" s="36">
        <f t="shared" ref="BH189" si="1116">BH$187*BH199/400</f>
        <v>-3881.5526564483757</v>
      </c>
      <c r="BI189" s="23">
        <f t="shared" si="1103"/>
        <v>24.612432387825468</v>
      </c>
      <c r="BJ189" s="36">
        <f t="shared" ref="BJ189" si="1117">BJ$187*BJ199/400</f>
        <v>-3956.9776871277409</v>
      </c>
      <c r="BK189" s="23">
        <f t="shared" si="1104"/>
        <v>-2.5878809697510885</v>
      </c>
      <c r="BL189" s="36">
        <f t="shared" ref="BL189" si="1118">BL$187*BL199/400</f>
        <v>-4033.8246304854729</v>
      </c>
      <c r="BM189" s="23">
        <f t="shared" si="1106"/>
        <v>19.202855510800031</v>
      </c>
      <c r="BN189" s="36"/>
      <c r="BO189" s="137"/>
      <c r="BP189" s="36"/>
      <c r="BQ189" s="112"/>
      <c r="BR189" s="112"/>
      <c r="BS189" s="112"/>
      <c r="BT189" s="36"/>
      <c r="BU189" s="56">
        <f>B189+D189+F189+H189</f>
        <v>-10082.996999999999</v>
      </c>
      <c r="BV189" s="23" t="str">
        <f>IF(ISERROR((BU189/BS189-1)*100),"NA",IF(((BU189/BS189-1)*100)&gt;100,"NM",IF(((BU189/BS189-1)*100)&lt;-50,"NM",(BU189/BS189-1)*100)))</f>
        <v>NA</v>
      </c>
      <c r="BW189" s="56">
        <f>J189+L189+N189+P189</f>
        <v>-9419.9560000000001</v>
      </c>
      <c r="BX189" s="23">
        <f t="shared" si="1108"/>
        <v>-6.5758325624811658</v>
      </c>
      <c r="BY189" s="56">
        <f>R189+T189+V189+X189</f>
        <v>-11243.8</v>
      </c>
      <c r="BZ189" s="23">
        <f t="shared" si="1109"/>
        <v>19.361491709727719</v>
      </c>
      <c r="CA189" s="56">
        <f>Z189+AB189+AD189+AF189</f>
        <v>-12964.099999999999</v>
      </c>
      <c r="CB189" s="23">
        <f t="shared" si="1109"/>
        <v>15.299987548693505</v>
      </c>
      <c r="CC189" s="56">
        <f>AH189+AJ189+AL189+AN189</f>
        <v>-14539.199999999999</v>
      </c>
      <c r="CD189" s="23">
        <f t="shared" si="1109"/>
        <v>12.149705725812044</v>
      </c>
      <c r="CE189" s="56">
        <f>AP189+AR189+AT189+AV189</f>
        <v>-14114.099999999999</v>
      </c>
      <c r="CF189" s="23">
        <f t="shared" si="1109"/>
        <v>-2.9238197424892753</v>
      </c>
      <c r="CG189" s="56">
        <f>AX189+AZ189+BB189+BD189</f>
        <v>-13825.2</v>
      </c>
      <c r="CH189" s="23">
        <f t="shared" si="1109"/>
        <v>-2.0468892809318184</v>
      </c>
      <c r="CI189" s="56">
        <f>BF189+BH189+BJ189+BL189</f>
        <v>-15733.55324406159</v>
      </c>
      <c r="CJ189" s="23">
        <f t="shared" si="1109"/>
        <v>13.803440413604061</v>
      </c>
      <c r="CK189" s="36">
        <f>CK$187*CK199/100</f>
        <v>-16756.007114663404</v>
      </c>
      <c r="CL189" s="23">
        <f t="shared" si="1109"/>
        <v>6.4985566498637182</v>
      </c>
      <c r="CM189" s="36">
        <f>CM$187*CM199/100</f>
        <v>-17842.522508014696</v>
      </c>
      <c r="CN189" s="23">
        <f t="shared" si="1109"/>
        <v>6.4843335641727506</v>
      </c>
      <c r="CO189" s="36">
        <f>CO$187*CO199/100</f>
        <v>-18997.113178491079</v>
      </c>
      <c r="CP189" s="23">
        <f t="shared" si="1109"/>
        <v>6.4710058230709855</v>
      </c>
      <c r="CQ189" s="36">
        <f>CQ$187*CQ199/100</f>
        <v>-20224.044360974651</v>
      </c>
      <c r="CR189" s="23">
        <f t="shared" si="1109"/>
        <v>6.4585138328950409</v>
      </c>
      <c r="CS189" s="23">
        <f t="shared" si="1110"/>
        <v>7.9044405262667761</v>
      </c>
    </row>
    <row r="190" spans="1:105" ht="12.75" customHeight="1" x14ac:dyDescent="0.2">
      <c r="A190" s="4" t="s">
        <v>143</v>
      </c>
      <c r="B190" s="49">
        <v>2.879</v>
      </c>
      <c r="C190" s="59"/>
      <c r="D190" s="49">
        <v>-20.341000000000001</v>
      </c>
      <c r="E190" s="59"/>
      <c r="F190" s="49">
        <v>8.1300000000000008</v>
      </c>
      <c r="G190" s="59"/>
      <c r="H190" s="49">
        <v>-11.768000000000001</v>
      </c>
      <c r="I190" s="59"/>
      <c r="J190" s="49">
        <v>-34.868000000000002</v>
      </c>
      <c r="K190" s="23" t="str">
        <f t="shared" si="1079"/>
        <v>NM</v>
      </c>
      <c r="L190" s="49">
        <v>-6.13</v>
      </c>
      <c r="M190" s="23" t="str">
        <f t="shared" si="1079"/>
        <v>NM</v>
      </c>
      <c r="N190" s="49">
        <v>11.039</v>
      </c>
      <c r="O190" s="23">
        <f t="shared" si="1079"/>
        <v>35.781057810578098</v>
      </c>
      <c r="P190" s="48">
        <v>5.6219999999999999</v>
      </c>
      <c r="Q190" s="23" t="str">
        <f t="shared" si="1079"/>
        <v>NM</v>
      </c>
      <c r="R190" s="48">
        <v>-3.2</v>
      </c>
      <c r="S190" s="23" t="str">
        <f t="shared" si="1079"/>
        <v>NM</v>
      </c>
      <c r="T190" s="48">
        <v>-21.5</v>
      </c>
      <c r="U190" s="23" t="str">
        <f t="shared" si="1079"/>
        <v>NM</v>
      </c>
      <c r="V190" s="48">
        <v>5.0999999999999996</v>
      </c>
      <c r="W190" s="23" t="str">
        <f t="shared" si="1079"/>
        <v>NM</v>
      </c>
      <c r="X190" s="48">
        <v>2.2999999999999998</v>
      </c>
      <c r="Y190" s="215" t="str">
        <f t="shared" si="1079"/>
        <v>NM</v>
      </c>
      <c r="Z190" s="48">
        <v>28.1</v>
      </c>
      <c r="AA190" s="215" t="str">
        <f t="shared" si="1080"/>
        <v>NM</v>
      </c>
      <c r="AB190" s="48">
        <v>-34.1</v>
      </c>
      <c r="AC190" s="23">
        <f t="shared" si="1081"/>
        <v>58.604651162790702</v>
      </c>
      <c r="AD190" s="48">
        <v>-13.1</v>
      </c>
      <c r="AE190" s="23" t="str">
        <f t="shared" si="1082"/>
        <v>NM</v>
      </c>
      <c r="AF190" s="48">
        <v>7.6</v>
      </c>
      <c r="AG190" s="23" t="str">
        <f t="shared" si="1083"/>
        <v>NM</v>
      </c>
      <c r="AH190" s="48">
        <v>7.2</v>
      </c>
      <c r="AI190" s="23" t="str">
        <f t="shared" si="1084"/>
        <v>NM</v>
      </c>
      <c r="AJ190" s="48">
        <v>-2.8</v>
      </c>
      <c r="AK190" s="23" t="str">
        <f t="shared" si="1085"/>
        <v>NM</v>
      </c>
      <c r="AL190" s="48">
        <v>18.8</v>
      </c>
      <c r="AM190" s="23" t="str">
        <f t="shared" si="1086"/>
        <v>NM</v>
      </c>
      <c r="AN190" s="287">
        <v>-7.9</v>
      </c>
      <c r="AO190" s="23" t="str">
        <f t="shared" si="1088"/>
        <v>NM</v>
      </c>
      <c r="AP190" s="287">
        <v>-53.5</v>
      </c>
      <c r="AQ190" s="23" t="str">
        <f t="shared" si="1089"/>
        <v>NM</v>
      </c>
      <c r="AR190" s="287">
        <v>7.1</v>
      </c>
      <c r="AS190" s="23" t="str">
        <f t="shared" si="1091"/>
        <v>NM</v>
      </c>
      <c r="AT190" s="287">
        <v>1.5</v>
      </c>
      <c r="AU190" s="23" t="str">
        <f t="shared" si="1092"/>
        <v>NM</v>
      </c>
      <c r="AV190" s="287">
        <v>16.7</v>
      </c>
      <c r="AW190" s="23" t="str">
        <f t="shared" si="1094"/>
        <v>NM</v>
      </c>
      <c r="AX190" s="287">
        <v>-45.1</v>
      </c>
      <c r="AY190" s="23">
        <f t="shared" si="1095"/>
        <v>-15.700934579439252</v>
      </c>
      <c r="AZ190" s="287">
        <v>20.9</v>
      </c>
      <c r="BA190" s="23" t="str">
        <f t="shared" si="1097"/>
        <v>NM</v>
      </c>
      <c r="BB190" s="287">
        <v>-22.8</v>
      </c>
      <c r="BC190" s="23" t="str">
        <f t="shared" si="1099"/>
        <v>NM</v>
      </c>
      <c r="BD190" s="287">
        <v>60</v>
      </c>
      <c r="BE190" s="23" t="str">
        <f t="shared" si="1100"/>
        <v>NM</v>
      </c>
      <c r="BF190" s="48">
        <v>0</v>
      </c>
      <c r="BG190" s="23" t="str">
        <f t="shared" si="1102"/>
        <v>NM</v>
      </c>
      <c r="BH190" s="48">
        <v>0</v>
      </c>
      <c r="BI190" s="23" t="str">
        <f t="shared" si="1103"/>
        <v>NM</v>
      </c>
      <c r="BJ190" s="48">
        <v>0</v>
      </c>
      <c r="BK190" s="23" t="str">
        <f t="shared" si="1104"/>
        <v>NM</v>
      </c>
      <c r="BL190" s="48">
        <v>0</v>
      </c>
      <c r="BM190" s="23" t="str">
        <f t="shared" si="1106"/>
        <v>NM</v>
      </c>
      <c r="BN190" s="36"/>
      <c r="BO190" s="137"/>
      <c r="BP190" s="36"/>
      <c r="BQ190" s="112"/>
      <c r="BR190" s="112"/>
      <c r="BS190" s="112"/>
      <c r="BT190" s="36"/>
      <c r="BU190" s="56">
        <f>B190+D190+F190+H190</f>
        <v>-21.1</v>
      </c>
      <c r="BV190" s="23" t="str">
        <f>IF(ISERROR((BU190/BS190-1)*100),"NA",IF(((BU190/BS190-1)*100)&gt;100,"NM",IF(((BU190/BS190-1)*100)&lt;-50,"NM",(BU190/BS190-1)*100)))</f>
        <v>NA</v>
      </c>
      <c r="BW190" s="56">
        <f>J190+L190+N190+P190</f>
        <v>-24.337000000000003</v>
      </c>
      <c r="BX190" s="23">
        <f t="shared" si="1108"/>
        <v>15.341232227488156</v>
      </c>
      <c r="BY190" s="56">
        <f>R190+T190+V190+X190</f>
        <v>-17.3</v>
      </c>
      <c r="BZ190" s="23">
        <f t="shared" si="1109"/>
        <v>-28.914821054361685</v>
      </c>
      <c r="CA190" s="56">
        <f>Z190+AB190+AD190+AF190</f>
        <v>-11.500000000000002</v>
      </c>
      <c r="CB190" s="23">
        <f t="shared" si="1109"/>
        <v>-33.526011560693632</v>
      </c>
      <c r="CC190" s="56">
        <f>AH190+AJ190+AL190+AN190</f>
        <v>15.300000000000002</v>
      </c>
      <c r="CD190" s="23" t="str">
        <f t="shared" si="1109"/>
        <v>NM</v>
      </c>
      <c r="CE190" s="56">
        <f>AP190+AR190+AT190+AV190</f>
        <v>-28.2</v>
      </c>
      <c r="CF190" s="23" t="str">
        <f t="shared" si="1109"/>
        <v>NM</v>
      </c>
      <c r="CG190" s="56">
        <f>AX190+AZ190+BB190+BD190</f>
        <v>13</v>
      </c>
      <c r="CH190" s="23" t="str">
        <f t="shared" si="1109"/>
        <v>NM</v>
      </c>
      <c r="CI190" s="56">
        <f>BF190+BH190+BJ190+BL190</f>
        <v>0</v>
      </c>
      <c r="CJ190" s="23" t="str">
        <f t="shared" si="1109"/>
        <v>NM</v>
      </c>
      <c r="CK190" s="48">
        <v>0</v>
      </c>
      <c r="CL190" s="23" t="str">
        <f t="shared" si="1109"/>
        <v>NA</v>
      </c>
      <c r="CM190" s="48">
        <v>0</v>
      </c>
      <c r="CN190" s="23" t="str">
        <f t="shared" si="1109"/>
        <v>NA</v>
      </c>
      <c r="CO190" s="48">
        <v>0</v>
      </c>
      <c r="CP190" s="23" t="str">
        <f t="shared" si="1109"/>
        <v>NA</v>
      </c>
      <c r="CQ190" s="48">
        <v>0</v>
      </c>
      <c r="CR190" s="23" t="str">
        <f t="shared" si="1109"/>
        <v>NA</v>
      </c>
      <c r="CS190" s="23" t="str">
        <f t="shared" si="1110"/>
        <v>NM</v>
      </c>
    </row>
    <row r="191" spans="1:105" ht="12.75" customHeight="1" x14ac:dyDescent="0.2">
      <c r="A191" s="4" t="s">
        <v>140</v>
      </c>
      <c r="B191" s="49">
        <v>1637.6569999999999</v>
      </c>
      <c r="C191" s="59"/>
      <c r="D191" s="49">
        <v>341.14299999999997</v>
      </c>
      <c r="E191" s="59"/>
      <c r="F191" s="49">
        <v>-3464.922</v>
      </c>
      <c r="G191" s="59"/>
      <c r="H191" s="49">
        <v>896.18899999999996</v>
      </c>
      <c r="I191" s="59"/>
      <c r="J191" s="49">
        <v>2857.5320000000002</v>
      </c>
      <c r="K191" s="23">
        <f t="shared" si="1079"/>
        <v>74.489041356034889</v>
      </c>
      <c r="L191" s="49">
        <v>-582.24800000000005</v>
      </c>
      <c r="M191" s="23" t="str">
        <f t="shared" si="1079"/>
        <v>NM</v>
      </c>
      <c r="N191" s="49">
        <v>1579.9760000000001</v>
      </c>
      <c r="O191" s="23" t="str">
        <f t="shared" si="1079"/>
        <v>NM</v>
      </c>
      <c r="P191" s="48">
        <v>635.51099999999997</v>
      </c>
      <c r="Q191" s="23">
        <f t="shared" si="1079"/>
        <v>-29.087391164140598</v>
      </c>
      <c r="R191" s="48">
        <v>1728.2</v>
      </c>
      <c r="S191" s="23">
        <f t="shared" si="1079"/>
        <v>-39.521237207492341</v>
      </c>
      <c r="T191" s="48">
        <v>-513</v>
      </c>
      <c r="U191" s="23">
        <f t="shared" si="1079"/>
        <v>-11.893213888240073</v>
      </c>
      <c r="V191" s="48">
        <v>1801.8</v>
      </c>
      <c r="W191" s="23">
        <f t="shared" si="1079"/>
        <v>14.039706932257179</v>
      </c>
      <c r="X191" s="48">
        <v>1827.6</v>
      </c>
      <c r="Y191" s="215" t="str">
        <f t="shared" si="1079"/>
        <v>NM</v>
      </c>
      <c r="Z191" s="48">
        <v>843.6</v>
      </c>
      <c r="AA191" s="215" t="str">
        <f t="shared" si="1080"/>
        <v>NM</v>
      </c>
      <c r="AB191" s="48">
        <v>1614.4</v>
      </c>
      <c r="AC191" s="23" t="str">
        <f t="shared" si="1081"/>
        <v>NM</v>
      </c>
      <c r="AD191" s="48">
        <v>-1052.2</v>
      </c>
      <c r="AE191" s="23" t="str">
        <f t="shared" si="1082"/>
        <v>NM</v>
      </c>
      <c r="AF191" s="48">
        <v>1222.8</v>
      </c>
      <c r="AG191" s="23">
        <f t="shared" si="1083"/>
        <v>-33.092580433355224</v>
      </c>
      <c r="AH191" s="48">
        <v>879.2</v>
      </c>
      <c r="AI191" s="23">
        <f t="shared" si="1084"/>
        <v>4.2200094831673862</v>
      </c>
      <c r="AJ191" s="48">
        <v>-804.7</v>
      </c>
      <c r="AK191" s="23" t="str">
        <f t="shared" si="1085"/>
        <v>NM</v>
      </c>
      <c r="AL191" s="48">
        <v>-2136.1999999999998</v>
      </c>
      <c r="AM191" s="23" t="str">
        <f t="shared" si="1086"/>
        <v>NM</v>
      </c>
      <c r="AN191" s="287">
        <v>862.7</v>
      </c>
      <c r="AO191" s="23">
        <f t="shared" si="1088"/>
        <v>-29.448806018972839</v>
      </c>
      <c r="AP191" s="287">
        <v>953.7</v>
      </c>
      <c r="AQ191" s="23">
        <f t="shared" si="1089"/>
        <v>8.4736123748862635</v>
      </c>
      <c r="AR191" s="287">
        <v>1260.0999999999999</v>
      </c>
      <c r="AS191" s="23" t="str">
        <f t="shared" si="1091"/>
        <v>NM</v>
      </c>
      <c r="AT191" s="287">
        <v>1696.8</v>
      </c>
      <c r="AU191" s="23" t="str">
        <f t="shared" si="1092"/>
        <v>NM</v>
      </c>
      <c r="AV191" s="287">
        <v>-346.3</v>
      </c>
      <c r="AW191" s="23" t="str">
        <f t="shared" si="1094"/>
        <v>NM</v>
      </c>
      <c r="AX191" s="287">
        <v>1804.9</v>
      </c>
      <c r="AY191" s="23">
        <f t="shared" si="1095"/>
        <v>89.252385446157078</v>
      </c>
      <c r="AZ191" s="287">
        <v>1487.5</v>
      </c>
      <c r="BA191" s="23">
        <f t="shared" si="1097"/>
        <v>18.046186810570596</v>
      </c>
      <c r="BB191" s="287">
        <v>1444.5</v>
      </c>
      <c r="BC191" s="23">
        <f t="shared" si="1099"/>
        <v>-14.869165487977366</v>
      </c>
      <c r="BD191" s="287">
        <v>1975</v>
      </c>
      <c r="BE191" s="23" t="str">
        <f t="shared" si="1100"/>
        <v>NM</v>
      </c>
      <c r="BF191" s="36">
        <f t="shared" ref="BF191" si="1119">BF187*(BF201/100*BF24/100)</f>
        <v>-455.72436114719989</v>
      </c>
      <c r="BG191" s="23" t="str">
        <f t="shared" si="1102"/>
        <v>NM</v>
      </c>
      <c r="BH191" s="36">
        <f t="shared" ref="BH191" si="1120">BH187*(BH201/100*BH24/100)</f>
        <v>763.54453588624494</v>
      </c>
      <c r="BI191" s="23">
        <f t="shared" si="1103"/>
        <v>-48.6692748984037</v>
      </c>
      <c r="BJ191" s="36">
        <f t="shared" ref="BJ191" si="1121">BJ187*(BJ201/100*BJ24/100)</f>
        <v>778.3814774767726</v>
      </c>
      <c r="BK191" s="23">
        <f t="shared" si="1104"/>
        <v>-46.114124092989094</v>
      </c>
      <c r="BL191" s="36">
        <f t="shared" ref="BL191" si="1122">BL187*(BL201/100*BL24/100)</f>
        <v>793.49812509016454</v>
      </c>
      <c r="BM191" s="23" t="str">
        <f t="shared" si="1106"/>
        <v>NM</v>
      </c>
      <c r="BN191" s="36"/>
      <c r="BO191" s="137"/>
      <c r="BP191" s="36"/>
      <c r="BQ191" s="112"/>
      <c r="BR191" s="112"/>
      <c r="BS191" s="112"/>
      <c r="BT191" s="36"/>
      <c r="BU191" s="56">
        <f>B191+D191+F191+H191</f>
        <v>-589.93300000000011</v>
      </c>
      <c r="BV191" s="23" t="str">
        <f>IF(ISERROR((BU191/BS191-1)*100),"NA",IF(((BU191/BS191-1)*100)&gt;100,"NM",IF(((BU191/BS191-1)*100)&lt;-50,"NM",(BU191/BS191-1)*100)))</f>
        <v>NA</v>
      </c>
      <c r="BW191" s="56">
        <f>J191+L191+N191+P191</f>
        <v>4490.7710000000006</v>
      </c>
      <c r="BX191" s="23" t="str">
        <f t="shared" si="1108"/>
        <v>NM</v>
      </c>
      <c r="BY191" s="56">
        <f>R191+T191+V191+X191</f>
        <v>4844.6000000000004</v>
      </c>
      <c r="BZ191" s="23">
        <f t="shared" si="1109"/>
        <v>7.8790256728744179</v>
      </c>
      <c r="CA191" s="56">
        <f>Z191+AB191+AD191+AF191</f>
        <v>2628.6</v>
      </c>
      <c r="CB191" s="23">
        <f t="shared" si="1109"/>
        <v>-45.741650497461094</v>
      </c>
      <c r="CC191" s="56">
        <f>AH191+AJ191+AL191+AN191</f>
        <v>-1198.9999999999998</v>
      </c>
      <c r="CD191" s="23" t="str">
        <f t="shared" si="1109"/>
        <v>NM</v>
      </c>
      <c r="CE191" s="56">
        <f>AP191+AR191+AT191+AV191</f>
        <v>3564.3</v>
      </c>
      <c r="CF191" s="23" t="str">
        <f t="shared" si="1109"/>
        <v>NM</v>
      </c>
      <c r="CG191" s="56">
        <f>AX191+AZ191+BB191+BD191</f>
        <v>6711.9</v>
      </c>
      <c r="CH191" s="23">
        <f t="shared" si="1109"/>
        <v>88.309064893527449</v>
      </c>
      <c r="CI191" s="56">
        <f>BF191+BH191+BJ191+BL191</f>
        <v>1879.699777305982</v>
      </c>
      <c r="CJ191" s="23" t="str">
        <f t="shared" si="1109"/>
        <v>NM</v>
      </c>
      <c r="CK191" s="36">
        <f>CK187*(CK201/100*CK24/100)</f>
        <v>2001.8531321815733</v>
      </c>
      <c r="CL191" s="23">
        <f t="shared" si="1109"/>
        <v>6.4985566498637182</v>
      </c>
      <c r="CM191" s="36">
        <f>CM187*(CM201/100*CM24/100)</f>
        <v>2131.6599667370665</v>
      </c>
      <c r="CN191" s="23">
        <f t="shared" si="1109"/>
        <v>6.4843335641727506</v>
      </c>
      <c r="CO191" s="36">
        <f>CO187*(CO201/100*CO24/100)</f>
        <v>2269.5998073126952</v>
      </c>
      <c r="CP191" s="23">
        <f t="shared" si="1109"/>
        <v>6.4710058230709855</v>
      </c>
      <c r="CQ191" s="36">
        <f>CQ187*(CQ201/100*CQ24/100)</f>
        <v>2416.1822248193444</v>
      </c>
      <c r="CR191" s="23">
        <f t="shared" si="1109"/>
        <v>6.4585138328950187</v>
      </c>
      <c r="CS191" s="23">
        <f t="shared" si="1110"/>
        <v>-18.48137577841581</v>
      </c>
    </row>
    <row r="192" spans="1:105" ht="12.75" customHeight="1" x14ac:dyDescent="0.2">
      <c r="A192" s="4" t="s">
        <v>144</v>
      </c>
      <c r="B192" s="49">
        <v>36.715000000000003</v>
      </c>
      <c r="C192" s="59"/>
      <c r="D192" s="49">
        <v>-189.24700000000001</v>
      </c>
      <c r="E192" s="59"/>
      <c r="F192" s="49">
        <v>507.69</v>
      </c>
      <c r="G192" s="59"/>
      <c r="H192" s="49">
        <v>-54</v>
      </c>
      <c r="I192" s="59"/>
      <c r="J192" s="49">
        <v>-2273.38</v>
      </c>
      <c r="K192" s="23" t="str">
        <f t="shared" si="1079"/>
        <v>NM</v>
      </c>
      <c r="L192" s="49">
        <v>-321.15600000000001</v>
      </c>
      <c r="M192" s="23">
        <f t="shared" si="1079"/>
        <v>69.702029622662437</v>
      </c>
      <c r="N192" s="49">
        <v>-38.597000000000001</v>
      </c>
      <c r="O192" s="23" t="str">
        <f t="shared" si="1079"/>
        <v>NM</v>
      </c>
      <c r="P192" s="48">
        <v>-1102.8130000000001</v>
      </c>
      <c r="Q192" s="23" t="str">
        <f t="shared" si="1079"/>
        <v>NM</v>
      </c>
      <c r="R192" s="48">
        <v>-415.5</v>
      </c>
      <c r="S192" s="23" t="str">
        <f t="shared" si="1079"/>
        <v>NM</v>
      </c>
      <c r="T192" s="48">
        <v>31.1</v>
      </c>
      <c r="U192" s="23" t="str">
        <f t="shared" si="1079"/>
        <v>NM</v>
      </c>
      <c r="V192" s="48">
        <v>109.8</v>
      </c>
      <c r="W192" s="23" t="str">
        <f t="shared" si="1079"/>
        <v>NM</v>
      </c>
      <c r="X192" s="48">
        <v>-30</v>
      </c>
      <c r="Y192" s="215" t="str">
        <f t="shared" si="1079"/>
        <v>NM</v>
      </c>
      <c r="Z192" s="48">
        <v>525.20000000000005</v>
      </c>
      <c r="AA192" s="215" t="str">
        <f t="shared" si="1080"/>
        <v>NM</v>
      </c>
      <c r="AB192" s="48">
        <v>428.3</v>
      </c>
      <c r="AC192" s="23" t="str">
        <f t="shared" si="1081"/>
        <v>NM</v>
      </c>
      <c r="AD192" s="48">
        <v>191.9</v>
      </c>
      <c r="AE192" s="23">
        <f t="shared" si="1082"/>
        <v>74.772313296903476</v>
      </c>
      <c r="AF192" s="48">
        <v>-1616.8</v>
      </c>
      <c r="AG192" s="23" t="str">
        <f t="shared" si="1083"/>
        <v>NM</v>
      </c>
      <c r="AH192" s="48">
        <v>-90.7</v>
      </c>
      <c r="AI192" s="23" t="str">
        <f t="shared" si="1084"/>
        <v>NM</v>
      </c>
      <c r="AJ192" s="48">
        <v>-114.7</v>
      </c>
      <c r="AK192" s="23" t="str">
        <f t="shared" si="1085"/>
        <v>NM</v>
      </c>
      <c r="AL192" s="48">
        <v>361.3</v>
      </c>
      <c r="AM192" s="23">
        <f t="shared" si="1086"/>
        <v>88.275143303804057</v>
      </c>
      <c r="AN192" s="287">
        <v>45</v>
      </c>
      <c r="AO192" s="23" t="str">
        <f t="shared" si="1088"/>
        <v>NM</v>
      </c>
      <c r="AP192" s="287">
        <v>-88.8</v>
      </c>
      <c r="AQ192" s="23">
        <f t="shared" si="1089"/>
        <v>-2.0948180815876571</v>
      </c>
      <c r="AR192" s="287">
        <v>-169.6</v>
      </c>
      <c r="AS192" s="23">
        <f t="shared" si="1091"/>
        <v>47.863993025283349</v>
      </c>
      <c r="AT192" s="287">
        <v>-93.9</v>
      </c>
      <c r="AU192" s="23" t="str">
        <f t="shared" si="1092"/>
        <v>NM</v>
      </c>
      <c r="AV192" s="287">
        <v>-74.7</v>
      </c>
      <c r="AW192" s="23" t="str">
        <f t="shared" si="1094"/>
        <v>NM</v>
      </c>
      <c r="AX192" s="287">
        <v>-125.2</v>
      </c>
      <c r="AY192" s="23">
        <f t="shared" si="1095"/>
        <v>40.990990990990994</v>
      </c>
      <c r="AZ192" s="287">
        <v>70</v>
      </c>
      <c r="BA192" s="23" t="str">
        <f t="shared" si="1097"/>
        <v>NM</v>
      </c>
      <c r="BB192" s="287">
        <v>262.5</v>
      </c>
      <c r="BC192" s="23" t="str">
        <f t="shared" si="1099"/>
        <v>NM</v>
      </c>
      <c r="BD192" s="287">
        <v>-136</v>
      </c>
      <c r="BE192" s="23">
        <f t="shared" si="1100"/>
        <v>82.061579651941102</v>
      </c>
      <c r="BF192" s="49">
        <v>50</v>
      </c>
      <c r="BG192" s="23" t="str">
        <f t="shared" si="1102"/>
        <v>NM</v>
      </c>
      <c r="BH192" s="49">
        <v>50</v>
      </c>
      <c r="BI192" s="23">
        <f t="shared" si="1103"/>
        <v>-28.571428571428569</v>
      </c>
      <c r="BJ192" s="49">
        <v>50</v>
      </c>
      <c r="BK192" s="23" t="str">
        <f t="shared" si="1104"/>
        <v>NM</v>
      </c>
      <c r="BL192" s="49">
        <v>50</v>
      </c>
      <c r="BM192" s="23" t="str">
        <f t="shared" si="1106"/>
        <v>NM</v>
      </c>
      <c r="BN192" s="36"/>
      <c r="BO192" s="137"/>
      <c r="BP192" s="36"/>
      <c r="BQ192" s="112"/>
      <c r="BR192" s="112"/>
      <c r="BS192" s="112"/>
      <c r="BT192" s="36"/>
      <c r="BU192" s="56">
        <f>B192+D192+F192+H192</f>
        <v>301.15800000000002</v>
      </c>
      <c r="BV192" s="23" t="str">
        <f>IF(ISERROR((BU192/BS192-1)*100),"NA",IF(((BU192/BS192-1)*100)&gt;100,"NM",IF(((BU192/BS192-1)*100)&lt;-50,"NM",(BU192/BS192-1)*100)))</f>
        <v>NA</v>
      </c>
      <c r="BW192" s="56">
        <f>J192+L192+N192+P192</f>
        <v>-3735.9460000000004</v>
      </c>
      <c r="BX192" s="23" t="str">
        <f t="shared" si="1108"/>
        <v>NM</v>
      </c>
      <c r="BY192" s="56">
        <f>R192+T192+V192+X192</f>
        <v>-304.59999999999997</v>
      </c>
      <c r="BZ192" s="23" t="str">
        <f t="shared" si="1109"/>
        <v>NM</v>
      </c>
      <c r="CA192" s="56">
        <f>Z192+AB192+AD192+AF192</f>
        <v>-471.39999999999986</v>
      </c>
      <c r="CB192" s="23">
        <f t="shared" si="1109"/>
        <v>54.760341431385399</v>
      </c>
      <c r="CC192" s="56">
        <f>AH192+AJ192+AL192+AN192</f>
        <v>200.9</v>
      </c>
      <c r="CD192" s="23" t="str">
        <f t="shared" si="1109"/>
        <v>NM</v>
      </c>
      <c r="CE192" s="56">
        <f>AP192+AR192+AT192+AV192</f>
        <v>-426.99999999999994</v>
      </c>
      <c r="CF192" s="23" t="str">
        <f t="shared" si="1109"/>
        <v>NM</v>
      </c>
      <c r="CG192" s="56">
        <f>AX192+AZ192+BB192+BD192</f>
        <v>71.300000000000011</v>
      </c>
      <c r="CH192" s="23" t="str">
        <f t="shared" si="1109"/>
        <v>NM</v>
      </c>
      <c r="CI192" s="56">
        <f>BF192+BH192+BJ192+BL192</f>
        <v>200</v>
      </c>
      <c r="CJ192" s="23" t="str">
        <f t="shared" si="1109"/>
        <v>NM</v>
      </c>
      <c r="CK192" s="48">
        <f>CI192</f>
        <v>200</v>
      </c>
      <c r="CL192" s="23">
        <f t="shared" si="1109"/>
        <v>0</v>
      </c>
      <c r="CM192" s="48">
        <f>CK192</f>
        <v>200</v>
      </c>
      <c r="CN192" s="23">
        <f t="shared" si="1109"/>
        <v>0</v>
      </c>
      <c r="CO192" s="48">
        <f>CM192</f>
        <v>200</v>
      </c>
      <c r="CP192" s="23">
        <f t="shared" si="1109"/>
        <v>0</v>
      </c>
      <c r="CQ192" s="48">
        <f>CO192</f>
        <v>200</v>
      </c>
      <c r="CR192" s="23">
        <f t="shared" si="1109"/>
        <v>0</v>
      </c>
      <c r="CS192" s="23">
        <f t="shared" si="1110"/>
        <v>22.910247490197744</v>
      </c>
    </row>
    <row r="193" spans="1:97" ht="12.75" customHeight="1" x14ac:dyDescent="0.2">
      <c r="A193" s="4" t="s">
        <v>183</v>
      </c>
      <c r="B193" s="56">
        <f t="shared" ref="B193:N193" si="1123">SUM(B187:B192)</f>
        <v>49432.822999999997</v>
      </c>
      <c r="C193" s="59"/>
      <c r="D193" s="56">
        <f t="shared" si="1123"/>
        <v>51968.115999999987</v>
      </c>
      <c r="E193" s="59"/>
      <c r="F193" s="56">
        <f t="shared" si="1123"/>
        <v>48352.192999999992</v>
      </c>
      <c r="G193" s="59"/>
      <c r="H193" s="56">
        <f t="shared" si="1123"/>
        <v>49391.673999999992</v>
      </c>
      <c r="I193" s="59"/>
      <c r="J193" s="56">
        <f t="shared" si="1123"/>
        <v>49754.923999999992</v>
      </c>
      <c r="K193" s="23">
        <f t="shared" si="1079"/>
        <v>0.65159337551892182</v>
      </c>
      <c r="L193" s="56">
        <f t="shared" si="1123"/>
        <v>48879.87799999999</v>
      </c>
      <c r="M193" s="23">
        <f t="shared" si="1079"/>
        <v>-5.9425629360895016</v>
      </c>
      <c r="N193" s="56">
        <f t="shared" si="1123"/>
        <v>50761.520999999986</v>
      </c>
      <c r="O193" s="23">
        <f t="shared" si="1079"/>
        <v>4.9828722349780419</v>
      </c>
      <c r="P193" s="36">
        <f>SUM(P187:P192)</f>
        <v>54062.005999999987</v>
      </c>
      <c r="Q193" s="23">
        <f t="shared" si="1079"/>
        <v>9.4557070489248662</v>
      </c>
      <c r="R193" s="36">
        <f>SUM(R187:R192)</f>
        <v>58002.205999999984</v>
      </c>
      <c r="S193" s="23">
        <f t="shared" si="1079"/>
        <v>16.575810667502957</v>
      </c>
      <c r="T193" s="36">
        <f>SUM(T187:T192)</f>
        <v>60644.005999999979</v>
      </c>
      <c r="U193" s="23">
        <f t="shared" si="1079"/>
        <v>24.067425045537117</v>
      </c>
      <c r="V193" s="36">
        <f>SUM(V187:V192)</f>
        <v>63275.505999999987</v>
      </c>
      <c r="W193" s="23">
        <f t="shared" si="1079"/>
        <v>24.652502039881764</v>
      </c>
      <c r="X193" s="36">
        <f>SUM(X187:X192)</f>
        <v>66362.405999999988</v>
      </c>
      <c r="Y193" s="215">
        <f t="shared" si="1079"/>
        <v>22.752392872732095</v>
      </c>
      <c r="Z193" s="36">
        <f>SUM(Z187:Z192)</f>
        <v>69104.606</v>
      </c>
      <c r="AA193" s="215">
        <f t="shared" si="1080"/>
        <v>19.141340934515515</v>
      </c>
      <c r="AB193" s="36">
        <f>SUM(AB187:AB192)</f>
        <v>70518.405999999988</v>
      </c>
      <c r="AC193" s="23">
        <f t="shared" si="1081"/>
        <v>16.282565502021761</v>
      </c>
      <c r="AD193" s="36">
        <f>SUM(AD187:AD192)</f>
        <v>69232.405999999974</v>
      </c>
      <c r="AE193" s="23">
        <f t="shared" si="1082"/>
        <v>9.4142273631126585</v>
      </c>
      <c r="AF193" s="36">
        <f>SUM(AF187:AF192)</f>
        <v>69644.505999999979</v>
      </c>
      <c r="AG193" s="23">
        <f t="shared" si="1083"/>
        <v>4.9457218293140093</v>
      </c>
      <c r="AH193" s="36">
        <f>SUM(AH187:AH192)</f>
        <v>71188.705999999976</v>
      </c>
      <c r="AI193" s="23">
        <f t="shared" si="1084"/>
        <v>3.0158626474188654</v>
      </c>
      <c r="AJ193" s="36">
        <f>SUM(AJ187:AJ192)</f>
        <v>70812.305999999982</v>
      </c>
      <c r="AK193" s="23">
        <f t="shared" si="1085"/>
        <v>0.41677062297749146</v>
      </c>
      <c r="AL193" s="36">
        <f>SUM(AL187:AL192)</f>
        <v>67929.906000000003</v>
      </c>
      <c r="AM193" s="23">
        <f t="shared" si="1086"/>
        <v>-1.8813444097262377</v>
      </c>
      <c r="AN193" s="410">
        <f t="shared" ref="AN193:AP193" si="1124">SUM(AN187:AN192)</f>
        <v>68143.706000000006</v>
      </c>
      <c r="AO193" s="23">
        <f t="shared" si="1088"/>
        <v>-2.1549438515652275</v>
      </c>
      <c r="AP193" s="410">
        <f t="shared" si="1124"/>
        <v>69472.406000000003</v>
      </c>
      <c r="AQ193" s="23">
        <f t="shared" si="1089"/>
        <v>-2.4109161360511</v>
      </c>
      <c r="AR193" s="410">
        <f t="shared" ref="AR193:AT193" si="1125">SUM(AR187:AR192)</f>
        <v>71034.006000000008</v>
      </c>
      <c r="AS193" s="23">
        <f t="shared" si="1091"/>
        <v>0.31308117546691161</v>
      </c>
      <c r="AT193" s="410">
        <f t="shared" si="1125"/>
        <v>72813.206000000006</v>
      </c>
      <c r="AU193" s="23">
        <f t="shared" si="1092"/>
        <v>7.1887336337547847</v>
      </c>
      <c r="AV193" s="410">
        <f t="shared" ref="AV193:AX193" si="1126">SUM(AV187:AV192)</f>
        <v>73991.906000000003</v>
      </c>
      <c r="AW193" s="23">
        <f t="shared" si="1094"/>
        <v>8.5821572428127055</v>
      </c>
      <c r="AX193" s="410">
        <f t="shared" si="1126"/>
        <v>76194.906000000003</v>
      </c>
      <c r="AY193" s="23">
        <f t="shared" si="1095"/>
        <v>9.6765037905841353</v>
      </c>
      <c r="AZ193" s="410">
        <f t="shared" ref="AZ193" si="1127">SUM(AZ187:AZ192)</f>
        <v>80158.305999999997</v>
      </c>
      <c r="BA193" s="23">
        <f t="shared" si="1097"/>
        <v>12.844974560494293</v>
      </c>
      <c r="BB193" s="410">
        <f t="shared" ref="BB193:BD193" si="1128">SUM(BB187:BB192)</f>
        <v>83070.405999999988</v>
      </c>
      <c r="BC193" s="23">
        <f t="shared" si="1099"/>
        <v>14.087005041365686</v>
      </c>
      <c r="BD193" s="410">
        <f t="shared" si="1128"/>
        <v>85804.405999999988</v>
      </c>
      <c r="BE193" s="23">
        <f t="shared" si="1100"/>
        <v>15.964584018149196</v>
      </c>
      <c r="BF193" s="36">
        <f t="shared" ref="BF193" si="1129">SUM(BF187:BF192)</f>
        <v>86256.725698852795</v>
      </c>
      <c r="BG193" s="23">
        <f t="shared" si="1102"/>
        <v>13.205370577992181</v>
      </c>
      <c r="BH193" s="36">
        <f t="shared" ref="BH193" si="1130">SUM(BH187:BH192)</f>
        <v>87932.83749172758</v>
      </c>
      <c r="BI193" s="23">
        <f t="shared" si="1103"/>
        <v>9.6989717967936873</v>
      </c>
      <c r="BJ193" s="36">
        <f t="shared" ref="BJ193" si="1131">SUM(BJ187:BJ192)</f>
        <v>89640.547344121616</v>
      </c>
      <c r="BK193" s="23">
        <f t="shared" si="1104"/>
        <v>7.9091239112538236</v>
      </c>
      <c r="BL193" s="36">
        <f t="shared" ref="BL193" si="1132">SUM(BL187:BL192)</f>
        <v>91380.450942652998</v>
      </c>
      <c r="BM193" s="23">
        <f t="shared" si="1106"/>
        <v>6.4985531659679685</v>
      </c>
      <c r="BN193" s="36"/>
      <c r="BO193" s="137"/>
      <c r="BP193" s="36"/>
      <c r="BQ193" s="48">
        <v>48602.2</v>
      </c>
      <c r="BR193" s="36"/>
      <c r="BS193" s="48">
        <v>47302.6</v>
      </c>
      <c r="BT193" s="36"/>
      <c r="BU193" s="36">
        <f t="shared" ref="BU193:CA193" si="1133">SUM(BU187:BU192)</f>
        <v>49391.628000000004</v>
      </c>
      <c r="BV193" s="23">
        <f t="shared" si="1107"/>
        <v>4.4163069260463539</v>
      </c>
      <c r="BW193" s="36">
        <f t="shared" si="1133"/>
        <v>54061.96</v>
      </c>
      <c r="BX193" s="23">
        <f t="shared" si="1108"/>
        <v>9.4557158553267193</v>
      </c>
      <c r="BY193" s="36">
        <f t="shared" si="1133"/>
        <v>66362.359999999986</v>
      </c>
      <c r="BZ193" s="23">
        <f t="shared" si="1109"/>
        <v>22.752412232186892</v>
      </c>
      <c r="CA193" s="36">
        <f t="shared" si="1133"/>
        <v>69644.459999999992</v>
      </c>
      <c r="CB193" s="23">
        <f t="shared" si="1109"/>
        <v>4.9457252575104471</v>
      </c>
      <c r="CC193" s="36">
        <f t="shared" ref="CC193" si="1134">SUM(CC187:CC192)</f>
        <v>68143.659999999989</v>
      </c>
      <c r="CD193" s="23">
        <f t="shared" si="1109"/>
        <v>-2.1549452749005438</v>
      </c>
      <c r="CE193" s="56">
        <f>SUM(CE187:CE192)</f>
        <v>73991.859999999986</v>
      </c>
      <c r="CF193" s="23">
        <f t="shared" si="1109"/>
        <v>8.58216303615038</v>
      </c>
      <c r="CG193" s="56">
        <f>SUM(CG187:CG192)</f>
        <v>85804.359999999986</v>
      </c>
      <c r="CH193" s="23">
        <f t="shared" si="1109"/>
        <v>15.964593943171579</v>
      </c>
      <c r="CI193" s="56">
        <f>SUM(CI187:CI192)</f>
        <v>91380.404942652982</v>
      </c>
      <c r="CJ193" s="23">
        <f t="shared" si="1109"/>
        <v>6.4985566498637182</v>
      </c>
      <c r="CK193" s="36">
        <f>SUM(CK187:CK192)</f>
        <v>97305.815211426408</v>
      </c>
      <c r="CL193" s="23">
        <f t="shared" si="1109"/>
        <v>6.4843335641727506</v>
      </c>
      <c r="CM193" s="36">
        <f>SUM(CM187:CM192)</f>
        <v>103602.48017994451</v>
      </c>
      <c r="CN193" s="23">
        <f t="shared" si="1109"/>
        <v>6.4710058230709855</v>
      </c>
      <c r="CO193" s="36">
        <f>SUM(CO187:CO192)</f>
        <v>110293.66069358855</v>
      </c>
      <c r="CP193" s="23">
        <f t="shared" si="1109"/>
        <v>6.4585138328950187</v>
      </c>
      <c r="CQ193" s="36">
        <f>SUM(CQ187:CQ192)</f>
        <v>117404.07499862448</v>
      </c>
      <c r="CR193" s="23">
        <f t="shared" si="1109"/>
        <v>6.4468023459568258</v>
      </c>
      <c r="CS193" s="23">
        <f t="shared" si="1110"/>
        <v>6.4718408699901975</v>
      </c>
    </row>
    <row r="194" spans="1:97" ht="12.75" customHeight="1" x14ac:dyDescent="0.2">
      <c r="A194" s="4" t="s">
        <v>98</v>
      </c>
      <c r="B194" s="56">
        <f t="shared" ref="B194:N194" si="1135">AVERAGE(B193,B187)</f>
        <v>48367.734499999999</v>
      </c>
      <c r="C194" s="59"/>
      <c r="D194" s="56">
        <f t="shared" si="1135"/>
        <v>50700.469499999992</v>
      </c>
      <c r="E194" s="59"/>
      <c r="F194" s="56">
        <f t="shared" si="1135"/>
        <v>50160.15449999999</v>
      </c>
      <c r="G194" s="59"/>
      <c r="H194" s="56">
        <f t="shared" si="1135"/>
        <v>48871.933499999992</v>
      </c>
      <c r="I194" s="59"/>
      <c r="J194" s="56">
        <f t="shared" si="1135"/>
        <v>49573.298999999992</v>
      </c>
      <c r="K194" s="23">
        <f t="shared" si="1079"/>
        <v>2.4924973486198487</v>
      </c>
      <c r="L194" s="56">
        <f t="shared" si="1135"/>
        <v>49317.400999999991</v>
      </c>
      <c r="M194" s="23">
        <f t="shared" si="1079"/>
        <v>-2.7279204978565397</v>
      </c>
      <c r="N194" s="56">
        <f t="shared" si="1135"/>
        <v>49820.699499999988</v>
      </c>
      <c r="O194" s="23">
        <f t="shared" si="1079"/>
        <v>-0.67674233339931611</v>
      </c>
      <c r="P194" s="36">
        <f>AVERAGE(P193,P187)</f>
        <v>52411.763499999986</v>
      </c>
      <c r="Q194" s="23">
        <f t="shared" si="1079"/>
        <v>7.2430733684804904</v>
      </c>
      <c r="R194" s="36">
        <f>AVERAGE(R193,R187)</f>
        <v>56032.105999999985</v>
      </c>
      <c r="S194" s="23">
        <f t="shared" si="1079"/>
        <v>13.028802057333323</v>
      </c>
      <c r="T194" s="36">
        <f>AVERAGE(T193,T187)</f>
        <v>59323.105999999985</v>
      </c>
      <c r="U194" s="23">
        <f t="shared" si="1079"/>
        <v>20.288386648761136</v>
      </c>
      <c r="V194" s="36">
        <f>AVERAGE(V193,V187)</f>
        <v>61959.755999999979</v>
      </c>
      <c r="W194" s="23">
        <f t="shared" si="1079"/>
        <v>24.365487883204029</v>
      </c>
      <c r="X194" s="36">
        <f>AVERAGE(X193,X187)</f>
        <v>64818.955999999991</v>
      </c>
      <c r="Y194" s="215">
        <f t="shared" si="1079"/>
        <v>23.672533934104333</v>
      </c>
      <c r="Z194" s="36">
        <f>AVERAGE(Z193,Z187)</f>
        <v>67733.505999999994</v>
      </c>
      <c r="AA194" s="215">
        <f t="shared" si="1080"/>
        <v>20.88338425116487</v>
      </c>
      <c r="AB194" s="36">
        <f>AVERAGE(AB193,AB187)</f>
        <v>69811.505999999994</v>
      </c>
      <c r="AC194" s="23">
        <f t="shared" si="1081"/>
        <v>17.680126188942324</v>
      </c>
      <c r="AD194" s="36">
        <f>AVERAGE(AD193,AD187)</f>
        <v>69875.405999999988</v>
      </c>
      <c r="AE194" s="23">
        <f t="shared" si="1082"/>
        <v>12.775469935678906</v>
      </c>
      <c r="AF194" s="36">
        <f>AVERAGE(AF193,AF187)</f>
        <v>69438.455999999976</v>
      </c>
      <c r="AG194" s="23">
        <f t="shared" si="1083"/>
        <v>7.1267732235613002</v>
      </c>
      <c r="AH194" s="36">
        <f>AVERAGE(AH193,AH187)</f>
        <v>70416.605999999971</v>
      </c>
      <c r="AI194" s="23">
        <f t="shared" si="1084"/>
        <v>3.9612595869464862</v>
      </c>
      <c r="AJ194" s="36">
        <f>AVERAGE(AJ193,AJ187)</f>
        <v>71000.505999999979</v>
      </c>
      <c r="AK194" s="23">
        <f t="shared" si="1085"/>
        <v>1.7031576428103268</v>
      </c>
      <c r="AL194" s="36">
        <f>AVERAGE(AL193,AL187)</f>
        <v>69371.106</v>
      </c>
      <c r="AM194" s="23">
        <f t="shared" si="1086"/>
        <v>-0.72171315899043353</v>
      </c>
      <c r="AN194" s="410">
        <f t="shared" ref="AN194:AP194" si="1136">AVERAGE(AN193,AN187)</f>
        <v>68036.806000000011</v>
      </c>
      <c r="AO194" s="23">
        <f t="shared" si="1088"/>
        <v>-2.0185500668389977</v>
      </c>
      <c r="AP194" s="410">
        <f t="shared" si="1136"/>
        <v>68808.056000000011</v>
      </c>
      <c r="AQ194" s="23">
        <f t="shared" si="1089"/>
        <v>-2.2843333289877088</v>
      </c>
      <c r="AR194" s="410">
        <f t="shared" ref="AR194:AT194" si="1137">AVERAGE(AR193,AR187)</f>
        <v>70253.206000000006</v>
      </c>
      <c r="AS194" s="23">
        <f t="shared" si="1091"/>
        <v>-1.0525277101545938</v>
      </c>
      <c r="AT194" s="410">
        <f t="shared" si="1137"/>
        <v>71923.606</v>
      </c>
      <c r="AU194" s="23">
        <f t="shared" si="1092"/>
        <v>3.679485807823224</v>
      </c>
      <c r="AV194" s="410">
        <f t="shared" ref="AV194:AX194" si="1138">AVERAGE(AV193,AV187)</f>
        <v>73402.556000000011</v>
      </c>
      <c r="AW194" s="23">
        <f t="shared" si="1094"/>
        <v>7.8865401177121708</v>
      </c>
      <c r="AX194" s="410">
        <f t="shared" si="1138"/>
        <v>75093.406000000003</v>
      </c>
      <c r="AY194" s="23">
        <f t="shared" si="1095"/>
        <v>9.1346135400191883</v>
      </c>
      <c r="AZ194" s="410">
        <f t="shared" ref="AZ194" si="1139">AVERAGE(AZ193,AZ187)</f>
        <v>78176.606</v>
      </c>
      <c r="BA194" s="23">
        <f t="shared" si="1097"/>
        <v>11.278346499944769</v>
      </c>
      <c r="BB194" s="410">
        <f t="shared" ref="BB194:BD194" si="1140">AVERAGE(BB193,BB187)</f>
        <v>81614.356</v>
      </c>
      <c r="BC194" s="23">
        <f t="shared" si="1099"/>
        <v>13.473670939135051</v>
      </c>
      <c r="BD194" s="410">
        <f t="shared" si="1140"/>
        <v>84437.405999999988</v>
      </c>
      <c r="BE194" s="23">
        <f t="shared" si="1100"/>
        <v>15.03333208178741</v>
      </c>
      <c r="BF194" s="36">
        <f t="shared" ref="BF194" si="1141">AVERAGE(BF193,BF187)</f>
        <v>86030.565849426392</v>
      </c>
      <c r="BG194" s="23">
        <f t="shared" si="1102"/>
        <v>14.564740676999509</v>
      </c>
      <c r="BH194" s="36">
        <f t="shared" ref="BH194" si="1142">AVERAGE(BH193,BH187)</f>
        <v>87094.781595290187</v>
      </c>
      <c r="BI194" s="23">
        <f t="shared" si="1103"/>
        <v>11.40772930880396</v>
      </c>
      <c r="BJ194" s="36">
        <f t="shared" ref="BJ194" si="1143">AVERAGE(BJ193,BJ187)</f>
        <v>88786.692417924598</v>
      </c>
      <c r="BK194" s="23">
        <f t="shared" si="1104"/>
        <v>8.788081863838503</v>
      </c>
      <c r="BL194" s="36">
        <f t="shared" ref="BL194" si="1144">AVERAGE(BL193,BL187)</f>
        <v>90510.499143387307</v>
      </c>
      <c r="BM194" s="23">
        <f t="shared" si="1106"/>
        <v>7.192420315928838</v>
      </c>
      <c r="BN194" s="36"/>
      <c r="BO194" s="137"/>
      <c r="BP194" s="36"/>
      <c r="BQ194" s="112"/>
      <c r="BR194" s="112"/>
      <c r="BS194" s="112"/>
      <c r="BT194" s="36"/>
      <c r="BU194" s="36">
        <f t="shared" ref="BU194:CA194" si="1145">AVERAGE(BU193,BU187)</f>
        <v>48347.114000000001</v>
      </c>
      <c r="BV194" s="23" t="str">
        <f t="shared" si="1107"/>
        <v>NA</v>
      </c>
      <c r="BW194" s="36">
        <f t="shared" si="1145"/>
        <v>51726.794000000002</v>
      </c>
      <c r="BX194" s="23">
        <f t="shared" si="1108"/>
        <v>6.9904482819801883</v>
      </c>
      <c r="BY194" s="36">
        <f t="shared" si="1145"/>
        <v>60212.159999999989</v>
      </c>
      <c r="BZ194" s="23">
        <f t="shared" si="1109"/>
        <v>16.404198566800776</v>
      </c>
      <c r="CA194" s="36">
        <f t="shared" si="1145"/>
        <v>68003.409999999989</v>
      </c>
      <c r="CB194" s="23">
        <f t="shared" si="1109"/>
        <v>12.939662021757737</v>
      </c>
      <c r="CC194" s="36">
        <f t="shared" ref="CC194" si="1146">AVERAGE(CC193,CC187)</f>
        <v>68894.06</v>
      </c>
      <c r="CD194" s="23">
        <f t="shared" si="1109"/>
        <v>1.3097137334730835</v>
      </c>
      <c r="CE194" s="36">
        <f t="shared" ref="CE194" si="1147">AVERAGE(CE193,CE187)</f>
        <v>71067.75999999998</v>
      </c>
      <c r="CF194" s="23">
        <f t="shared" si="1109"/>
        <v>3.1551341291251811</v>
      </c>
      <c r="CG194" s="36">
        <f t="shared" ref="CG194" si="1148">AVERAGE(CG193,CG187)</f>
        <v>79898.109999999986</v>
      </c>
      <c r="CH194" s="23">
        <f t="shared" si="1109"/>
        <v>12.425254433233878</v>
      </c>
      <c r="CI194" s="36">
        <f t="shared" ref="CI194" si="1149">AVERAGE(CI193,CI187)</f>
        <v>88592.382471326477</v>
      </c>
      <c r="CJ194" s="23">
        <f t="shared" si="1109"/>
        <v>10.881699794058331</v>
      </c>
      <c r="CK194" s="36">
        <f>AVERAGE(CK193,CK187)</f>
        <v>94343.110077039688</v>
      </c>
      <c r="CL194" s="23">
        <f t="shared" si="1109"/>
        <v>6.4912213051437906</v>
      </c>
      <c r="CM194" s="36">
        <f>AVERAGE(CM193,CM187)</f>
        <v>100454.14769568546</v>
      </c>
      <c r="CN194" s="23">
        <f t="shared" si="1109"/>
        <v>6.4774604246728318</v>
      </c>
      <c r="CO194" s="36">
        <f>AVERAGE(CO193,CO187)</f>
        <v>106948.07043676653</v>
      </c>
      <c r="CP194" s="23">
        <f t="shared" si="1109"/>
        <v>6.4645640723105524</v>
      </c>
      <c r="CQ194" s="36">
        <f>AVERAGE(CQ193,CQ187)</f>
        <v>113848.86784610651</v>
      </c>
      <c r="CR194" s="23">
        <f t="shared" si="1109"/>
        <v>6.4524749078293198</v>
      </c>
      <c r="CS194" s="23">
        <f t="shared" si="1110"/>
        <v>7.3392217121263981</v>
      </c>
    </row>
    <row r="195" spans="1:97" ht="12.75" customHeight="1" x14ac:dyDescent="0.2">
      <c r="B195" s="119"/>
      <c r="C195" s="24"/>
      <c r="D195" s="119"/>
      <c r="E195" s="24"/>
      <c r="F195" s="119"/>
      <c r="G195" s="24"/>
      <c r="H195" s="119"/>
      <c r="I195" s="24"/>
      <c r="J195" s="119"/>
      <c r="L195" s="119"/>
      <c r="N195" s="119"/>
      <c r="P195" s="32"/>
      <c r="R195" s="32"/>
      <c r="T195" s="32"/>
      <c r="V195" s="32"/>
      <c r="X195" s="32"/>
      <c r="Y195" s="216"/>
      <c r="Z195" s="32"/>
      <c r="AA195" s="216"/>
      <c r="AB195" s="32"/>
      <c r="AD195" s="32"/>
      <c r="AF195" s="32"/>
      <c r="AH195" s="32"/>
      <c r="AJ195" s="32"/>
      <c r="AL195" s="32"/>
      <c r="AN195" s="484"/>
      <c r="AP195" s="484"/>
      <c r="AR195" s="409"/>
      <c r="AT195" s="409"/>
      <c r="AV195" s="409"/>
      <c r="AX195" s="409"/>
      <c r="AZ195" s="409"/>
      <c r="BB195" s="409"/>
      <c r="BD195" s="409"/>
      <c r="BF195" s="35"/>
      <c r="BH195" s="35"/>
      <c r="BJ195" s="35"/>
      <c r="BL195" s="35"/>
      <c r="BN195" s="5"/>
      <c r="BO195" s="136"/>
      <c r="BP195" s="5"/>
      <c r="BQ195" s="5"/>
      <c r="BR195" s="5"/>
      <c r="BS195" s="5"/>
      <c r="BT195" s="5"/>
      <c r="BU195" s="5"/>
      <c r="BW195" s="5"/>
    </row>
    <row r="196" spans="1:97" ht="12.75" customHeight="1" x14ac:dyDescent="0.2">
      <c r="A196" s="4" t="s">
        <v>289</v>
      </c>
      <c r="B196" s="119">
        <f>B188+B189</f>
        <v>452.92599999999993</v>
      </c>
      <c r="C196" s="24"/>
      <c r="D196" s="119">
        <f>D188+D189</f>
        <v>2403.7379999999998</v>
      </c>
      <c r="E196" s="24"/>
      <c r="F196" s="119">
        <f>F188+F189</f>
        <v>-666.82099999999991</v>
      </c>
      <c r="G196" s="24"/>
      <c r="H196" s="119">
        <f>H188+H189</f>
        <v>209.05999999999995</v>
      </c>
      <c r="I196" s="24"/>
      <c r="J196" s="119">
        <f>J188+J189</f>
        <v>-186.03400000000011</v>
      </c>
      <c r="K196" s="23" t="str">
        <f t="shared" ref="K196:Y196" si="1150">IF(ISERROR((J196/B196-1)*100),"NA",IF(((J196/B196-1)*100)&gt;100,"NM",IF(((J196/B196-1)*100)&lt;-50,"NM",(J196/B196-1)*100)))</f>
        <v>NM</v>
      </c>
      <c r="L196" s="119">
        <f>L188+L189</f>
        <v>34.487999999999829</v>
      </c>
      <c r="M196" s="23" t="str">
        <f t="shared" si="1150"/>
        <v>NM</v>
      </c>
      <c r="N196" s="119">
        <f>N188+N189</f>
        <v>329.22499999999991</v>
      </c>
      <c r="O196" s="23" t="str">
        <f t="shared" si="1150"/>
        <v>NM</v>
      </c>
      <c r="P196" s="119">
        <f>P188+P189</f>
        <v>3762.165</v>
      </c>
      <c r="Q196" s="23" t="str">
        <f t="shared" si="1150"/>
        <v>NM</v>
      </c>
      <c r="R196" s="119">
        <f>R188+R189</f>
        <v>2630.7000000000003</v>
      </c>
      <c r="S196" s="23" t="str">
        <f t="shared" si="1150"/>
        <v>NM</v>
      </c>
      <c r="T196" s="119">
        <f>T188+T189</f>
        <v>3145.2000000000003</v>
      </c>
      <c r="U196" s="23" t="str">
        <f t="shared" si="1150"/>
        <v>NM</v>
      </c>
      <c r="V196" s="119">
        <f>V188+V189</f>
        <v>714.80000000000018</v>
      </c>
      <c r="W196" s="23" t="str">
        <f t="shared" si="1150"/>
        <v>NM</v>
      </c>
      <c r="X196" s="119">
        <f>X188+X189</f>
        <v>1286.9999999999995</v>
      </c>
      <c r="Y196" s="215" t="str">
        <f t="shared" si="1150"/>
        <v>NM</v>
      </c>
      <c r="Z196" s="119">
        <f>Z188+Z189</f>
        <v>1345.3000000000002</v>
      </c>
      <c r="AA196" s="215">
        <f>IF(ISERROR((Z196/R196-1)*100),"NA",IF(((Z196/R196-1)*100)&gt;100,"NM",IF(((Z196/R196-1)*100)&lt;-50,"NM",(Z196/R196-1)*100)))</f>
        <v>-48.861519747595693</v>
      </c>
      <c r="AB196" s="119">
        <f>AB188+AB189</f>
        <v>-594.80000000000018</v>
      </c>
      <c r="AC196" s="23" t="str">
        <f>IF(ISERROR((AB196/T196-1)*100),"NA",IF(((AB196/T196-1)*100)&gt;100,"NM",IF(((AB196/T196-1)*100)&lt;-50,"NM",(AB196/T196-1)*100)))</f>
        <v>NM</v>
      </c>
      <c r="AD196" s="119">
        <f>AD188+AD189</f>
        <v>-412.60000000000036</v>
      </c>
      <c r="AE196" s="23" t="str">
        <f>IF(ISERROR((AD196/V196-1)*100),"NA",IF(((AD196/V196-1)*100)&gt;100,"NM",IF(((AD196/V196-1)*100)&lt;-50,"NM",(AD196/V196-1)*100)))</f>
        <v>NM</v>
      </c>
      <c r="AF196" s="119">
        <f>AF188+AF189</f>
        <v>798.5</v>
      </c>
      <c r="AG196" s="23">
        <f>IF(ISERROR((AF196/X196-1)*100),"NA",IF(((AF196/X196-1)*100)&gt;100,"NM",IF(((AF196/X196-1)*100)&lt;-50,"NM",(AF196/X196-1)*100)))</f>
        <v>-37.95648795648794</v>
      </c>
      <c r="AH196" s="119">
        <f>AH188+AH189</f>
        <v>748.5</v>
      </c>
      <c r="AI196" s="23">
        <f>IF(ISERROR((AH196/Z196-1)*100),"NA",IF(((AH196/Z196-1)*100)&gt;100,"NM",IF(((AH196/Z196-1)*100)&lt;-50,"NM",(AH196/Z196-1)*100)))</f>
        <v>-44.361852374934962</v>
      </c>
      <c r="AJ196" s="119">
        <f>AJ188+AJ189</f>
        <v>545.80000000000018</v>
      </c>
      <c r="AK196" s="23" t="str">
        <f>IF(ISERROR((AJ196/AB196-1)*100),"NA",IF(((AJ196/AB196-1)*100)&gt;100,"NM",IF(((AJ196/AB196-1)*100)&lt;-50,"NM",(AJ196/AB196-1)*100)))</f>
        <v>NM</v>
      </c>
      <c r="AL196" s="119">
        <f>AL188+AL189</f>
        <v>-1126.2999999999997</v>
      </c>
      <c r="AM196" s="23" t="str">
        <f>IF(ISERROR((AL196/AD196-1)*100),"NA",IF(((AL196/AD196-1)*100)&gt;100,"NM",IF(((AL196/AD196-1)*100)&lt;-50,"NM",(AL196/AD196-1)*100)))</f>
        <v>NM</v>
      </c>
      <c r="AN196" s="458">
        <f t="shared" ref="AN196:AP196" si="1151">AN188+AN189</f>
        <v>-686</v>
      </c>
      <c r="AO196" s="23" t="str">
        <f>IF(ISERROR((AN196/AF196-1)*100),"NA",IF(((AN196/AF196-1)*100)&gt;100,"NM",IF(((AN196/AF196-1)*100)&lt;-50,"NM",(AN196/AF196-1)*100)))</f>
        <v>NM</v>
      </c>
      <c r="AP196" s="458">
        <f t="shared" si="1151"/>
        <v>517.29999999999973</v>
      </c>
      <c r="AQ196" s="23">
        <f t="shared" ref="AQ196" si="1152">IF(ISERROR((AP196/AH196-1)*100),"NA",IF(((AP196/AH196-1)*100)&gt;100,"NM",IF(((AP196/AH196-1)*100)&lt;-50,"NM",(AP196/AH196-1)*100)))</f>
        <v>-30.888443553774248</v>
      </c>
      <c r="AR196" s="458">
        <f t="shared" ref="AR196:AT196" si="1153">AR188+AR189</f>
        <v>464</v>
      </c>
      <c r="AS196" s="23">
        <f t="shared" ref="AS196" si="1154">IF(ISERROR((AR196/AJ196-1)*100),"NA",IF(((AR196/AJ196-1)*100)&gt;100,"NM",IF(((AR196/AJ196-1)*100)&lt;-50,"NM",(AR196/AJ196-1)*100)))</f>
        <v>-14.987174789300139</v>
      </c>
      <c r="AT196" s="458">
        <f t="shared" si="1153"/>
        <v>174.80000000000018</v>
      </c>
      <c r="AU196" s="23" t="str">
        <f t="shared" ref="AU196" si="1155">IF(ISERROR((AT196/AL196-1)*100),"NA",IF(((AT196/AL196-1)*100)&gt;100,"NM",IF(((AT196/AL196-1)*100)&lt;-50,"NM",(AT196/AL196-1)*100)))</f>
        <v>NM</v>
      </c>
      <c r="AV196" s="458">
        <f t="shared" ref="AV196:AX196" si="1156">AV188+AV189</f>
        <v>1583</v>
      </c>
      <c r="AW196" s="23" t="str">
        <f t="shared" ref="AW196" si="1157">IF(ISERROR((AV196/AN196-1)*100),"NA",IF(((AV196/AN196-1)*100)&gt;100,"NM",IF(((AV196/AN196-1)*100)&lt;-50,"NM",(AV196/AN196-1)*100)))</f>
        <v>NM</v>
      </c>
      <c r="AX196" s="458">
        <f t="shared" si="1156"/>
        <v>568.40000000000009</v>
      </c>
      <c r="AY196" s="23">
        <f t="shared" ref="AY196" si="1158">IF(ISERROR((AX196/AP196-1)*100),"NA",IF(((AX196/AP196-1)*100)&gt;100,"NM",IF(((AX196/AP196-1)*100)&lt;-50,"NM",(AX196/AP196-1)*100)))</f>
        <v>9.878213802435809</v>
      </c>
      <c r="AZ196" s="458">
        <f t="shared" ref="AZ196" si="1159">AZ188+AZ189</f>
        <v>2384.9999999999995</v>
      </c>
      <c r="BA196" s="23" t="str">
        <f t="shared" ref="BA196" si="1160">IF(ISERROR((AZ196/AR196-1)*100),"NA",IF(((AZ196/AR196-1)*100)&gt;100,"NM",IF(((AZ196/AR196-1)*100)&lt;-50,"NM",(AZ196/AR196-1)*100)))</f>
        <v>NM</v>
      </c>
      <c r="BB196" s="458">
        <f t="shared" ref="BB196:BD196" si="1161">BB188+BB189</f>
        <v>1227.9000000000001</v>
      </c>
      <c r="BC196" s="23" t="str">
        <f t="shared" ref="BC196" si="1162">IF(ISERROR((BB196/AT196-1)*100),"NA",IF(((BB196/AT196-1)*100)&gt;100,"NM",IF(((BB196/AT196-1)*100)&lt;-50,"NM",(BB196/AT196-1)*100)))</f>
        <v>NM</v>
      </c>
      <c r="BD196" s="458">
        <f t="shared" si="1161"/>
        <v>835</v>
      </c>
      <c r="BE196" s="23">
        <f t="shared" ref="BE196" si="1163">IF(ISERROR((BD196/AV196-1)*100),"NA",IF(((BD196/AV196-1)*100)&gt;100,"NM",IF(((BD196/AV196-1)*100)&lt;-50,"NM",(BD196/AV196-1)*100)))</f>
        <v>-47.252053063802904</v>
      </c>
      <c r="BF196" s="119">
        <f t="shared" ref="BF196" si="1164">BF188+BF189</f>
        <v>858.04405999999972</v>
      </c>
      <c r="BG196" s="23">
        <f t="shared" ref="BG196" si="1165">IF(ISERROR((BF196/AX196-1)*100),"NA",IF(((BF196/AX196-1)*100)&gt;100,"NM",IF(((BF196/AX196-1)*100)&lt;-50,"NM",(BF196/AX196-1)*100)))</f>
        <v>50.9577867698803</v>
      </c>
      <c r="BH196" s="119">
        <f t="shared" ref="BH196" si="1166">BH188+BH189</f>
        <v>862.56725698852779</v>
      </c>
      <c r="BI196" s="23" t="str">
        <f t="shared" ref="BI196" si="1167">IF(ISERROR((BH196/AZ196-1)*100),"NA",IF(((BH196/AZ196-1)*100)&gt;100,"NM",IF(((BH196/AZ196-1)*100)&lt;-50,"NM",(BH196/AZ196-1)*100)))</f>
        <v>NM</v>
      </c>
      <c r="BJ196" s="119">
        <f t="shared" ref="BJ196" si="1168">BJ188+BJ189</f>
        <v>879.32837491727605</v>
      </c>
      <c r="BK196" s="23">
        <f t="shared" ref="BK196" si="1169">IF(ISERROR((BJ196/BB196-1)*100),"NA",IF(((BJ196/BB196-1)*100)&gt;100,"NM",IF(((BJ196/BB196-1)*100)&lt;-50,"NM",(BJ196/BB196-1)*100)))</f>
        <v>-28.387623184520237</v>
      </c>
      <c r="BL196" s="119">
        <f t="shared" ref="BL196" si="1170">BL188+BL189</f>
        <v>896.40547344121569</v>
      </c>
      <c r="BM196" s="23">
        <f t="shared" ref="BM196" si="1171">IF(ISERROR((BL196/BD196-1)*100),"NA",IF(((BL196/BD196-1)*100)&gt;100,"NM",IF(((BL196/BD196-1)*100)&lt;-50,"NM",(BL196/BD196-1)*100)))</f>
        <v>7.353948915115649</v>
      </c>
      <c r="BN196" s="5"/>
      <c r="BO196" s="136"/>
      <c r="BP196" s="5"/>
      <c r="BQ196" s="152"/>
      <c r="BR196" s="152"/>
      <c r="BS196" s="152"/>
      <c r="BT196" s="5"/>
      <c r="BU196" s="119">
        <f>BU188+BU189</f>
        <v>2398.9030000000002</v>
      </c>
      <c r="BV196" s="23" t="str">
        <f t="shared" si="1107"/>
        <v>NA</v>
      </c>
      <c r="BW196" s="119">
        <f>BW188+BW189</f>
        <v>3939.8439999999991</v>
      </c>
      <c r="BX196" s="23">
        <f>IF(ISERROR((BW196/BU196-1)*100),"NA",IF(((BW196/BU196-1)*100)&gt;100,"NM",IF(((BW196/BU196-1)*100)&lt;-50,"NM",(BW196/BU196-1)*100)))</f>
        <v>64.235235855722323</v>
      </c>
      <c r="BY196" s="119">
        <f>BY188+BY189</f>
        <v>7777.7000000000007</v>
      </c>
      <c r="BZ196" s="23">
        <f>IF(ISERROR((BY196/BW196-1)*100),"NA",IF(((BY196/BW196-1)*100)&gt;100,"NM",IF(((BY196/BW196-1)*100)&lt;-50,"NM",(BY196/BW196-1)*100)))</f>
        <v>97.411369587222296</v>
      </c>
      <c r="CA196" s="119">
        <f>CA188+CA189</f>
        <v>1136.4000000000015</v>
      </c>
      <c r="CB196" s="23" t="str">
        <f>IF(ISERROR((CA196/BY196-1)*100),"NA",IF(((CA196/BY196-1)*100)&gt;100,"NM",IF(((CA196/BY196-1)*100)&lt;-50,"NM",(CA196/BY196-1)*100)))</f>
        <v>NM</v>
      </c>
      <c r="CC196" s="119">
        <f>CC188+CC189</f>
        <v>-517.99999999999818</v>
      </c>
      <c r="CD196" s="23" t="str">
        <f>IF(ISERROR((CC196/CA196-1)*100),"NA",IF(((CC196/CA196-1)*100)&gt;100,"NM",IF(((CC196/CA196-1)*100)&lt;-50,"NM",(CC196/CA196-1)*100)))</f>
        <v>NM</v>
      </c>
      <c r="CE196" s="119">
        <f>CE188+CE189</f>
        <v>2739.1000000000022</v>
      </c>
      <c r="CF196" s="23" t="str">
        <f>IF(ISERROR((CE196/CC196-1)*100),"NA",IF(((CE196/CC196-1)*100)&gt;100,"NM",IF(((CE196/CC196-1)*100)&lt;-50,"NM",(CE196/CC196-1)*100)))</f>
        <v>NM</v>
      </c>
      <c r="CG196" s="119">
        <f>CG188+CG189</f>
        <v>5016.2999999999993</v>
      </c>
      <c r="CH196" s="23">
        <f>IF(ISERROR((CG196/CE196-1)*100),"NA",IF(((CG196/CE196-1)*100)&gt;100,"NM",IF(((CG196/CE196-1)*100)&lt;-50,"NM",(CG196/CE196-1)*100)))</f>
        <v>83.136796758059049</v>
      </c>
      <c r="CI196" s="119">
        <f>CI188+CI189</f>
        <v>3496.3451653470183</v>
      </c>
      <c r="CJ196" s="23">
        <f>IF(ISERROR((CI196/CG196-1)*100),"NA",IF(((CI196/CG196-1)*100)&gt;100,"NM",IF(((CI196/CG196-1)*100)&lt;-50,"NM",(CI196/CG196-1)*100)))</f>
        <v>-30.300317657496191</v>
      </c>
      <c r="CK196" s="119">
        <f>CK188+CK189</f>
        <v>3723.5571365918622</v>
      </c>
      <c r="CL196" s="23">
        <f>IF(ISERROR((CK196/CI196-1)*100),"NA",IF(((CK196/CI196-1)*100)&gt;100,"NM",IF(((CK196/CI196-1)*100)&lt;-50,"NM",(CK196/CI196-1)*100)))</f>
        <v>6.4985566498636294</v>
      </c>
      <c r="CM196" s="119">
        <f>CM188+CM189</f>
        <v>3965.0050017810427</v>
      </c>
      <c r="CN196" s="23">
        <f>IF(ISERROR((CM196/CK196-1)*100),"NA",IF(((CM196/CK196-1)*100)&gt;100,"NM",IF(((CM196/CK196-1)*100)&lt;-50,"NM",(CM196/CK196-1)*100)))</f>
        <v>6.4843335641728617</v>
      </c>
      <c r="CO196" s="119">
        <f>CO188+CO189</f>
        <v>4221.5807063313478</v>
      </c>
      <c r="CP196" s="23">
        <f>IF(ISERROR((CO196/CM196-1)*100),"NA",IF(((CO196/CM196-1)*100)&gt;100,"NM",IF(((CO196/CM196-1)*100)&lt;-50,"NM",(CO196/CM196-1)*100)))</f>
        <v>6.4710058230709411</v>
      </c>
      <c r="CQ196" s="119">
        <f>CQ188+CQ189</f>
        <v>4494.232080216585</v>
      </c>
      <c r="CR196" s="23">
        <f>IF(ISERROR((CQ196/CO196-1)*100),"NA",IF(((CQ196/CO196-1)*100)&gt;100,"NM",IF(((CQ196/CO196-1)*100)&lt;-50,"NM",(CQ196/CO196-1)*100)))</f>
        <v>6.4585138328950187</v>
      </c>
      <c r="CS196" s="23">
        <f>IF(ISERROR(((CQ196/CG196)^0.2-1)*100),"NA",IF((((CQ196/CG196)^0.2-1)*100)&gt;100,"NM",IF((((CQ196/CG196)^0.2-1)*100)&lt;-50,"NM",((CQ196/CG196)^0.2-1)*100)))</f>
        <v>-2.1739768631073297</v>
      </c>
    </row>
    <row r="197" spans="1:97" ht="12.75" customHeight="1" x14ac:dyDescent="0.2">
      <c r="B197" s="119"/>
      <c r="C197" s="24"/>
      <c r="D197" s="119"/>
      <c r="E197" s="24"/>
      <c r="F197" s="119"/>
      <c r="G197" s="24"/>
      <c r="H197" s="119"/>
      <c r="I197" s="24"/>
      <c r="J197" s="119"/>
      <c r="L197" s="119"/>
      <c r="N197" s="119"/>
      <c r="P197" s="32"/>
      <c r="R197" s="32"/>
      <c r="T197" s="32"/>
      <c r="V197" s="32"/>
      <c r="X197" s="32"/>
      <c r="Y197" s="216"/>
      <c r="Z197" s="32"/>
      <c r="AA197" s="216"/>
      <c r="AB197" s="32"/>
      <c r="AD197" s="32"/>
      <c r="AF197" s="32"/>
      <c r="AH197" s="32"/>
      <c r="AJ197" s="32"/>
      <c r="AL197" s="32"/>
      <c r="AN197" s="484"/>
      <c r="AP197" s="484"/>
      <c r="AR197" s="409"/>
      <c r="AT197" s="409"/>
      <c r="AV197" s="409"/>
      <c r="AX197" s="409"/>
      <c r="AZ197" s="409"/>
      <c r="BB197" s="409"/>
      <c r="BD197" s="409"/>
      <c r="BF197" s="35"/>
      <c r="BH197" s="35"/>
      <c r="BJ197" s="35"/>
      <c r="BL197" s="35"/>
      <c r="BN197" s="5"/>
      <c r="BO197" s="136"/>
      <c r="BP197" s="5"/>
      <c r="BQ197" s="5"/>
      <c r="BR197" s="5"/>
      <c r="BS197" s="5"/>
      <c r="BT197" s="5"/>
      <c r="BU197" s="5"/>
      <c r="BW197" s="5"/>
    </row>
    <row r="198" spans="1:97" ht="12.75" customHeight="1" x14ac:dyDescent="0.2">
      <c r="A198" s="4" t="s">
        <v>141</v>
      </c>
      <c r="B198" s="35">
        <f t="shared" ref="B198:N198" si="1172">B188/B187*400</f>
        <v>25.105572318301178</v>
      </c>
      <c r="C198" s="59"/>
      <c r="D198" s="35">
        <f t="shared" si="1172"/>
        <v>38.573560729072668</v>
      </c>
      <c r="E198" s="59"/>
      <c r="F198" s="35">
        <f t="shared" si="1172"/>
        <v>17.094327606565539</v>
      </c>
      <c r="G198" s="59"/>
      <c r="H198" s="35">
        <f t="shared" si="1172"/>
        <v>20.889228333449118</v>
      </c>
      <c r="I198" s="59"/>
      <c r="J198" s="35">
        <f t="shared" si="1172"/>
        <v>20.3734742823254</v>
      </c>
      <c r="K198" s="23">
        <f t="shared" ref="K198:Y201" si="1173">IF(ISERROR((J198/B198-1)*100),"NA",IF(((J198/B198-1)*100)&gt;100,"NM",IF(((J198/B198-1)*100)&lt;-50,"NM",(J198/B198-1)*100)))</f>
        <v>-18.848795701527287</v>
      </c>
      <c r="L198" s="35">
        <f t="shared" si="1172"/>
        <v>16.830495007891081</v>
      </c>
      <c r="M198" s="23" t="str">
        <f t="shared" si="1173"/>
        <v>NM</v>
      </c>
      <c r="N198" s="35">
        <f t="shared" si="1172"/>
        <v>22.364212938502021</v>
      </c>
      <c r="O198" s="23">
        <f t="shared" si="1173"/>
        <v>30.828269196809121</v>
      </c>
      <c r="P198" s="35">
        <f>P188/P187*400</f>
        <v>47.419382882557848</v>
      </c>
      <c r="Q198" s="23" t="str">
        <f t="shared" si="1173"/>
        <v>NM</v>
      </c>
      <c r="R198" s="35">
        <f>R188/R187*400</f>
        <v>35.482220175107834</v>
      </c>
      <c r="S198" s="23">
        <f t="shared" si="1173"/>
        <v>74.158907231103541</v>
      </c>
      <c r="T198" s="35">
        <f>T188/T187*400</f>
        <v>39.726764875115286</v>
      </c>
      <c r="U198" s="23" t="str">
        <f t="shared" si="1173"/>
        <v>NM</v>
      </c>
      <c r="V198" s="35">
        <f>V188/V187*400</f>
        <v>25.561635885333839</v>
      </c>
      <c r="W198" s="23">
        <f t="shared" si="1173"/>
        <v>14.29705107720185</v>
      </c>
      <c r="X198" s="35">
        <f>X188/X187*400</f>
        <v>29.015334938609584</v>
      </c>
      <c r="Y198" s="215">
        <f t="shared" si="1173"/>
        <v>-38.811234615872195</v>
      </c>
      <c r="Z198" s="35">
        <f>Z188/Z187*400</f>
        <v>25.251043489893966</v>
      </c>
      <c r="AA198" s="215">
        <f>IF(ISERROR((Z198/R198-1)*100),"NA",IF(((Z198/R198-1)*100)&gt;100,"NM",IF(((Z198/R198-1)*100)&lt;-50,"NM",(Z198/R198-1)*100)))</f>
        <v>-28.834657568557219</v>
      </c>
      <c r="AB198" s="35">
        <f>AB188/AB187*400</f>
        <v>17.982592940331646</v>
      </c>
      <c r="AC198" s="23" t="str">
        <f>IF(ISERROR((AB198/T198-1)*100),"NA",IF(((AB198/T198-1)*100)&gt;100,"NM",IF(((AB198/T198-1)*100)&lt;-50,"NM",(AB198/T198-1)*100)))</f>
        <v>NM</v>
      </c>
      <c r="AD198" s="35">
        <f>AD188/AD187*400</f>
        <v>16.291916751493222</v>
      </c>
      <c r="AE198" s="23">
        <f>IF(ISERROR((AD198/V198-1)*100),"NA",IF(((AD198/V198-1)*100)&gt;100,"NM",IF(((AD198/V198-1)*100)&lt;-50,"NM",(AD198/V198-1)*100)))</f>
        <v>-36.264185811203035</v>
      </c>
      <c r="AF198" s="35">
        <f>AF188/AF187*400</f>
        <v>22.719418418016566</v>
      </c>
      <c r="AG198" s="23">
        <f>IF(ISERROR((AF198/X198-1)*100),"NA",IF(((AF198/X198-1)*100)&gt;100,"NM",IF(((AF198/X198-1)*100)&lt;-50,"NM",(AF198/X198-1)*100)))</f>
        <v>-21.698582952476229</v>
      </c>
      <c r="AH198" s="35">
        <f>AH188/AH187*400</f>
        <v>22.34835293397013</v>
      </c>
      <c r="AI198" s="23">
        <f>IF(ISERROR((AH198/Z198-1)*100),"NA",IF(((AH198/Z198-1)*100)&gt;100,"NM",IF(((AH198/Z198-1)*100)&lt;-50,"NM",(AH198/Z198-1)*100)))</f>
        <v>-11.495329122083842</v>
      </c>
      <c r="AJ198" s="35">
        <f>AJ188/AJ187*400</f>
        <v>21.059520312112436</v>
      </c>
      <c r="AK198" s="23">
        <f>IF(ISERROR((AJ198/AB198-1)*100),"NA",IF(((AJ198/AB198-1)*100)&gt;100,"NM",IF(((AJ198/AB198-1)*100)&lt;-50,"NM",(AJ198/AB198-1)*100)))</f>
        <v>17.110587900145411</v>
      </c>
      <c r="AL198" s="35">
        <f>AL188/AL187*400</f>
        <v>21.943078650764463</v>
      </c>
      <c r="AM198" s="23">
        <f>IF(ISERROR((AL198/AD198-1)*100),"NA",IF(((AL198/AD198-1)*100)&gt;100,"NM",IF(((AL198/AD198-1)*100)&lt;-50,"NM",(AL198/AD198-1)*100)))</f>
        <v>34.686906307407249</v>
      </c>
      <c r="AN198" s="409">
        <f t="shared" ref="AN198:AP198" si="1174">AN188/AN187*400</f>
        <v>14.706335674894058</v>
      </c>
      <c r="AO198" s="23">
        <f>IF(ISERROR((AN198/AF198-1)*100),"NA",IF(((AN198/AF198-1)*100)&gt;100,"NM",IF(((AN198/AF198-1)*100)&lt;-50,"NM",(AN198/AF198-1)*100)))</f>
        <v>-35.2697529298026</v>
      </c>
      <c r="AP198" s="409">
        <f t="shared" si="1174"/>
        <v>22.647432765103794</v>
      </c>
      <c r="AQ198" s="23">
        <f t="shared" ref="AQ198:AQ201" si="1175">IF(ISERROR((AP198/AH198-1)*100),"NA",IF(((AP198/AH198-1)*100)&gt;100,"NM",IF(((AP198/AH198-1)*100)&lt;-50,"NM",(AP198/AH198-1)*100)))</f>
        <v>1.3382634148356054</v>
      </c>
      <c r="AR198" s="409">
        <f t="shared" ref="AR198:AT198" si="1176">AR188/AR187*400</f>
        <v>20.384496255966724</v>
      </c>
      <c r="AS198" s="23">
        <f t="shared" ref="AS198:AS201" si="1177">IF(ISERROR((AR198/AJ198-1)*100),"NA",IF(((AR198/AJ198-1)*100)&gt;100,"NM",IF(((AR198/AJ198-1)*100)&lt;-50,"NM",(AR198/AJ198-1)*100)))</f>
        <v>-3.2053154399602879</v>
      </c>
      <c r="AT198" s="409">
        <f t="shared" si="1176"/>
        <v>19.480247249465275</v>
      </c>
      <c r="AU198" s="23">
        <f t="shared" ref="AU198:AU201" si="1178">IF(ISERROR((AT198/AL198-1)*100),"NA",IF(((AT198/AL198-1)*100)&gt;100,"NM",IF(((AT198/AL198-1)*100)&lt;-50,"NM",(AT198/AL198-1)*100)))</f>
        <v>-11.2237277206924</v>
      </c>
      <c r="AV198" s="409">
        <f t="shared" ref="AV198:AX198" si="1179">AV188/AV187*400</f>
        <v>32.934684952616969</v>
      </c>
      <c r="AW198" s="23" t="str">
        <f t="shared" ref="AW198:AW201" si="1180">IF(ISERROR((AV198/AN198-1)*100),"NA",IF(((AV198/AN198-1)*100)&gt;100,"NM",IF(((AV198/AN198-1)*100)&lt;-50,"NM",(AV198/AN198-1)*100)))</f>
        <v>NM</v>
      </c>
      <c r="AX198" s="409">
        <f t="shared" si="1179"/>
        <v>20.719022969890784</v>
      </c>
      <c r="AY198" s="23">
        <f t="shared" ref="AY198:AY201" si="1181">IF(ISERROR((AX198/AP198-1)*100),"NA",IF(((AX198/AP198-1)*100)&gt;100,"NM",IF(((AX198/AP198-1)*100)&lt;-50,"NM",(AX198/AP198-1)*100)))</f>
        <v>-8.5149156428201973</v>
      </c>
      <c r="AZ198" s="409">
        <f t="shared" ref="AZ198" si="1182">AZ188/AZ187*400</f>
        <v>28.872796299532151</v>
      </c>
      <c r="BA198" s="23">
        <f t="shared" ref="BA198:BA201" si="1183">IF(ISERROR((AZ198/AR198-1)*100),"NA",IF(((AZ198/AR198-1)*100)&gt;100,"NM",IF(((AZ198/AR198-1)*100)&lt;-50,"NM",(AZ198/AR198-1)*100)))</f>
        <v>41.640960546576309</v>
      </c>
      <c r="BB198" s="409">
        <f t="shared" ref="BB198:BD198" si="1184">BB188/BB187*400</f>
        <v>26.397763445749469</v>
      </c>
      <c r="BC198" s="23">
        <f t="shared" ref="BC198:BC201" si="1185">IF(ISERROR((BB198/AT198-1)*100),"NA",IF(((BB198/AT198-1)*100)&gt;100,"NM",IF(((BB198/AT198-1)*100)&lt;-50,"NM",(BB198/AT198-1)*100)))</f>
        <v>35.510412715496088</v>
      </c>
      <c r="BD198" s="409">
        <f t="shared" si="1184"/>
        <v>20.315297363540033</v>
      </c>
      <c r="BE198" s="23">
        <f t="shared" ref="BE198:BE201" si="1186">IF(ISERROR((BD198/AV198-1)*100),"NA",IF(((BD198/AV198-1)*100)&gt;100,"NM",IF(((BD198/AV198-1)*100)&lt;-50,"NM",(BD198/AV198-1)*100)))</f>
        <v>-38.316405962991325</v>
      </c>
      <c r="BF198" s="210">
        <v>22</v>
      </c>
      <c r="BG198" s="23">
        <f t="shared" ref="BG198:BG201" si="1187">IF(ISERROR((BF198/AX198-1)*100),"NA",IF(((BF198/AX198-1)*100)&gt;100,"NM",IF(((BF198/AX198-1)*100)&lt;-50,"NM",(BF198/AX198-1)*100)))</f>
        <v>6.1826131085947145</v>
      </c>
      <c r="BH198" s="210">
        <f>BF198</f>
        <v>22</v>
      </c>
      <c r="BI198" s="23">
        <f t="shared" ref="BI198:BI201" si="1188">IF(ISERROR((BH198/AZ198-1)*100),"NA",IF(((BH198/AZ198-1)*100)&gt;100,"NM",IF(((BH198/AZ198-1)*100)&lt;-50,"NM",(BH198/AZ198-1)*100)))</f>
        <v>-23.803708612883877</v>
      </c>
      <c r="BJ198" s="210">
        <f>BH198</f>
        <v>22</v>
      </c>
      <c r="BK198" s="23">
        <f t="shared" ref="BK198:BK201" si="1189">IF(ISERROR((BJ198/BB198-1)*100),"NA",IF(((BJ198/BB198-1)*100)&gt;100,"NM",IF(((BJ198/BB198-1)*100)&lt;-50,"NM",(BJ198/BB198-1)*100)))</f>
        <v>-16.659606238185265</v>
      </c>
      <c r="BL198" s="210">
        <f>BJ198</f>
        <v>22</v>
      </c>
      <c r="BM198" s="23">
        <f t="shared" ref="BM198:BM201" si="1190">IF(ISERROR((BL198/BD198-1)*100),"NA",IF(((BL198/BD198-1)*100)&gt;100,"NM",IF(((BL198/BD198-1)*100)&lt;-50,"NM",(BL198/BD198-1)*100)))</f>
        <v>8.2927786205261746</v>
      </c>
      <c r="BN198" s="35"/>
      <c r="BO198" s="138"/>
      <c r="BP198" s="35"/>
      <c r="BQ198" s="113"/>
      <c r="BR198" s="113"/>
      <c r="BS198" s="113"/>
      <c r="BT198" s="35"/>
      <c r="BU198" s="35">
        <f>BU188/BU187*100</f>
        <v>26.387344458866956</v>
      </c>
      <c r="BV198" s="23" t="str">
        <f>IF(ISERROR((BU198/BS198-1)*100),"NA",IF(((BU198/BS198-1)*100)&gt;100,"NM",IF(((BU198/BS198-1)*100)&lt;-50,"NM",(BU198/BS198-1)*100)))</f>
        <v>NA</v>
      </c>
      <c r="BW198" s="35">
        <f>BW188/BW187*100</f>
        <v>27.048713599802781</v>
      </c>
      <c r="BX198" s="23">
        <f>IF(ISERROR((BW198/BU198-1)*100),"NA",IF(((BW198/BU198-1)*100)&gt;100,"NM",IF(((BW198/BU198-1)*100)&lt;-50,"NM",(BW198/BU198-1)*100)))</f>
        <v>2.5063876433901067</v>
      </c>
      <c r="BY198" s="35">
        <f>BY188/BY187*100</f>
        <v>35.184628896177642</v>
      </c>
      <c r="BZ198" s="23">
        <f>IF(ISERROR((BY198/BW198-1)*100),"NA",IF(((BY198/BW198-1)*100)&gt;100,"NM",IF(((BY198/BW198-1)*100)&lt;-50,"NM",(BY198/BW198-1)*100)))</f>
        <v>30.078751310502927</v>
      </c>
      <c r="CA198" s="35">
        <f>CA188/CA187*100</f>
        <v>21.247737422237549</v>
      </c>
      <c r="CB198" s="23">
        <f>IF(ISERROR((CA198/BY198-1)*100),"NA",IF(((CA198/BY198-1)*100)&gt;100,"NM",IF(((CA198/BY198-1)*100)&lt;-50,"NM",(CA198/BY198-1)*100)))</f>
        <v>-39.610738868569271</v>
      </c>
      <c r="CC198" s="35">
        <f>CC188/CC187*100</f>
        <v>20.13254177001301</v>
      </c>
      <c r="CD198" s="23">
        <f>IF(ISERROR((CC198/CA198-1)*100),"NA",IF(((CC198/CA198-1)*100)&gt;100,"NM",IF(((CC198/CA198-1)*100)&lt;-50,"NM",(CC198/CA198-1)*100)))</f>
        <v>-5.2485383740548013</v>
      </c>
      <c r="CE198" s="35">
        <f>CE188/CE187*100</f>
        <v>24.731867938998292</v>
      </c>
      <c r="CF198" s="23">
        <f>IF(ISERROR((CE198/CC198-1)*100),"NA",IF(((CE198/CC198-1)*100)&gt;100,"NM",IF(((CE198/CC198-1)*100)&lt;-50,"NM",(CE198/CC198-1)*100)))</f>
        <v>22.845233460962589</v>
      </c>
      <c r="CG198" s="35">
        <f>CG188/CG187*100</f>
        <v>25.464287558117881</v>
      </c>
      <c r="CH198" s="23">
        <f>IF(ISERROR((CG198/CE198-1)*100),"NA",IF(((CG198/CE198-1)*100)&gt;100,"NM",IF(((CG198/CE198-1)*100)&lt;-50,"NM",(CG198/CE198-1)*100)))</f>
        <v>2.961440765113732</v>
      </c>
      <c r="CI198" s="35">
        <f>CI188/CI187*100</f>
        <v>22.41133015782486</v>
      </c>
      <c r="CJ198" s="23">
        <f>IF(ISERROR((CI198/CG198-1)*100),"NA",IF(((CI198/CG198-1)*100)&gt;100,"NM",IF(((CI198/CG198-1)*100)&lt;-50,"NM",(CI198/CG198-1)*100)))</f>
        <v>-11.989172653368641</v>
      </c>
      <c r="CK198" s="47">
        <f>CI198</f>
        <v>22.41133015782486</v>
      </c>
      <c r="CL198" s="23">
        <f>IF(ISERROR((CK198/CI198-1)*100),"NA",IF(((CK198/CI198-1)*100)&gt;100,"NM",IF(((CK198/CI198-1)*100)&lt;-50,"NM",(CK198/CI198-1)*100)))</f>
        <v>0</v>
      </c>
      <c r="CM198" s="47">
        <f>CK198</f>
        <v>22.41133015782486</v>
      </c>
      <c r="CN198" s="23">
        <f>IF(ISERROR((CM198/CK198-1)*100),"NA",IF(((CM198/CK198-1)*100)&gt;100,"NM",IF(((CM198/CK198-1)*100)&lt;-50,"NM",(CM198/CK198-1)*100)))</f>
        <v>0</v>
      </c>
      <c r="CO198" s="47">
        <f>CM198</f>
        <v>22.41133015782486</v>
      </c>
      <c r="CP198" s="23">
        <f>IF(ISERROR((CO198/CM198-1)*100),"NA",IF(((CO198/CM198-1)*100)&gt;100,"NM",IF(((CO198/CM198-1)*100)&lt;-50,"NM",(CO198/CM198-1)*100)))</f>
        <v>0</v>
      </c>
      <c r="CQ198" s="47">
        <f>CO198</f>
        <v>22.41133015782486</v>
      </c>
      <c r="CR198" s="23">
        <f>IF(ISERROR((CQ198/CO198-1)*100),"NA",IF(((CQ198/CO198-1)*100)&gt;100,"NM",IF(((CQ198/CO198-1)*100)&lt;-50,"NM",(CQ198/CO198-1)*100)))</f>
        <v>0</v>
      </c>
      <c r="CS198" s="23">
        <f>IF(ISERROR(((CQ198/CG198)^0.2-1)*100),"NA",IF((((CQ198/CG198)^0.2-1)*100)&gt;100,"NM",IF((((CQ198/CG198)^0.2-1)*100)&lt;-50,"NM",((CQ198/CG198)^0.2-1)*100)))</f>
        <v>-2.5218629203949239</v>
      </c>
    </row>
    <row r="199" spans="1:97" ht="12.75" customHeight="1" x14ac:dyDescent="0.2">
      <c r="A199" s="4" t="s">
        <v>142</v>
      </c>
      <c r="B199" s="35">
        <f t="shared" ref="B199:N199" si="1191">B189/B187*400</f>
        <v>-21.275545558275962</v>
      </c>
      <c r="C199" s="59"/>
      <c r="D199" s="35">
        <f t="shared" si="1191"/>
        <v>-19.123018727860234</v>
      </c>
      <c r="E199" s="59"/>
      <c r="F199" s="35">
        <f t="shared" si="1191"/>
        <v>-22.226866950497115</v>
      </c>
      <c r="G199" s="59"/>
      <c r="H199" s="35">
        <f t="shared" si="1191"/>
        <v>-19.159751451190647</v>
      </c>
      <c r="I199" s="59"/>
      <c r="J199" s="35">
        <f t="shared" si="1191"/>
        <v>-21.880076386963523</v>
      </c>
      <c r="K199" s="23">
        <f t="shared" si="1173"/>
        <v>2.8414351445498198</v>
      </c>
      <c r="L199" s="35">
        <f t="shared" si="1191"/>
        <v>-16.553231997701378</v>
      </c>
      <c r="M199" s="23">
        <f t="shared" si="1173"/>
        <v>-13.438185501617205</v>
      </c>
      <c r="N199" s="35">
        <f t="shared" si="1191"/>
        <v>-19.670057277966208</v>
      </c>
      <c r="O199" s="23">
        <f t="shared" si="1173"/>
        <v>-11.503239202472137</v>
      </c>
      <c r="P199" s="35">
        <f>P189/P187*400</f>
        <v>-17.773580898019194</v>
      </c>
      <c r="Q199" s="23">
        <f t="shared" si="1173"/>
        <v>-7.2348044634227833</v>
      </c>
      <c r="R199" s="35">
        <f>R189/R187*400</f>
        <v>-16.017903590184947</v>
      </c>
      <c r="S199" s="23">
        <f t="shared" si="1173"/>
        <v>-26.792286704590062</v>
      </c>
      <c r="T199" s="35">
        <f>T189/T187*400</f>
        <v>-18.03655536825617</v>
      </c>
      <c r="U199" s="23">
        <f t="shared" si="1173"/>
        <v>8.96092902437886</v>
      </c>
      <c r="V199" s="35">
        <f>V189/V187*400</f>
        <v>-20.846907771890933</v>
      </c>
      <c r="W199" s="23">
        <f t="shared" si="1173"/>
        <v>5.9829540773274514</v>
      </c>
      <c r="X199" s="35">
        <f>X189/X187*400</f>
        <v>-20.879485341452668</v>
      </c>
      <c r="Y199" s="215">
        <f t="shared" si="1173"/>
        <v>17.47483785768582</v>
      </c>
      <c r="Z199" s="35">
        <f>Z189/Z187*400</f>
        <v>-17.142235620571082</v>
      </c>
      <c r="AA199" s="215">
        <f>IF(ISERROR((Z199/R199-1)*100),"NA",IF(((Z199/R199-1)*100)&gt;100,"NM",IF(((Z199/R199-1)*100)&lt;-50,"NM",(Z199/R199-1)*100)))</f>
        <v>7.0192208615556639</v>
      </c>
      <c r="AB199" s="35">
        <f>AB189/AB187*400</f>
        <v>-21.425489351607041</v>
      </c>
      <c r="AC199" s="23">
        <f>IF(ISERROR((AB199/T199-1)*100),"NA",IF(((AB199/T199-1)*100)&gt;100,"NM",IF(((AB199/T199-1)*100)&lt;-50,"NM",(AB199/T199-1)*100)))</f>
        <v>18.789252793331592</v>
      </c>
      <c r="AD199" s="35">
        <f>AD189/AD187*400</f>
        <v>-18.632298637039533</v>
      </c>
      <c r="AE199" s="23">
        <f>IF(ISERROR((AD199/V199-1)*100),"NA",IF(((AD199/V199-1)*100)&gt;100,"NM",IF(((AD199/V199-1)*100)&lt;-50,"NM",(AD199/V199-1)*100)))</f>
        <v>-10.623202055114778</v>
      </c>
      <c r="AF199" s="35">
        <f>AF189/AF187*400</f>
        <v>-18.105971934587981</v>
      </c>
      <c r="AG199" s="23">
        <f>IF(ISERROR((AF199/X199-1)*100),"NA",IF(((AF199/X199-1)*100)&gt;100,"NM",IF(((AF199/X199-1)*100)&lt;-50,"NM",(AF199/X199-1)*100)))</f>
        <v>-13.28343760158852</v>
      </c>
      <c r="AH199" s="35">
        <f>AH189/AH187*400</f>
        <v>-18.049377792987727</v>
      </c>
      <c r="AI199" s="23">
        <f>IF(ISERROR((AH199/Z199-1)*100),"NA",IF(((AH199/Z199-1)*100)&gt;100,"NM",IF(((AH199/Z199-1)*100)&lt;-50,"NM",(AH199/Z199-1)*100)))</f>
        <v>5.2918545310860932</v>
      </c>
      <c r="AJ199" s="35">
        <f>AJ189/AJ187*400</f>
        <v>-17.992741713833098</v>
      </c>
      <c r="AK199" s="23">
        <f>IF(ISERROR((AJ199/AB199-1)*100),"NA",IF(((AJ199/AB199-1)*100)&gt;100,"NM",IF(((AJ199/AB199-1)*100)&lt;-50,"NM",(AJ199/AB199-1)*100)))</f>
        <v>-16.021793394961435</v>
      </c>
      <c r="AL199" s="35">
        <f>AL189/AL187*400</f>
        <v>-28.305249655335334</v>
      </c>
      <c r="AM199" s="23">
        <f>IF(ISERROR((AL199/AD199-1)*100),"NA",IF(((AL199/AD199-1)*100)&gt;100,"NM",IF(((AL199/AD199-1)*100)&lt;-50,"NM",(AL199/AD199-1)*100)))</f>
        <v>51.914963401599536</v>
      </c>
      <c r="AN199" s="409">
        <f t="shared" ref="AN199:AP199" si="1192">AN189/AN187*400</f>
        <v>-18.745793642052146</v>
      </c>
      <c r="AO199" s="23">
        <f>IF(ISERROR((AN199/AF199-1)*100),"NA",IF(((AN199/AF199-1)*100)&gt;100,"NM",IF(((AN199/AF199-1)*100)&lt;-50,"NM",(AN199/AF199-1)*100)))</f>
        <v>3.5337606275745337</v>
      </c>
      <c r="AP199" s="409">
        <f t="shared" si="1192"/>
        <v>-19.610908746289788</v>
      </c>
      <c r="AQ199" s="23">
        <f t="shared" si="1175"/>
        <v>8.6514392419040789</v>
      </c>
      <c r="AR199" s="409">
        <f t="shared" ref="AR199:AT199" si="1193">AR189/AR187*400</f>
        <v>-17.712931951716197</v>
      </c>
      <c r="AS199" s="23">
        <f t="shared" si="1177"/>
        <v>-1.555125764417431</v>
      </c>
      <c r="AT199" s="409">
        <f t="shared" si="1193"/>
        <v>-18.495929963460036</v>
      </c>
      <c r="AU199" s="23">
        <f t="shared" si="1178"/>
        <v>-34.655478440644359</v>
      </c>
      <c r="AV199" s="409">
        <f t="shared" ref="AV199:AX199" si="1194">AV189/AV187*400</f>
        <v>-24.238460259530388</v>
      </c>
      <c r="AW199" s="23">
        <f t="shared" si="1180"/>
        <v>29.300795273648106</v>
      </c>
      <c r="AX199" s="409">
        <f t="shared" si="1194"/>
        <v>-17.646254443019753</v>
      </c>
      <c r="AY199" s="23">
        <f t="shared" si="1181"/>
        <v>-10.018170645160595</v>
      </c>
      <c r="AZ199" s="409">
        <f t="shared" ref="AZ199" si="1195">AZ189/AZ187*400</f>
        <v>-16.352274258334276</v>
      </c>
      <c r="BA199" s="23">
        <f t="shared" si="1183"/>
        <v>-7.6817191930220634</v>
      </c>
      <c r="BB199" s="409">
        <f t="shared" ref="BB199:BD199" si="1196">BB189/BB187*400</f>
        <v>-20.270388448578242</v>
      </c>
      <c r="BC199" s="23">
        <f t="shared" si="1185"/>
        <v>9.5937781372646302</v>
      </c>
      <c r="BD199" s="409">
        <f t="shared" si="1196"/>
        <v>-16.294611585261787</v>
      </c>
      <c r="BE199" s="23">
        <f t="shared" si="1186"/>
        <v>-32.773734755470443</v>
      </c>
      <c r="BF199" s="47">
        <v>-18</v>
      </c>
      <c r="BG199" s="23">
        <f t="shared" si="1187"/>
        <v>2.0046495312787238</v>
      </c>
      <c r="BH199" s="47">
        <f>BF199</f>
        <v>-18</v>
      </c>
      <c r="BI199" s="23">
        <f t="shared" si="1188"/>
        <v>10.076431667148222</v>
      </c>
      <c r="BJ199" s="47">
        <f>BH199</f>
        <v>-18</v>
      </c>
      <c r="BK199" s="23">
        <f t="shared" si="1189"/>
        <v>-11.200517712513225</v>
      </c>
      <c r="BL199" s="47">
        <f>BJ199</f>
        <v>-18</v>
      </c>
      <c r="BM199" s="23">
        <f t="shared" si="1190"/>
        <v>10.465965425531888</v>
      </c>
      <c r="BN199" s="35"/>
      <c r="BO199" s="138"/>
      <c r="BP199" s="35"/>
      <c r="BQ199" s="113"/>
      <c r="BR199" s="113"/>
      <c r="BS199" s="113"/>
      <c r="BT199" s="35"/>
      <c r="BU199" s="35">
        <f>BU189/BU187*100</f>
        <v>-21.315946692148</v>
      </c>
      <c r="BV199" s="23" t="str">
        <f>IF(ISERROR((BU199/BS199-1)*100),"NA",IF(((BU199/BS199-1)*100)&gt;100,"NM",IF(((BU199/BS199-1)*100)&lt;-50,"NM",(BU199/BS199-1)*100)))</f>
        <v>NA</v>
      </c>
      <c r="BW199" s="35">
        <f>BW189/BW187*100</f>
        <v>-19.071969038963445</v>
      </c>
      <c r="BX199" s="23">
        <f>IF(ISERROR((BW199/BU199-1)*100),"NA",IF(((BW199/BU199-1)*100)&gt;100,"NM",IF(((BW199/BU199-1)*100)&lt;-50,"NM",(BW199/BU199-1)*100)))</f>
        <v>-10.5272249250424</v>
      </c>
      <c r="BY199" s="35">
        <f>BY189/BY187*100</f>
        <v>-20.797988086262503</v>
      </c>
      <c r="BZ199" s="23">
        <f>IF(ISERROR((BY199/BW199-1)*100),"NA",IF(((BY199/BW199-1)*100)&gt;100,"NM",IF(((BY199/BW199-1)*100)&lt;-50,"NM",(BY199/BW199-1)*100)))</f>
        <v>9.050030669475472</v>
      </c>
      <c r="CA199" s="35">
        <f>CA189/CA187*100</f>
        <v>-19.535320925898358</v>
      </c>
      <c r="CB199" s="23">
        <f>IF(ISERROR((CA199/BY199-1)*100),"NA",IF(((CA199/BY199-1)*100)&gt;100,"NM",IF(((CA199/BY199-1)*100)&lt;-50,"NM",(CA199/BY199-1)*100)))</f>
        <v>-6.0711024312883559</v>
      </c>
      <c r="CC199" s="35">
        <f>CC189/CC187*100</f>
        <v>-20.876319523476813</v>
      </c>
      <c r="CD199" s="23">
        <f>IF(ISERROR((CC199/CA199-1)*100),"NA",IF(((CC199/CA199-1)*100)&gt;100,"NM",IF(((CC199/CA199-1)*100)&lt;-50,"NM",(CC199/CA199-1)*100)))</f>
        <v>6.8644820459574207</v>
      </c>
      <c r="CE199" s="35">
        <f>CE189/CE187*100</f>
        <v>-20.712271691893275</v>
      </c>
      <c r="CF199" s="23">
        <f>IF(ISERROR((CE199/CC199-1)*100),"NA",IF(((CE199/CC199-1)*100)&gt;100,"NM",IF(((CE199/CC199-1)*100)&lt;-50,"NM",(CE199/CC199-1)*100)))</f>
        <v>-0.78580820435831811</v>
      </c>
      <c r="CG199" s="35">
        <f>CG189/CG187*100</f>
        <v>-18.684758026085575</v>
      </c>
      <c r="CH199" s="23">
        <f>IF(ISERROR((CG199/CE199-1)*100),"NA",IF(((CG199/CE199-1)*100)&gt;100,"NM",IF(((CG199/CE199-1)*100)&lt;-50,"NM",(CG199/CE199-1)*100)))</f>
        <v>-9.7889487737902847</v>
      </c>
      <c r="CI199" s="35">
        <f>CI189/CI187*100</f>
        <v>-18.336542856402161</v>
      </c>
      <c r="CJ199" s="23">
        <f>IF(ISERROR((CI199/CG199-1)*100),"NA",IF(((CI199/CG199-1)*100)&gt;100,"NM",IF(((CI199/CG199-1)*100)&lt;-50,"NM",(CI199/CG199-1)*100)))</f>
        <v>-1.8636322140071271</v>
      </c>
      <c r="CK199" s="47">
        <f>CI199</f>
        <v>-18.336542856402161</v>
      </c>
      <c r="CL199" s="23">
        <f>IF(ISERROR((CK199/CI199-1)*100),"NA",IF(((CK199/CI199-1)*100)&gt;100,"NM",IF(((CK199/CI199-1)*100)&lt;-50,"NM",(CK199/CI199-1)*100)))</f>
        <v>0</v>
      </c>
      <c r="CM199" s="47">
        <f>CK199</f>
        <v>-18.336542856402161</v>
      </c>
      <c r="CN199" s="23">
        <f>IF(ISERROR((CM199/CK199-1)*100),"NA",IF(((CM199/CK199-1)*100)&gt;100,"NM",IF(((CM199/CK199-1)*100)&lt;-50,"NM",(CM199/CK199-1)*100)))</f>
        <v>0</v>
      </c>
      <c r="CO199" s="47">
        <f>CM199</f>
        <v>-18.336542856402161</v>
      </c>
      <c r="CP199" s="23">
        <f>IF(ISERROR((CO199/CM199-1)*100),"NA",IF(((CO199/CM199-1)*100)&gt;100,"NM",IF(((CO199/CM199-1)*100)&lt;-50,"NM",(CO199/CM199-1)*100)))</f>
        <v>0</v>
      </c>
      <c r="CQ199" s="47">
        <f>CO199</f>
        <v>-18.336542856402161</v>
      </c>
      <c r="CR199" s="23">
        <f>IF(ISERROR((CQ199/CO199-1)*100),"NA",IF(((CQ199/CO199-1)*100)&gt;100,"NM",IF(((CQ199/CO199-1)*100)&lt;-50,"NM",(CQ199/CO199-1)*100)))</f>
        <v>0</v>
      </c>
      <c r="CS199" s="23">
        <f>IF(ISERROR(((CQ199/CG199)^0.2-1)*100),"NA",IF((((CQ199/CG199)^0.2-1)*100)&gt;100,"NM",IF((((CQ199/CG199)^0.2-1)*100)&lt;-50,"NM",((CQ199/CG199)^0.2-1)*100)))</f>
        <v>-0.37553642256835662</v>
      </c>
    </row>
    <row r="200" spans="1:97" ht="12.75" customHeight="1" x14ac:dyDescent="0.2">
      <c r="A200" s="4" t="s">
        <v>106</v>
      </c>
      <c r="B200" s="35">
        <f t="shared" ref="B200:N200" si="1197">B191/B187*400</f>
        <v>13.848333135529034</v>
      </c>
      <c r="C200" s="59"/>
      <c r="D200" s="35">
        <f t="shared" si="1197"/>
        <v>2.7604573584640311</v>
      </c>
      <c r="E200" s="59"/>
      <c r="F200" s="35">
        <f t="shared" si="1197"/>
        <v>-26.669598720877246</v>
      </c>
      <c r="G200" s="59"/>
      <c r="H200" s="35">
        <f t="shared" si="1197"/>
        <v>7.4138436699241348</v>
      </c>
      <c r="I200" s="59"/>
      <c r="J200" s="35">
        <f t="shared" si="1197"/>
        <v>23.141811310141062</v>
      </c>
      <c r="K200" s="23">
        <f t="shared" si="1173"/>
        <v>67.109002099096315</v>
      </c>
      <c r="L200" s="35">
        <f t="shared" si="1197"/>
        <v>-4.6809276605467245</v>
      </c>
      <c r="M200" s="23" t="str">
        <f t="shared" si="1173"/>
        <v>NM</v>
      </c>
      <c r="N200" s="35">
        <f t="shared" si="1197"/>
        <v>12.929459439321844</v>
      </c>
      <c r="O200" s="23" t="str">
        <f t="shared" si="1173"/>
        <v>NM</v>
      </c>
      <c r="P200" s="35">
        <f>P191/P187*400</f>
        <v>5.0078168461500603</v>
      </c>
      <c r="Q200" s="23">
        <f t="shared" si="1173"/>
        <v>-32.453163714992328</v>
      </c>
      <c r="R200" s="35">
        <f>R191/R187*400</f>
        <v>12.786798921223902</v>
      </c>
      <c r="S200" s="23">
        <f t="shared" si="1173"/>
        <v>-44.745902773735999</v>
      </c>
      <c r="T200" s="35">
        <f>T191/T187*400</f>
        <v>-3.5377964762236811</v>
      </c>
      <c r="U200" s="23">
        <f t="shared" si="1173"/>
        <v>-24.421039315731008</v>
      </c>
      <c r="V200" s="35">
        <f>V191/V187*400</f>
        <v>11.884439164523535</v>
      </c>
      <c r="W200" s="23">
        <f t="shared" si="1173"/>
        <v>-8.0824745976628485</v>
      </c>
      <c r="X200" s="35">
        <f>X191/X187*400</f>
        <v>11.553285721650335</v>
      </c>
      <c r="Y200" s="215" t="str">
        <f t="shared" si="1173"/>
        <v>NM</v>
      </c>
      <c r="Z200" s="35">
        <f>Z191/Z187*400</f>
        <v>5.0848065996883847</v>
      </c>
      <c r="AA200" s="215" t="str">
        <f>IF(ISERROR((Z200/R200-1)*100),"NA",IF(((Z200/R200-1)*100)&gt;100,"NM",IF(((Z200/R200-1)*100)&lt;-50,"NM",(Z200/R200-1)*100)))</f>
        <v>NM</v>
      </c>
      <c r="AB200" s="35">
        <f>AB191/AB187*400</f>
        <v>9.3446737833944091</v>
      </c>
      <c r="AC200" s="23" t="str">
        <f>IF(ISERROR((AB200/T200-1)*100),"NA",IF(((AB200/T200-1)*100)&gt;100,"NM",IF(((AB200/T200-1)*100)&lt;-50,"NM",(AB200/T200-1)*100)))</f>
        <v>NM</v>
      </c>
      <c r="AD200" s="35">
        <f>AD191/AD187*400</f>
        <v>-5.9683708676001572</v>
      </c>
      <c r="AE200" s="23" t="str">
        <f>IF(ISERROR((AD200/V200-1)*100),"NA",IF(((AD200/V200-1)*100)&gt;100,"NM",IF(((AD200/V200-1)*100)&lt;-50,"NM",(AD200/V200-1)*100)))</f>
        <v>NM</v>
      </c>
      <c r="AF200" s="35">
        <f>AF191/AF187*400</f>
        <v>7.0648996367394803</v>
      </c>
      <c r="AG200" s="23">
        <f>IF(ISERROR((AF200/X200-1)*100),"NA",IF(((AF200/X200-1)*100)&gt;100,"NM",IF(((AF200/X200-1)*100)&lt;-50,"NM",(AF200/X200-1)*100)))</f>
        <v>-38.849433771899392</v>
      </c>
      <c r="AH200" s="35">
        <f>AH191/AH187*400</f>
        <v>5.0496445476977057</v>
      </c>
      <c r="AI200" s="23">
        <f>IF(ISERROR((AH200/Z200-1)*100),"NA",IF(((AH200/Z200-1)*100)&gt;100,"NM",IF(((AH200/Z200-1)*100)&lt;-50,"NM",(AH200/Z200-1)*100)))</f>
        <v>-0.69151208214750515</v>
      </c>
      <c r="AJ200" s="35">
        <f>AJ191/AJ187*400</f>
        <v>-4.5215037340333186</v>
      </c>
      <c r="AK200" s="23" t="str">
        <f>IF(ISERROR((AJ200/AB200-1)*100),"NA",IF(((AJ200/AB200-1)*100)&gt;100,"NM",IF(((AJ200/AB200-1)*100)&lt;-50,"NM",(AJ200/AB200-1)*100)))</f>
        <v>NM</v>
      </c>
      <c r="AL200" s="35">
        <f>AL191/AL187*400</f>
        <v>-12.066829175143656</v>
      </c>
      <c r="AM200" s="23" t="str">
        <f>IF(ISERROR((AL200/AD200-1)*100),"NA",IF(((AL200/AD200-1)*100)&gt;100,"NM",IF(((AL200/AD200-1)*100)&lt;-50,"NM",(AL200/AD200-1)*100)))</f>
        <v>NM</v>
      </c>
      <c r="AN200" s="409">
        <f t="shared" ref="AN200:AP200" si="1198">AN191/AN187*400</f>
        <v>5.0799422569493915</v>
      </c>
      <c r="AO200" s="23">
        <f>IF(ISERROR((AN200/AF200-1)*100),"NA",IF(((AN200/AF200-1)*100)&gt;100,"NM",IF(((AN200/AF200-1)*100)&lt;-50,"NM",(AN200/AF200-1)*100)))</f>
        <v>-28.096044980847967</v>
      </c>
      <c r="AP200" s="409">
        <f t="shared" si="1198"/>
        <v>5.5981692571871564</v>
      </c>
      <c r="AQ200" s="23">
        <f t="shared" si="1175"/>
        <v>10.862640019673076</v>
      </c>
      <c r="AR200" s="409">
        <f t="shared" ref="AR200:AT200" si="1199">AR191/AR187*400</f>
        <v>7.2552546978148404</v>
      </c>
      <c r="AS200" s="23" t="str">
        <f t="shared" si="1177"/>
        <v>NM</v>
      </c>
      <c r="AT200" s="409">
        <f t="shared" si="1199"/>
        <v>9.5548602453872569</v>
      </c>
      <c r="AU200" s="23" t="str">
        <f t="shared" si="1178"/>
        <v>NM</v>
      </c>
      <c r="AV200" s="409">
        <f t="shared" ref="AV200:AX200" si="1200">AV191/AV187*400</f>
        <v>-1.902402154905801</v>
      </c>
      <c r="AW200" s="23" t="str">
        <f t="shared" si="1180"/>
        <v>NM</v>
      </c>
      <c r="AX200" s="409">
        <f t="shared" si="1200"/>
        <v>9.75728345205758</v>
      </c>
      <c r="AY200" s="23">
        <f t="shared" si="1181"/>
        <v>74.294184469874395</v>
      </c>
      <c r="AZ200" s="409">
        <f t="shared" ref="AZ200" si="1201">AZ191/AZ187*400</f>
        <v>7.8089209795730961</v>
      </c>
      <c r="BA200" s="23">
        <f t="shared" si="1183"/>
        <v>7.6312452810927578</v>
      </c>
      <c r="BB200" s="409">
        <f t="shared" ref="BB200:BD200" si="1202">BB191/BB187*400</f>
        <v>7.20823616207658</v>
      </c>
      <c r="BC200" s="23">
        <f t="shared" si="1185"/>
        <v>-24.559480966176793</v>
      </c>
      <c r="BD200" s="409">
        <f t="shared" si="1202"/>
        <v>9.5100052839515445</v>
      </c>
      <c r="BE200" s="23" t="str">
        <f t="shared" si="1186"/>
        <v>NM</v>
      </c>
      <c r="BF200" s="35">
        <f t="shared" ref="BF200" si="1203">BF191/BF187*400</f>
        <v>-2.1244799999999997</v>
      </c>
      <c r="BG200" s="23" t="str">
        <f t="shared" si="1187"/>
        <v>NM</v>
      </c>
      <c r="BH200" s="35">
        <f t="shared" ref="BH200" si="1204">BH191/BH187*400</f>
        <v>3.5408000000000004</v>
      </c>
      <c r="BI200" s="23" t="str">
        <f t="shared" si="1188"/>
        <v>NM</v>
      </c>
      <c r="BJ200" s="35">
        <f t="shared" ref="BJ200" si="1205">BJ191/BJ187*400</f>
        <v>3.5408000000000004</v>
      </c>
      <c r="BK200" s="23" t="str">
        <f t="shared" si="1189"/>
        <v>NM</v>
      </c>
      <c r="BL200" s="35">
        <f t="shared" ref="BL200" si="1206">BL191/BL187*400</f>
        <v>3.5408000000000004</v>
      </c>
      <c r="BM200" s="23" t="str">
        <f t="shared" si="1190"/>
        <v>NM</v>
      </c>
      <c r="BN200" s="35"/>
      <c r="BO200" s="138"/>
      <c r="BP200" s="35"/>
      <c r="BQ200" s="113"/>
      <c r="BR200" s="113"/>
      <c r="BS200" s="113"/>
      <c r="BT200" s="35"/>
      <c r="BU200" s="35">
        <f>BU191/BU187*100</f>
        <v>-1.247147091280395</v>
      </c>
      <c r="BV200" s="23" t="str">
        <f>IF(ISERROR((BU200/BS200-1)*100),"NA",IF(((BU200/BS200-1)*100)&gt;100,"NM",IF(((BU200/BS200-1)*100)&lt;-50,"NM",(BU200/BS200-1)*100)))</f>
        <v>NA</v>
      </c>
      <c r="BW200" s="35">
        <f>BW191/BW187*100</f>
        <v>9.0921704382775168</v>
      </c>
      <c r="BX200" s="23" t="str">
        <f>IF(ISERROR((BW200/BU200-1)*100),"NA",IF(((BW200/BU200-1)*100)&gt;100,"NM",IF(((BW200/BU200-1)*100)&lt;-50,"NM",(BW200/BU200-1)*100)))</f>
        <v>NM</v>
      </c>
      <c r="BY200" s="35">
        <f>BY191/BY187*100</f>
        <v>8.9611993349852668</v>
      </c>
      <c r="BZ200" s="23">
        <f>IF(ISERROR((BY200/BW200-1)*100),"NA",IF(((BY200/BW200-1)*100)&gt;100,"NM",IF(((BY200/BW200-1)*100)&lt;-50,"NM",(BY200/BW200-1)*100)))</f>
        <v>-1.4404822718772303</v>
      </c>
      <c r="CA200" s="35">
        <f>CA191/CA187*100</f>
        <v>3.9609802906346316</v>
      </c>
      <c r="CB200" s="23" t="str">
        <f>IF(ISERROR((CA200/BY200-1)*100),"NA",IF(((CA200/BY200-1)*100)&gt;100,"NM",IF(((CA200/BY200-1)*100)&lt;-50,"NM",(CA200/BY200-1)*100)))</f>
        <v>NM</v>
      </c>
      <c r="CC200" s="35">
        <f>CC191/CC187*100</f>
        <v>-1.7216014023225967</v>
      </c>
      <c r="CD200" s="23" t="str">
        <f>IF(ISERROR((CC200/CA200-1)*100),"NA",IF(((CC200/CA200-1)*100)&gt;100,"NM",IF(((CC200/CA200-1)*100)&lt;-50,"NM",(CC200/CA200-1)*100)))</f>
        <v>NM</v>
      </c>
      <c r="CE200" s="35">
        <f>CE191/CE187*100</f>
        <v>5.2305673044271481</v>
      </c>
      <c r="CF200" s="23" t="str">
        <f>IF(ISERROR((CE200/CC200-1)*100),"NA",IF(((CE200/CC200-1)*100)&gt;100,"NM",IF(((CE200/CC200-1)*100)&lt;-50,"NM",(CE200/CC200-1)*100)))</f>
        <v>NM</v>
      </c>
      <c r="CG200" s="35">
        <f>CG191/CG187*100</f>
        <v>9.0711329597607104</v>
      </c>
      <c r="CH200" s="23">
        <f>IF(ISERROR((CG200/CE200-1)*100),"NA",IF(((CG200/CE200-1)*100)&gt;100,"NM",IF(((CG200/CE200-1)*100)&lt;-50,"NM",(CG200/CE200-1)*100)))</f>
        <v>73.425413187646214</v>
      </c>
      <c r="CI200" s="35">
        <f>CI191/CI187*100</f>
        <v>2.190680959925559</v>
      </c>
      <c r="CJ200" s="23" t="str">
        <f>IF(ISERROR((CI200/CG200-1)*100),"NA",IF(((CI200/CG200-1)*100)&gt;100,"NM",IF(((CI200/CG200-1)*100)&lt;-50,"NM",(CI200/CG200-1)*100)))</f>
        <v>NM</v>
      </c>
      <c r="CK200" s="35">
        <f>CK191/CK187*100</f>
        <v>2.190680959925559</v>
      </c>
      <c r="CL200" s="23">
        <f>IF(ISERROR((CK200/CI200-1)*100),"NA",IF(((CK200/CI200-1)*100)&gt;100,"NM",IF(((CK200/CI200-1)*100)&lt;-50,"NM",(CK200/CI200-1)*100)))</f>
        <v>0</v>
      </c>
      <c r="CM200" s="35">
        <f>CM191/CM187*100</f>
        <v>2.190680959925559</v>
      </c>
      <c r="CN200" s="23">
        <f>IF(ISERROR((CM200/CK200-1)*100),"NA",IF(((CM200/CK200-1)*100)&gt;100,"NM",IF(((CM200/CK200-1)*100)&lt;-50,"NM",(CM200/CK200-1)*100)))</f>
        <v>0</v>
      </c>
      <c r="CO200" s="35">
        <f>CO191/CO187*100</f>
        <v>2.190680959925559</v>
      </c>
      <c r="CP200" s="23">
        <f>IF(ISERROR((CO200/CM200-1)*100),"NA",IF(((CO200/CM200-1)*100)&gt;100,"NM",IF(((CO200/CM200-1)*100)&lt;-50,"NM",(CO200/CM200-1)*100)))</f>
        <v>0</v>
      </c>
      <c r="CQ200" s="35">
        <f>CQ191/CQ187*100</f>
        <v>2.190680959925559</v>
      </c>
      <c r="CR200" s="23">
        <f>IF(ISERROR((CQ200/CO200-1)*100),"NA",IF(((CQ200/CO200-1)*100)&gt;100,"NM",IF(((CQ200/CO200-1)*100)&lt;-50,"NM",(CQ200/CO200-1)*100)))</f>
        <v>0</v>
      </c>
      <c r="CS200" s="23">
        <f>IF(ISERROR(((CQ200/CG200)^0.2-1)*100),"NA",IF((((CQ200/CG200)^0.2-1)*100)&gt;100,"NM",IF((((CQ200/CG200)^0.2-1)*100)&lt;-50,"NM",((CQ200/CG200)^0.2-1)*100)))</f>
        <v>-24.736654302297911</v>
      </c>
    </row>
    <row r="201" spans="1:97" ht="12.75" customHeight="1" x14ac:dyDescent="0.2">
      <c r="A201" s="4" t="s">
        <v>107</v>
      </c>
      <c r="B201" s="115">
        <f>(B200/4)/B$24</f>
        <v>0.6385179754998318</v>
      </c>
      <c r="C201" s="59"/>
      <c r="D201" s="115">
        <f>(D200/4)/D$24*100</f>
        <v>-78.122976631273588</v>
      </c>
      <c r="E201" s="59"/>
      <c r="F201" s="115">
        <f>(F200/4)/F$24*100</f>
        <v>42.891310106119604</v>
      </c>
      <c r="G201" s="59"/>
      <c r="H201" s="115">
        <f>(H200/4)/H$24*100</f>
        <v>16.619467532121941</v>
      </c>
      <c r="I201" s="59"/>
      <c r="J201" s="115">
        <f>(J200/4)/J$24*100</f>
        <v>48.225492641438336</v>
      </c>
      <c r="K201" s="23" t="str">
        <f t="shared" si="1173"/>
        <v>NM</v>
      </c>
      <c r="L201" s="115">
        <f>(L200/4)/L$24*100</f>
        <v>35.591374336267791</v>
      </c>
      <c r="M201" s="23" t="str">
        <f t="shared" si="1173"/>
        <v>NM</v>
      </c>
      <c r="N201" s="115">
        <f>(N200/4)/N$24*100</f>
        <v>56.08200378890146</v>
      </c>
      <c r="O201" s="23">
        <f t="shared" si="1173"/>
        <v>30.753767255292686</v>
      </c>
      <c r="P201" s="115">
        <f>(P200/4)/P$24*100</f>
        <v>-89.42530082410822</v>
      </c>
      <c r="Q201" s="23" t="str">
        <f t="shared" si="1173"/>
        <v>NM</v>
      </c>
      <c r="R201" s="115">
        <f>(R200/4)/R$24*100</f>
        <v>31.966997303059753</v>
      </c>
      <c r="S201" s="23">
        <f t="shared" si="1173"/>
        <v>-33.713487302788636</v>
      </c>
      <c r="T201" s="115">
        <f>(T200/4)/T$24*100</f>
        <v>-36.852046627330012</v>
      </c>
      <c r="U201" s="23" t="str">
        <f t="shared" si="1173"/>
        <v>NM</v>
      </c>
      <c r="V201" s="115">
        <f>(V200/4)/V$24*100</f>
        <v>72.466092466606923</v>
      </c>
      <c r="W201" s="23">
        <f t="shared" si="1173"/>
        <v>29.214520828066149</v>
      </c>
      <c r="X201" s="115">
        <f>(X200/4)/X$24*100</f>
        <v>30.403383478027195</v>
      </c>
      <c r="Y201" s="215" t="str">
        <f t="shared" si="1173"/>
        <v>NM</v>
      </c>
      <c r="Z201" s="115">
        <f>(Z200/4)/Z$24*100</f>
        <v>97.983242474138564</v>
      </c>
      <c r="AA201" s="215" t="str">
        <f>IF(ISERROR((Z201/R201-1)*100),"NA",IF(((Z201/R201-1)*100)&gt;100,"NM",IF(((Z201/R201-1)*100)&lt;-50,"NM",(Z201/R201-1)*100)))</f>
        <v>NM</v>
      </c>
      <c r="AB201" s="115">
        <f>(AB200/4)/AB$24*100</f>
        <v>58.959711803512313</v>
      </c>
      <c r="AC201" s="23" t="str">
        <f>IF(ISERROR((AB201/T201-1)*100),"NA",IF(((AB201/T201-1)*100)&gt;100,"NM",IF(((AB201/T201-1)*100)&lt;-50,"NM",(AB201/T201-1)*100)))</f>
        <v>NM</v>
      </c>
      <c r="AD201" s="115">
        <f>(AD200/4)/AD$24*100</f>
        <v>-248.6821194833399</v>
      </c>
      <c r="AE201" s="23" t="str">
        <f>IF(ISERROR((AD201/V201-1)*100),"NA",IF(((AD201/V201-1)*100)&gt;100,"NM",IF(((AD201/V201-1)*100)&lt;-50,"NM",(AD201/V201-1)*100)))</f>
        <v>NM</v>
      </c>
      <c r="AF201" s="115">
        <f>(AF200/4)/AF$24*100</f>
        <v>40.141475208747046</v>
      </c>
      <c r="AG201" s="23">
        <f>IF(ISERROR((AF201/X201-1)*100),"NA",IF(((AF201/X201-1)*100)&gt;100,"NM",IF(((AF201/X201-1)*100)&lt;-50,"NM",(AF201/X201-1)*100)))</f>
        <v>32.029631628853615</v>
      </c>
      <c r="AH201" s="115">
        <f>(AH200/4)/AH$24*100</f>
        <v>315.60278423110657</v>
      </c>
      <c r="AI201" s="23" t="str">
        <f>IF(ISERROR((AH201/Z201-1)*100),"NA",IF(((AH201/Z201-1)*100)&gt;100,"NM",IF(((AH201/Z201-1)*100)&lt;-50,"NM",(AH201/Z201-1)*100)))</f>
        <v>NM</v>
      </c>
      <c r="AJ201" s="115">
        <f>(AJ200/4)/AJ$24*100</f>
        <v>-282.5939833770824</v>
      </c>
      <c r="AK201" s="23" t="str">
        <f>IF(ISERROR((AJ201/AB201-1)*100),"NA",IF(((AJ201/AB201-1)*100)&gt;100,"NM",IF(((AJ201/AB201-1)*100)&lt;-50,"NM",(AJ201/AB201-1)*100)))</f>
        <v>NM</v>
      </c>
      <c r="AL201" s="115">
        <f>(AL200/4)/AL$24*100</f>
        <v>39.818032293349489</v>
      </c>
      <c r="AM201" s="23" t="str">
        <f>IF(ISERROR((AL201/AD201-1)*100),"NA",IF(((AL201/AD201-1)*100)&gt;100,"NM",IF(((AL201/AD201-1)*100)&lt;-50,"NM",(AL201/AD201-1)*100)))</f>
        <v>NM</v>
      </c>
      <c r="AN201" s="457">
        <f t="shared" ref="AN201:AP201" si="1207">(AN200/4)/AN$24*100</f>
        <v>20.339839054350882</v>
      </c>
      <c r="AO201" s="23">
        <f>IF(ISERROR((AN201/AF201-1)*100),"NA",IF(((AN201/AF201-1)*100)&gt;100,"NM",IF(((AN201/AF201-1)*100)&lt;-50,"NM",(AN201/AF201-1)*100)))</f>
        <v>-49.329617437879513</v>
      </c>
      <c r="AP201" s="457">
        <f t="shared" si="1207"/>
        <v>181.04939986606286</v>
      </c>
      <c r="AQ201" s="23">
        <f t="shared" si="1175"/>
        <v>-42.633776090680577</v>
      </c>
      <c r="AR201" s="457">
        <f t="shared" ref="AR201:AT201" si="1208">(AR200/4)/AR$24*100</f>
        <v>144.15728257834257</v>
      </c>
      <c r="AS201" s="23" t="str">
        <f t="shared" si="1177"/>
        <v>NM</v>
      </c>
      <c r="AT201" s="457">
        <f t="shared" si="1208"/>
        <v>76.903914865925358</v>
      </c>
      <c r="AU201" s="23">
        <f t="shared" si="1178"/>
        <v>93.138411007743471</v>
      </c>
      <c r="AV201" s="457">
        <f t="shared" ref="AV201:AX201" si="1209">(AV200/4)/AV$24*100</f>
        <v>-14.614920967859932</v>
      </c>
      <c r="AW201" s="23" t="str">
        <f t="shared" si="1180"/>
        <v>NM</v>
      </c>
      <c r="AX201" s="457">
        <f t="shared" si="1209"/>
        <v>44.08120167640871</v>
      </c>
      <c r="AY201" s="23" t="str">
        <f t="shared" si="1181"/>
        <v>NM</v>
      </c>
      <c r="AZ201" s="457">
        <f t="shared" ref="AZ201" si="1210">(AZ200/4)/AZ$24*100</f>
        <v>76.002198784218493</v>
      </c>
      <c r="BA201" s="23">
        <f t="shared" si="1183"/>
        <v>-47.2782800668326</v>
      </c>
      <c r="BB201" s="457">
        <f t="shared" ref="BB201:BD201" si="1211">(BB200/4)/BB$24*100</f>
        <v>50.057195569976251</v>
      </c>
      <c r="BC201" s="23">
        <f t="shared" si="1185"/>
        <v>-34.909431259453825</v>
      </c>
      <c r="BD201" s="457">
        <f t="shared" si="1211"/>
        <v>37.148458140435721</v>
      </c>
      <c r="BE201" s="23" t="str">
        <f t="shared" si="1186"/>
        <v>NM</v>
      </c>
      <c r="BF201" s="47">
        <v>44.26</v>
      </c>
      <c r="BG201" s="23">
        <f t="shared" si="1187"/>
        <v>0.40561127372118477</v>
      </c>
      <c r="BH201" s="47">
        <f>BF201</f>
        <v>44.26</v>
      </c>
      <c r="BI201" s="23">
        <f t="shared" si="1188"/>
        <v>-41.764842717694663</v>
      </c>
      <c r="BJ201" s="47">
        <f>BH201</f>
        <v>44.26</v>
      </c>
      <c r="BK201" s="23">
        <f t="shared" si="1189"/>
        <v>-11.581143338068555</v>
      </c>
      <c r="BL201" s="47">
        <f>BJ201</f>
        <v>44.26</v>
      </c>
      <c r="BM201" s="23">
        <f t="shared" si="1190"/>
        <v>19.143572076881</v>
      </c>
      <c r="BN201" s="35"/>
      <c r="BO201" s="138"/>
      <c r="BP201" s="35"/>
      <c r="BQ201" s="35"/>
      <c r="BR201" s="35"/>
      <c r="BS201" s="35"/>
      <c r="BT201" s="35"/>
      <c r="BU201" s="35"/>
      <c r="BV201" s="23"/>
      <c r="BW201" s="35"/>
      <c r="BX201" s="23"/>
      <c r="BY201" s="35"/>
      <c r="BZ201" s="23"/>
      <c r="CA201" s="35"/>
      <c r="CB201" s="23"/>
      <c r="CC201" s="35"/>
      <c r="CD201" s="23"/>
      <c r="CE201" s="35"/>
      <c r="CF201" s="23"/>
      <c r="CG201" s="35"/>
      <c r="CH201" s="23"/>
      <c r="CI201" s="37">
        <f>CI191/CI187*100/CI24*100</f>
        <v>27.383511999069487</v>
      </c>
      <c r="CJ201" s="23"/>
      <c r="CK201" s="47">
        <f>CI201</f>
        <v>27.383511999069487</v>
      </c>
      <c r="CL201" s="23"/>
      <c r="CM201" s="47">
        <f>CK201</f>
        <v>27.383511999069487</v>
      </c>
      <c r="CN201" s="23"/>
      <c r="CO201" s="47">
        <f>CM201</f>
        <v>27.383511999069487</v>
      </c>
      <c r="CP201" s="23"/>
      <c r="CQ201" s="47">
        <f>CO201</f>
        <v>27.383511999069487</v>
      </c>
      <c r="CR201" s="23"/>
      <c r="CS201" s="23" t="str">
        <f>IF(ISERROR(((CQ201/CG201)^0.2-1)*100),"NA",IF((((CQ201/CG201)^0.2-1)*100)&gt;100,"NM",IF((((CQ201/CG201)^0.2-1)*100)&lt;-50,"NM",((CQ201/CG201)^0.2-1)*100)))</f>
        <v>NA</v>
      </c>
    </row>
    <row r="202" spans="1:97" ht="12.75" customHeight="1" x14ac:dyDescent="0.2">
      <c r="A202" s="13"/>
      <c r="J202" s="5"/>
      <c r="L202" s="5"/>
      <c r="N202" s="5"/>
      <c r="P202" s="5"/>
      <c r="R202" s="5"/>
      <c r="T202" s="5"/>
      <c r="V202" s="5"/>
      <c r="X202" s="5"/>
      <c r="Y202" s="216"/>
      <c r="Z202" s="5"/>
      <c r="AA202" s="216"/>
      <c r="AB202" s="5"/>
      <c r="AD202" s="5"/>
      <c r="AF202" s="5"/>
      <c r="AH202" s="5"/>
      <c r="AJ202" s="5"/>
      <c r="AL202" s="5"/>
      <c r="AN202" s="475"/>
      <c r="AP202" s="475"/>
      <c r="AR202" s="475"/>
      <c r="AT202" s="475"/>
      <c r="AV202" s="475"/>
      <c r="AX202" s="475"/>
      <c r="AZ202" s="475"/>
      <c r="BB202" s="475"/>
      <c r="BD202" s="475"/>
      <c r="BF202" s="5"/>
      <c r="BH202" s="5"/>
      <c r="BJ202" s="5"/>
      <c r="BL202" s="5"/>
      <c r="BN202" s="5"/>
      <c r="BO202" s="136"/>
      <c r="BP202" s="5"/>
      <c r="BQ202" s="5"/>
      <c r="BR202" s="5"/>
      <c r="BS202" s="5"/>
      <c r="BT202" s="5"/>
      <c r="BU202" s="5"/>
      <c r="BW202" s="5"/>
    </row>
    <row r="203" spans="1:97" ht="12.75" customHeight="1" x14ac:dyDescent="0.2">
      <c r="A203" s="3" t="s">
        <v>177</v>
      </c>
      <c r="J203" s="5"/>
      <c r="L203" s="5"/>
      <c r="N203" s="5"/>
      <c r="P203" s="5"/>
      <c r="R203" s="5"/>
      <c r="T203" s="5"/>
      <c r="V203" s="5"/>
      <c r="X203" s="5"/>
      <c r="Y203" s="216"/>
      <c r="Z203" s="5"/>
      <c r="AA203" s="216"/>
      <c r="AB203" s="5"/>
      <c r="AD203" s="5"/>
      <c r="AF203" s="5"/>
      <c r="AH203" s="5"/>
      <c r="AJ203" s="5"/>
      <c r="AL203" s="5"/>
      <c r="AN203" s="475"/>
      <c r="AP203" s="475"/>
      <c r="AR203" s="475"/>
      <c r="AT203" s="475"/>
      <c r="AV203" s="475"/>
      <c r="AX203" s="475"/>
      <c r="AZ203" s="475"/>
      <c r="BB203" s="475"/>
      <c r="BD203" s="475"/>
      <c r="BF203" s="5"/>
      <c r="BH203" s="5"/>
      <c r="BJ203" s="5"/>
      <c r="BL203" s="5"/>
      <c r="BN203" s="5"/>
      <c r="BO203" s="136"/>
      <c r="BP203" s="5"/>
      <c r="BQ203" s="5"/>
      <c r="BR203" s="5"/>
      <c r="BS203" s="5"/>
      <c r="BT203" s="5"/>
      <c r="BU203" s="5"/>
      <c r="BW203" s="5"/>
    </row>
    <row r="204" spans="1:97" ht="12.75" customHeight="1" x14ac:dyDescent="0.2">
      <c r="A204" s="4" t="s">
        <v>184</v>
      </c>
      <c r="B204" s="49">
        <v>33907.260999999999</v>
      </c>
      <c r="C204" s="59"/>
      <c r="D204" s="56">
        <f>B210</f>
        <v>37882.873999999996</v>
      </c>
      <c r="E204" s="59"/>
      <c r="F204" s="56">
        <f>D210</f>
        <v>37737.170999999988</v>
      </c>
      <c r="G204" s="59"/>
      <c r="H204" s="56">
        <f>F210</f>
        <v>35284.453999999983</v>
      </c>
      <c r="I204" s="59"/>
      <c r="J204" s="56">
        <f>H210</f>
        <v>37851.824999999983</v>
      </c>
      <c r="K204" s="23">
        <f t="shared" ref="K204:Y211" si="1212">IF(ISERROR((J204/B204-1)*100),"NA",IF(((J204/B204-1)*100)&gt;100,"NM",IF(((J204/B204-1)*100)&lt;-50,"NM",(J204/B204-1)*100)))</f>
        <v>11.633390264108879</v>
      </c>
      <c r="L204" s="56">
        <f>J210</f>
        <v>44050.053999999982</v>
      </c>
      <c r="M204" s="23">
        <f t="shared" si="1212"/>
        <v>16.279599061042681</v>
      </c>
      <c r="N204" s="56">
        <f>L210</f>
        <v>42563.896999999983</v>
      </c>
      <c r="O204" s="23">
        <f t="shared" si="1212"/>
        <v>12.790375833948975</v>
      </c>
      <c r="P204" s="56">
        <f>N210</f>
        <v>46376.923999999992</v>
      </c>
      <c r="Q204" s="23">
        <f t="shared" si="1212"/>
        <v>31.437272630037061</v>
      </c>
      <c r="R204" s="56">
        <f>P210</f>
        <v>47284.818999999996</v>
      </c>
      <c r="S204" s="23">
        <f t="shared" si="1212"/>
        <v>24.920843314688312</v>
      </c>
      <c r="T204" s="56">
        <f>R210</f>
        <v>49658.118999999992</v>
      </c>
      <c r="U204" s="23">
        <f t="shared" si="1212"/>
        <v>12.731119466959129</v>
      </c>
      <c r="V204" s="56">
        <f>T210</f>
        <v>49404.718999999997</v>
      </c>
      <c r="W204" s="23">
        <f t="shared" si="1212"/>
        <v>16.071888342366812</v>
      </c>
      <c r="X204" s="56">
        <f>V210</f>
        <v>52169.718999999997</v>
      </c>
      <c r="Y204" s="215">
        <f t="shared" si="1212"/>
        <v>12.490683944454805</v>
      </c>
      <c r="Z204" s="56">
        <f>X210</f>
        <v>53935.218999999997</v>
      </c>
      <c r="AA204" s="215">
        <f t="shared" ref="AA204:AA211" si="1213">IF(ISERROR((Z204/R204-1)*100),"NA",IF(((Z204/R204-1)*100)&gt;100,"NM",IF(((Z204/R204-1)*100)&lt;-50,"NM",(Z204/R204-1)*100)))</f>
        <v>14.06455632197725</v>
      </c>
      <c r="AB204" s="56">
        <f>Z210</f>
        <v>57989.118999999999</v>
      </c>
      <c r="AC204" s="23">
        <f t="shared" ref="AC204:AC211" si="1214">IF(ISERROR((AB204/T204-1)*100),"NA",IF(((AB204/T204-1)*100)&gt;100,"NM",IF(((AB204/T204-1)*100)&lt;-50,"NM",(AB204/T204-1)*100)))</f>
        <v>16.776712786885884</v>
      </c>
      <c r="AD204" s="56">
        <f>AB210</f>
        <v>58729.119000000006</v>
      </c>
      <c r="AE204" s="23">
        <f t="shared" ref="AE204:AE211" si="1215">IF(ISERROR((AD204/V204-1)*100),"NA",IF(((AD204/V204-1)*100)&gt;100,"NM",IF(((AD204/V204-1)*100)&lt;-50,"NM",(AD204/V204-1)*100)))</f>
        <v>18.87350072773415</v>
      </c>
      <c r="AF204" s="56">
        <f>AD210</f>
        <v>58941.419000000002</v>
      </c>
      <c r="AG204" s="23">
        <f t="shared" ref="AG204:AG211" si="1216">IF(ISERROR((AF204/X204-1)*100),"NA",IF(((AF204/X204-1)*100)&gt;100,"NM",IF(((AF204/X204-1)*100)&lt;-50,"NM",(AF204/X204-1)*100)))</f>
        <v>12.980135085642308</v>
      </c>
      <c r="AH204" s="56">
        <f>AF210</f>
        <v>58956.319000000003</v>
      </c>
      <c r="AI204" s="23">
        <f t="shared" ref="AI204:AI211" si="1217">IF(ISERROR((AH204/Z204-1)*100),"NA",IF(((AH204/Z204-1)*100)&gt;100,"NM",IF(((AH204/Z204-1)*100)&lt;-50,"NM",(AH204/Z204-1)*100)))</f>
        <v>9.3095014595194314</v>
      </c>
      <c r="AJ204" s="56">
        <f>AH210</f>
        <v>59005.118999999999</v>
      </c>
      <c r="AK204" s="23">
        <f t="shared" ref="AK204:AK211" si="1218">IF(ISERROR((AJ204/AB204-1)*100),"NA",IF(((AJ204/AB204-1)*100)&gt;100,"NM",IF(((AJ204/AB204-1)*100)&lt;-50,"NM",(AJ204/AB204-1)*100)))</f>
        <v>1.7520528290833282</v>
      </c>
      <c r="AL204" s="56">
        <f>AJ210</f>
        <v>57390.918999999994</v>
      </c>
      <c r="AM204" s="23">
        <f t="shared" ref="AM204:AM211" si="1219">IF(ISERROR((AL204/AD204-1)*100),"NA",IF(((AL204/AD204-1)*100)&gt;100,"NM",IF(((AL204/AD204-1)*100)&lt;-50,"NM",(AL204/AD204-1)*100)))</f>
        <v>-2.2785970959312563</v>
      </c>
      <c r="AN204" s="413">
        <f t="shared" ref="AN204:AP204" si="1220">AL210</f>
        <v>53830.518999999993</v>
      </c>
      <c r="AO204" s="23">
        <f t="shared" ref="AO204:AO211" si="1221">IF(ISERROR((AN204/AF204-1)*100),"NA",IF(((AN204/AF204-1)*100)&gt;100,"NM",IF(((AN204/AF204-1)*100)&lt;-50,"NM",(AN204/AF204-1)*100)))</f>
        <v>-8.6711519449506387</v>
      </c>
      <c r="AP204" s="413">
        <f t="shared" si="1220"/>
        <v>54403.418999999994</v>
      </c>
      <c r="AQ204" s="23">
        <f t="shared" ref="AQ204:AQ211" si="1222">IF(ISERROR((AP204/AH204-1)*100),"NA",IF(((AP204/AH204-1)*100)&gt;100,"NM",IF(((AP204/AH204-1)*100)&lt;-50,"NM",(AP204/AH204-1)*100)))</f>
        <v>-7.7224970575249241</v>
      </c>
      <c r="AR204" s="413">
        <f t="shared" ref="AR204:AT204" si="1223">AP210</f>
        <v>54204.618999999992</v>
      </c>
      <c r="AS204" s="23">
        <f t="shared" ref="AS204:AS211" si="1224">IF(ISERROR((AR204/AJ204-1)*100),"NA",IF(((AR204/AJ204-1)*100)&gt;100,"NM",IF(((AR204/AJ204-1)*100)&lt;-50,"NM",(AR204/AJ204-1)*100)))</f>
        <v>-8.1357347995518978</v>
      </c>
      <c r="AT204" s="413">
        <f t="shared" si="1223"/>
        <v>54277.418999999994</v>
      </c>
      <c r="AU204" s="23">
        <f t="shared" ref="AU204:AU211" si="1225">IF(ISERROR((AT204/AL204-1)*100),"NA",IF(((AT204/AL204-1)*100)&gt;100,"NM",IF(((AT204/AL204-1)*100)&lt;-50,"NM",(AT204/AL204-1)*100)))</f>
        <v>-5.4250743048739114</v>
      </c>
      <c r="AV204" s="413">
        <f t="shared" ref="AV204:AX204" si="1226">AT210</f>
        <v>55356.118999999999</v>
      </c>
      <c r="AW204" s="23">
        <f t="shared" ref="AW204:AW211" si="1227">IF(ISERROR((AV204/AN204-1)*100),"NA",IF(((AV204/AN204-1)*100)&gt;100,"NM",IF(((AV204/AN204-1)*100)&lt;-50,"NM",(AV204/AN204-1)*100)))</f>
        <v>2.834080050389276</v>
      </c>
      <c r="AX204" s="413">
        <f t="shared" si="1226"/>
        <v>54254.118999999992</v>
      </c>
      <c r="AY204" s="23">
        <f t="shared" ref="AY204:AY211" si="1228">IF(ISERROR((AX204/AP204-1)*100),"NA",IF(((AX204/AP204-1)*100)&gt;100,"NM",IF(((AX204/AP204-1)*100)&lt;-50,"NM",(AX204/AP204-1)*100)))</f>
        <v>-0.27443128160751229</v>
      </c>
      <c r="AZ204" s="413">
        <f t="shared" ref="AZ204" si="1229">AX210</f>
        <v>54636.018999999993</v>
      </c>
      <c r="BA204" s="23">
        <f t="shared" ref="BA204:BA211" si="1230">IF(ISERROR((AZ204/AR204-1)*100),"NA",IF(((AZ204/AR204-1)*100)&gt;100,"NM",IF(((AZ204/AR204-1)*100)&lt;-50,"NM",(AZ204/AR204-1)*100)))</f>
        <v>0.79587313398512549</v>
      </c>
      <c r="BB204" s="413">
        <f t="shared" ref="BB204:BD204" si="1231">AZ210</f>
        <v>54936.818999999989</v>
      </c>
      <c r="BC204" s="23">
        <f t="shared" ref="BC204:BC211" si="1232">IF(ISERROR((BB204/AT204-1)*100),"NA",IF(((BB204/AT204-1)*100)&gt;100,"NM",IF(((BB204/AT204-1)*100)&lt;-50,"NM",(BB204/AT204-1)*100)))</f>
        <v>1.2148698522308043</v>
      </c>
      <c r="BD204" s="413">
        <f t="shared" si="1231"/>
        <v>56545.918999999987</v>
      </c>
      <c r="BE204" s="23">
        <f t="shared" ref="BE204:BE211" si="1233">IF(ISERROR((BD204/AV204-1)*100),"NA",IF(((BD204/AV204-1)*100)&gt;100,"NM",IF(((BD204/AV204-1)*100)&lt;-50,"NM",(BD204/AV204-1)*100)))</f>
        <v>2.1493558824092984</v>
      </c>
      <c r="BF204" s="36">
        <f t="shared" ref="BF204:BJ204" si="1234">BD210</f>
        <v>56473.918999999987</v>
      </c>
      <c r="BG204" s="23">
        <f t="shared" ref="BG204:BG211" si="1235">IF(ISERROR((BF204/AX204-1)*100),"NA",IF(((BF204/AX204-1)*100)&gt;100,"NM",IF(((BF204/AX204-1)*100)&lt;-50,"NM",(BF204/AX204-1)*100)))</f>
        <v>4.091486583719095</v>
      </c>
      <c r="BH204" s="36">
        <f t="shared" si="1234"/>
        <v>54767.015379909993</v>
      </c>
      <c r="BI204" s="23">
        <f t="shared" ref="BI204:BI211" si="1236">IF(ISERROR((BH204/AZ204-1)*100),"NA",IF(((BH204/AZ204-1)*100)&gt;100,"NM",IF(((BH204/AZ204-1)*100)&lt;-50,"NM",(BH204/AZ204-1)*100)))</f>
        <v>0.23976194149504249</v>
      </c>
      <c r="BJ204" s="36">
        <f t="shared" si="1234"/>
        <v>54176.78897011884</v>
      </c>
      <c r="BK204" s="23">
        <f t="shared" ref="BK204:BK211" si="1237">IF(ISERROR((BJ204/BB204-1)*100),"NA",IF(((BJ204/BB204-1)*100)&gt;100,"NM",IF(((BJ204/BB204-1)*100)&lt;-50,"NM",(BJ204/BB204-1)*100)))</f>
        <v>-1.3834620273175058</v>
      </c>
      <c r="BL204" s="36">
        <f t="shared" ref="BL204" si="1238">BJ210</f>
        <v>53593.462307058158</v>
      </c>
      <c r="BM204" s="23">
        <f t="shared" ref="BM204:BM211" si="1239">IF(ISERROR((BL204/BD204-1)*100),"NA",IF(((BL204/BD204-1)*100)&gt;100,"NM",IF(((BL204/BD204-1)*100)&lt;-50,"NM",(BL204/BD204-1)*100)))</f>
        <v>-5.2213435472537428</v>
      </c>
      <c r="BN204" s="5"/>
      <c r="BO204" s="137"/>
      <c r="BP204" s="5"/>
      <c r="BQ204" s="153"/>
      <c r="BR204" s="32"/>
      <c r="BS204" s="36">
        <f>BQ210</f>
        <v>31700.3</v>
      </c>
      <c r="BT204" s="32"/>
      <c r="BU204" s="36">
        <f>BS210</f>
        <v>33907.300000000003</v>
      </c>
      <c r="BV204" s="23">
        <f t="shared" ref="BV204:BV209" si="1240">IF(ISERROR((BU204/BS204-1)*100),"NA",IF(((BU204/BS204-1)*100)&gt;100,"NM",IF(((BU204/BS204-1)*100)&lt;-50,"NM",(BU204/BS204-1)*100)))</f>
        <v>6.9620792232250261</v>
      </c>
      <c r="BW204" s="36">
        <f>BU210</f>
        <v>37851.863999999994</v>
      </c>
      <c r="BX204" s="23">
        <f t="shared" ref="BX204:BX209" si="1241">IF(ISERROR((BW204/BU204-1)*100),"NA",IF(((BW204/BU204-1)*100)&gt;100,"NM",IF(((BW204/BU204-1)*100)&lt;-50,"NM",(BW204/BU204-1)*100)))</f>
        <v>11.633376883443947</v>
      </c>
      <c r="BY204" s="36">
        <f>BW210</f>
        <v>47284.857999999993</v>
      </c>
      <c r="BZ204" s="23">
        <f t="shared" ref="BZ204:CR211" si="1242">IF(ISERROR((BY204/BW204-1)*100),"NA",IF(((BY204/BW204-1)*100)&gt;100,"NM",IF(((BY204/BW204-1)*100)&lt;-50,"NM",(BY204/BW204-1)*100)))</f>
        <v>24.920817637937187</v>
      </c>
      <c r="CA204" s="36">
        <f>BY210</f>
        <v>53935.257999999987</v>
      </c>
      <c r="CB204" s="23">
        <f t="shared" si="1242"/>
        <v>14.06454472169505</v>
      </c>
      <c r="CC204" s="36">
        <f>CA210</f>
        <v>58956.357999999986</v>
      </c>
      <c r="CD204" s="23">
        <f t="shared" si="1242"/>
        <v>9.3094947279199083</v>
      </c>
      <c r="CE204" s="36">
        <f>CC210</f>
        <v>54403.457999999984</v>
      </c>
      <c r="CF204" s="23">
        <f t="shared" si="1242"/>
        <v>-7.7224919490447519</v>
      </c>
      <c r="CG204" s="36">
        <f>CE210</f>
        <v>54254.157999999989</v>
      </c>
      <c r="CH204" s="23">
        <f t="shared" si="1242"/>
        <v>-0.27443108487699153</v>
      </c>
      <c r="CI204" s="36">
        <f>CG210</f>
        <v>56473.957999999991</v>
      </c>
      <c r="CJ204" s="23">
        <f t="shared" si="1242"/>
        <v>4.0914836425993473</v>
      </c>
      <c r="CK204" s="56">
        <f>CI210</f>
        <v>53019.137471180926</v>
      </c>
      <c r="CL204" s="23">
        <f t="shared" si="1242"/>
        <v>-6.1175463012864579</v>
      </c>
      <c r="CM204" s="56">
        <f>CK210</f>
        <v>49787.902280441296</v>
      </c>
      <c r="CN204" s="23">
        <f t="shared" si="1242"/>
        <v>-6.0944695535569586</v>
      </c>
      <c r="CO204" s="56">
        <f>CM210</f>
        <v>46765.782673712216</v>
      </c>
      <c r="CP204" s="23">
        <f t="shared" si="1242"/>
        <v>-6.069987824966649</v>
      </c>
      <c r="CQ204" s="56">
        <f>CO210</f>
        <v>43939.24533481746</v>
      </c>
      <c r="CR204" s="23">
        <f t="shared" si="1242"/>
        <v>-6.0440287263354158</v>
      </c>
      <c r="CS204" s="23">
        <f t="shared" ref="CS204:CS211" si="1243">IF(ISERROR(((CQ204/CG204)^0.2-1)*100),"NA",IF((((CQ204/CG204)^0.2-1)*100)&gt;100,"NM",IF((((CQ204/CG204)^0.2-1)*100)&lt;-50,"NM",((CQ204/CG204)^0.2-1)*100)))</f>
        <v>-4.1297382408272076</v>
      </c>
    </row>
    <row r="205" spans="1:97" ht="12.75" customHeight="1" x14ac:dyDescent="0.2">
      <c r="A205" s="4" t="s">
        <v>138</v>
      </c>
      <c r="B205" s="49">
        <f>2657.7+1182.5</f>
        <v>3840.2</v>
      </c>
      <c r="C205" s="59"/>
      <c r="D205" s="49">
        <f>0+770.1</f>
        <v>770.1</v>
      </c>
      <c r="E205" s="59"/>
      <c r="F205" s="49">
        <f>497.5+977</f>
        <v>1474.5</v>
      </c>
      <c r="G205" s="59"/>
      <c r="H205" s="49">
        <f>0+1289.2</f>
        <v>1289.2</v>
      </c>
      <c r="I205" s="59"/>
      <c r="J205" s="49">
        <f>3909.8+1240.8</f>
        <v>5150.6000000000004</v>
      </c>
      <c r="K205" s="23">
        <f t="shared" si="1212"/>
        <v>34.123222748815188</v>
      </c>
      <c r="L205" s="49">
        <f>0+1269.4</f>
        <v>1269.4000000000001</v>
      </c>
      <c r="M205" s="23">
        <f t="shared" si="1212"/>
        <v>64.835735618750817</v>
      </c>
      <c r="N205" s="49">
        <f>2404.2+1081.7</f>
        <v>3485.8999999999996</v>
      </c>
      <c r="O205" s="23" t="str">
        <f t="shared" si="1212"/>
        <v>NM</v>
      </c>
      <c r="P205" s="48">
        <f>125.2+2311.6</f>
        <v>2436.7999999999997</v>
      </c>
      <c r="Q205" s="23">
        <f t="shared" si="1212"/>
        <v>89.016444306546674</v>
      </c>
      <c r="R205" s="48">
        <f>447.1+1579.6</f>
        <v>2026.6999999999998</v>
      </c>
      <c r="S205" s="23" t="str">
        <f t="shared" si="1212"/>
        <v>NM</v>
      </c>
      <c r="T205" s="48">
        <f>537+1024.1</f>
        <v>1561.1</v>
      </c>
      <c r="U205" s="23">
        <f t="shared" si="1212"/>
        <v>22.979360327713859</v>
      </c>
      <c r="V205" s="48">
        <f>869.8+1849.6</f>
        <v>2719.3999999999996</v>
      </c>
      <c r="W205" s="23">
        <f t="shared" si="1212"/>
        <v>-21.988582575518521</v>
      </c>
      <c r="X205" s="48">
        <v>1149.3</v>
      </c>
      <c r="Y205" s="215" t="str">
        <f t="shared" si="1212"/>
        <v>NM</v>
      </c>
      <c r="Z205" s="48">
        <f>4671.9+949.2</f>
        <v>5621.0999999999995</v>
      </c>
      <c r="AA205" s="215" t="str">
        <f t="shared" si="1213"/>
        <v>NM</v>
      </c>
      <c r="AB205" s="48">
        <v>757.3</v>
      </c>
      <c r="AC205" s="23" t="str">
        <f t="shared" si="1214"/>
        <v>NM</v>
      </c>
      <c r="AD205" s="49">
        <f>2130.2+667.5</f>
        <v>2797.7</v>
      </c>
      <c r="AE205" s="23">
        <f t="shared" si="1215"/>
        <v>2.879311612855795</v>
      </c>
      <c r="AF205" s="48">
        <f>785.1+923.8</f>
        <v>1708.9</v>
      </c>
      <c r="AG205" s="23">
        <f t="shared" si="1216"/>
        <v>48.690507265291942</v>
      </c>
      <c r="AH205" s="48">
        <v>964.2</v>
      </c>
      <c r="AI205" s="23" t="str">
        <f t="shared" si="1217"/>
        <v>NM</v>
      </c>
      <c r="AJ205" s="48">
        <v>976.9</v>
      </c>
      <c r="AK205" s="23">
        <f t="shared" si="1218"/>
        <v>28.997755182886586</v>
      </c>
      <c r="AL205" s="49">
        <f>1405.9+866.4</f>
        <v>2272.3000000000002</v>
      </c>
      <c r="AM205" s="23">
        <f t="shared" si="1219"/>
        <v>-18.779711906208661</v>
      </c>
      <c r="AN205" s="158">
        <v>867.4</v>
      </c>
      <c r="AO205" s="23">
        <f t="shared" si="1221"/>
        <v>-49.242202586459129</v>
      </c>
      <c r="AP205" s="158">
        <v>1082.9000000000001</v>
      </c>
      <c r="AQ205" s="23">
        <f t="shared" si="1222"/>
        <v>12.310723916199962</v>
      </c>
      <c r="AR205" s="158">
        <v>798.9</v>
      </c>
      <c r="AS205" s="23">
        <f t="shared" si="1224"/>
        <v>-18.220902855972977</v>
      </c>
      <c r="AT205" s="158">
        <f>1061.4+186.9</f>
        <v>1248.3000000000002</v>
      </c>
      <c r="AU205" s="23">
        <f t="shared" si="1225"/>
        <v>-45.064472120758701</v>
      </c>
      <c r="AV205" s="158">
        <v>1250.7</v>
      </c>
      <c r="AW205" s="23">
        <f t="shared" si="1227"/>
        <v>44.189531934516957</v>
      </c>
      <c r="AX205" s="158">
        <v>1130</v>
      </c>
      <c r="AY205" s="23">
        <f t="shared" si="1228"/>
        <v>4.3494320805245179</v>
      </c>
      <c r="AZ205" s="158">
        <v>872.7</v>
      </c>
      <c r="BA205" s="23">
        <f t="shared" si="1230"/>
        <v>9.2377018400300557</v>
      </c>
      <c r="BB205" s="158">
        <f>856.6+1451.5</f>
        <v>2308.1</v>
      </c>
      <c r="BC205" s="23">
        <f t="shared" si="1232"/>
        <v>84.899463270047221</v>
      </c>
      <c r="BD205" s="158">
        <v>904</v>
      </c>
      <c r="BE205" s="23">
        <f t="shared" si="1233"/>
        <v>-27.720476533141447</v>
      </c>
      <c r="BF205" s="56">
        <f t="shared" ref="BF205" si="1244">BF$204*BF215/400</f>
        <v>1051.8267413749998</v>
      </c>
      <c r="BG205" s="23">
        <f t="shared" si="1235"/>
        <v>-6.9179874889380706</v>
      </c>
      <c r="BH205" s="56">
        <f t="shared" ref="BH205" si="1245">BH$204*BH215/400</f>
        <v>1020.0356614508237</v>
      </c>
      <c r="BI205" s="23">
        <f t="shared" si="1236"/>
        <v>16.882738793494177</v>
      </c>
      <c r="BJ205" s="56">
        <f t="shared" ref="BJ205" si="1246">BJ$204*BJ215/400</f>
        <v>1009.0426945684635</v>
      </c>
      <c r="BK205" s="23" t="str">
        <f t="shared" si="1237"/>
        <v>NM</v>
      </c>
      <c r="BL205" s="56">
        <f t="shared" ref="BL205" si="1247">BL$204*BL215/400</f>
        <v>998.17823546895818</v>
      </c>
      <c r="BM205" s="23">
        <f t="shared" si="1239"/>
        <v>10.417946401433431</v>
      </c>
      <c r="BN205" s="10"/>
      <c r="BO205" s="137"/>
      <c r="BP205" s="5"/>
      <c r="BQ205" s="153"/>
      <c r="BR205" s="153"/>
      <c r="BS205" s="153"/>
      <c r="BT205" s="32"/>
      <c r="BU205" s="56">
        <f>B205+D205+F205+H205</f>
        <v>7374</v>
      </c>
      <c r="BV205" s="23" t="str">
        <f t="shared" si="1240"/>
        <v>NA</v>
      </c>
      <c r="BW205" s="56">
        <f>J205+L205+N205+P205</f>
        <v>12342.699999999999</v>
      </c>
      <c r="BX205" s="23">
        <f t="shared" si="1241"/>
        <v>67.381339842690522</v>
      </c>
      <c r="BY205" s="56">
        <f>R205+T205+V205+X205</f>
        <v>7456.4999999999991</v>
      </c>
      <c r="BZ205" s="23">
        <f t="shared" si="1242"/>
        <v>-39.587772529511376</v>
      </c>
      <c r="CA205" s="56">
        <f>Z205+AB205+AD205+AF205</f>
        <v>10884.999999999998</v>
      </c>
      <c r="CB205" s="23">
        <f t="shared" si="1242"/>
        <v>45.980017434453146</v>
      </c>
      <c r="CC205" s="56">
        <f>AH205+AJ205+AL205+AN205</f>
        <v>5080.7999999999993</v>
      </c>
      <c r="CD205" s="23" t="str">
        <f t="shared" si="1242"/>
        <v>NM</v>
      </c>
      <c r="CE205" s="56">
        <f>AP205+AR205+AT205+AV205</f>
        <v>4380.8</v>
      </c>
      <c r="CF205" s="23">
        <f t="shared" si="1242"/>
        <v>-13.77735789639425</v>
      </c>
      <c r="CG205" s="56">
        <f>AX205+AZ205+BB205+BD205</f>
        <v>5214.8</v>
      </c>
      <c r="CH205" s="23">
        <f t="shared" si="1242"/>
        <v>19.037618699780868</v>
      </c>
      <c r="CI205" s="56">
        <f>BF205+BH205+BJ205+BL205</f>
        <v>4079.0833328632452</v>
      </c>
      <c r="CJ205" s="23">
        <f t="shared" si="1242"/>
        <v>-21.778719550831383</v>
      </c>
      <c r="CK205" s="36">
        <f>CK$204*CK215/100</f>
        <v>3829.5435213072778</v>
      </c>
      <c r="CL205" s="23">
        <f t="shared" si="1242"/>
        <v>-6.1175463012864473</v>
      </c>
      <c r="CM205" s="36">
        <f>CM$204*CM215/100</f>
        <v>3596.1531573609927</v>
      </c>
      <c r="CN205" s="23">
        <f t="shared" si="1242"/>
        <v>-6.0944695535569586</v>
      </c>
      <c r="CO205" s="36">
        <f>CO$204*CO215/100</f>
        <v>3377.8670985420263</v>
      </c>
      <c r="CP205" s="23">
        <f t="shared" si="1242"/>
        <v>-6.0699878249666606</v>
      </c>
      <c r="CQ205" s="36">
        <f>CQ$204*CQ215/100</f>
        <v>3173.707840768714</v>
      </c>
      <c r="CR205" s="23">
        <f t="shared" si="1242"/>
        <v>-6.0440287263354042</v>
      </c>
      <c r="CS205" s="23">
        <f t="shared" si="1243"/>
        <v>-9.4547113441061708</v>
      </c>
    </row>
    <row r="206" spans="1:97" ht="12.75" customHeight="1" x14ac:dyDescent="0.2">
      <c r="A206" s="4" t="s">
        <v>139</v>
      </c>
      <c r="B206" s="49">
        <v>-1182.078</v>
      </c>
      <c r="C206" s="59"/>
      <c r="D206" s="49">
        <v>-994.26599999999996</v>
      </c>
      <c r="E206" s="59"/>
      <c r="F206" s="49">
        <v>-1075.6659999999999</v>
      </c>
      <c r="G206" s="59"/>
      <c r="H206" s="49">
        <v>-818.35400000000004</v>
      </c>
      <c r="I206" s="59"/>
      <c r="J206" s="49">
        <v>-1305.7049999999999</v>
      </c>
      <c r="K206" s="23">
        <f t="shared" si="1212"/>
        <v>10.458446904518981</v>
      </c>
      <c r="L206" s="49">
        <v>-2120.569</v>
      </c>
      <c r="M206" s="23" t="str">
        <f t="shared" si="1212"/>
        <v>NM</v>
      </c>
      <c r="N206" s="49">
        <v>-1294.104</v>
      </c>
      <c r="O206" s="23">
        <f t="shared" si="1212"/>
        <v>20.307232914306116</v>
      </c>
      <c r="P206" s="48">
        <v>-1716.5119999999999</v>
      </c>
      <c r="Q206" s="23" t="str">
        <f t="shared" si="1212"/>
        <v>NM</v>
      </c>
      <c r="R206" s="48">
        <v>-1479.9</v>
      </c>
      <c r="S206" s="23">
        <f t="shared" si="1212"/>
        <v>13.34106861810287</v>
      </c>
      <c r="T206" s="48">
        <v>-1606.7</v>
      </c>
      <c r="U206" s="23">
        <f t="shared" si="1212"/>
        <v>-24.232599835232893</v>
      </c>
      <c r="V206" s="48">
        <v>-1600.8</v>
      </c>
      <c r="W206" s="23">
        <f t="shared" si="1212"/>
        <v>23.699486285491723</v>
      </c>
      <c r="X206" s="48">
        <v>-1790.4</v>
      </c>
      <c r="Y206" s="215">
        <f t="shared" si="1212"/>
        <v>4.3045431666076439</v>
      </c>
      <c r="Z206" s="48">
        <v>-2082.1999999999998</v>
      </c>
      <c r="AA206" s="215">
        <f t="shared" si="1213"/>
        <v>40.698695857828213</v>
      </c>
      <c r="AB206" s="48">
        <v>-2020.2</v>
      </c>
      <c r="AC206" s="23">
        <f t="shared" si="1214"/>
        <v>25.735980581315744</v>
      </c>
      <c r="AD206" s="48">
        <v>-2206.3000000000002</v>
      </c>
      <c r="AE206" s="23">
        <f t="shared" si="1215"/>
        <v>37.824837581209401</v>
      </c>
      <c r="AF206" s="48">
        <v>-2696.9</v>
      </c>
      <c r="AG206" s="23">
        <f t="shared" si="1216"/>
        <v>50.6311438784629</v>
      </c>
      <c r="AH206" s="48">
        <v>-2038.4</v>
      </c>
      <c r="AI206" s="23">
        <f t="shared" si="1217"/>
        <v>-2.1035443281144817</v>
      </c>
      <c r="AJ206" s="48">
        <v>-2277.9</v>
      </c>
      <c r="AK206" s="23">
        <f t="shared" si="1218"/>
        <v>12.756162756162759</v>
      </c>
      <c r="AL206" s="48">
        <v>-3049.8</v>
      </c>
      <c r="AM206" s="23">
        <f t="shared" si="1219"/>
        <v>38.231428182930706</v>
      </c>
      <c r="AN206" s="287">
        <v>-1802.9</v>
      </c>
      <c r="AO206" s="23">
        <f t="shared" si="1221"/>
        <v>-33.149171270718234</v>
      </c>
      <c r="AP206" s="287">
        <v>-1787.6</v>
      </c>
      <c r="AQ206" s="23">
        <f t="shared" si="1222"/>
        <v>-12.303767660910525</v>
      </c>
      <c r="AR206" s="287">
        <v>-1507.3</v>
      </c>
      <c r="AS206" s="23">
        <f t="shared" si="1224"/>
        <v>-33.829404275868121</v>
      </c>
      <c r="AT206" s="287">
        <v>-1752.6</v>
      </c>
      <c r="AU206" s="23">
        <f t="shared" si="1225"/>
        <v>-42.533936651583716</v>
      </c>
      <c r="AV206" s="287">
        <v>-2204.6</v>
      </c>
      <c r="AW206" s="23">
        <f t="shared" si="1227"/>
        <v>22.280769870763748</v>
      </c>
      <c r="AX206" s="287">
        <v>-2851.7</v>
      </c>
      <c r="AY206" s="23">
        <f t="shared" si="1228"/>
        <v>59.526739762810465</v>
      </c>
      <c r="AZ206" s="287">
        <v>-2087.3000000000002</v>
      </c>
      <c r="BA206" s="23">
        <f t="shared" si="1230"/>
        <v>38.47940025210643</v>
      </c>
      <c r="BB206" s="287">
        <v>-2024.5</v>
      </c>
      <c r="BC206" s="23">
        <f t="shared" si="1232"/>
        <v>15.51409334702727</v>
      </c>
      <c r="BD206" s="287">
        <v>-2878</v>
      </c>
      <c r="BE206" s="23">
        <f t="shared" si="1233"/>
        <v>30.54522362333303</v>
      </c>
      <c r="BF206" s="36">
        <f t="shared" ref="BF206" si="1248">BF$204*BF216/400</f>
        <v>-2398.7297095249992</v>
      </c>
      <c r="BG206" s="23">
        <f t="shared" si="1235"/>
        <v>-15.884219604972493</v>
      </c>
      <c r="BH206" s="36">
        <f t="shared" ref="BH206" si="1249">BH$204*BH216/400</f>
        <v>-2326.2289782616767</v>
      </c>
      <c r="BI206" s="23">
        <f t="shared" si="1236"/>
        <v>11.446796256488124</v>
      </c>
      <c r="BJ206" s="36">
        <f t="shared" ref="BJ206" si="1250">BJ$204*BJ216/400</f>
        <v>-2301.1591115057977</v>
      </c>
      <c r="BK206" s="23">
        <f t="shared" si="1237"/>
        <v>13.665552556473081</v>
      </c>
      <c r="BL206" s="36">
        <f t="shared" ref="BL206" si="1251">BL$204*BL216/400</f>
        <v>-2276.3823114922952</v>
      </c>
      <c r="BM206" s="23">
        <f t="shared" si="1239"/>
        <v>-20.904019753568615</v>
      </c>
      <c r="BN206" s="5"/>
      <c r="BO206" s="137"/>
      <c r="BP206" s="5"/>
      <c r="BQ206" s="153"/>
      <c r="BR206" s="153"/>
      <c r="BS206" s="153"/>
      <c r="BT206" s="32"/>
      <c r="BU206" s="56">
        <f>B206+D206+F206+H206</f>
        <v>-4070.3640000000005</v>
      </c>
      <c r="BV206" s="23" t="str">
        <f t="shared" si="1240"/>
        <v>NA</v>
      </c>
      <c r="BW206" s="56">
        <f>J206+L206+N206+P206</f>
        <v>-6436.8899999999994</v>
      </c>
      <c r="BX206" s="23">
        <f t="shared" si="1241"/>
        <v>58.140402185160809</v>
      </c>
      <c r="BY206" s="56">
        <f>R206+T206+V206+X206</f>
        <v>-6477.8000000000011</v>
      </c>
      <c r="BZ206" s="23">
        <f t="shared" si="1242"/>
        <v>0.63555536913015853</v>
      </c>
      <c r="CA206" s="56">
        <f>Z206+AB206+AD206+AF206</f>
        <v>-9005.6</v>
      </c>
      <c r="CB206" s="23">
        <f t="shared" si="1242"/>
        <v>39.022507641483209</v>
      </c>
      <c r="CC206" s="56">
        <f>AH206+AJ206+AL206+AN206</f>
        <v>-9169</v>
      </c>
      <c r="CD206" s="23">
        <f t="shared" si="1242"/>
        <v>1.8144265790174918</v>
      </c>
      <c r="CE206" s="56">
        <f>AP206+AR206+AT206+AV206</f>
        <v>-7252.1</v>
      </c>
      <c r="CF206" s="23">
        <f t="shared" si="1242"/>
        <v>-20.906314756243859</v>
      </c>
      <c r="CG206" s="56">
        <f>AX206+AZ206+BB206+BD206</f>
        <v>-9841.5</v>
      </c>
      <c r="CH206" s="23">
        <f t="shared" si="1242"/>
        <v>35.705519780477381</v>
      </c>
      <c r="CI206" s="56">
        <f>BF206+BH206+BJ206+BL206</f>
        <v>-9302.5001107847675</v>
      </c>
      <c r="CJ206" s="23">
        <f t="shared" si="1242"/>
        <v>-5.4768062715564998</v>
      </c>
      <c r="CK206" s="36">
        <f>CK$204*CK216/100</f>
        <v>-8733.4153593302872</v>
      </c>
      <c r="CL206" s="23">
        <f t="shared" si="1242"/>
        <v>-6.1175463012864366</v>
      </c>
      <c r="CM206" s="36">
        <f>CM$204*CM216/100</f>
        <v>-8201.1600192702354</v>
      </c>
      <c r="CN206" s="23">
        <f t="shared" si="1242"/>
        <v>-6.0944695535569586</v>
      </c>
      <c r="CO206" s="36">
        <f>CO$204*CO216/100</f>
        <v>-7703.3506045944987</v>
      </c>
      <c r="CP206" s="23">
        <f t="shared" si="1242"/>
        <v>-6.0699878249666606</v>
      </c>
      <c r="CQ206" s="36">
        <f>CQ$204*CQ216/100</f>
        <v>-7237.7578811624753</v>
      </c>
      <c r="CR206" s="23">
        <f t="shared" si="1242"/>
        <v>-6.0440287263354042</v>
      </c>
      <c r="CS206" s="23">
        <f t="shared" si="1243"/>
        <v>-5.9608812141812129</v>
      </c>
    </row>
    <row r="207" spans="1:97" ht="12.75" customHeight="1" x14ac:dyDescent="0.2">
      <c r="A207" s="4" t="s">
        <v>143</v>
      </c>
      <c r="B207" s="49">
        <v>58.601999999999997</v>
      </c>
      <c r="C207" s="59"/>
      <c r="D207" s="49">
        <v>-51.35</v>
      </c>
      <c r="E207" s="59"/>
      <c r="F207" s="49">
        <v>278.51299999999998</v>
      </c>
      <c r="G207" s="59"/>
      <c r="H207" s="49">
        <v>-235.52699999999999</v>
      </c>
      <c r="I207" s="59"/>
      <c r="J207" s="49">
        <v>-229.708</v>
      </c>
      <c r="K207" s="23" t="str">
        <f t="shared" si="1212"/>
        <v>NM</v>
      </c>
      <c r="L207" s="49">
        <v>-49.771000000000001</v>
      </c>
      <c r="M207" s="23">
        <f t="shared" si="1212"/>
        <v>-3.074975657254142</v>
      </c>
      <c r="N207" s="49">
        <v>-75.668000000000006</v>
      </c>
      <c r="O207" s="23" t="str">
        <f t="shared" si="1212"/>
        <v>NM</v>
      </c>
      <c r="P207" s="48">
        <v>20.381</v>
      </c>
      <c r="Q207" s="23" t="str">
        <f t="shared" si="1212"/>
        <v>NM</v>
      </c>
      <c r="R207" s="48">
        <v>-226.2</v>
      </c>
      <c r="S207" s="23">
        <f t="shared" si="1212"/>
        <v>-1.5271562157173513</v>
      </c>
      <c r="T207" s="48">
        <v>39.799999999999997</v>
      </c>
      <c r="U207" s="23" t="str">
        <f t="shared" si="1212"/>
        <v>NM</v>
      </c>
      <c r="V207" s="48">
        <v>-21.1</v>
      </c>
      <c r="W207" s="23" t="str">
        <f t="shared" si="1212"/>
        <v>NM</v>
      </c>
      <c r="X207" s="48">
        <v>-156.80000000000001</v>
      </c>
      <c r="Y207" s="215" t="str">
        <f t="shared" si="1212"/>
        <v>NM</v>
      </c>
      <c r="Z207" s="48">
        <v>-45.5</v>
      </c>
      <c r="AA207" s="215" t="str">
        <f t="shared" si="1213"/>
        <v>NM</v>
      </c>
      <c r="AB207" s="48">
        <v>-95.8</v>
      </c>
      <c r="AC207" s="23" t="str">
        <f t="shared" si="1214"/>
        <v>NM</v>
      </c>
      <c r="AD207" s="48">
        <v>-34.1</v>
      </c>
      <c r="AE207" s="23">
        <f t="shared" si="1215"/>
        <v>61.611374407582929</v>
      </c>
      <c r="AF207" s="48">
        <v>-110</v>
      </c>
      <c r="AG207" s="23">
        <f t="shared" si="1216"/>
        <v>-29.84693877551021</v>
      </c>
      <c r="AH207" s="48">
        <v>-81.2</v>
      </c>
      <c r="AI207" s="23">
        <f t="shared" si="1217"/>
        <v>78.461538461538467</v>
      </c>
      <c r="AJ207" s="48">
        <v>-31.1</v>
      </c>
      <c r="AK207" s="23" t="str">
        <f t="shared" si="1218"/>
        <v>NM</v>
      </c>
      <c r="AL207" s="48">
        <v>112.7</v>
      </c>
      <c r="AM207" s="23" t="str">
        <f t="shared" si="1219"/>
        <v>NM</v>
      </c>
      <c r="AN207" s="287">
        <v>-78</v>
      </c>
      <c r="AO207" s="23">
        <f t="shared" si="1221"/>
        <v>-29.09090909090909</v>
      </c>
      <c r="AP207" s="287">
        <v>40.200000000000003</v>
      </c>
      <c r="AQ207" s="23" t="str">
        <f t="shared" si="1222"/>
        <v>NM</v>
      </c>
      <c r="AR207" s="287">
        <v>-62.2</v>
      </c>
      <c r="AS207" s="23">
        <f t="shared" si="1224"/>
        <v>100</v>
      </c>
      <c r="AT207" s="287">
        <v>-9.5</v>
      </c>
      <c r="AU207" s="23" t="str">
        <f t="shared" si="1225"/>
        <v>NM</v>
      </c>
      <c r="AV207" s="287">
        <v>-22.4</v>
      </c>
      <c r="AW207" s="23" t="str">
        <f t="shared" si="1227"/>
        <v>NM</v>
      </c>
      <c r="AX207" s="287">
        <v>-86.7</v>
      </c>
      <c r="AY207" s="23" t="str">
        <f t="shared" si="1228"/>
        <v>NM</v>
      </c>
      <c r="AZ207" s="287">
        <v>-83.6</v>
      </c>
      <c r="BA207" s="23">
        <f t="shared" si="1230"/>
        <v>34.405144694533753</v>
      </c>
      <c r="BB207" s="287">
        <v>-10.1</v>
      </c>
      <c r="BC207" s="23">
        <f t="shared" si="1232"/>
        <v>6.315789473684208</v>
      </c>
      <c r="BD207" s="287">
        <v>-83</v>
      </c>
      <c r="BE207" s="23" t="str">
        <f t="shared" si="1233"/>
        <v>NM</v>
      </c>
      <c r="BF207" s="48">
        <v>0</v>
      </c>
      <c r="BG207" s="23" t="str">
        <f t="shared" si="1235"/>
        <v>NM</v>
      </c>
      <c r="BH207" s="48">
        <v>0</v>
      </c>
      <c r="BI207" s="23" t="str">
        <f t="shared" si="1236"/>
        <v>NM</v>
      </c>
      <c r="BJ207" s="48">
        <v>0</v>
      </c>
      <c r="BK207" s="23" t="str">
        <f t="shared" si="1237"/>
        <v>NM</v>
      </c>
      <c r="BL207" s="48">
        <v>0</v>
      </c>
      <c r="BM207" s="23" t="str">
        <f t="shared" si="1239"/>
        <v>NM</v>
      </c>
      <c r="BN207" s="5"/>
      <c r="BO207" s="137"/>
      <c r="BP207" s="5"/>
      <c r="BQ207" s="153"/>
      <c r="BR207" s="153"/>
      <c r="BS207" s="153"/>
      <c r="BT207" s="32"/>
      <c r="BU207" s="56">
        <f>B207+D207+F207+H207</f>
        <v>50.238</v>
      </c>
      <c r="BV207" s="23" t="str">
        <f t="shared" si="1240"/>
        <v>NA</v>
      </c>
      <c r="BW207" s="56">
        <f>J207+L207+N207+P207</f>
        <v>-334.76599999999996</v>
      </c>
      <c r="BX207" s="23" t="str">
        <f t="shared" si="1241"/>
        <v>NM</v>
      </c>
      <c r="BY207" s="56">
        <f>R207+T207+V207+X207</f>
        <v>-364.29999999999995</v>
      </c>
      <c r="BZ207" s="23">
        <f t="shared" si="1242"/>
        <v>8.8222818326831209</v>
      </c>
      <c r="CA207" s="56">
        <f>Z207+AB207+AD207+AF207</f>
        <v>-285.39999999999998</v>
      </c>
      <c r="CB207" s="23">
        <f t="shared" si="1242"/>
        <v>-21.657974197090301</v>
      </c>
      <c r="CC207" s="56">
        <f>AH207+AJ207+AL207+AN207</f>
        <v>-77.600000000000009</v>
      </c>
      <c r="CD207" s="23" t="str">
        <f t="shared" si="1242"/>
        <v>NM</v>
      </c>
      <c r="CE207" s="56">
        <f>AP207+AR207+AT207+AV207</f>
        <v>-53.9</v>
      </c>
      <c r="CF207" s="23">
        <f t="shared" si="1242"/>
        <v>-30.541237113402076</v>
      </c>
      <c r="CG207" s="56">
        <f>AX207+AZ207+BB207+BD207</f>
        <v>-263.39999999999998</v>
      </c>
      <c r="CH207" s="23" t="str">
        <f t="shared" si="1242"/>
        <v>NM</v>
      </c>
      <c r="CI207" s="56">
        <f>BF207+BH207+BJ207+BL207</f>
        <v>0</v>
      </c>
      <c r="CJ207" s="23" t="str">
        <f t="shared" si="1242"/>
        <v>NM</v>
      </c>
      <c r="CK207" s="48">
        <v>0</v>
      </c>
      <c r="CL207" s="23" t="str">
        <f t="shared" si="1242"/>
        <v>NA</v>
      </c>
      <c r="CM207" s="48">
        <v>0</v>
      </c>
      <c r="CN207" s="23" t="str">
        <f t="shared" si="1242"/>
        <v>NA</v>
      </c>
      <c r="CO207" s="48">
        <v>0</v>
      </c>
      <c r="CP207" s="23" t="str">
        <f t="shared" si="1242"/>
        <v>NA</v>
      </c>
      <c r="CQ207" s="48">
        <v>0</v>
      </c>
      <c r="CR207" s="23" t="str">
        <f t="shared" si="1242"/>
        <v>NA</v>
      </c>
      <c r="CS207" s="23" t="str">
        <f t="shared" si="1243"/>
        <v>NM</v>
      </c>
    </row>
    <row r="208" spans="1:97" ht="12.75" customHeight="1" x14ac:dyDescent="0.2">
      <c r="A208" s="4" t="s">
        <v>140</v>
      </c>
      <c r="B208" s="49">
        <v>1383.4570000000001</v>
      </c>
      <c r="C208" s="59"/>
      <c r="D208" s="49">
        <v>140.77000000000001</v>
      </c>
      <c r="E208" s="59"/>
      <c r="F208" s="49">
        <v>-3353.23</v>
      </c>
      <c r="G208" s="59"/>
      <c r="H208" s="49">
        <v>2125.989</v>
      </c>
      <c r="I208" s="59"/>
      <c r="J208" s="49">
        <v>2589.692</v>
      </c>
      <c r="K208" s="23">
        <f t="shared" si="1212"/>
        <v>87.189916274954697</v>
      </c>
      <c r="L208" s="49">
        <v>-751.52599999999995</v>
      </c>
      <c r="M208" s="23" t="str">
        <f t="shared" si="1212"/>
        <v>NM</v>
      </c>
      <c r="N208" s="49">
        <v>1861.5820000000001</v>
      </c>
      <c r="O208" s="23" t="str">
        <f t="shared" si="1212"/>
        <v>NM</v>
      </c>
      <c r="P208" s="48">
        <v>230.209</v>
      </c>
      <c r="Q208" s="23" t="str">
        <f t="shared" si="1212"/>
        <v>NM</v>
      </c>
      <c r="R208" s="48">
        <v>2111.1999999999998</v>
      </c>
      <c r="S208" s="23">
        <f t="shared" si="1212"/>
        <v>-18.476791834704677</v>
      </c>
      <c r="T208" s="48">
        <v>10.4</v>
      </c>
      <c r="U208" s="23" t="str">
        <f t="shared" si="1212"/>
        <v>NM</v>
      </c>
      <c r="V208" s="48">
        <v>2088.5</v>
      </c>
      <c r="W208" s="23">
        <f t="shared" si="1212"/>
        <v>12.189524823510322</v>
      </c>
      <c r="X208" s="48">
        <v>2491.3000000000002</v>
      </c>
      <c r="Y208" s="215" t="str">
        <f t="shared" si="1212"/>
        <v>NM</v>
      </c>
      <c r="Z208" s="48">
        <v>639.79999999999995</v>
      </c>
      <c r="AA208" s="215" t="str">
        <f t="shared" si="1213"/>
        <v>NM</v>
      </c>
      <c r="AB208" s="48">
        <v>1915.8</v>
      </c>
      <c r="AC208" s="23" t="str">
        <f t="shared" si="1214"/>
        <v>NM</v>
      </c>
      <c r="AD208" s="48">
        <v>-293.39999999999998</v>
      </c>
      <c r="AE208" s="23" t="str">
        <f t="shared" si="1215"/>
        <v>NM</v>
      </c>
      <c r="AF208" s="48">
        <v>1300</v>
      </c>
      <c r="AG208" s="23">
        <f t="shared" si="1216"/>
        <v>-47.818408060048981</v>
      </c>
      <c r="AH208" s="48">
        <v>1323.1</v>
      </c>
      <c r="AI208" s="23" t="str">
        <f t="shared" si="1217"/>
        <v>NM</v>
      </c>
      <c r="AJ208" s="49">
        <v>-296.8</v>
      </c>
      <c r="AK208" s="23" t="str">
        <f t="shared" si="1218"/>
        <v>NM</v>
      </c>
      <c r="AL208" s="49">
        <v>-2345.6999999999998</v>
      </c>
      <c r="AM208" s="23" t="str">
        <f t="shared" si="1219"/>
        <v>NM</v>
      </c>
      <c r="AN208" s="158">
        <v>1564.4</v>
      </c>
      <c r="AO208" s="23">
        <f t="shared" si="1221"/>
        <v>20.338461538461551</v>
      </c>
      <c r="AP208" s="158">
        <v>410.1</v>
      </c>
      <c r="AQ208" s="23" t="str">
        <f t="shared" si="1222"/>
        <v>NM</v>
      </c>
      <c r="AR208" s="158">
        <v>1013.3</v>
      </c>
      <c r="AS208" s="23" t="str">
        <f t="shared" si="1224"/>
        <v>NM</v>
      </c>
      <c r="AT208" s="158">
        <v>1464.5</v>
      </c>
      <c r="AU208" s="23" t="str">
        <f t="shared" si="1225"/>
        <v>NM</v>
      </c>
      <c r="AV208" s="158">
        <v>208.1</v>
      </c>
      <c r="AW208" s="23" t="str">
        <f t="shared" si="1227"/>
        <v>NM</v>
      </c>
      <c r="AX208" s="158">
        <v>2167.1999999999998</v>
      </c>
      <c r="AY208" s="23" t="str">
        <f t="shared" si="1228"/>
        <v>NM</v>
      </c>
      <c r="AZ208" s="158">
        <v>1274.5999999999999</v>
      </c>
      <c r="BA208" s="23">
        <f t="shared" si="1230"/>
        <v>25.787032468173287</v>
      </c>
      <c r="BB208" s="158">
        <v>1466.1</v>
      </c>
      <c r="BC208" s="23">
        <f t="shared" si="1232"/>
        <v>0.10925230454079671</v>
      </c>
      <c r="BD208" s="158">
        <v>1941</v>
      </c>
      <c r="BE208" s="23" t="str">
        <f t="shared" si="1233"/>
        <v>NM</v>
      </c>
      <c r="BF208" s="36">
        <f t="shared" ref="BF208" si="1252">BF204*(BF218/100*BF24/100)</f>
        <v>-410.0006519399999</v>
      </c>
      <c r="BG208" s="23" t="str">
        <f t="shared" si="1235"/>
        <v>NM</v>
      </c>
      <c r="BH208" s="36">
        <f t="shared" ref="BH208" si="1253">BH204*(BH218/100*BH24/100)</f>
        <v>665.96690701970545</v>
      </c>
      <c r="BI208" s="23">
        <f t="shared" si="1236"/>
        <v>-47.750909538701904</v>
      </c>
      <c r="BJ208" s="36">
        <f t="shared" ref="BJ208" si="1254">BJ204*(BJ218/100*BJ24/100)</f>
        <v>658.78975387664502</v>
      </c>
      <c r="BK208" s="23" t="str">
        <f t="shared" si="1237"/>
        <v>NM</v>
      </c>
      <c r="BL208" s="36">
        <f t="shared" ref="BL208" si="1255">BL204*(BL218/100*BL24/100)</f>
        <v>653.84024014610952</v>
      </c>
      <c r="BM208" s="23" t="str">
        <f t="shared" si="1239"/>
        <v>NM</v>
      </c>
      <c r="BN208" s="5"/>
      <c r="BO208" s="137"/>
      <c r="BP208" s="5"/>
      <c r="BQ208" s="153"/>
      <c r="BR208" s="153"/>
      <c r="BS208" s="153"/>
      <c r="BT208" s="32"/>
      <c r="BU208" s="56">
        <f>B208+D208+F208+H208</f>
        <v>296.9860000000001</v>
      </c>
      <c r="BV208" s="23" t="str">
        <f t="shared" si="1240"/>
        <v>NA</v>
      </c>
      <c r="BW208" s="56">
        <f>J208+L208+N208+P208</f>
        <v>3929.9570000000003</v>
      </c>
      <c r="BX208" s="23" t="str">
        <f t="shared" si="1241"/>
        <v>NM</v>
      </c>
      <c r="BY208" s="56">
        <f>R208+T208+V208+X208</f>
        <v>6701.4000000000005</v>
      </c>
      <c r="BZ208" s="23">
        <f t="shared" si="1242"/>
        <v>70.520949720315002</v>
      </c>
      <c r="CA208" s="56">
        <f>Z208+AB208+AD208+AF208</f>
        <v>3562.2</v>
      </c>
      <c r="CB208" s="23">
        <f t="shared" si="1242"/>
        <v>-46.843943056674732</v>
      </c>
      <c r="CC208" s="56">
        <f>AH208+AJ208+AL208+AN208</f>
        <v>245.00000000000023</v>
      </c>
      <c r="CD208" s="23" t="str">
        <f t="shared" si="1242"/>
        <v>NM</v>
      </c>
      <c r="CE208" s="56">
        <f>AP208+AR208+AT208+AV208</f>
        <v>3096</v>
      </c>
      <c r="CF208" s="23" t="str">
        <f t="shared" si="1242"/>
        <v>NM</v>
      </c>
      <c r="CG208" s="56">
        <f>AX208+AZ208+BB208+BD208</f>
        <v>6848.9</v>
      </c>
      <c r="CH208" s="23" t="str">
        <f t="shared" si="1242"/>
        <v>NM</v>
      </c>
      <c r="CI208" s="56">
        <f>BF208+BH208+BJ208+BL208</f>
        <v>1568.5962491024602</v>
      </c>
      <c r="CJ208" s="23" t="str">
        <f t="shared" si="1242"/>
        <v>NM</v>
      </c>
      <c r="CK208" s="36">
        <f>CK204*(CK218/100*CK24/100)</f>
        <v>1472.6366472833747</v>
      </c>
      <c r="CL208" s="23">
        <f t="shared" si="1242"/>
        <v>-6.1175463012864473</v>
      </c>
      <c r="CM208" s="36">
        <f>CM204*(CM218/100*CM24/100)</f>
        <v>1382.8872551801674</v>
      </c>
      <c r="CN208" s="23">
        <f t="shared" si="1242"/>
        <v>-6.0944695535569693</v>
      </c>
      <c r="CO208" s="36">
        <f>CO204*(CO218/100*CO24/100)</f>
        <v>1298.9461671577158</v>
      </c>
      <c r="CP208" s="23">
        <f t="shared" si="1242"/>
        <v>-6.069987824966649</v>
      </c>
      <c r="CQ208" s="36">
        <f>CQ204*(CQ218/100*CQ24/100)</f>
        <v>1220.4374876750705</v>
      </c>
      <c r="CR208" s="23">
        <f t="shared" si="1242"/>
        <v>-6.0440287263354158</v>
      </c>
      <c r="CS208" s="23">
        <f t="shared" si="1243"/>
        <v>-29.176245987203984</v>
      </c>
    </row>
    <row r="209" spans="1:97" ht="12.75" customHeight="1" x14ac:dyDescent="0.2">
      <c r="A209" s="4" t="s">
        <v>144</v>
      </c>
      <c r="B209" s="49">
        <v>-124.568</v>
      </c>
      <c r="C209" s="59"/>
      <c r="D209" s="49">
        <v>-10.957000000000001</v>
      </c>
      <c r="E209" s="59"/>
      <c r="F209" s="49">
        <v>223.166</v>
      </c>
      <c r="G209" s="59"/>
      <c r="H209" s="49">
        <v>206.06299999999999</v>
      </c>
      <c r="I209" s="59"/>
      <c r="J209" s="49">
        <v>-6.65</v>
      </c>
      <c r="K209" s="23" t="str">
        <f t="shared" si="1212"/>
        <v>NM</v>
      </c>
      <c r="L209" s="49">
        <v>166.309</v>
      </c>
      <c r="M209" s="23" t="str">
        <f t="shared" si="1212"/>
        <v>NM</v>
      </c>
      <c r="N209" s="49">
        <v>-164.68299999999999</v>
      </c>
      <c r="O209" s="23" t="str">
        <f t="shared" si="1212"/>
        <v>NM</v>
      </c>
      <c r="P209" s="48">
        <v>-62.982999999999997</v>
      </c>
      <c r="Q209" s="23" t="str">
        <f t="shared" si="1212"/>
        <v>NM</v>
      </c>
      <c r="R209" s="48">
        <v>-58.5</v>
      </c>
      <c r="S209" s="23" t="str">
        <f t="shared" si="1212"/>
        <v>NM</v>
      </c>
      <c r="T209" s="48">
        <v>-258</v>
      </c>
      <c r="U209" s="23" t="str">
        <f t="shared" si="1212"/>
        <v>NM</v>
      </c>
      <c r="V209" s="48">
        <v>-421</v>
      </c>
      <c r="W209" s="23" t="str">
        <f t="shared" si="1212"/>
        <v>NM</v>
      </c>
      <c r="X209" s="48">
        <v>72.099999999999994</v>
      </c>
      <c r="Y209" s="215" t="str">
        <f t="shared" si="1212"/>
        <v>NM</v>
      </c>
      <c r="Z209" s="48">
        <v>-79.3</v>
      </c>
      <c r="AA209" s="215">
        <f t="shared" si="1213"/>
        <v>35.555555555555543</v>
      </c>
      <c r="AB209" s="48">
        <v>182.9</v>
      </c>
      <c r="AC209" s="23" t="str">
        <f t="shared" si="1214"/>
        <v>NM</v>
      </c>
      <c r="AD209" s="48">
        <v>-51.6</v>
      </c>
      <c r="AE209" s="23" t="str">
        <f t="shared" si="1215"/>
        <v>NM</v>
      </c>
      <c r="AF209" s="48">
        <v>-187.1</v>
      </c>
      <c r="AG209" s="23" t="str">
        <f t="shared" si="1216"/>
        <v>NM</v>
      </c>
      <c r="AH209" s="48">
        <v>-118.9</v>
      </c>
      <c r="AI209" s="23">
        <f t="shared" si="1217"/>
        <v>49.936948297604047</v>
      </c>
      <c r="AJ209" s="48">
        <v>14.7</v>
      </c>
      <c r="AK209" s="23" t="str">
        <f t="shared" si="1218"/>
        <v>NM</v>
      </c>
      <c r="AL209" s="48">
        <v>-549.9</v>
      </c>
      <c r="AM209" s="23" t="str">
        <f t="shared" si="1219"/>
        <v>NM</v>
      </c>
      <c r="AN209" s="287">
        <v>22</v>
      </c>
      <c r="AO209" s="23" t="str">
        <f t="shared" si="1221"/>
        <v>NM</v>
      </c>
      <c r="AP209" s="287">
        <v>55.6</v>
      </c>
      <c r="AQ209" s="23" t="str">
        <f t="shared" si="1222"/>
        <v>NM</v>
      </c>
      <c r="AR209" s="287">
        <v>-169.9</v>
      </c>
      <c r="AS209" s="23" t="str">
        <f t="shared" si="1224"/>
        <v>NM</v>
      </c>
      <c r="AT209" s="287">
        <v>128</v>
      </c>
      <c r="AU209" s="23" t="str">
        <f t="shared" si="1225"/>
        <v>NM</v>
      </c>
      <c r="AV209" s="287">
        <v>-333.8</v>
      </c>
      <c r="AW209" s="23" t="str">
        <f t="shared" si="1227"/>
        <v>NM</v>
      </c>
      <c r="AX209" s="287">
        <v>23.1</v>
      </c>
      <c r="AY209" s="23" t="str">
        <f t="shared" si="1228"/>
        <v>NM</v>
      </c>
      <c r="AZ209" s="287">
        <v>324.39999999999998</v>
      </c>
      <c r="BA209" s="23" t="str">
        <f t="shared" si="1230"/>
        <v>NM</v>
      </c>
      <c r="BB209" s="287">
        <v>-130.5</v>
      </c>
      <c r="BC209" s="23" t="str">
        <f t="shared" si="1232"/>
        <v>NM</v>
      </c>
      <c r="BD209" s="287">
        <v>44</v>
      </c>
      <c r="BE209" s="23" t="str">
        <f t="shared" si="1233"/>
        <v>NM</v>
      </c>
      <c r="BF209" s="49">
        <v>50</v>
      </c>
      <c r="BG209" s="23" t="str">
        <f t="shared" si="1235"/>
        <v>NM</v>
      </c>
      <c r="BH209" s="49">
        <v>50</v>
      </c>
      <c r="BI209" s="23" t="str">
        <f t="shared" si="1236"/>
        <v>NM</v>
      </c>
      <c r="BJ209" s="49">
        <v>50</v>
      </c>
      <c r="BK209" s="23" t="str">
        <f t="shared" si="1237"/>
        <v>NM</v>
      </c>
      <c r="BL209" s="49">
        <v>50</v>
      </c>
      <c r="BM209" s="23">
        <f t="shared" si="1239"/>
        <v>13.636363636363647</v>
      </c>
      <c r="BN209" s="5"/>
      <c r="BO209" s="137"/>
      <c r="BP209" s="5"/>
      <c r="BQ209" s="153"/>
      <c r="BR209" s="153"/>
      <c r="BS209" s="153"/>
      <c r="BT209" s="32"/>
      <c r="BU209" s="56">
        <f>B209+D209+F209+H209</f>
        <v>293.70399999999995</v>
      </c>
      <c r="BV209" s="23" t="str">
        <f t="shared" si="1240"/>
        <v>NA</v>
      </c>
      <c r="BW209" s="56">
        <f>J209+L209+N209+P209</f>
        <v>-68.007000000000005</v>
      </c>
      <c r="BX209" s="23" t="str">
        <f t="shared" si="1241"/>
        <v>NM</v>
      </c>
      <c r="BY209" s="56">
        <f>R209+T209+V209+X209</f>
        <v>-665.4</v>
      </c>
      <c r="BZ209" s="23" t="str">
        <f t="shared" si="1242"/>
        <v>NM</v>
      </c>
      <c r="CA209" s="56">
        <f>Z209+AB209+AD209+AF209</f>
        <v>-135.1</v>
      </c>
      <c r="CB209" s="23" t="str">
        <f t="shared" si="1242"/>
        <v>NM</v>
      </c>
      <c r="CC209" s="56">
        <f>AH209+AJ209+AL209+AN209</f>
        <v>-632.1</v>
      </c>
      <c r="CD209" s="23" t="str">
        <f t="shared" si="1242"/>
        <v>NM</v>
      </c>
      <c r="CE209" s="56">
        <f>AP209+AR209+AT209+AV209</f>
        <v>-320.10000000000002</v>
      </c>
      <c r="CF209" s="23">
        <f t="shared" si="1242"/>
        <v>-49.359278595158997</v>
      </c>
      <c r="CG209" s="56">
        <f>AX209+AZ209+BB209+BD209</f>
        <v>261</v>
      </c>
      <c r="CH209" s="23" t="str">
        <f t="shared" si="1242"/>
        <v>NM</v>
      </c>
      <c r="CI209" s="56">
        <f>BF209+BH209+BJ209+BL209</f>
        <v>200</v>
      </c>
      <c r="CJ209" s="23">
        <f t="shared" si="1242"/>
        <v>-23.371647509578541</v>
      </c>
      <c r="CK209" s="48">
        <f>CI209</f>
        <v>200</v>
      </c>
      <c r="CL209" s="23">
        <f t="shared" si="1242"/>
        <v>0</v>
      </c>
      <c r="CM209" s="48">
        <f>CK209</f>
        <v>200</v>
      </c>
      <c r="CN209" s="23">
        <f t="shared" si="1242"/>
        <v>0</v>
      </c>
      <c r="CO209" s="48">
        <f>CM209</f>
        <v>200</v>
      </c>
      <c r="CP209" s="23">
        <f t="shared" si="1242"/>
        <v>0</v>
      </c>
      <c r="CQ209" s="48">
        <f>CO209</f>
        <v>200</v>
      </c>
      <c r="CR209" s="23">
        <f t="shared" si="1242"/>
        <v>0</v>
      </c>
      <c r="CS209" s="23">
        <f t="shared" si="1243"/>
        <v>-5.1848148032937917</v>
      </c>
    </row>
    <row r="210" spans="1:97" ht="12.75" customHeight="1" x14ac:dyDescent="0.2">
      <c r="A210" s="4" t="s">
        <v>183</v>
      </c>
      <c r="B210" s="36">
        <f t="shared" ref="B210:Z210" si="1256">SUM(B204:B209)</f>
        <v>37882.873999999996</v>
      </c>
      <c r="C210" s="59"/>
      <c r="D210" s="36">
        <f t="shared" si="1256"/>
        <v>37737.170999999988</v>
      </c>
      <c r="E210" s="59"/>
      <c r="F210" s="36">
        <f t="shared" si="1256"/>
        <v>35284.453999999983</v>
      </c>
      <c r="G210" s="59"/>
      <c r="H210" s="36">
        <f t="shared" si="1256"/>
        <v>37851.824999999983</v>
      </c>
      <c r="I210" s="59"/>
      <c r="J210" s="36">
        <f t="shared" si="1256"/>
        <v>44050.053999999982</v>
      </c>
      <c r="K210" s="23">
        <f t="shared" si="1212"/>
        <v>16.279599061042681</v>
      </c>
      <c r="L210" s="36">
        <f t="shared" si="1256"/>
        <v>42563.896999999983</v>
      </c>
      <c r="M210" s="23">
        <f t="shared" si="1212"/>
        <v>12.790375833948975</v>
      </c>
      <c r="N210" s="36">
        <f t="shared" si="1256"/>
        <v>46376.923999999992</v>
      </c>
      <c r="O210" s="23">
        <f t="shared" si="1212"/>
        <v>31.437272630037061</v>
      </c>
      <c r="P210" s="36">
        <f t="shared" si="1256"/>
        <v>47284.818999999996</v>
      </c>
      <c r="Q210" s="23">
        <f t="shared" si="1212"/>
        <v>24.920843314688312</v>
      </c>
      <c r="R210" s="36">
        <f t="shared" si="1256"/>
        <v>49658.118999999992</v>
      </c>
      <c r="S210" s="23">
        <f t="shared" si="1212"/>
        <v>12.731119466959129</v>
      </c>
      <c r="T210" s="36">
        <f t="shared" si="1256"/>
        <v>49404.718999999997</v>
      </c>
      <c r="U210" s="23">
        <f t="shared" si="1212"/>
        <v>16.071888342366812</v>
      </c>
      <c r="V210" s="36">
        <f t="shared" si="1256"/>
        <v>52169.718999999997</v>
      </c>
      <c r="W210" s="23">
        <f t="shared" si="1212"/>
        <v>12.490683944454805</v>
      </c>
      <c r="X210" s="36">
        <f t="shared" si="1256"/>
        <v>53935.218999999997</v>
      </c>
      <c r="Y210" s="215">
        <f t="shared" si="1212"/>
        <v>14.06455632197725</v>
      </c>
      <c r="Z210" s="36">
        <f t="shared" si="1256"/>
        <v>57989.118999999999</v>
      </c>
      <c r="AA210" s="215">
        <f t="shared" si="1213"/>
        <v>16.776712786885884</v>
      </c>
      <c r="AB210" s="36">
        <f t="shared" ref="AB210:AD210" si="1257">SUM(AB204:AB209)</f>
        <v>58729.119000000006</v>
      </c>
      <c r="AC210" s="23">
        <f t="shared" si="1214"/>
        <v>18.87350072773415</v>
      </c>
      <c r="AD210" s="36">
        <f t="shared" si="1257"/>
        <v>58941.419000000002</v>
      </c>
      <c r="AE210" s="23">
        <f t="shared" si="1215"/>
        <v>12.980135085642308</v>
      </c>
      <c r="AF210" s="36">
        <f t="shared" ref="AF210:AH210" si="1258">SUM(AF204:AF209)</f>
        <v>58956.319000000003</v>
      </c>
      <c r="AG210" s="23">
        <f t="shared" si="1216"/>
        <v>9.3095014595194314</v>
      </c>
      <c r="AH210" s="36">
        <f t="shared" si="1258"/>
        <v>59005.118999999999</v>
      </c>
      <c r="AI210" s="23">
        <f t="shared" si="1217"/>
        <v>1.7520528290833282</v>
      </c>
      <c r="AJ210" s="36">
        <f t="shared" ref="AJ210:AL210" si="1259">SUM(AJ204:AJ209)</f>
        <v>57390.918999999994</v>
      </c>
      <c r="AK210" s="23">
        <f t="shared" si="1218"/>
        <v>-2.2785970959312563</v>
      </c>
      <c r="AL210" s="36">
        <f t="shared" si="1259"/>
        <v>53830.518999999993</v>
      </c>
      <c r="AM210" s="23">
        <f t="shared" si="1219"/>
        <v>-8.6711519449506387</v>
      </c>
      <c r="AN210" s="410">
        <f t="shared" ref="AN210:AP210" si="1260">SUM(AN204:AN209)</f>
        <v>54403.418999999994</v>
      </c>
      <c r="AO210" s="23">
        <f t="shared" si="1221"/>
        <v>-7.7224970575249241</v>
      </c>
      <c r="AP210" s="410">
        <f t="shared" si="1260"/>
        <v>54204.618999999992</v>
      </c>
      <c r="AQ210" s="23">
        <f t="shared" si="1222"/>
        <v>-8.1357347995518978</v>
      </c>
      <c r="AR210" s="410">
        <f t="shared" ref="AR210:AT210" si="1261">SUM(AR204:AR209)</f>
        <v>54277.418999999994</v>
      </c>
      <c r="AS210" s="23">
        <f t="shared" si="1224"/>
        <v>-5.4250743048739114</v>
      </c>
      <c r="AT210" s="410">
        <f t="shared" si="1261"/>
        <v>55356.118999999999</v>
      </c>
      <c r="AU210" s="23">
        <f t="shared" si="1225"/>
        <v>2.834080050389276</v>
      </c>
      <c r="AV210" s="410">
        <f t="shared" ref="AV210:AX210" si="1262">SUM(AV204:AV209)</f>
        <v>54254.118999999992</v>
      </c>
      <c r="AW210" s="23">
        <f t="shared" si="1227"/>
        <v>-0.27443128160751229</v>
      </c>
      <c r="AX210" s="410">
        <f t="shared" si="1262"/>
        <v>54636.018999999993</v>
      </c>
      <c r="AY210" s="23">
        <f t="shared" si="1228"/>
        <v>0.79587313398512549</v>
      </c>
      <c r="AZ210" s="410">
        <f t="shared" ref="AZ210" si="1263">SUM(AZ204:AZ209)</f>
        <v>54936.818999999989</v>
      </c>
      <c r="BA210" s="23">
        <f t="shared" si="1230"/>
        <v>1.2148698522308043</v>
      </c>
      <c r="BB210" s="410">
        <f t="shared" ref="BB210:BD210" si="1264">SUM(BB204:BB209)</f>
        <v>56545.918999999987</v>
      </c>
      <c r="BC210" s="23">
        <f t="shared" si="1232"/>
        <v>2.1493558824092984</v>
      </c>
      <c r="BD210" s="410">
        <f t="shared" si="1264"/>
        <v>56473.918999999987</v>
      </c>
      <c r="BE210" s="23">
        <f t="shared" si="1233"/>
        <v>4.091486583719095</v>
      </c>
      <c r="BF210" s="36">
        <f t="shared" ref="BF210" si="1265">SUM(BF204:BF209)</f>
        <v>54767.015379909993</v>
      </c>
      <c r="BG210" s="23">
        <f t="shared" si="1235"/>
        <v>0.23976194149504249</v>
      </c>
      <c r="BH210" s="36">
        <f t="shared" ref="BH210" si="1266">SUM(BH204:BH209)</f>
        <v>54176.78897011884</v>
      </c>
      <c r="BI210" s="23">
        <f t="shared" si="1236"/>
        <v>-1.3834620273175058</v>
      </c>
      <c r="BJ210" s="36">
        <f t="shared" ref="BJ210" si="1267">SUM(BJ204:BJ209)</f>
        <v>53593.462307058158</v>
      </c>
      <c r="BK210" s="23">
        <f t="shared" si="1237"/>
        <v>-5.2213435472537428</v>
      </c>
      <c r="BL210" s="36">
        <f t="shared" ref="BL210" si="1268">SUM(BL204:BL209)</f>
        <v>53019.098471180929</v>
      </c>
      <c r="BM210" s="23">
        <f t="shared" si="1239"/>
        <v>-6.1175505259676743</v>
      </c>
      <c r="BN210" s="5"/>
      <c r="BO210" s="137"/>
      <c r="BP210" s="5"/>
      <c r="BQ210" s="48">
        <v>31700.3</v>
      </c>
      <c r="BR210" s="32"/>
      <c r="BS210" s="48">
        <v>33907.300000000003</v>
      </c>
      <c r="BT210" s="32"/>
      <c r="BU210" s="36">
        <f t="shared" ref="BU210:CA210" si="1269">SUM(BU204:BU209)</f>
        <v>37851.863999999994</v>
      </c>
      <c r="BV210" s="23">
        <f>IF(ISERROR((BU210/BS210-1)*100),"NA",IF(((BU210/BS210-1)*100)&gt;100,"NM",IF(((BU210/BS210-1)*100)&lt;-50,"NM",(BU210/BS210-1)*100)))</f>
        <v>11.633376883443947</v>
      </c>
      <c r="BW210" s="36">
        <f t="shared" si="1269"/>
        <v>47284.857999999993</v>
      </c>
      <c r="BX210" s="23">
        <f>IF(ISERROR((BW210/BU210-1)*100),"NA",IF(((BW210/BU210-1)*100)&gt;100,"NM",IF(((BW210/BU210-1)*100)&lt;-50,"NM",(BW210/BU210-1)*100)))</f>
        <v>24.920817637937187</v>
      </c>
      <c r="BY210" s="36">
        <f t="shared" si="1269"/>
        <v>53935.257999999987</v>
      </c>
      <c r="BZ210" s="23">
        <f t="shared" si="1242"/>
        <v>14.06454472169505</v>
      </c>
      <c r="CA210" s="36">
        <f t="shared" si="1269"/>
        <v>58956.357999999986</v>
      </c>
      <c r="CB210" s="23">
        <f t="shared" si="1242"/>
        <v>9.3094947279199083</v>
      </c>
      <c r="CC210" s="36">
        <f t="shared" ref="CC210:CE210" si="1270">SUM(CC204:CC209)</f>
        <v>54403.457999999984</v>
      </c>
      <c r="CD210" s="23">
        <f t="shared" si="1242"/>
        <v>-7.7224919490447519</v>
      </c>
      <c r="CE210" s="36">
        <f t="shared" si="1270"/>
        <v>54254.157999999989</v>
      </c>
      <c r="CF210" s="23">
        <f t="shared" si="1242"/>
        <v>-0.27443108487699153</v>
      </c>
      <c r="CG210" s="36">
        <f t="shared" ref="CG210" si="1271">SUM(CG204:CG209)</f>
        <v>56473.957999999991</v>
      </c>
      <c r="CH210" s="23">
        <f t="shared" si="1242"/>
        <v>4.0914836425993473</v>
      </c>
      <c r="CI210" s="36">
        <f t="shared" ref="CI210" si="1272">SUM(CI204:CI209)</f>
        <v>53019.137471180926</v>
      </c>
      <c r="CJ210" s="23">
        <f t="shared" si="1242"/>
        <v>-6.1175463012864579</v>
      </c>
      <c r="CK210" s="36">
        <f>SUM(CK204:CK209)</f>
        <v>49787.902280441296</v>
      </c>
      <c r="CL210" s="23">
        <f t="shared" si="1242"/>
        <v>-6.0944695535569586</v>
      </c>
      <c r="CM210" s="36">
        <f>SUM(CM204:CM209)</f>
        <v>46765.782673712216</v>
      </c>
      <c r="CN210" s="23">
        <f t="shared" si="1242"/>
        <v>-6.069987824966649</v>
      </c>
      <c r="CO210" s="36">
        <f>SUM(CO204:CO209)</f>
        <v>43939.24533481746</v>
      </c>
      <c r="CP210" s="23">
        <f t="shared" si="1242"/>
        <v>-6.0440287263354158</v>
      </c>
      <c r="CQ210" s="36">
        <f>SUM(CQ204:CQ209)</f>
        <v>41295.632782098772</v>
      </c>
      <c r="CR210" s="23">
        <f t="shared" si="1242"/>
        <v>-6.0165178818487597</v>
      </c>
      <c r="CS210" s="23">
        <f t="shared" si="1243"/>
        <v>-6.068516852992289</v>
      </c>
    </row>
    <row r="211" spans="1:97" ht="12.75" customHeight="1" x14ac:dyDescent="0.2">
      <c r="A211" s="4" t="s">
        <v>98</v>
      </c>
      <c r="B211" s="36">
        <f t="shared" ref="B211:Z211" si="1273">AVERAGE(B210,B204)</f>
        <v>35895.067499999997</v>
      </c>
      <c r="C211" s="59"/>
      <c r="D211" s="36">
        <f t="shared" si="1273"/>
        <v>37810.022499999992</v>
      </c>
      <c r="E211" s="59"/>
      <c r="F211" s="36">
        <f t="shared" si="1273"/>
        <v>36510.812499999985</v>
      </c>
      <c r="G211" s="59"/>
      <c r="H211" s="36">
        <f t="shared" si="1273"/>
        <v>36568.139499999983</v>
      </c>
      <c r="I211" s="59"/>
      <c r="J211" s="36">
        <f t="shared" si="1273"/>
        <v>40950.939499999979</v>
      </c>
      <c r="K211" s="23">
        <f t="shared" si="1212"/>
        <v>14.085144149680119</v>
      </c>
      <c r="L211" s="36">
        <f t="shared" si="1273"/>
        <v>43306.975499999986</v>
      </c>
      <c r="M211" s="23">
        <f t="shared" si="1212"/>
        <v>14.538348925870114</v>
      </c>
      <c r="N211" s="36">
        <f t="shared" si="1273"/>
        <v>44470.410499999984</v>
      </c>
      <c r="O211" s="23">
        <f t="shared" si="1212"/>
        <v>21.800659736071349</v>
      </c>
      <c r="P211" s="36">
        <f t="shared" si="1273"/>
        <v>46830.871499999994</v>
      </c>
      <c r="Q211" s="23">
        <f t="shared" si="1212"/>
        <v>28.064681825007852</v>
      </c>
      <c r="R211" s="36">
        <f t="shared" si="1273"/>
        <v>48471.468999999997</v>
      </c>
      <c r="S211" s="23">
        <f t="shared" si="1212"/>
        <v>18.364730069257696</v>
      </c>
      <c r="T211" s="36">
        <f t="shared" si="1273"/>
        <v>49531.418999999994</v>
      </c>
      <c r="U211" s="23">
        <f t="shared" si="1212"/>
        <v>14.372842776794714</v>
      </c>
      <c r="V211" s="36">
        <f t="shared" si="1273"/>
        <v>50787.218999999997</v>
      </c>
      <c r="W211" s="23">
        <f t="shared" si="1212"/>
        <v>14.204520329309789</v>
      </c>
      <c r="X211" s="36">
        <f t="shared" si="1273"/>
        <v>53052.468999999997</v>
      </c>
      <c r="Y211" s="215">
        <f t="shared" si="1212"/>
        <v>13.285248172244678</v>
      </c>
      <c r="Z211" s="36">
        <f t="shared" si="1273"/>
        <v>55962.168999999994</v>
      </c>
      <c r="AA211" s="215">
        <f t="shared" si="1213"/>
        <v>15.453833264265215</v>
      </c>
      <c r="AB211" s="36">
        <f t="shared" ref="AB211:AD211" si="1274">AVERAGE(AB210,AB204)</f>
        <v>58359.119000000006</v>
      </c>
      <c r="AC211" s="23">
        <f t="shared" si="1214"/>
        <v>17.822424994527243</v>
      </c>
      <c r="AD211" s="36">
        <f t="shared" si="1274"/>
        <v>58835.269</v>
      </c>
      <c r="AE211" s="23">
        <f t="shared" si="1215"/>
        <v>15.846605028717953</v>
      </c>
      <c r="AF211" s="36">
        <f t="shared" ref="AF211:AH211" si="1275">AVERAGE(AF210,AF204)</f>
        <v>58948.869000000006</v>
      </c>
      <c r="AG211" s="23">
        <f t="shared" si="1216"/>
        <v>11.114280091280971</v>
      </c>
      <c r="AH211" s="36">
        <f t="shared" si="1275"/>
        <v>58980.718999999997</v>
      </c>
      <c r="AI211" s="23">
        <f t="shared" si="1217"/>
        <v>5.3939117334783848</v>
      </c>
      <c r="AJ211" s="36">
        <f t="shared" ref="AJ211:AL211" si="1276">AVERAGE(AJ210,AJ204)</f>
        <v>58198.019</v>
      </c>
      <c r="AK211" s="23">
        <f t="shared" si="1218"/>
        <v>-0.27604940369303499</v>
      </c>
      <c r="AL211" s="36">
        <f t="shared" si="1276"/>
        <v>55610.718999999997</v>
      </c>
      <c r="AM211" s="23">
        <f t="shared" si="1219"/>
        <v>-5.480641211991399</v>
      </c>
      <c r="AN211" s="410">
        <f t="shared" ref="AN211:AP211" si="1277">AVERAGE(AN210,AN204)</f>
        <v>54116.968999999997</v>
      </c>
      <c r="AO211" s="23">
        <f t="shared" si="1221"/>
        <v>-8.1967645553980173</v>
      </c>
      <c r="AP211" s="410">
        <f t="shared" si="1277"/>
        <v>54304.018999999993</v>
      </c>
      <c r="AQ211" s="23">
        <f t="shared" si="1222"/>
        <v>-7.9292014056322468</v>
      </c>
      <c r="AR211" s="410">
        <f t="shared" ref="AR211:AT211" si="1278">AVERAGE(AR210,AR204)</f>
        <v>54241.018999999993</v>
      </c>
      <c r="AS211" s="23">
        <f t="shared" si="1224"/>
        <v>-6.7992005019964825</v>
      </c>
      <c r="AT211" s="410">
        <f t="shared" si="1278"/>
        <v>54816.769</v>
      </c>
      <c r="AU211" s="23">
        <f t="shared" si="1225"/>
        <v>-1.4276923842685751</v>
      </c>
      <c r="AV211" s="410">
        <f t="shared" ref="AV211:AX211" si="1279">AVERAGE(AV210,AV204)</f>
        <v>54805.118999999992</v>
      </c>
      <c r="AW211" s="23">
        <f t="shared" si="1227"/>
        <v>1.2715974540259189</v>
      </c>
      <c r="AX211" s="410">
        <f t="shared" si="1279"/>
        <v>54445.068999999989</v>
      </c>
      <c r="AY211" s="23">
        <f t="shared" si="1228"/>
        <v>0.25974136463084996</v>
      </c>
      <c r="AZ211" s="410">
        <f t="shared" ref="AZ211" si="1280">AVERAGE(AZ210,AZ204)</f>
        <v>54786.418999999994</v>
      </c>
      <c r="BA211" s="23">
        <f t="shared" si="1230"/>
        <v>1.0055120830233744</v>
      </c>
      <c r="BB211" s="410">
        <f t="shared" ref="BB211:BD211" si="1281">AVERAGE(BB210,BB204)</f>
        <v>55741.368999999992</v>
      </c>
      <c r="BC211" s="23">
        <f t="shared" si="1232"/>
        <v>1.6867101379141713</v>
      </c>
      <c r="BD211" s="410">
        <f t="shared" si="1281"/>
        <v>56509.918999999987</v>
      </c>
      <c r="BE211" s="23">
        <f t="shared" si="1233"/>
        <v>3.1106583310219538</v>
      </c>
      <c r="BF211" s="56">
        <f t="shared" ref="BF211" si="1282">AVERAGE(BF210,BF204)</f>
        <v>55620.467189954987</v>
      </c>
      <c r="BG211" s="23">
        <f t="shared" si="1235"/>
        <v>2.1588698692897257</v>
      </c>
      <c r="BH211" s="56">
        <f t="shared" ref="BH211" si="1283">AVERAGE(BH210,BH204)</f>
        <v>54471.902175014417</v>
      </c>
      <c r="BI211" s="23">
        <f t="shared" si="1236"/>
        <v>-0.5740780849092908</v>
      </c>
      <c r="BJ211" s="56">
        <f t="shared" ref="BJ211" si="1284">AVERAGE(BJ210,BJ204)</f>
        <v>53885.125638588499</v>
      </c>
      <c r="BK211" s="23">
        <f t="shared" si="1237"/>
        <v>-3.3301000580224227</v>
      </c>
      <c r="BL211" s="56">
        <f t="shared" ref="BL211" si="1285">AVERAGE(BL210,BL204)</f>
        <v>53306.280389119544</v>
      </c>
      <c r="BM211" s="23">
        <f t="shared" si="1239"/>
        <v>-5.6691615694590585</v>
      </c>
      <c r="BN211" s="5"/>
      <c r="BO211" s="137"/>
      <c r="BP211" s="5"/>
      <c r="BQ211" s="153"/>
      <c r="BR211" s="153"/>
      <c r="BS211" s="153"/>
      <c r="BT211" s="32"/>
      <c r="BU211" s="36">
        <f t="shared" ref="BU211:CA211" si="1286">AVERAGE(BU210,BU204)</f>
        <v>35879.581999999995</v>
      </c>
      <c r="BV211" s="23" t="str">
        <f>IF(ISERROR((BU211/BS211-1)*100),"NA",IF(((BU211/BS211-1)*100)&gt;100,"NM",IF(((BU211/BS211-1)*100)&lt;-50,"NM",(BU211/BS211-1)*100)))</f>
        <v>NA</v>
      </c>
      <c r="BW211" s="36">
        <f t="shared" si="1286"/>
        <v>42568.36099999999</v>
      </c>
      <c r="BX211" s="23">
        <f>IF(ISERROR((BW211/BU211-1)*100),"NA",IF(((BW211/BU211-1)*100)&gt;100,"NM",IF(((BW211/BU211-1)*100)&lt;-50,"NM",(BW211/BU211-1)*100)))</f>
        <v>18.642299121544937</v>
      </c>
      <c r="BY211" s="36">
        <f t="shared" si="1286"/>
        <v>50610.05799999999</v>
      </c>
      <c r="BZ211" s="23">
        <f t="shared" si="1242"/>
        <v>18.891253529822304</v>
      </c>
      <c r="CA211" s="36">
        <f t="shared" si="1286"/>
        <v>56445.80799999999</v>
      </c>
      <c r="CB211" s="23">
        <f t="shared" si="1242"/>
        <v>11.530810733313125</v>
      </c>
      <c r="CC211" s="36">
        <f t="shared" ref="CC211:CE211" si="1287">AVERAGE(CC210,CC204)</f>
        <v>56679.907999999981</v>
      </c>
      <c r="CD211" s="23">
        <f t="shared" si="1242"/>
        <v>0.41473407555789876</v>
      </c>
      <c r="CE211" s="36">
        <f t="shared" si="1287"/>
        <v>54328.80799999999</v>
      </c>
      <c r="CF211" s="23">
        <f t="shared" si="1242"/>
        <v>-4.1480307272199424</v>
      </c>
      <c r="CG211" s="36">
        <f t="shared" ref="CG211" si="1288">AVERAGE(CG210,CG204)</f>
        <v>55364.05799999999</v>
      </c>
      <c r="CH211" s="23">
        <f t="shared" si="1242"/>
        <v>1.905526806330804</v>
      </c>
      <c r="CI211" s="36">
        <f t="shared" ref="CI211" si="1289">AVERAGE(CI210,CI204)</f>
        <v>54746.547735590459</v>
      </c>
      <c r="CJ211" s="23">
        <f t="shared" si="1242"/>
        <v>-1.1153630834096928</v>
      </c>
      <c r="CK211" s="36">
        <f>AVERAGE(CK210,CK204)</f>
        <v>51403.519875811107</v>
      </c>
      <c r="CL211" s="23">
        <f t="shared" si="1242"/>
        <v>-6.1063719961397034</v>
      </c>
      <c r="CM211" s="36">
        <f>AVERAGE(CM210,CM204)</f>
        <v>48276.84247707676</v>
      </c>
      <c r="CN211" s="23">
        <f t="shared" si="1242"/>
        <v>-6.0826134208090803</v>
      </c>
      <c r="CO211" s="36">
        <f>AVERAGE(CO210,CO204)</f>
        <v>45352.514004264842</v>
      </c>
      <c r="CP211" s="23">
        <f t="shared" si="1242"/>
        <v>-6.0574145341018788</v>
      </c>
      <c r="CQ211" s="36">
        <f>AVERAGE(CQ210,CQ204)</f>
        <v>42617.439058458112</v>
      </c>
      <c r="CR211" s="23">
        <f t="shared" si="1242"/>
        <v>-6.0307019486274367</v>
      </c>
      <c r="CS211" s="23">
        <f t="shared" si="1243"/>
        <v>-5.0987600609233574</v>
      </c>
    </row>
    <row r="212" spans="1:97" ht="12.75" customHeight="1" x14ac:dyDescent="0.2">
      <c r="J212" s="32"/>
      <c r="L212" s="32"/>
      <c r="N212" s="32"/>
      <c r="P212" s="32"/>
      <c r="R212" s="32"/>
      <c r="T212" s="32"/>
      <c r="V212" s="32"/>
      <c r="X212" s="32"/>
      <c r="Y212" s="216"/>
      <c r="Z212" s="32"/>
      <c r="AA212" s="216"/>
      <c r="AB212" s="32"/>
      <c r="AD212" s="32"/>
      <c r="AF212" s="32"/>
      <c r="AH212" s="32"/>
      <c r="AJ212" s="32"/>
      <c r="AL212" s="32"/>
      <c r="AN212" s="484"/>
      <c r="AP212" s="484"/>
      <c r="AR212" s="411"/>
      <c r="AT212" s="411"/>
      <c r="AV212" s="411"/>
      <c r="AX212" s="411"/>
      <c r="AZ212" s="411"/>
      <c r="BB212" s="411"/>
      <c r="BD212" s="411"/>
      <c r="BF212" s="37"/>
      <c r="BH212" s="37"/>
      <c r="BJ212" s="37"/>
      <c r="BL212" s="37"/>
      <c r="BN212" s="5"/>
      <c r="BO212" s="136"/>
      <c r="BP212" s="5"/>
      <c r="BQ212" s="5"/>
      <c r="BR212" s="5"/>
      <c r="BS212" s="5"/>
      <c r="BT212" s="5"/>
      <c r="BU212" s="5"/>
      <c r="BW212" s="5"/>
    </row>
    <row r="213" spans="1:97" ht="12.75" customHeight="1" x14ac:dyDescent="0.2">
      <c r="A213" s="4" t="s">
        <v>290</v>
      </c>
      <c r="B213" s="119">
        <f>B205+B206</f>
        <v>2658.1219999999998</v>
      </c>
      <c r="C213" s="24"/>
      <c r="D213" s="119">
        <f>D205+D206</f>
        <v>-224.16599999999994</v>
      </c>
      <c r="E213" s="24"/>
      <c r="F213" s="119">
        <f>F205+F206</f>
        <v>398.83400000000006</v>
      </c>
      <c r="G213" s="24"/>
      <c r="H213" s="119">
        <f>H205+H206</f>
        <v>470.846</v>
      </c>
      <c r="I213" s="24"/>
      <c r="J213" s="119">
        <f>J205+J206</f>
        <v>3844.8950000000004</v>
      </c>
      <c r="K213" s="23">
        <f t="shared" ref="K213:Y213" si="1290">IF(ISERROR((J213/B213-1)*100),"NA",IF(((J213/B213-1)*100)&gt;100,"NM",IF(((J213/B213-1)*100)&lt;-50,"NM",(J213/B213-1)*100)))</f>
        <v>44.647047802922543</v>
      </c>
      <c r="L213" s="119">
        <f>L205+L206</f>
        <v>-851.16899999999987</v>
      </c>
      <c r="M213" s="23" t="str">
        <f t="shared" si="1290"/>
        <v>NM</v>
      </c>
      <c r="N213" s="119">
        <f>N205+N206</f>
        <v>2191.7959999999994</v>
      </c>
      <c r="O213" s="23" t="str">
        <f t="shared" si="1290"/>
        <v>NM</v>
      </c>
      <c r="P213" s="119">
        <f>P205+P206</f>
        <v>720.28799999999978</v>
      </c>
      <c r="Q213" s="23">
        <f t="shared" si="1290"/>
        <v>52.977406625520814</v>
      </c>
      <c r="R213" s="119">
        <f>R205+R206</f>
        <v>546.79999999999973</v>
      </c>
      <c r="S213" s="23" t="str">
        <f t="shared" si="1290"/>
        <v>NM</v>
      </c>
      <c r="T213" s="119">
        <f>T205+T206</f>
        <v>-45.600000000000136</v>
      </c>
      <c r="U213" s="23" t="str">
        <f t="shared" si="1290"/>
        <v>NM</v>
      </c>
      <c r="V213" s="119">
        <f>V205+V206</f>
        <v>1118.5999999999997</v>
      </c>
      <c r="W213" s="23">
        <f t="shared" si="1290"/>
        <v>-48.964228422718172</v>
      </c>
      <c r="X213" s="119">
        <f>X205+X206</f>
        <v>-641.10000000000014</v>
      </c>
      <c r="Y213" s="215" t="str">
        <f t="shared" si="1290"/>
        <v>NM</v>
      </c>
      <c r="Z213" s="119">
        <f>Z205+Z206</f>
        <v>3538.8999999999996</v>
      </c>
      <c r="AA213" s="215" t="str">
        <f>IF(ISERROR((Z213/R213-1)*100),"NA",IF(((Z213/R213-1)*100)&gt;100,"NM",IF(((Z213/R213-1)*100)&lt;-50,"NM",(Z213/R213-1)*100)))</f>
        <v>NM</v>
      </c>
      <c r="AB213" s="119">
        <f>AB205+AB206</f>
        <v>-1262.9000000000001</v>
      </c>
      <c r="AC213" s="23" t="str">
        <f>IF(ISERROR((AB213/T213-1)*100),"NA",IF(((AB213/T213-1)*100)&gt;100,"NM",IF(((AB213/T213-1)*100)&lt;-50,"NM",(AB213/T213-1)*100)))</f>
        <v>NM</v>
      </c>
      <c r="AD213" s="119">
        <f>AD205+AD206</f>
        <v>591.39999999999964</v>
      </c>
      <c r="AE213" s="23">
        <f>IF(ISERROR((AD213/V213-1)*100),"NA",IF(((AD213/V213-1)*100)&gt;100,"NM",IF(((AD213/V213-1)*100)&lt;-50,"NM",(AD213/V213-1)*100)))</f>
        <v>-47.130341498301462</v>
      </c>
      <c r="AF213" s="119">
        <f>AF205+AF206</f>
        <v>-988</v>
      </c>
      <c r="AG213" s="23">
        <f>IF(ISERROR((AF213/X213-1)*100),"NA",IF(((AF213/X213-1)*100)&gt;100,"NM",IF(((AF213/X213-1)*100)&lt;-50,"NM",(AF213/X213-1)*100)))</f>
        <v>54.110123225705784</v>
      </c>
      <c r="AH213" s="119">
        <f>AH205+AH206</f>
        <v>-1074.2</v>
      </c>
      <c r="AI213" s="23" t="str">
        <f>IF(ISERROR((AH213/Z213-1)*100),"NA",IF(((AH213/Z213-1)*100)&gt;100,"NM",IF(((AH213/Z213-1)*100)&lt;-50,"NM",(AH213/Z213-1)*100)))</f>
        <v>NM</v>
      </c>
      <c r="AJ213" s="119">
        <f>AJ205+AJ206</f>
        <v>-1301</v>
      </c>
      <c r="AK213" s="23">
        <f>IF(ISERROR((AJ213/AB213-1)*100),"NA",IF(((AJ213/AB213-1)*100)&gt;100,"NM",IF(((AJ213/AB213-1)*100)&lt;-50,"NM",(AJ213/AB213-1)*100)))</f>
        <v>3.0168659434634426</v>
      </c>
      <c r="AL213" s="119">
        <f>AL205+AL206</f>
        <v>-777.5</v>
      </c>
      <c r="AM213" s="23" t="str">
        <f>IF(ISERROR((AL213/AD213-1)*100),"NA",IF(((AL213/AD213-1)*100)&gt;100,"NM",IF(((AL213/AD213-1)*100)&lt;-50,"NM",(AL213/AD213-1)*100)))</f>
        <v>NM</v>
      </c>
      <c r="AN213" s="458">
        <f t="shared" ref="AN213:AP213" si="1291">AN205+AN206</f>
        <v>-935.50000000000011</v>
      </c>
      <c r="AO213" s="23">
        <f>IF(ISERROR((AN213/AF213-1)*100),"NA",IF(((AN213/AF213-1)*100)&gt;100,"NM",IF(((AN213/AF213-1)*100)&lt;-50,"NM",(AN213/AF213-1)*100)))</f>
        <v>-5.3137651821862253</v>
      </c>
      <c r="AP213" s="458">
        <f t="shared" si="1291"/>
        <v>-704.69999999999982</v>
      </c>
      <c r="AQ213" s="23">
        <f t="shared" ref="AQ213" si="1292">IF(ISERROR((AP213/AH213-1)*100),"NA",IF(((AP213/AH213-1)*100)&gt;100,"NM",IF(((AP213/AH213-1)*100)&lt;-50,"NM",(AP213/AH213-1)*100)))</f>
        <v>-34.397691305157338</v>
      </c>
      <c r="AR213" s="458">
        <f t="shared" ref="AR213:AT213" si="1293">AR205+AR206</f>
        <v>-708.4</v>
      </c>
      <c r="AS213" s="23">
        <f t="shared" ref="AS213" si="1294">IF(ISERROR((AR213/AJ213-1)*100),"NA",IF(((AR213/AJ213-1)*100)&gt;100,"NM",IF(((AR213/AJ213-1)*100)&lt;-50,"NM",(AR213/AJ213-1)*100)))</f>
        <v>-45.549577248270566</v>
      </c>
      <c r="AT213" s="458">
        <f t="shared" si="1293"/>
        <v>-504.29999999999973</v>
      </c>
      <c r="AU213" s="23">
        <f t="shared" ref="AU213" si="1295">IF(ISERROR((AT213/AL213-1)*100),"NA",IF(((AT213/AL213-1)*100)&gt;100,"NM",IF(((AT213/AL213-1)*100)&lt;-50,"NM",(AT213/AL213-1)*100)))</f>
        <v>-35.138263665594891</v>
      </c>
      <c r="AV213" s="458">
        <f t="shared" ref="AV213:AX213" si="1296">AV205+AV206</f>
        <v>-953.89999999999986</v>
      </c>
      <c r="AW213" s="23">
        <f t="shared" ref="AW213" si="1297">IF(ISERROR((AV213/AN213-1)*100),"NA",IF(((AV213/AN213-1)*100)&gt;100,"NM",IF(((AV213/AN213-1)*100)&lt;-50,"NM",(AV213/AN213-1)*100)))</f>
        <v>1.9668626402992828</v>
      </c>
      <c r="AX213" s="458">
        <f t="shared" si="1296"/>
        <v>-1721.6999999999998</v>
      </c>
      <c r="AY213" s="23" t="str">
        <f t="shared" ref="AY213" si="1298">IF(ISERROR((AX213/AP213-1)*100),"NA",IF(((AX213/AP213-1)*100)&gt;100,"NM",IF(((AX213/AP213-1)*100)&lt;-50,"NM",(AX213/AP213-1)*100)))</f>
        <v>NM</v>
      </c>
      <c r="AZ213" s="458">
        <f t="shared" ref="AZ213" si="1299">AZ205+AZ206</f>
        <v>-1214.6000000000001</v>
      </c>
      <c r="BA213" s="23">
        <f t="shared" ref="BA213" si="1300">IF(ISERROR((AZ213/AR213-1)*100),"NA",IF(((AZ213/AR213-1)*100)&gt;100,"NM",IF(((AZ213/AR213-1)*100)&lt;-50,"NM",(AZ213/AR213-1)*100)))</f>
        <v>71.456804065499739</v>
      </c>
      <c r="BB213" s="458">
        <f t="shared" ref="BB213:BD213" si="1301">BB205+BB206</f>
        <v>283.59999999999991</v>
      </c>
      <c r="BC213" s="23" t="str">
        <f t="shared" ref="BC213" si="1302">IF(ISERROR((BB213/AT213-1)*100),"NA",IF(((BB213/AT213-1)*100)&gt;100,"NM",IF(((BB213/AT213-1)*100)&lt;-50,"NM",(BB213/AT213-1)*100)))</f>
        <v>NM</v>
      </c>
      <c r="BD213" s="458">
        <f t="shared" si="1301"/>
        <v>-1974</v>
      </c>
      <c r="BE213" s="23" t="str">
        <f t="shared" ref="BE213" si="1303">IF(ISERROR((BD213/AV213-1)*100),"NA",IF(((BD213/AV213-1)*100)&gt;100,"NM",IF(((BD213/AV213-1)*100)&lt;-50,"NM",(BD213/AV213-1)*100)))</f>
        <v>NM</v>
      </c>
      <c r="BF213" s="119">
        <f t="shared" ref="BF213" si="1304">BF205+BF206</f>
        <v>-1346.9029681499994</v>
      </c>
      <c r="BG213" s="23">
        <f t="shared" ref="BG213" si="1305">IF(ISERROR((BF213/AX213-1)*100),"NA",IF(((BF213/AX213-1)*100)&gt;100,"NM",IF(((BF213/AX213-1)*100)&lt;-50,"NM",(BF213/AX213-1)*100)))</f>
        <v>-21.769009226346082</v>
      </c>
      <c r="BH213" s="119">
        <f t="shared" ref="BH213" si="1306">BH205+BH206</f>
        <v>-1306.193316810853</v>
      </c>
      <c r="BI213" s="23">
        <f t="shared" ref="BI213" si="1307">IF(ISERROR((BH213/AZ213-1)*100),"NA",IF(((BH213/AZ213-1)*100)&gt;100,"NM",IF(((BH213/AZ213-1)*100)&lt;-50,"NM",(BH213/AZ213-1)*100)))</f>
        <v>7.5410272361973396</v>
      </c>
      <c r="BJ213" s="119">
        <f t="shared" ref="BJ213" si="1308">BJ205+BJ206</f>
        <v>-1292.1164169373342</v>
      </c>
      <c r="BK213" s="23" t="str">
        <f t="shared" ref="BK213" si="1309">IF(ISERROR((BJ213/BB213-1)*100),"NA",IF(((BJ213/BB213-1)*100)&gt;100,"NM",IF(((BJ213/BB213-1)*100)&lt;-50,"NM",(BJ213/BB213-1)*100)))</f>
        <v>NM</v>
      </c>
      <c r="BL213" s="119">
        <f t="shared" ref="BL213" si="1310">BL205+BL206</f>
        <v>-1278.2040760233372</v>
      </c>
      <c r="BM213" s="23">
        <f t="shared" ref="BM213" si="1311">IF(ISERROR((BL213/BD213-1)*100),"NA",IF(((BL213/BD213-1)*100)&gt;100,"NM",IF(((BL213/BD213-1)*100)&lt;-50,"NM",(BL213/BD213-1)*100)))</f>
        <v>-35.248020464876539</v>
      </c>
      <c r="BN213" s="5"/>
      <c r="BO213" s="136"/>
      <c r="BP213" s="5"/>
      <c r="BQ213" s="152"/>
      <c r="BR213" s="152"/>
      <c r="BS213" s="152"/>
      <c r="BT213" s="5"/>
      <c r="BU213" s="119">
        <f>BU205+BU206</f>
        <v>3303.6359999999995</v>
      </c>
      <c r="BV213" s="23" t="str">
        <f>IF(ISERROR((BU213/BS213-1)*100),"NA",IF(((BU213/BS213-1)*100)&gt;100,"NM",IF(((BU213/BS213-1)*100)&lt;-50,"NM",(BU213/BS213-1)*100)))</f>
        <v>NA</v>
      </c>
      <c r="BW213" s="119">
        <f>BW205+BW206</f>
        <v>5905.8099999999995</v>
      </c>
      <c r="BX213" s="23">
        <f>IF(ISERROR((BW213/BU213-1)*100),"NA",IF(((BW213/BU213-1)*100)&gt;100,"NM",IF(((BW213/BU213-1)*100)&lt;-50,"NM",(BW213/BU213-1)*100)))</f>
        <v>78.766970695318747</v>
      </c>
      <c r="BY213" s="119">
        <f>BY205+BY206</f>
        <v>978.699999999998</v>
      </c>
      <c r="BZ213" s="23" t="str">
        <f>IF(ISERROR((BY213/BW213-1)*100),"NA",IF(((BY213/BW213-1)*100)&gt;100,"NM",IF(((BY213/BW213-1)*100)&lt;-50,"NM",(BY213/BW213-1)*100)))</f>
        <v>NM</v>
      </c>
      <c r="CA213" s="119">
        <f>CA205+CA206</f>
        <v>1879.3999999999978</v>
      </c>
      <c r="CB213" s="23">
        <f>IF(ISERROR((CA213/BY213-1)*100),"NA",IF(((CA213/BY213-1)*100)&gt;100,"NM",IF(((CA213/BY213-1)*100)&lt;-50,"NM",(CA213/BY213-1)*100)))</f>
        <v>92.030244201491954</v>
      </c>
      <c r="CC213" s="119">
        <f>CC205+CC206</f>
        <v>-4088.2000000000007</v>
      </c>
      <c r="CD213" s="23" t="str">
        <f>IF(ISERROR((CC213/CA213-1)*100),"NA",IF(((CC213/CA213-1)*100)&gt;100,"NM",IF(((CC213/CA213-1)*100)&lt;-50,"NM",(CC213/CA213-1)*100)))</f>
        <v>NM</v>
      </c>
      <c r="CE213" s="119">
        <f>CE205+CE206</f>
        <v>-2871.3</v>
      </c>
      <c r="CF213" s="23">
        <f>IF(ISERROR((CE213/CC213-1)*100),"NA",IF(((CE213/CC213-1)*100)&gt;100,"NM",IF(((CE213/CC213-1)*100)&lt;-50,"NM",(CE213/CC213-1)*100)))</f>
        <v>-29.766156254586374</v>
      </c>
      <c r="CG213" s="119">
        <f>CG205+CG206</f>
        <v>-4626.7</v>
      </c>
      <c r="CH213" s="23">
        <f>IF(ISERROR((CG213/CE213-1)*100),"NA",IF(((CG213/CE213-1)*100)&gt;100,"NM",IF(((CG213/CE213-1)*100)&lt;-50,"NM",(CG213/CE213-1)*100)))</f>
        <v>61.136070769337913</v>
      </c>
      <c r="CI213" s="119">
        <f>CI205+CI206</f>
        <v>-5223.4167779215222</v>
      </c>
      <c r="CJ213" s="23">
        <f>IF(ISERROR((CI213/CG213-1)*100),"NA",IF(((CI213/CG213-1)*100)&gt;100,"NM",IF(((CI213/CG213-1)*100)&lt;-50,"NM",(CI213/CG213-1)*100)))</f>
        <v>12.897243778968214</v>
      </c>
      <c r="CK213" s="119">
        <f>CK205+CK206</f>
        <v>-4903.8718380230093</v>
      </c>
      <c r="CL213" s="23">
        <f>IF(ISERROR((CK213/CI213-1)*100),"NA",IF(((CK213/CI213-1)*100)&gt;100,"NM",IF(((CK213/CI213-1)*100)&lt;-50,"NM",(CK213/CI213-1)*100)))</f>
        <v>-6.1175463012864251</v>
      </c>
      <c r="CM213" s="119">
        <f>CM205+CM206</f>
        <v>-4605.0068619092426</v>
      </c>
      <c r="CN213" s="23">
        <f>IF(ISERROR((CM213/CK213-1)*100),"NA",IF(((CM213/CK213-1)*100)&gt;100,"NM",IF(((CM213/CK213-1)*100)&lt;-50,"NM",(CM213/CK213-1)*100)))</f>
        <v>-6.0944695535569693</v>
      </c>
      <c r="CO213" s="119">
        <f>CO205+CO206</f>
        <v>-4325.4835060524729</v>
      </c>
      <c r="CP213" s="23">
        <f>IF(ISERROR((CO213/CM213-1)*100),"NA",IF(((CO213/CM213-1)*100)&gt;100,"NM",IF(((CO213/CM213-1)*100)&lt;-50,"NM",(CO213/CM213-1)*100)))</f>
        <v>-6.069987824966649</v>
      </c>
      <c r="CQ213" s="119">
        <f>CQ205+CQ206</f>
        <v>-4064.0500403937613</v>
      </c>
      <c r="CR213" s="23">
        <f>IF(ISERROR((CQ213/CO213-1)*100),"NA",IF(((CQ213/CO213-1)*100)&gt;100,"NM",IF(((CQ213/CO213-1)*100)&lt;-50,"NM",(CQ213/CO213-1)*100)))</f>
        <v>-6.0440287263354158</v>
      </c>
      <c r="CS213" s="23">
        <f>IF(ISERROR(((CQ213/CG213)^0.2-1)*100),"NA",IF((((CQ213/CG213)^0.2-1)*100)&gt;100,"NM",IF((((CQ213/CG213)^0.2-1)*100)&lt;-50,"NM",((CQ213/CG213)^0.2-1)*100)))</f>
        <v>-2.5599403194166759</v>
      </c>
    </row>
    <row r="214" spans="1:97" ht="12.75" customHeight="1" x14ac:dyDescent="0.2">
      <c r="B214" s="119"/>
      <c r="C214" s="24"/>
      <c r="D214" s="119"/>
      <c r="E214" s="24"/>
      <c r="F214" s="119"/>
      <c r="G214" s="24"/>
      <c r="H214" s="119"/>
      <c r="I214" s="24"/>
      <c r="J214" s="119"/>
      <c r="L214" s="119"/>
      <c r="N214" s="119"/>
      <c r="P214" s="32"/>
      <c r="R214" s="32"/>
      <c r="T214" s="32"/>
      <c r="V214" s="32"/>
      <c r="X214" s="32"/>
      <c r="Y214" s="216"/>
      <c r="Z214" s="32"/>
      <c r="AA214" s="216"/>
      <c r="AB214" s="32"/>
      <c r="AD214" s="32"/>
      <c r="AF214" s="32"/>
      <c r="AH214" s="32"/>
      <c r="AJ214" s="32"/>
      <c r="AL214" s="32"/>
      <c r="AN214" s="484"/>
      <c r="AP214" s="484"/>
      <c r="AR214" s="411"/>
      <c r="AT214" s="411"/>
      <c r="AV214" s="411"/>
      <c r="AX214" s="411"/>
      <c r="AZ214" s="411"/>
      <c r="BB214" s="411"/>
      <c r="BD214" s="411"/>
      <c r="BF214" s="37"/>
      <c r="BH214" s="37"/>
      <c r="BJ214" s="37"/>
      <c r="BL214" s="37"/>
      <c r="BN214" s="5"/>
      <c r="BO214" s="136"/>
      <c r="BP214" s="5"/>
      <c r="BQ214" s="5"/>
      <c r="BR214" s="5"/>
      <c r="BS214" s="5"/>
      <c r="BT214" s="5"/>
      <c r="BU214" s="5"/>
      <c r="BW214" s="5"/>
    </row>
    <row r="215" spans="1:97" ht="12.75" customHeight="1" x14ac:dyDescent="0.2">
      <c r="A215" s="4" t="s">
        <v>141</v>
      </c>
      <c r="B215" s="35">
        <f t="shared" ref="B215:P215" si="1312">B205/B204*400</f>
        <v>45.302391130914408</v>
      </c>
      <c r="C215" s="59"/>
      <c r="D215" s="35">
        <f t="shared" si="1312"/>
        <v>8.1313788388916848</v>
      </c>
      <c r="E215" s="59"/>
      <c r="F215" s="35">
        <f t="shared" si="1312"/>
        <v>15.629152487344644</v>
      </c>
      <c r="G215" s="59"/>
      <c r="H215" s="35">
        <f t="shared" si="1312"/>
        <v>14.614934951239439</v>
      </c>
      <c r="I215" s="59"/>
      <c r="J215" s="35">
        <f t="shared" si="1312"/>
        <v>54.429079707517438</v>
      </c>
      <c r="K215" s="23">
        <f t="shared" ref="K215:Y218" si="1313">IF(ISERROR((J215/B215-1)*100),"NA",IF(((J215/B215-1)*100)&gt;100,"NM",IF(((J215/B215-1)*100)&lt;-50,"NM",(J215/B215-1)*100)))</f>
        <v>20.14615199941392</v>
      </c>
      <c r="L215" s="35">
        <f t="shared" si="1312"/>
        <v>11.526887118004446</v>
      </c>
      <c r="M215" s="23">
        <f t="shared" si="1313"/>
        <v>41.758087359948568</v>
      </c>
      <c r="N215" s="35">
        <f t="shared" si="1312"/>
        <v>32.759218452201416</v>
      </c>
      <c r="O215" s="23" t="str">
        <f t="shared" si="1313"/>
        <v>NM</v>
      </c>
      <c r="P215" s="35">
        <f t="shared" si="1312"/>
        <v>21.017349059200217</v>
      </c>
      <c r="Q215" s="23">
        <f t="shared" si="1313"/>
        <v>43.807339063235531</v>
      </c>
      <c r="R215" s="35">
        <f>R205/R204*400</f>
        <v>17.144614638368395</v>
      </c>
      <c r="S215" s="23" t="str">
        <f t="shared" si="1313"/>
        <v>NM</v>
      </c>
      <c r="T215" s="35">
        <f>T205/T204*400</f>
        <v>12.574781578013457</v>
      </c>
      <c r="U215" s="23">
        <f t="shared" si="1313"/>
        <v>9.0908711890849592</v>
      </c>
      <c r="V215" s="35">
        <f>V205/V204*400</f>
        <v>22.017329963965587</v>
      </c>
      <c r="W215" s="23">
        <f t="shared" si="1313"/>
        <v>-32.790429673739595</v>
      </c>
      <c r="X215" s="35">
        <f>X205/X204*400</f>
        <v>8.81200836063541</v>
      </c>
      <c r="Y215" s="215" t="str">
        <f t="shared" si="1313"/>
        <v>NM</v>
      </c>
      <c r="Z215" s="35">
        <f>Z205/Z204*400</f>
        <v>41.68778845599941</v>
      </c>
      <c r="AA215" s="215" t="str">
        <f>IF(ISERROR((Z215/R215-1)*100),"NA",IF(((Z215/R215-1)*100)&gt;100,"NM",IF(((Z215/R215-1)*100)&lt;-50,"NM",(Z215/R215-1)*100)))</f>
        <v>NM</v>
      </c>
      <c r="AB215" s="35">
        <f>AB205/AB204*400</f>
        <v>5.2237386120661711</v>
      </c>
      <c r="AC215" s="23" t="str">
        <f>IF(ISERROR((AB215/T215-1)*100),"NA",IF(((AB215/T215-1)*100)&gt;100,"NM",IF(((AB215/T215-1)*100)&lt;-50,"NM",(AB215/T215-1)*100)))</f>
        <v>NM</v>
      </c>
      <c r="AD215" s="35">
        <f>AD205/AD204*400</f>
        <v>19.054942744841785</v>
      </c>
      <c r="AE215" s="23">
        <f>IF(ISERROR((AD215/V215-1)*100),"NA",IF(((AD215/V215-1)*100)&gt;100,"NM",IF(((AD215/V215-1)*100)&lt;-50,"NM",(AD215/V215-1)*100)))</f>
        <v>-13.454797761454994</v>
      </c>
      <c r="AF215" s="35">
        <f>AF205/AF204*400</f>
        <v>11.597277629166003</v>
      </c>
      <c r="AG215" s="23">
        <f>IF(ISERROR((AF215/X215-1)*100),"NA",IF(((AF215/X215-1)*100)&gt;100,"NM",IF(((AF215/X215-1)*100)&lt;-50,"NM",(AF215/X215-1)*100)))</f>
        <v>31.607655764068699</v>
      </c>
      <c r="AH215" s="35">
        <f>AH205/AH204*400</f>
        <v>6.5417924073584039</v>
      </c>
      <c r="AI215" s="23" t="str">
        <f>IF(ISERROR((AH215/Z215-1)*100),"NA",IF(((AH215/Z215-1)*100)&gt;100,"NM",IF(((AH215/Z215-1)*100)&lt;-50,"NM",(AH215/Z215-1)*100)))</f>
        <v>NM</v>
      </c>
      <c r="AJ215" s="35">
        <f>AJ205/AJ204*400</f>
        <v>6.6224762634577523</v>
      </c>
      <c r="AK215" s="23">
        <f>IF(ISERROR((AJ215/AB215-1)*100),"NA",IF(((AJ215/AB215-1)*100)&gt;100,"NM",IF(((AJ215/AB215-1)*100)&lt;-50,"NM",(AJ215/AB215-1)*100)))</f>
        <v>26.776562827256999</v>
      </c>
      <c r="AL215" s="35">
        <f>AL205/AL204*400</f>
        <v>15.837348762440973</v>
      </c>
      <c r="AM215" s="23">
        <f>IF(ISERROR((AL215/AD215-1)*100),"NA",IF(((AL215/AD215-1)*100)&gt;100,"NM",IF(((AL215/AD215-1)*100)&lt;-50,"NM",(AL215/AD215-1)*100)))</f>
        <v>-16.88587588788123</v>
      </c>
      <c r="AN215" s="409">
        <f t="shared" ref="AN215:AP215" si="1314">AN205/AN204*400</f>
        <v>6.4454143568632505</v>
      </c>
      <c r="AO215" s="23">
        <f>IF(ISERROR((AN215/AF215-1)*100),"NA",IF(((AN215/AF215-1)*100)&gt;100,"NM",IF(((AN215/AF215-1)*100)&lt;-50,"NM",(AN215/AF215-1)*100)))</f>
        <v>-44.423039932633223</v>
      </c>
      <c r="AP215" s="409">
        <f t="shared" si="1314"/>
        <v>7.9619995941799191</v>
      </c>
      <c r="AQ215" s="23">
        <f t="shared" ref="AQ215:AQ218" si="1315">IF(ISERROR((AP215/AH215-1)*100),"NA",IF(((AP215/AH215-1)*100)&gt;100,"NM",IF(((AP215/AH215-1)*100)&lt;-50,"NM",(AP215/AH215-1)*100)))</f>
        <v>21.709756262274894</v>
      </c>
      <c r="AR215" s="409">
        <f t="shared" ref="AR215:AT215" si="1316">AR205/AR204*400</f>
        <v>5.8954385418703907</v>
      </c>
      <c r="AS215" s="23">
        <f t="shared" ref="AS215:AS218" si="1317">IF(ISERROR((AR215/AJ215-1)*100),"NA",IF(((AR215/AJ215-1)*100)&gt;100,"NM",IF(((AR215/AJ215-1)*100)&lt;-50,"NM",(AR215/AJ215-1)*100)))</f>
        <v>-10.978336390559718</v>
      </c>
      <c r="AT215" s="409">
        <f t="shared" si="1316"/>
        <v>9.1994057418242399</v>
      </c>
      <c r="AU215" s="23">
        <f t="shared" ref="AU215:AU218" si="1318">IF(ISERROR((AT215/AL215-1)*100),"NA",IF(((AT215/AL215-1)*100)&gt;100,"NM",IF(((AT215/AL215-1)*100)&lt;-50,"NM",(AT215/AL215-1)*100)))</f>
        <v>-41.913221210098818</v>
      </c>
      <c r="AV215" s="409">
        <f t="shared" ref="AV215:AX215" si="1319">AV205/AV204*400</f>
        <v>9.0374832816585293</v>
      </c>
      <c r="AW215" s="23">
        <f t="shared" ref="AW215:AW218" si="1320">IF(ISERROR((AV215/AN215-1)*100),"NA",IF(((AV215/AN215-1)*100)&gt;100,"NM",IF(((AV215/AN215-1)*100)&lt;-50,"NM",(AV215/AN215-1)*100)))</f>
        <v>40.215706567184071</v>
      </c>
      <c r="AX215" s="409">
        <f t="shared" si="1319"/>
        <v>8.3311646807867259</v>
      </c>
      <c r="AY215" s="23">
        <f t="shared" ref="AY215:AY218" si="1321">IF(ISERROR((AX215/AP215-1)*100),"NA",IF(((AX215/AP215-1)*100)&gt;100,"NM",IF(((AX215/AP215-1)*100)&lt;-50,"NM",(AX215/AP215-1)*100)))</f>
        <v>4.6365876089300428</v>
      </c>
      <c r="AZ215" s="409">
        <f t="shared" ref="AZ215" si="1322">AZ205/AZ204*400</f>
        <v>6.3891917161826903</v>
      </c>
      <c r="BA215" s="23">
        <f t="shared" ref="BA215:BA218" si="1323">IF(ISERROR((AZ215/AR215-1)*100),"NA",IF(((AZ215/AR215-1)*100)&gt;100,"NM",IF(((AZ215/AR215-1)*100)&lt;-50,"NM",(AZ215/AR215-1)*100)))</f>
        <v>8.375172954574662</v>
      </c>
      <c r="BB215" s="409">
        <f t="shared" ref="BB215:BD215" si="1324">BB205/BB204*400</f>
        <v>16.80548704503623</v>
      </c>
      <c r="BC215" s="23">
        <f t="shared" ref="BC215:BC218" si="1325">IF(ISERROR((BB215/AT215-1)*100),"NA",IF(((BB215/AT215-1)*100)&gt;100,"NM",IF(((BB215/AT215-1)*100)&lt;-50,"NM",(BB215/AT215-1)*100)))</f>
        <v>82.680137355303842</v>
      </c>
      <c r="BD215" s="409">
        <f t="shared" si="1324"/>
        <v>6.3948027796665583</v>
      </c>
      <c r="BE215" s="23">
        <f t="shared" ref="BE215:BE218" si="1326">IF(ISERROR((BD215/AV215-1)*100),"NA",IF(((BD215/AV215-1)*100)&gt;100,"NM",IF(((BD215/AV215-1)*100)&lt;-50,"NM",(BD215/AV215-1)*100)))</f>
        <v>-29.241332123460317</v>
      </c>
      <c r="BF215" s="114">
        <v>7.45</v>
      </c>
      <c r="BG215" s="23">
        <f t="shared" ref="BG215:BG218" si="1327">IF(ISERROR((BF215/AX215-1)*100),"NA",IF(((BF215/AX215-1)*100)&gt;100,"NM",IF(((BF215/AX215-1)*100)&lt;-50,"NM",(BF215/AX215-1)*100)))</f>
        <v>-10.576728639380539</v>
      </c>
      <c r="BH215" s="114">
        <f t="shared" ref="BH215:BJ216" si="1328">BF215</f>
        <v>7.45</v>
      </c>
      <c r="BI215" s="23">
        <f t="shared" ref="BI215:BI218" si="1329">IF(ISERROR((BH215/AZ215-1)*100),"NA",IF(((BH215/AZ215-1)*100)&gt;100,"NM",IF(((BH215/AZ215-1)*100)&lt;-50,"NM",(BH215/AZ215-1)*100)))</f>
        <v>16.603168772201183</v>
      </c>
      <c r="BJ215" s="114">
        <f t="shared" si="1328"/>
        <v>7.45</v>
      </c>
      <c r="BK215" s="23" t="str">
        <f t="shared" ref="BK215:BK218" si="1330">IF(ISERROR((BJ215/BB215-1)*100),"NA",IF(((BJ215/BB215-1)*100)&gt;100,"NM",IF(((BJ215/BB215-1)*100)&lt;-50,"NM",(BJ215/BB215-1)*100)))</f>
        <v>NM</v>
      </c>
      <c r="BL215" s="114">
        <f t="shared" ref="BL215:BL216" si="1331">BJ215</f>
        <v>7.45</v>
      </c>
      <c r="BM215" s="23">
        <f t="shared" ref="BM215:BM218" si="1332">IF(ISERROR((BL215/BD215-1)*100),"NA",IF(((BL215/BD215-1)*100)&gt;100,"NM",IF(((BL215/BD215-1)*100)&lt;-50,"NM",(BL215/BD215-1)*100)))</f>
        <v>16.500856346792013</v>
      </c>
      <c r="BN215" s="5"/>
      <c r="BO215" s="138"/>
      <c r="BP215" s="5"/>
      <c r="BQ215" s="152"/>
      <c r="BR215" s="152"/>
      <c r="BS215" s="152"/>
      <c r="BT215" s="5"/>
      <c r="BU215" s="35">
        <f>BU205/BU204*100</f>
        <v>21.747529293102076</v>
      </c>
      <c r="BV215" s="23" t="str">
        <f>IF(ISERROR((BU215/BS215-1)*100),"NA",IF(((BU215/BS215-1)*100)&gt;100,"NM",IF(((BU215/BS215-1)*100)&lt;-50,"NM",(BU215/BS215-1)*100)))</f>
        <v>NA</v>
      </c>
      <c r="BW215" s="35">
        <f>BW205/BW204*100</f>
        <v>32.607905386112556</v>
      </c>
      <c r="BX215" s="23">
        <f>IF(ISERROR((BW215/BU215-1)*100),"NA",IF(((BW215/BU215-1)*100)&gt;100,"NM",IF(((BW215/BU215-1)*100)&lt;-50,"NM",(BW215/BU215-1)*100)))</f>
        <v>49.938436438640402</v>
      </c>
      <c r="BY215" s="35">
        <f>BY205/BY204*100</f>
        <v>15.769318795458792</v>
      </c>
      <c r="BZ215" s="23" t="str">
        <f>IF(ISERROR((BY215/BW215-1)*100),"NA",IF(((BY215/BW215-1)*100)&gt;100,"NM",IF(((BY215/BW215-1)*100)&lt;-50,"NM",(BY215/BW215-1)*100)))</f>
        <v>NM</v>
      </c>
      <c r="CA215" s="35">
        <f>CA205/CA204*100</f>
        <v>20.18160365525646</v>
      </c>
      <c r="CB215" s="23">
        <f>IF(ISERROR((CA215/BY215-1)*100),"NA",IF(((CA215/BY215-1)*100)&gt;100,"NM",IF(((CA215/BY215-1)*100)&lt;-50,"NM",(CA215/BY215-1)*100)))</f>
        <v>27.980186823721944</v>
      </c>
      <c r="CC215" s="35">
        <f>CC205/CC204*100</f>
        <v>8.6179000405689941</v>
      </c>
      <c r="CD215" s="23" t="str">
        <f>IF(ISERROR((CC215/CA215-1)*100),"NA",IF(((CC215/CA215-1)*100)&gt;100,"NM",IF(((CC215/CA215-1)*100)&lt;-50,"NM",(CC215/CA215-1)*100)))</f>
        <v>NM</v>
      </c>
      <c r="CE215" s="35">
        <f>CE205/CE204*100</f>
        <v>8.0524293143277781</v>
      </c>
      <c r="CF215" s="23">
        <f>IF(ISERROR((CE215/CC215-1)*100),"NA",IF(((CE215/CC215-1)*100)&gt;100,"NM",IF(((CE215/CC215-1)*100)&lt;-50,"NM",(CE215/CC215-1)*100)))</f>
        <v>-6.5615837220117097</v>
      </c>
      <c r="CG215" s="35">
        <f>CG205/CG204*100</f>
        <v>9.6117978644143758</v>
      </c>
      <c r="CH215" s="23">
        <f>IF(ISERROR((CG215/CE215-1)*100),"NA",IF(((CG215/CE215-1)*100)&gt;100,"NM",IF(((CG215/CE215-1)*100)&lt;-50,"NM",(CG215/CE215-1)*100)))</f>
        <v>19.365193896356161</v>
      </c>
      <c r="CI215" s="35">
        <f>CI205/CI204*100</f>
        <v>7.2229457210405652</v>
      </c>
      <c r="CJ215" s="23">
        <f>IF(ISERROR((CI215/CG215-1)*100),"NA",IF(((CI215/CG215-1)*100)&gt;100,"NM",IF(((CI215/CG215-1)*100)&lt;-50,"NM",(CI215/CG215-1)*100)))</f>
        <v>-24.853333133627629</v>
      </c>
      <c r="CK215" s="47">
        <f>CI215</f>
        <v>7.2229457210405652</v>
      </c>
      <c r="CL215" s="23">
        <f>IF(ISERROR((CK215/CI215-1)*100),"NA",IF(((CK215/CI215-1)*100)&gt;100,"NM",IF(((CK215/CI215-1)*100)&lt;-50,"NM",(CK215/CI215-1)*100)))</f>
        <v>0</v>
      </c>
      <c r="CM215" s="47">
        <f>CK215</f>
        <v>7.2229457210405652</v>
      </c>
      <c r="CN215" s="23">
        <f>IF(ISERROR((CM215/CK215-1)*100),"NA",IF(((CM215/CK215-1)*100)&gt;100,"NM",IF(((CM215/CK215-1)*100)&lt;-50,"NM",(CM215/CK215-1)*100)))</f>
        <v>0</v>
      </c>
      <c r="CO215" s="47">
        <f>CM215</f>
        <v>7.2229457210405652</v>
      </c>
      <c r="CP215" s="23">
        <f>IF(ISERROR((CO215/CM215-1)*100),"NA",IF(((CO215/CM215-1)*100)&gt;100,"NM",IF(((CO215/CM215-1)*100)&lt;-50,"NM",(CO215/CM215-1)*100)))</f>
        <v>0</v>
      </c>
      <c r="CQ215" s="47">
        <f>CO215</f>
        <v>7.2229457210405652</v>
      </c>
      <c r="CR215" s="23">
        <f>IF(ISERROR((CQ215/CO215-1)*100),"NA",IF(((CQ215/CO215-1)*100)&gt;100,"NM",IF(((CQ215/CO215-1)*100)&lt;-50,"NM",(CQ215/CO215-1)*100)))</f>
        <v>0</v>
      </c>
      <c r="CS215" s="23">
        <f>IF(ISERROR(((CQ215/CG215)^0.2-1)*100),"NA",IF((((CQ215/CG215)^0.2-1)*100)&gt;100,"NM",IF((((CQ215/CG215)^0.2-1)*100)&lt;-50,"NM",((CQ215/CG215)^0.2-1)*100)))</f>
        <v>-5.5543533579321629</v>
      </c>
    </row>
    <row r="216" spans="1:97" ht="12.75" customHeight="1" x14ac:dyDescent="0.2">
      <c r="A216" s="4" t="s">
        <v>142</v>
      </c>
      <c r="B216" s="35">
        <f t="shared" ref="B216:P216" si="1333">B206/B204*400</f>
        <v>-13.944836181253331</v>
      </c>
      <c r="C216" s="59"/>
      <c r="D216" s="35">
        <f t="shared" si="1333"/>
        <v>-10.49831646880857</v>
      </c>
      <c r="E216" s="59"/>
      <c r="F216" s="35">
        <f t="shared" si="1333"/>
        <v>-11.401660182741312</v>
      </c>
      <c r="G216" s="59"/>
      <c r="H216" s="35">
        <f t="shared" si="1333"/>
        <v>-9.2772188000982005</v>
      </c>
      <c r="I216" s="59"/>
      <c r="J216" s="35">
        <f t="shared" si="1333"/>
        <v>-13.798066539724314</v>
      </c>
      <c r="K216" s="23">
        <f t="shared" si="1313"/>
        <v>-1.0525017262398961</v>
      </c>
      <c r="L216" s="35">
        <f t="shared" si="1333"/>
        <v>-19.255994555647998</v>
      </c>
      <c r="M216" s="23">
        <f t="shared" si="1313"/>
        <v>83.419833197629998</v>
      </c>
      <c r="N216" s="35">
        <f t="shared" si="1333"/>
        <v>-12.161518011379462</v>
      </c>
      <c r="O216" s="23">
        <f t="shared" si="1313"/>
        <v>6.6644490053154426</v>
      </c>
      <c r="P216" s="35">
        <f t="shared" si="1333"/>
        <v>-14.80488011667182</v>
      </c>
      <c r="Q216" s="23">
        <f t="shared" si="1313"/>
        <v>59.583172884907157</v>
      </c>
      <c r="R216" s="35">
        <f>R206/R204*400</f>
        <v>-12.519028570247887</v>
      </c>
      <c r="S216" s="23">
        <f t="shared" si="1313"/>
        <v>-9.2696898206289013</v>
      </c>
      <c r="T216" s="35">
        <f>T206/T204*400</f>
        <v>-12.942093114723097</v>
      </c>
      <c r="U216" s="23">
        <f t="shared" si="1313"/>
        <v>-32.789277243916558</v>
      </c>
      <c r="V216" s="35">
        <f>V206/V204*400</f>
        <v>-12.960705231417267</v>
      </c>
      <c r="W216" s="23">
        <f t="shared" si="1313"/>
        <v>6.571442966988239</v>
      </c>
      <c r="X216" s="35">
        <f>X206/X204*400</f>
        <v>-13.727503496808179</v>
      </c>
      <c r="Y216" s="215">
        <f t="shared" si="1313"/>
        <v>-7.2771721984455917</v>
      </c>
      <c r="Z216" s="35">
        <f>Z206/Z204*400</f>
        <v>-15.442228945060926</v>
      </c>
      <c r="AA216" s="215">
        <f>IF(ISERROR((Z216/R216-1)*100),"NA",IF(((Z216/R216-1)*100)&gt;100,"NM",IF(((Z216/R216-1)*100)&lt;-50,"NM",(Z216/R216-1)*100)))</f>
        <v>23.350057541686375</v>
      </c>
      <c r="AB216" s="35">
        <f>AB206/AB204*400</f>
        <v>-13.935028052417902</v>
      </c>
      <c r="AC216" s="23">
        <f>IF(ISERROR((AB216/T216-1)*100),"NA",IF(((AB216/T216-1)*100)&gt;100,"NM",IF(((AB216/T216-1)*100)&lt;-50,"NM",(AB216/T216-1)*100)))</f>
        <v>7.6721356344224612</v>
      </c>
      <c r="AD216" s="35">
        <f>AD206/AD204*400</f>
        <v>-15.026957921844527</v>
      </c>
      <c r="AE216" s="23">
        <f>IF(ISERROR((AD216/V216-1)*100),"NA",IF(((AD216/V216-1)*100)&gt;100,"NM",IF(((AD216/V216-1)*100)&lt;-50,"NM",(AD216/V216-1)*100)))</f>
        <v>15.942440272606317</v>
      </c>
      <c r="AF216" s="35">
        <f>AF206/AF204*400</f>
        <v>-18.302240059744747</v>
      </c>
      <c r="AG216" s="23">
        <f>IF(ISERROR((AF216/X216-1)*100),"NA",IF(((AF216/X216-1)*100)&gt;100,"NM",IF(((AF216/X216-1)*100)&lt;-50,"NM",(AF216/X216-1)*100)))</f>
        <v>33.325335258521349</v>
      </c>
      <c r="AH216" s="35">
        <f>AH206/AH204*400</f>
        <v>-13.829900065504427</v>
      </c>
      <c r="AI216" s="23">
        <f>IF(ISERROR((AH216/Z216-1)*100),"NA",IF(((AH216/Z216-1)*100)&gt;100,"NM",IF(((AH216/Z216-1)*100)&lt;-50,"NM",(AH216/Z216-1)*100)))</f>
        <v>-10.441037270543696</v>
      </c>
      <c r="AJ216" s="35">
        <f>AJ206/AJ204*400</f>
        <v>-15.442050036370574</v>
      </c>
      <c r="AK216" s="23">
        <f>IF(ISERROR((AJ216/AB216-1)*100),"NA",IF(((AJ216/AB216-1)*100)&gt;100,"NM",IF(((AJ216/AB216-1)*100)&lt;-50,"NM",(AJ216/AB216-1)*100)))</f>
        <v>10.814631863558999</v>
      </c>
      <c r="AL216" s="35">
        <f>AL206/AL204*400</f>
        <v>-21.256324541518499</v>
      </c>
      <c r="AM216" s="23">
        <f>IF(ISERROR((AL216/AD216-1)*100),"NA",IF(((AL216/AD216-1)*100)&gt;100,"NM",IF(((AL216/AD216-1)*100)&lt;-50,"NM",(AL216/AD216-1)*100)))</f>
        <v>41.454608790901105</v>
      </c>
      <c r="AN216" s="409">
        <f t="shared" ref="AN216:AP216" si="1334">AN206/AN204*400</f>
        <v>-13.396861360374402</v>
      </c>
      <c r="AO216" s="23">
        <f>IF(ISERROR((AN216/AF216-1)*100),"NA",IF(((AN216/AF216-1)*100)&gt;100,"NM",IF(((AN216/AF216-1)*100)&lt;-50,"NM",(AN216/AF216-1)*100)))</f>
        <v>-26.802067306283373</v>
      </c>
      <c r="AP216" s="409">
        <f t="shared" si="1334"/>
        <v>-13.143291600845897</v>
      </c>
      <c r="AQ216" s="23">
        <f t="shared" si="1315"/>
        <v>-4.964666855193844</v>
      </c>
      <c r="AR216" s="409">
        <f t="shared" ref="AR216:AT216" si="1335">AR206/AR204*400</f>
        <v>-11.123037319015195</v>
      </c>
      <c r="AS216" s="23">
        <f t="shared" si="1317"/>
        <v>-27.969166705086646</v>
      </c>
      <c r="AT216" s="409">
        <f t="shared" si="1335"/>
        <v>-12.915868383498486</v>
      </c>
      <c r="AU216" s="23">
        <f t="shared" si="1318"/>
        <v>-39.237527361464494</v>
      </c>
      <c r="AV216" s="409">
        <f t="shared" ref="AV216:AX216" si="1336">AV206/AV204*400</f>
        <v>-15.930307541972008</v>
      </c>
      <c r="AW216" s="23">
        <f t="shared" si="1320"/>
        <v>18.910744191853034</v>
      </c>
      <c r="AX216" s="409">
        <f t="shared" si="1336"/>
        <v>-21.0247631152208</v>
      </c>
      <c r="AY216" s="23">
        <f t="shared" si="1321"/>
        <v>59.965735781648903</v>
      </c>
      <c r="AZ216" s="409">
        <f t="shared" ref="AZ216" si="1337">AZ206/AZ204*400</f>
        <v>-15.281494063467548</v>
      </c>
      <c r="BA216" s="23">
        <f t="shared" si="1323"/>
        <v>37.38598213046842</v>
      </c>
      <c r="BB216" s="409">
        <f t="shared" ref="BB216:BD216" si="1338">BB206/BB204*400</f>
        <v>-14.740569525876628</v>
      </c>
      <c r="BC216" s="23">
        <f t="shared" si="1325"/>
        <v>14.127591643078441</v>
      </c>
      <c r="BD216" s="409">
        <f t="shared" si="1338"/>
        <v>-20.358675221106591</v>
      </c>
      <c r="BE216" s="23">
        <f t="shared" si="1326"/>
        <v>27.798381590983379</v>
      </c>
      <c r="BF216" s="47">
        <v>-16.989999999999998</v>
      </c>
      <c r="BG216" s="23">
        <f t="shared" si="1327"/>
        <v>-19.19052829803276</v>
      </c>
      <c r="BH216" s="47">
        <f t="shared" si="1328"/>
        <v>-16.989999999999998</v>
      </c>
      <c r="BI216" s="23">
        <f t="shared" si="1329"/>
        <v>11.180228382359946</v>
      </c>
      <c r="BJ216" s="47">
        <f t="shared" si="1328"/>
        <v>-16.989999999999998</v>
      </c>
      <c r="BK216" s="23">
        <f t="shared" si="1330"/>
        <v>15.260132725364262</v>
      </c>
      <c r="BL216" s="47">
        <f t="shared" si="1331"/>
        <v>-16.989999999999998</v>
      </c>
      <c r="BM216" s="23">
        <f t="shared" si="1332"/>
        <v>-16.546632747567791</v>
      </c>
      <c r="BN216" s="5"/>
      <c r="BO216" s="138"/>
      <c r="BP216" s="5"/>
      <c r="BQ216" s="152"/>
      <c r="BR216" s="152"/>
      <c r="BS216" s="152"/>
      <c r="BT216" s="5"/>
      <c r="BU216" s="35">
        <f>BU206/BU204*100</f>
        <v>-12.004388435528632</v>
      </c>
      <c r="BV216" s="23" t="str">
        <f>IF(ISERROR((BU216/BS216-1)*100),"NA",IF(((BU216/BS216-1)*100)&gt;100,"NM",IF(((BU216/BS216-1)*100)&lt;-50,"NM",(BU216/BS216-1)*100)))</f>
        <v>NA</v>
      </c>
      <c r="BW216" s="35">
        <f>BW206/BW204*100</f>
        <v>-17.00547692974909</v>
      </c>
      <c r="BX216" s="23">
        <f>IF(ISERROR((BW216/BU216-1)*100),"NA",IF(((BW216/BU216-1)*100)&gt;100,"NM",IF(((BW216/BU216-1)*100)&lt;-50,"NM",(BW216/BU216-1)*100)))</f>
        <v>41.660502082880392</v>
      </c>
      <c r="BY216" s="35">
        <f>BY206/BY204*100</f>
        <v>-13.699523005863742</v>
      </c>
      <c r="BZ216" s="23">
        <f>IF(ISERROR((BY216/BW216-1)*100),"NA",IF(((BY216/BW216-1)*100)&gt;100,"NM",IF(((BY216/BW216-1)*100)&lt;-50,"NM",(BY216/BW216-1)*100)))</f>
        <v>-19.440524588298778</v>
      </c>
      <c r="CA216" s="35">
        <f>CA206/CA204*100</f>
        <v>-16.697055569846356</v>
      </c>
      <c r="CB216" s="23">
        <f>IF(ISERROR((CA216/BY216-1)*100),"NA",IF(((CA216/BY216-1)*100)&gt;100,"NM",IF(((CA216/BY216-1)*100)&lt;-50,"NM",(CA216/BY216-1)*100)))</f>
        <v>21.880561554585466</v>
      </c>
      <c r="CC216" s="35">
        <f>CC206/CC204*100</f>
        <v>-15.552181835926843</v>
      </c>
      <c r="CD216" s="23">
        <f>IF(ISERROR((CC216/CA216-1)*100),"NA",IF(((CC216/CA216-1)*100)&gt;100,"NM",IF(((CC216/CA216-1)*100)&lt;-50,"NM",(CC216/CA216-1)*100)))</f>
        <v>-6.8567402745371986</v>
      </c>
      <c r="CE216" s="35">
        <f>CE206/CE204*100</f>
        <v>-13.330218825428345</v>
      </c>
      <c r="CF216" s="23">
        <f>IF(ISERROR((CE216/CC216-1)*100),"NA",IF(((CE216/CC216-1)*100)&gt;100,"NM",IF(((CE216/CC216-1)*100)&lt;-50,"NM",(CE216/CC216-1)*100)))</f>
        <v>-14.287146549210084</v>
      </c>
      <c r="CG216" s="35">
        <f>CG206/CG204*100</f>
        <v>-18.139623510515086</v>
      </c>
      <c r="CH216" s="23">
        <f>IF(ISERROR((CG216/CE216-1)*100),"NA",IF(((CG216/CE216-1)*100)&gt;100,"NM",IF(((CG216/CE216-1)*100)&lt;-50,"NM",(CG216/CE216-1)*100)))</f>
        <v>36.078962754253197</v>
      </c>
      <c r="CI216" s="35">
        <f>CI206/CI204*100</f>
        <v>-16.472194335634789</v>
      </c>
      <c r="CJ216" s="23">
        <f>IF(ISERROR((CI216/CG216-1)*100),"NA",IF(((CI216/CG216-1)*100)&gt;100,"NM",IF(((CI216/CG216-1)*100)&lt;-50,"NM",(CI216/CG216-1)*100)))</f>
        <v>-9.1921928474079433</v>
      </c>
      <c r="CK216" s="47">
        <f>CI216</f>
        <v>-16.472194335634789</v>
      </c>
      <c r="CL216" s="23">
        <f>IF(ISERROR((CK216/CI216-1)*100),"NA",IF(((CK216/CI216-1)*100)&gt;100,"NM",IF(((CK216/CI216-1)*100)&lt;-50,"NM",(CK216/CI216-1)*100)))</f>
        <v>0</v>
      </c>
      <c r="CM216" s="47">
        <f>CK216</f>
        <v>-16.472194335634789</v>
      </c>
      <c r="CN216" s="23">
        <f>IF(ISERROR((CM216/CK216-1)*100),"NA",IF(((CM216/CK216-1)*100)&gt;100,"NM",IF(((CM216/CK216-1)*100)&lt;-50,"NM",(CM216/CK216-1)*100)))</f>
        <v>0</v>
      </c>
      <c r="CO216" s="47">
        <f>CM216</f>
        <v>-16.472194335634789</v>
      </c>
      <c r="CP216" s="23">
        <f>IF(ISERROR((CO216/CM216-1)*100),"NA",IF(((CO216/CM216-1)*100)&gt;100,"NM",IF(((CO216/CM216-1)*100)&lt;-50,"NM",(CO216/CM216-1)*100)))</f>
        <v>0</v>
      </c>
      <c r="CQ216" s="47">
        <f>CO216</f>
        <v>-16.472194335634789</v>
      </c>
      <c r="CR216" s="23">
        <f>IF(ISERROR((CQ216/CO216-1)*100),"NA",IF(((CQ216/CO216-1)*100)&gt;100,"NM",IF(((CQ216/CO216-1)*100)&lt;-50,"NM",(CQ216/CO216-1)*100)))</f>
        <v>0</v>
      </c>
      <c r="CS216" s="23">
        <f>IF(ISERROR(((CQ216/CG216)^0.2-1)*100),"NA",IF((((CQ216/CG216)^0.2-1)*100)&gt;100,"NM",IF((((CQ216/CG216)^0.2-1)*100)&lt;-50,"NM",((CQ216/CG216)^0.2-1)*100)))</f>
        <v>-1.9100218772259758</v>
      </c>
    </row>
    <row r="217" spans="1:97" ht="12.75" customHeight="1" x14ac:dyDescent="0.2">
      <c r="A217" s="4" t="s">
        <v>106</v>
      </c>
      <c r="B217" s="35">
        <f>B208/B204*400</f>
        <v>16.320480737149488</v>
      </c>
      <c r="C217" s="59"/>
      <c r="D217" s="35">
        <f>D208/D204*400</f>
        <v>1.4863708598244159</v>
      </c>
      <c r="E217" s="59"/>
      <c r="F217" s="35">
        <f>F208/F204*400</f>
        <v>-35.542992875645091</v>
      </c>
      <c r="G217" s="59"/>
      <c r="H217" s="35">
        <f>H208/H204*400</f>
        <v>24.101140972735482</v>
      </c>
      <c r="I217" s="59"/>
      <c r="J217" s="35">
        <f>J208/J204*400</f>
        <v>27.366627632881652</v>
      </c>
      <c r="K217" s="23">
        <f t="shared" si="1313"/>
        <v>67.682729900157753</v>
      </c>
      <c r="L217" s="35">
        <f>L208/L204*400</f>
        <v>-6.8242912937178266</v>
      </c>
      <c r="M217" s="23" t="str">
        <f t="shared" si="1313"/>
        <v>NM</v>
      </c>
      <c r="N217" s="35">
        <f>N208/N204*400</f>
        <v>17.494469550097829</v>
      </c>
      <c r="O217" s="23" t="str">
        <f t="shared" si="1313"/>
        <v>NM</v>
      </c>
      <c r="P217" s="35">
        <f>P208/P204*400</f>
        <v>1.9855478125284896</v>
      </c>
      <c r="Q217" s="23" t="str">
        <f t="shared" si="1313"/>
        <v>NM</v>
      </c>
      <c r="R217" s="35">
        <f>R208/R204*400</f>
        <v>17.859431797761559</v>
      </c>
      <c r="S217" s="23">
        <f t="shared" si="1313"/>
        <v>-34.740107413516206</v>
      </c>
      <c r="T217" s="35">
        <f>T208/T204*400</f>
        <v>8.3772806617987305E-2</v>
      </c>
      <c r="U217" s="23" t="str">
        <f t="shared" si="1313"/>
        <v>NM</v>
      </c>
      <c r="V217" s="35">
        <f>V208/V204*400</f>
        <v>16.909315889439629</v>
      </c>
      <c r="W217" s="23">
        <f t="shared" si="1313"/>
        <v>-3.3447922441005251</v>
      </c>
      <c r="X217" s="35">
        <f>X208/X204*400</f>
        <v>19.101502156835465</v>
      </c>
      <c r="Y217" s="215" t="str">
        <f t="shared" si="1313"/>
        <v>NM</v>
      </c>
      <c r="Z217" s="35">
        <f>Z208/Z204*400</f>
        <v>4.7449515315771684</v>
      </c>
      <c r="AA217" s="215" t="str">
        <f>IF(ISERROR((Z217/R217-1)*100),"NA",IF(((Z217/R217-1)*100)&gt;100,"NM",IF(((Z217/R217-1)*100)&lt;-50,"NM",(Z217/R217-1)*100)))</f>
        <v>NM</v>
      </c>
      <c r="AB217" s="35">
        <f>AB208/AB204*400</f>
        <v>13.214892952589953</v>
      </c>
      <c r="AC217" s="23" t="str">
        <f>IF(ISERROR((AB217/T217-1)*100),"NA",IF(((AB217/T217-1)*100)&gt;100,"NM",IF(((AB217/T217-1)*100)&lt;-50,"NM",(AB217/T217-1)*100)))</f>
        <v>NM</v>
      </c>
      <c r="AD217" s="35">
        <f>AD208/AD204*400</f>
        <v>-1.9983272693057081</v>
      </c>
      <c r="AE217" s="23" t="str">
        <f>IF(ISERROR((AD217/V217-1)*100),"NA",IF(((AD217/V217-1)*100)&gt;100,"NM",IF(((AD217/V217-1)*100)&lt;-50,"NM",(AD217/V217-1)*100)))</f>
        <v>NM</v>
      </c>
      <c r="AF217" s="35">
        <f>AF208/AF204*400</f>
        <v>8.822318987603607</v>
      </c>
      <c r="AG217" s="23" t="str">
        <f>IF(ISERROR((AF217/X217-1)*100),"NA",IF(((AF217/X217-1)*100)&gt;100,"NM",IF(((AF217/X217-1)*100)&lt;-50,"NM",(AF217/X217-1)*100)))</f>
        <v>NM</v>
      </c>
      <c r="AH217" s="35">
        <f>AH208/AH204*400</f>
        <v>8.9768155301554682</v>
      </c>
      <c r="AI217" s="23">
        <f>IF(ISERROR((AH217/Z217-1)*100),"NA",IF(((AH217/Z217-1)*100)&gt;100,"NM",IF(((AH217/Z217-1)*100)&lt;-50,"NM",(AH217/Z217-1)*100)))</f>
        <v>89.186664403538728</v>
      </c>
      <c r="AJ217" s="35">
        <f>AJ208/AJ204*400</f>
        <v>-2.0120288207536707</v>
      </c>
      <c r="AK217" s="23" t="str">
        <f>IF(ISERROR((AJ217/AB217-1)*100),"NA",IF(((AJ217/AB217-1)*100)&gt;100,"NM",IF(((AJ217/AB217-1)*100)&lt;-50,"NM",(AJ217/AB217-1)*100)))</f>
        <v>NM</v>
      </c>
      <c r="AL217" s="35">
        <f>AL208/AL204*400</f>
        <v>-16.34892795496096</v>
      </c>
      <c r="AM217" s="23" t="str">
        <f>IF(ISERROR((AL217/AD217-1)*100),"NA",IF(((AL217/AD217-1)*100)&gt;100,"NM",IF(((AL217/AD217-1)*100)&lt;-50,"NM",(AL217/AD217-1)*100)))</f>
        <v>NM</v>
      </c>
      <c r="AN217" s="409">
        <f t="shared" ref="AN217:AP217" si="1339">AN208/AN204*400</f>
        <v>11.624632487752907</v>
      </c>
      <c r="AO217" s="23">
        <f>IF(ISERROR((AN217/AF217-1)*100),"NA",IF(((AN217/AF217-1)*100)&gt;100,"NM",IF(((AN217/AF217-1)*100)&lt;-50,"NM",(AN217/AF217-1)*100)))</f>
        <v>31.763910419549312</v>
      </c>
      <c r="AP217" s="409">
        <f t="shared" si="1339"/>
        <v>3.0152516701202186</v>
      </c>
      <c r="AQ217" s="23" t="str">
        <f t="shared" si="1315"/>
        <v>NM</v>
      </c>
      <c r="AR217" s="409">
        <f t="shared" ref="AR217:AT217" si="1340">AR208/AR204*400</f>
        <v>7.4775915314523296</v>
      </c>
      <c r="AS217" s="23" t="str">
        <f t="shared" si="1317"/>
        <v>NM</v>
      </c>
      <c r="AT217" s="409">
        <f t="shared" si="1340"/>
        <v>10.79270184162589</v>
      </c>
      <c r="AU217" s="23" t="str">
        <f t="shared" si="1318"/>
        <v>NM</v>
      </c>
      <c r="AV217" s="409">
        <f t="shared" ref="AV217:AX217" si="1341">AV208/AV204*400</f>
        <v>1.5037181345751498</v>
      </c>
      <c r="AW217" s="23" t="str">
        <f t="shared" si="1320"/>
        <v>NM</v>
      </c>
      <c r="AX217" s="409">
        <f t="shared" si="1341"/>
        <v>15.978141678053975</v>
      </c>
      <c r="AY217" s="23" t="str">
        <f t="shared" si="1321"/>
        <v>NM</v>
      </c>
      <c r="AZ217" s="409">
        <f t="shared" ref="AZ217" si="1342">AZ208/AZ204*400</f>
        <v>9.3315730049804699</v>
      </c>
      <c r="BA217" s="23">
        <f t="shared" si="1323"/>
        <v>24.793831887311612</v>
      </c>
      <c r="BB217" s="409">
        <f t="shared" ref="BB217:BD217" si="1343">BB208/BB204*400</f>
        <v>10.674808091819079</v>
      </c>
      <c r="BC217" s="23">
        <f t="shared" si="1325"/>
        <v>-1.0923469538657304</v>
      </c>
      <c r="BD217" s="409">
        <f t="shared" si="1343"/>
        <v>13.73043384439468</v>
      </c>
      <c r="BE217" s="23" t="str">
        <f t="shared" si="1326"/>
        <v>NM</v>
      </c>
      <c r="BF217" s="35">
        <f t="shared" ref="BF217" si="1344">BF208/BF204*400</f>
        <v>-2.9039999999999999</v>
      </c>
      <c r="BG217" s="23" t="str">
        <f t="shared" si="1327"/>
        <v>NM</v>
      </c>
      <c r="BH217" s="35">
        <f t="shared" ref="BH217" si="1345">BH208/BH204*400</f>
        <v>4.8639999999999999</v>
      </c>
      <c r="BI217" s="23">
        <f t="shared" si="1329"/>
        <v>-47.875883332810297</v>
      </c>
      <c r="BJ217" s="35">
        <f t="shared" ref="BJ217" si="1346">BJ208/BJ204*400</f>
        <v>4.8639999999999999</v>
      </c>
      <c r="BK217" s="23" t="str">
        <f t="shared" si="1330"/>
        <v>NM</v>
      </c>
      <c r="BL217" s="35">
        <f t="shared" ref="BL217" si="1347">BL208/BL204*400</f>
        <v>4.88</v>
      </c>
      <c r="BM217" s="23" t="str">
        <f t="shared" si="1332"/>
        <v>NM</v>
      </c>
      <c r="BN217" s="5"/>
      <c r="BO217" s="138"/>
      <c r="BP217" s="5"/>
      <c r="BQ217" s="152"/>
      <c r="BR217" s="152"/>
      <c r="BS217" s="152"/>
      <c r="BT217" s="5"/>
      <c r="BU217" s="35">
        <f>BU208/BU204*100</f>
        <v>0.87587628622744984</v>
      </c>
      <c r="BV217" s="23" t="str">
        <f>IF(ISERROR((BU217/BS217-1)*100),"NA",IF(((BU217/BS217-1)*100)&gt;100,"NM",IF(((BU217/BS217-1)*100)&lt;-50,"NM",(BU217/BS217-1)*100)))</f>
        <v>NA</v>
      </c>
      <c r="BW217" s="35">
        <f>BW208/BW204*100</f>
        <v>10.382466237329821</v>
      </c>
      <c r="BX217" s="23" t="str">
        <f>IF(ISERROR((BW217/BU217-1)*100),"NA",IF(((BW217/BU217-1)*100)&gt;100,"NM",IF(((BW217/BU217-1)*100)&lt;-50,"NM",(BW217/BU217-1)*100)))</f>
        <v>NM</v>
      </c>
      <c r="BY217" s="35">
        <f>BY208/BY204*100</f>
        <v>14.172401659744862</v>
      </c>
      <c r="BZ217" s="23">
        <f>IF(ISERROR((BY217/BW217-1)*100),"NA",IF(((BY217/BW217-1)*100)&gt;100,"NM",IF(((BY217/BW217-1)*100)&lt;-50,"NM",(BY217/BW217-1)*100)))</f>
        <v>36.50322896103868</v>
      </c>
      <c r="CA217" s="35">
        <f>CA208/CA204*100</f>
        <v>6.6045850749430004</v>
      </c>
      <c r="CB217" s="23" t="str">
        <f>IF(ISERROR((CA217/BY217-1)*100),"NA",IF(((CA217/BY217-1)*100)&gt;100,"NM",IF(((CA217/BY217-1)*100)&lt;-50,"NM",(CA217/BY217-1)*100)))</f>
        <v>NM</v>
      </c>
      <c r="CC217" s="35">
        <f>CC208/CC204*100</f>
        <v>0.4155616261099444</v>
      </c>
      <c r="CD217" s="23" t="str">
        <f>IF(ISERROR((CC217/CA217-1)*100),"NA",IF(((CC217/CA217-1)*100)&gt;100,"NM",IF(((CC217/CA217-1)*100)&lt;-50,"NM",(CC217/CA217-1)*100)))</f>
        <v>NM</v>
      </c>
      <c r="CE217" s="35">
        <f>CE208/CE204*100</f>
        <v>5.6908147272550229</v>
      </c>
      <c r="CF217" s="23" t="str">
        <f>IF(ISERROR((CE217/CC217-1)*100),"NA",IF(((CE217/CC217-1)*100)&gt;100,"NM",IF(((CE217/CC217-1)*100)&lt;-50,"NM",(CE217/CC217-1)*100)))</f>
        <v>NM</v>
      </c>
      <c r="CG217" s="35">
        <f>CG208/CG204*100</f>
        <v>12.623732912784307</v>
      </c>
      <c r="CH217" s="23" t="str">
        <f>IF(ISERROR((CG217/CE217-1)*100),"NA",IF(((CG217/CE217-1)*100)&gt;100,"NM",IF(((CG217/CE217-1)*100)&lt;-50,"NM",(CG217/CE217-1)*100)))</f>
        <v>NM</v>
      </c>
      <c r="CI217" s="35">
        <f>CI208/CI204*100</f>
        <v>2.7775567795380316</v>
      </c>
      <c r="CJ217" s="23" t="str">
        <f>IF(ISERROR((CI217/CG217-1)*100),"NA",IF(((CI217/CG217-1)*100)&gt;100,"NM",IF(((CI217/CG217-1)*100)&lt;-50,"NM",(CI217/CG217-1)*100)))</f>
        <v>NM</v>
      </c>
      <c r="CK217" s="35">
        <f>CK208/CK204*100</f>
        <v>2.777556779538032</v>
      </c>
      <c r="CL217" s="23">
        <f>IF(ISERROR((CK217/CI217-1)*100),"NA",IF(((CK217/CI217-1)*100)&gt;100,"NM",IF(((CK217/CI217-1)*100)&lt;-50,"NM",(CK217/CI217-1)*100)))</f>
        <v>2.2204460492503131E-14</v>
      </c>
      <c r="CM217" s="35">
        <f>CM208/CM204*100</f>
        <v>2.7775567795380316</v>
      </c>
      <c r="CN217" s="23">
        <f>IF(ISERROR((CM217/CK217-1)*100),"NA",IF(((CM217/CK217-1)*100)&gt;100,"NM",IF(((CM217/CK217-1)*100)&lt;-50,"NM",(CM217/CK217-1)*100)))</f>
        <v>-1.1102230246251565E-14</v>
      </c>
      <c r="CO217" s="35">
        <f>CO208/CO204*100</f>
        <v>2.7775567795380316</v>
      </c>
      <c r="CP217" s="23">
        <f>IF(ISERROR((CO217/CM217-1)*100),"NA",IF(((CO217/CM217-1)*100)&gt;100,"NM",IF(((CO217/CM217-1)*100)&lt;-50,"NM",(CO217/CM217-1)*100)))</f>
        <v>0</v>
      </c>
      <c r="CQ217" s="35">
        <f>CQ208/CQ204*100</f>
        <v>2.7775567795380316</v>
      </c>
      <c r="CR217" s="23">
        <f>IF(ISERROR((CQ217/CO217-1)*100),"NA",IF(((CQ217/CO217-1)*100)&gt;100,"NM",IF(((CQ217/CO217-1)*100)&lt;-50,"NM",(CQ217/CO217-1)*100)))</f>
        <v>0</v>
      </c>
      <c r="CS217" s="23">
        <f>IF(ISERROR(((CQ217/CG217)^0.2-1)*100),"NA",IF((((CQ217/CG217)^0.2-1)*100)&gt;100,"NM",IF((((CQ217/CG217)^0.2-1)*100)&lt;-50,"NM",((CQ217/CG217)^0.2-1)*100)))</f>
        <v>-26.125419172520768</v>
      </c>
    </row>
    <row r="218" spans="1:97" ht="12.75" customHeight="1" x14ac:dyDescent="0.2">
      <c r="A218" s="4" t="s">
        <v>107</v>
      </c>
      <c r="B218" s="115">
        <f>(B217/4)/B$24*100</f>
        <v>75.250358418465311</v>
      </c>
      <c r="C218" s="59"/>
      <c r="D218" s="115">
        <f>(D217/4)/D$24*100</f>
        <v>-42.065390212033563</v>
      </c>
      <c r="E218" s="59"/>
      <c r="F218" s="115">
        <f>(F217/4)/F$24*100</f>
        <v>57.16192228777367</v>
      </c>
      <c r="G218" s="59"/>
      <c r="H218" s="115">
        <f>(H217/4)/H$24*100</f>
        <v>54.027053673707961</v>
      </c>
      <c r="I218" s="59"/>
      <c r="J218" s="115">
        <f>(J217/4)/J$24*100</f>
        <v>57.029637042809014</v>
      </c>
      <c r="K218" s="23">
        <f t="shared" si="1313"/>
        <v>-24.213467893842221</v>
      </c>
      <c r="L218" s="115">
        <f>(L217/4)/L$24*100</f>
        <v>51.888412645555746</v>
      </c>
      <c r="M218" s="23" t="str">
        <f t="shared" si="1313"/>
        <v>NM</v>
      </c>
      <c r="N218" s="115">
        <f>(N217/4)/N$24*100</f>
        <v>75.88290231295764</v>
      </c>
      <c r="O218" s="23">
        <f t="shared" si="1313"/>
        <v>32.750788069959967</v>
      </c>
      <c r="P218" s="115">
        <f>(P217/4)/P$24*100</f>
        <v>-35.456210938008745</v>
      </c>
      <c r="Q218" s="23" t="str">
        <f t="shared" si="1313"/>
        <v>NM</v>
      </c>
      <c r="R218" s="115">
        <f>(R217/4)/R$24*100</f>
        <v>44.648579494403897</v>
      </c>
      <c r="S218" s="23">
        <f t="shared" si="1313"/>
        <v>-21.709865589906062</v>
      </c>
      <c r="T218" s="115">
        <f>(T217/4)/T$24*100</f>
        <v>0.87263340227070119</v>
      </c>
      <c r="U218" s="23" t="str">
        <f t="shared" si="1313"/>
        <v>NM</v>
      </c>
      <c r="V218" s="115">
        <f>(V217/4)/V$24*100</f>
        <v>103.10558469170505</v>
      </c>
      <c r="W218" s="23">
        <f t="shared" si="1313"/>
        <v>35.874593022911959</v>
      </c>
      <c r="X218" s="115">
        <f>(X217/4)/X$24*100</f>
        <v>50.267110939040691</v>
      </c>
      <c r="Y218" s="23" t="str">
        <f t="shared" si="1313"/>
        <v>NM</v>
      </c>
      <c r="Z218" s="115">
        <f>(Z217/4)/Z$24*100</f>
        <v>91.434300859162107</v>
      </c>
      <c r="AA218" s="23" t="str">
        <f>IF(ISERROR((Z218/R218-1)*100),"NA",IF(((Z218/R218-1)*100)&gt;100,"NM",IF(((Z218/R218-1)*100)&lt;-50,"NM",(Z218/R218-1)*100)))</f>
        <v>NM</v>
      </c>
      <c r="AB218" s="115">
        <f>(AB217/4)/AB$24*100</f>
        <v>83.378649491598225</v>
      </c>
      <c r="AC218" s="23" t="str">
        <f>IF(ISERROR((AB218/T218-1)*100),"NA",IF(((AB218/T218-1)*100)&gt;100,"NM",IF(((AB218/T218-1)*100)&lt;-50,"NM",(AB218/T218-1)*100)))</f>
        <v>NM</v>
      </c>
      <c r="AD218" s="115">
        <f>(AD217/4)/AD$24*100</f>
        <v>-83.263636221071181</v>
      </c>
      <c r="AE218" s="23" t="str">
        <f>IF(ISERROR((AD218/V218-1)*100),"NA",IF(((AD218/V218-1)*100)&gt;100,"NM",IF(((AD218/V218-1)*100)&lt;-50,"NM",(AD218/V218-1)*100)))</f>
        <v>NM</v>
      </c>
      <c r="AF218" s="115">
        <f>(AF217/4)/AF$24*100</f>
        <v>50.126812429565945</v>
      </c>
      <c r="AG218" s="23">
        <f>IF(ISERROR((AF218/X218-1)*100),"NA",IF(((AF218/X218-1)*100)&gt;100,"NM",IF(((AF218/X218-1)*100)&lt;-50,"NM",(AF218/X218-1)*100)))</f>
        <v>-0.2791059737745516</v>
      </c>
      <c r="AH218" s="115">
        <f>(AH217/4)/AH$24*100</f>
        <v>561.05097063471669</v>
      </c>
      <c r="AI218" s="23" t="str">
        <f>IF(ISERROR((AH218/Z218-1)*100),"NA",IF(((AH218/Z218-1)*100)&gt;100,"NM",IF(((AH218/Z218-1)*100)&lt;-50,"NM",(AH218/Z218-1)*100)))</f>
        <v>NM</v>
      </c>
      <c r="AJ218" s="115">
        <f>(AJ217/4)/AJ$24*100</f>
        <v>-125.75180129710442</v>
      </c>
      <c r="AK218" s="23" t="str">
        <f>IF(ISERROR((AJ218/AB218-1)*100),"NA",IF(((AJ218/AB218-1)*100)&gt;100,"NM",IF(((AJ218/AB218-1)*100)&lt;-50,"NM",(AJ218/AB218-1)*100)))</f>
        <v>NM</v>
      </c>
      <c r="AL218" s="115">
        <f>(AL217/4)/AL$24*100</f>
        <v>53.948069689527998</v>
      </c>
      <c r="AM218" s="23" t="str">
        <f>IF(ISERROR((AL218/AD218-1)*100),"NA",IF(((AL218/AD218-1)*100)&gt;100,"NM",IF(((AL218/AD218-1)*100)&lt;-50,"NM",(AL218/AD218-1)*100)))</f>
        <v>NM</v>
      </c>
      <c r="AN218" s="457">
        <f t="shared" ref="AN218:AP218" si="1348">(AN217/4)/AN$24*100</f>
        <v>46.544456985395257</v>
      </c>
      <c r="AO218" s="23">
        <f>IF(ISERROR((AN218/AF218-1)*100),"NA",IF(((AN218/AF218-1)*100)&gt;100,"NM",IF(((AN218/AF218-1)*100)&lt;-50,"NM",(AN218/AF218-1)*100)))</f>
        <v>-7.1465853712607714</v>
      </c>
      <c r="AP218" s="457">
        <f t="shared" si="1348"/>
        <v>97.515719914961224</v>
      </c>
      <c r="AQ218" s="23" t="str">
        <f t="shared" si="1315"/>
        <v>NM</v>
      </c>
      <c r="AR218" s="457">
        <f t="shared" ref="AR218:AT218" si="1349">(AR217/4)/AR$24*100</f>
        <v>148.57497362975485</v>
      </c>
      <c r="AS218" s="23" t="str">
        <f t="shared" si="1317"/>
        <v>NM</v>
      </c>
      <c r="AT218" s="457">
        <f t="shared" si="1349"/>
        <v>86.866893108395587</v>
      </c>
      <c r="AU218" s="23">
        <f t="shared" si="1318"/>
        <v>61.019464845203821</v>
      </c>
      <c r="AV218" s="457">
        <f t="shared" ref="AV218:AX218" si="1350">(AV217/4)/AV$24*100</f>
        <v>11.552090412682366</v>
      </c>
      <c r="AW218" s="23" t="str">
        <f t="shared" si="1320"/>
        <v>NM</v>
      </c>
      <c r="AX218" s="457">
        <f t="shared" si="1350"/>
        <v>72.185633346133955</v>
      </c>
      <c r="AY218" s="23">
        <f t="shared" si="1321"/>
        <v>-25.97538795890183</v>
      </c>
      <c r="AZ218" s="457">
        <f t="shared" ref="AZ218" si="1351">(AZ217/4)/AZ$24*100</f>
        <v>90.82177529381849</v>
      </c>
      <c r="BA218" s="23">
        <f t="shared" si="1323"/>
        <v>-38.871417524095207</v>
      </c>
      <c r="BB218" s="457">
        <f t="shared" ref="BB218:BD218" si="1352">(BB217/4)/BB$24*100</f>
        <v>74.130611748743604</v>
      </c>
      <c r="BC218" s="23">
        <f t="shared" si="1325"/>
        <v>-14.661835946819469</v>
      </c>
      <c r="BD218" s="457">
        <f t="shared" si="1352"/>
        <v>53.634507204666718</v>
      </c>
      <c r="BE218" s="23" t="str">
        <f t="shared" si="1326"/>
        <v>NM</v>
      </c>
      <c r="BF218" s="47">
        <v>60.5</v>
      </c>
      <c r="BG218" s="23">
        <f t="shared" si="1327"/>
        <v>-16.188308953529184</v>
      </c>
      <c r="BH218" s="47">
        <v>60.8</v>
      </c>
      <c r="BI218" s="23">
        <f t="shared" si="1329"/>
        <v>-33.055701891638577</v>
      </c>
      <c r="BJ218" s="47">
        <v>60.8</v>
      </c>
      <c r="BK218" s="23">
        <f t="shared" si="1330"/>
        <v>-17.982600486187859</v>
      </c>
      <c r="BL218" s="47">
        <v>61</v>
      </c>
      <c r="BM218" s="23">
        <f t="shared" si="1332"/>
        <v>13.732750013395133</v>
      </c>
      <c r="BN218" s="5"/>
      <c r="BO218" s="138"/>
      <c r="BP218" s="5"/>
      <c r="BQ218" s="5"/>
      <c r="BR218" s="5"/>
      <c r="BS218" s="5"/>
      <c r="BT218" s="5"/>
      <c r="BU218" s="35"/>
      <c r="BV218" s="23"/>
      <c r="BW218" s="35"/>
      <c r="BX218" s="23"/>
      <c r="BY218" s="35"/>
      <c r="BZ218" s="23"/>
      <c r="CA218" s="35"/>
      <c r="CB218" s="23"/>
      <c r="CC218" s="35"/>
      <c r="CD218" s="23"/>
      <c r="CE218" s="35"/>
      <c r="CF218" s="23"/>
      <c r="CG218" s="35"/>
      <c r="CH218" s="23"/>
      <c r="CI218" s="37">
        <f>CI208/CI204*100/CI24*100</f>
        <v>34.719459744225396</v>
      </c>
      <c r="CJ218" s="23"/>
      <c r="CK218" s="47">
        <f>CI218</f>
        <v>34.719459744225396</v>
      </c>
      <c r="CL218" s="23"/>
      <c r="CM218" s="47">
        <f>CK218</f>
        <v>34.719459744225396</v>
      </c>
      <c r="CN218" s="23"/>
      <c r="CO218" s="47">
        <f>CM218</f>
        <v>34.719459744225396</v>
      </c>
      <c r="CP218" s="23"/>
      <c r="CQ218" s="47">
        <f>CO218</f>
        <v>34.719459744225396</v>
      </c>
      <c r="CR218" s="23"/>
      <c r="CS218" s="23" t="str">
        <f>IF(ISERROR(((CQ218/CG218)^0.2-1)*100),"NA",IF((((CQ218/CG218)^0.2-1)*100)&gt;100,"NM",IF((((CQ218/CG218)^0.2-1)*100)&lt;-50,"NM",((CQ218/CG218)^0.2-1)*100)))</f>
        <v>NA</v>
      </c>
    </row>
    <row r="219" spans="1:97" ht="12.75" customHeight="1" x14ac:dyDescent="0.2">
      <c r="J219" s="5"/>
      <c r="L219" s="5"/>
      <c r="N219" s="5"/>
      <c r="P219" s="5"/>
      <c r="R219" s="5"/>
      <c r="T219" s="5"/>
      <c r="V219" s="5"/>
      <c r="X219" s="5"/>
      <c r="Z219" s="5"/>
      <c r="AB219" s="5"/>
      <c r="AD219" s="5"/>
      <c r="AF219" s="5"/>
      <c r="AH219" s="5"/>
      <c r="AJ219" s="5"/>
      <c r="AL219" s="5"/>
      <c r="AN219" s="475"/>
      <c r="AP219" s="475"/>
      <c r="AR219" s="475"/>
      <c r="AT219" s="475"/>
      <c r="AV219" s="475"/>
      <c r="AX219" s="475"/>
      <c r="AZ219" s="475"/>
      <c r="BB219" s="475"/>
      <c r="BD219" s="475"/>
      <c r="BF219" s="5"/>
      <c r="BH219" s="5"/>
      <c r="BJ219" s="5"/>
      <c r="BL219" s="5"/>
      <c r="BN219" s="5"/>
      <c r="BO219" s="136"/>
      <c r="BP219" s="5"/>
      <c r="BQ219" s="5"/>
      <c r="BR219" s="5"/>
      <c r="BS219" s="5"/>
      <c r="BT219" s="5"/>
      <c r="BU219" s="5"/>
      <c r="BW219" s="5"/>
    </row>
    <row r="220" spans="1:97" ht="12.75" customHeight="1" x14ac:dyDescent="0.2">
      <c r="A220" s="3" t="s">
        <v>204</v>
      </c>
      <c r="J220" s="5"/>
      <c r="L220" s="5"/>
      <c r="N220" s="5"/>
      <c r="P220" s="5"/>
      <c r="R220" s="5"/>
      <c r="T220" s="5"/>
      <c r="V220" s="5"/>
      <c r="X220" s="5"/>
      <c r="Z220" s="5"/>
      <c r="AB220" s="5"/>
      <c r="AD220" s="5"/>
      <c r="AF220" s="5"/>
      <c r="AH220" s="5"/>
      <c r="AJ220" s="5"/>
      <c r="AL220" s="5"/>
      <c r="AN220" s="475"/>
      <c r="AP220" s="475"/>
      <c r="AR220" s="475"/>
      <c r="AT220" s="475"/>
      <c r="AV220" s="475"/>
      <c r="AX220" s="475"/>
      <c r="AZ220" s="475"/>
      <c r="BB220" s="475"/>
      <c r="BD220" s="475"/>
      <c r="BF220" s="5"/>
      <c r="BH220" s="5"/>
      <c r="BJ220" s="5"/>
      <c r="BL220" s="5"/>
      <c r="BN220" s="5"/>
      <c r="BO220" s="136"/>
      <c r="BP220" s="5"/>
      <c r="BQ220" s="5"/>
      <c r="BR220" s="5"/>
      <c r="BS220" s="5"/>
      <c r="BT220" s="5"/>
      <c r="BU220" s="5"/>
      <c r="BW220" s="5"/>
    </row>
    <row r="221" spans="1:97" ht="12.75" customHeight="1" x14ac:dyDescent="0.2">
      <c r="A221" s="12" t="s">
        <v>176</v>
      </c>
      <c r="B221" s="56">
        <f t="shared" ref="B221:N221" si="1353">B193</f>
        <v>49432.822999999997</v>
      </c>
      <c r="C221" s="59"/>
      <c r="D221" s="56">
        <f t="shared" si="1353"/>
        <v>51968.115999999987</v>
      </c>
      <c r="E221" s="59"/>
      <c r="F221" s="56">
        <f t="shared" si="1353"/>
        <v>48352.192999999992</v>
      </c>
      <c r="G221" s="59"/>
      <c r="H221" s="56">
        <f t="shared" si="1353"/>
        <v>49391.673999999992</v>
      </c>
      <c r="I221" s="59"/>
      <c r="J221" s="56">
        <f t="shared" si="1353"/>
        <v>49754.923999999992</v>
      </c>
      <c r="K221" s="23">
        <f t="shared" ref="K221:Y228" si="1354">IF(ISERROR((J221/B221-1)*100),"NA",IF(((J221/B221-1)*100)&gt;100,"NM",IF(((J221/B221-1)*100)&lt;-50,"NM",(J221/B221-1)*100)))</f>
        <v>0.65159337551892182</v>
      </c>
      <c r="L221" s="56">
        <f t="shared" si="1353"/>
        <v>48879.87799999999</v>
      </c>
      <c r="M221" s="23">
        <f t="shared" si="1354"/>
        <v>-5.9425629360895016</v>
      </c>
      <c r="N221" s="56">
        <f t="shared" si="1353"/>
        <v>50761.520999999986</v>
      </c>
      <c r="O221" s="23">
        <f t="shared" si="1354"/>
        <v>4.9828722349780419</v>
      </c>
      <c r="P221" s="36">
        <f>P193</f>
        <v>54062.005999999987</v>
      </c>
      <c r="Q221" s="23">
        <f t="shared" si="1354"/>
        <v>9.4557070489248662</v>
      </c>
      <c r="R221" s="36">
        <f>R193</f>
        <v>58002.205999999984</v>
      </c>
      <c r="S221" s="23">
        <f t="shared" si="1354"/>
        <v>16.575810667502957</v>
      </c>
      <c r="T221" s="36">
        <f>T193</f>
        <v>60644.005999999979</v>
      </c>
      <c r="U221" s="23">
        <f t="shared" si="1354"/>
        <v>24.067425045537117</v>
      </c>
      <c r="V221" s="36">
        <f>V193</f>
        <v>63275.505999999987</v>
      </c>
      <c r="W221" s="23">
        <f t="shared" si="1354"/>
        <v>24.652502039881764</v>
      </c>
      <c r="X221" s="36">
        <f>X193</f>
        <v>66362.405999999988</v>
      </c>
      <c r="Y221" s="23">
        <f t="shared" si="1354"/>
        <v>22.752392872732095</v>
      </c>
      <c r="Z221" s="36">
        <f>Z193</f>
        <v>69104.606</v>
      </c>
      <c r="AA221" s="23">
        <f t="shared" ref="AA221:AA228" si="1355">IF(ISERROR((Z221/R221-1)*100),"NA",IF(((Z221/R221-1)*100)&gt;100,"NM",IF(((Z221/R221-1)*100)&lt;-50,"NM",(Z221/R221-1)*100)))</f>
        <v>19.141340934515515</v>
      </c>
      <c r="AB221" s="36">
        <f>AB193</f>
        <v>70518.405999999988</v>
      </c>
      <c r="AC221" s="23">
        <f t="shared" ref="AC221:AC228" si="1356">IF(ISERROR((AB221/T221-1)*100),"NA",IF(((AB221/T221-1)*100)&gt;100,"NM",IF(((AB221/T221-1)*100)&lt;-50,"NM",(AB221/T221-1)*100)))</f>
        <v>16.282565502021761</v>
      </c>
      <c r="AD221" s="36">
        <f>AD193</f>
        <v>69232.405999999974</v>
      </c>
      <c r="AE221" s="23">
        <f t="shared" ref="AE221:AE228" si="1357">IF(ISERROR((AD221/V221-1)*100),"NA",IF(((AD221/V221-1)*100)&gt;100,"NM",IF(((AD221/V221-1)*100)&lt;-50,"NM",(AD221/V221-1)*100)))</f>
        <v>9.4142273631126585</v>
      </c>
      <c r="AF221" s="36">
        <f>AF193</f>
        <v>69644.505999999979</v>
      </c>
      <c r="AG221" s="23">
        <f t="shared" ref="AG221:AG228" si="1358">IF(ISERROR((AF221/X221-1)*100),"NA",IF(((AF221/X221-1)*100)&gt;100,"NM",IF(((AF221/X221-1)*100)&lt;-50,"NM",(AF221/X221-1)*100)))</f>
        <v>4.9457218293140093</v>
      </c>
      <c r="AH221" s="36">
        <f>AH193</f>
        <v>71188.705999999976</v>
      </c>
      <c r="AI221" s="23">
        <f t="shared" ref="AI221:AI228" si="1359">IF(ISERROR((AH221/Z221-1)*100),"NA",IF(((AH221/Z221-1)*100)&gt;100,"NM",IF(((AH221/Z221-1)*100)&lt;-50,"NM",(AH221/Z221-1)*100)))</f>
        <v>3.0158626474188654</v>
      </c>
      <c r="AJ221" s="36">
        <f>AJ193</f>
        <v>70812.305999999982</v>
      </c>
      <c r="AK221" s="23">
        <f t="shared" ref="AK221:AK228" si="1360">IF(ISERROR((AJ221/AB221-1)*100),"NA",IF(((AJ221/AB221-1)*100)&gt;100,"NM",IF(((AJ221/AB221-1)*100)&lt;-50,"NM",(AJ221/AB221-1)*100)))</f>
        <v>0.41677062297749146</v>
      </c>
      <c r="AL221" s="36">
        <f>AL193</f>
        <v>67929.906000000003</v>
      </c>
      <c r="AM221" s="23">
        <f t="shared" ref="AM221:AM228" si="1361">IF(ISERROR((AL221/AD221-1)*100),"NA",IF(((AL221/AD221-1)*100)&gt;100,"NM",IF(((AL221/AD221-1)*100)&lt;-50,"NM",(AL221/AD221-1)*100)))</f>
        <v>-1.8813444097262377</v>
      </c>
      <c r="AN221" s="410">
        <f t="shared" ref="AN221:AP221" si="1362">AN193</f>
        <v>68143.706000000006</v>
      </c>
      <c r="AO221" s="23">
        <f t="shared" ref="AO221:AO228" si="1363">IF(ISERROR((AN221/AF221-1)*100),"NA",IF(((AN221/AF221-1)*100)&gt;100,"NM",IF(((AN221/AF221-1)*100)&lt;-50,"NM",(AN221/AF221-1)*100)))</f>
        <v>-2.1549438515652275</v>
      </c>
      <c r="AP221" s="410">
        <f t="shared" si="1362"/>
        <v>69472.406000000003</v>
      </c>
      <c r="AQ221" s="23">
        <f t="shared" ref="AQ221:AQ228" si="1364">IF(ISERROR((AP221/AH221-1)*100),"NA",IF(((AP221/AH221-1)*100)&gt;100,"NM",IF(((AP221/AH221-1)*100)&lt;-50,"NM",(AP221/AH221-1)*100)))</f>
        <v>-2.4109161360511</v>
      </c>
      <c r="AR221" s="410">
        <f t="shared" ref="AR221:AT221" si="1365">AR193</f>
        <v>71034.006000000008</v>
      </c>
      <c r="AS221" s="23">
        <f t="shared" ref="AS221:AS228" si="1366">IF(ISERROR((AR221/AJ221-1)*100),"NA",IF(((AR221/AJ221-1)*100)&gt;100,"NM",IF(((AR221/AJ221-1)*100)&lt;-50,"NM",(AR221/AJ221-1)*100)))</f>
        <v>0.31308117546691161</v>
      </c>
      <c r="AT221" s="410">
        <f t="shared" si="1365"/>
        <v>72813.206000000006</v>
      </c>
      <c r="AU221" s="23">
        <f t="shared" ref="AU221:AU228" si="1367">IF(ISERROR((AT221/AL221-1)*100),"NA",IF(((AT221/AL221-1)*100)&gt;100,"NM",IF(((AT221/AL221-1)*100)&lt;-50,"NM",(AT221/AL221-1)*100)))</f>
        <v>7.1887336337547847</v>
      </c>
      <c r="AV221" s="410">
        <f t="shared" ref="AV221:AX221" si="1368">AV193</f>
        <v>73991.906000000003</v>
      </c>
      <c r="AW221" s="23">
        <f t="shared" ref="AW221:AW228" si="1369">IF(ISERROR((AV221/AN221-1)*100),"NA",IF(((AV221/AN221-1)*100)&gt;100,"NM",IF(((AV221/AN221-1)*100)&lt;-50,"NM",(AV221/AN221-1)*100)))</f>
        <v>8.5821572428127055</v>
      </c>
      <c r="AX221" s="410">
        <f t="shared" si="1368"/>
        <v>76194.906000000003</v>
      </c>
      <c r="AY221" s="23">
        <f t="shared" ref="AY221:AY228" si="1370">IF(ISERROR((AX221/AP221-1)*100),"NA",IF(((AX221/AP221-1)*100)&gt;100,"NM",IF(((AX221/AP221-1)*100)&lt;-50,"NM",(AX221/AP221-1)*100)))</f>
        <v>9.6765037905841353</v>
      </c>
      <c r="AZ221" s="410">
        <f t="shared" ref="AZ221" si="1371">AZ193</f>
        <v>80158.305999999997</v>
      </c>
      <c r="BA221" s="23">
        <f t="shared" ref="BA221:BA228" si="1372">IF(ISERROR((AZ221/AR221-1)*100),"NA",IF(((AZ221/AR221-1)*100)&gt;100,"NM",IF(((AZ221/AR221-1)*100)&lt;-50,"NM",(AZ221/AR221-1)*100)))</f>
        <v>12.844974560494293</v>
      </c>
      <c r="BB221" s="410">
        <f t="shared" ref="BB221:BD221" si="1373">BB193</f>
        <v>83070.405999999988</v>
      </c>
      <c r="BC221" s="23">
        <f t="shared" ref="BC221:BC228" si="1374">IF(ISERROR((BB221/AT221-1)*100),"NA",IF(((BB221/AT221-1)*100)&gt;100,"NM",IF(((BB221/AT221-1)*100)&lt;-50,"NM",(BB221/AT221-1)*100)))</f>
        <v>14.087005041365686</v>
      </c>
      <c r="BD221" s="410">
        <f t="shared" si="1373"/>
        <v>85804.405999999988</v>
      </c>
      <c r="BE221" s="23">
        <f t="shared" ref="BE221:BE228" si="1375">IF(ISERROR((BD221/AV221-1)*100),"NA",IF(((BD221/AV221-1)*100)&gt;100,"NM",IF(((BD221/AV221-1)*100)&lt;-50,"NM",(BD221/AV221-1)*100)))</f>
        <v>15.964584018149196</v>
      </c>
      <c r="BF221" s="36">
        <f t="shared" ref="BF221" si="1376">BF193</f>
        <v>86256.725698852795</v>
      </c>
      <c r="BG221" s="23">
        <f t="shared" ref="BG221:BG228" si="1377">IF(ISERROR((BF221/AX221-1)*100),"NA",IF(((BF221/AX221-1)*100)&gt;100,"NM",IF(((BF221/AX221-1)*100)&lt;-50,"NM",(BF221/AX221-1)*100)))</f>
        <v>13.205370577992181</v>
      </c>
      <c r="BH221" s="36">
        <f t="shared" ref="BH221" si="1378">BH193</f>
        <v>87932.83749172758</v>
      </c>
      <c r="BI221" s="23">
        <f t="shared" ref="BI221:BI228" si="1379">IF(ISERROR((BH221/AZ221-1)*100),"NA",IF(((BH221/AZ221-1)*100)&gt;100,"NM",IF(((BH221/AZ221-1)*100)&lt;-50,"NM",(BH221/AZ221-1)*100)))</f>
        <v>9.6989717967936873</v>
      </c>
      <c r="BJ221" s="36">
        <f t="shared" ref="BJ221" si="1380">BJ193</f>
        <v>89640.547344121616</v>
      </c>
      <c r="BK221" s="23">
        <f t="shared" ref="BK221:BK228" si="1381">IF(ISERROR((BJ221/BB221-1)*100),"NA",IF(((BJ221/BB221-1)*100)&gt;100,"NM",IF(((BJ221/BB221-1)*100)&lt;-50,"NM",(BJ221/BB221-1)*100)))</f>
        <v>7.9091239112538236</v>
      </c>
      <c r="BL221" s="36">
        <f t="shared" ref="BL221" si="1382">BL193</f>
        <v>91380.450942652998</v>
      </c>
      <c r="BM221" s="23">
        <f t="shared" ref="BM221:BM228" si="1383">IF(ISERROR((BL221/BD221-1)*100),"NA",IF(((BL221/BD221-1)*100)&gt;100,"NM",IF(((BL221/BD221-1)*100)&lt;-50,"NM",(BL221/BD221-1)*100)))</f>
        <v>6.4985531659679685</v>
      </c>
      <c r="BN221" s="5"/>
      <c r="BO221" s="137"/>
      <c r="BP221" s="5"/>
      <c r="BQ221" s="36">
        <f>BQ193</f>
        <v>48602.2</v>
      </c>
      <c r="BR221" s="5"/>
      <c r="BS221" s="36">
        <f>BS193</f>
        <v>47302.6</v>
      </c>
      <c r="BT221" s="5"/>
      <c r="BU221" s="36">
        <f t="shared" ref="BU221:BY221" si="1384">BU193</f>
        <v>49391.628000000004</v>
      </c>
      <c r="BV221" s="23">
        <f t="shared" ref="BV221:BV228" si="1385">IF(ISERROR((BU221/BS221-1)*100),"NA",IF(((BU221/BS221-1)*100)&gt;100,"NM",IF(((BU221/BS221-1)*100)&lt;-50,"NM",(BU221/BS221-1)*100)))</f>
        <v>4.4163069260463539</v>
      </c>
      <c r="BW221" s="36">
        <f t="shared" si="1384"/>
        <v>54061.96</v>
      </c>
      <c r="BX221" s="23">
        <f t="shared" ref="BX221:BX228" si="1386">IF(ISERROR((BW221/BU221-1)*100),"NA",IF(((BW221/BU221-1)*100)&gt;100,"NM",IF(((BW221/BU221-1)*100)&lt;-50,"NM",(BW221/BU221-1)*100)))</f>
        <v>9.4557158553267193</v>
      </c>
      <c r="BY221" s="36">
        <f t="shared" si="1384"/>
        <v>66362.359999999986</v>
      </c>
      <c r="BZ221" s="23">
        <f t="shared" ref="BZ221:CR228" si="1387">IF(ISERROR((BY221/BW221-1)*100),"NA",IF(((BY221/BW221-1)*100)&gt;100,"NM",IF(((BY221/BW221-1)*100)&lt;-50,"NM",(BY221/BW221-1)*100)))</f>
        <v>22.752412232186892</v>
      </c>
      <c r="CA221" s="36">
        <f>CA193</f>
        <v>69644.459999999992</v>
      </c>
      <c r="CB221" s="23">
        <f t="shared" si="1387"/>
        <v>4.9457252575104471</v>
      </c>
      <c r="CC221" s="36">
        <f>CC193</f>
        <v>68143.659999999989</v>
      </c>
      <c r="CD221" s="23">
        <f t="shared" si="1387"/>
        <v>-2.1549452749005438</v>
      </c>
      <c r="CE221" s="36">
        <f>CE193</f>
        <v>73991.859999999986</v>
      </c>
      <c r="CF221" s="23">
        <f t="shared" si="1387"/>
        <v>8.58216303615038</v>
      </c>
      <c r="CG221" s="36">
        <f>CG193</f>
        <v>85804.359999999986</v>
      </c>
      <c r="CH221" s="23">
        <f t="shared" si="1387"/>
        <v>15.964593943171579</v>
      </c>
      <c r="CI221" s="36">
        <f>CI193</f>
        <v>91380.404942652982</v>
      </c>
      <c r="CJ221" s="23">
        <f t="shared" si="1387"/>
        <v>6.4985566498637182</v>
      </c>
      <c r="CK221" s="36">
        <f>CK193</f>
        <v>97305.815211426408</v>
      </c>
      <c r="CL221" s="23">
        <f t="shared" si="1387"/>
        <v>6.4843335641727506</v>
      </c>
      <c r="CM221" s="36">
        <f>CM193</f>
        <v>103602.48017994451</v>
      </c>
      <c r="CN221" s="23">
        <f t="shared" si="1387"/>
        <v>6.4710058230709855</v>
      </c>
      <c r="CO221" s="36">
        <f>CO193</f>
        <v>110293.66069358855</v>
      </c>
      <c r="CP221" s="23">
        <f t="shared" si="1387"/>
        <v>6.4585138328950187</v>
      </c>
      <c r="CQ221" s="36">
        <f>CQ193</f>
        <v>117404.07499862448</v>
      </c>
      <c r="CR221" s="23">
        <f t="shared" si="1387"/>
        <v>6.4468023459568258</v>
      </c>
      <c r="CS221" s="23">
        <f t="shared" ref="CS221:CS228" si="1388">IF(ISERROR(((CQ221/CG221)^0.2-1)*100),"NA",IF((((CQ221/CG221)^0.2-1)*100)&gt;100,"NM",IF((((CQ221/CG221)^0.2-1)*100)&lt;-50,"NM",((CQ221/CG221)^0.2-1)*100)))</f>
        <v>6.4718408699901975</v>
      </c>
    </row>
    <row r="222" spans="1:97" ht="12.75" customHeight="1" x14ac:dyDescent="0.2">
      <c r="A222" s="12" t="s">
        <v>177</v>
      </c>
      <c r="B222" s="56">
        <f t="shared" ref="B222:N222" si="1389">B210</f>
        <v>37882.873999999996</v>
      </c>
      <c r="C222" s="59"/>
      <c r="D222" s="56">
        <f t="shared" si="1389"/>
        <v>37737.170999999988</v>
      </c>
      <c r="E222" s="59"/>
      <c r="F222" s="56">
        <f t="shared" si="1389"/>
        <v>35284.453999999983</v>
      </c>
      <c r="G222" s="59"/>
      <c r="H222" s="56">
        <f t="shared" si="1389"/>
        <v>37851.824999999983</v>
      </c>
      <c r="I222" s="59"/>
      <c r="J222" s="56">
        <f t="shared" si="1389"/>
        <v>44050.053999999982</v>
      </c>
      <c r="K222" s="23">
        <f t="shared" si="1354"/>
        <v>16.279599061042681</v>
      </c>
      <c r="L222" s="56">
        <f t="shared" si="1389"/>
        <v>42563.896999999983</v>
      </c>
      <c r="M222" s="23">
        <f t="shared" si="1354"/>
        <v>12.790375833948975</v>
      </c>
      <c r="N222" s="56">
        <f t="shared" si="1389"/>
        <v>46376.923999999992</v>
      </c>
      <c r="O222" s="23">
        <f t="shared" si="1354"/>
        <v>31.437272630037061</v>
      </c>
      <c r="P222" s="36">
        <f>P210</f>
        <v>47284.818999999996</v>
      </c>
      <c r="Q222" s="23">
        <f t="shared" si="1354"/>
        <v>24.920843314688312</v>
      </c>
      <c r="R222" s="36">
        <f>R210</f>
        <v>49658.118999999992</v>
      </c>
      <c r="S222" s="23">
        <f t="shared" si="1354"/>
        <v>12.731119466959129</v>
      </c>
      <c r="T222" s="36">
        <f>T210</f>
        <v>49404.718999999997</v>
      </c>
      <c r="U222" s="23">
        <f t="shared" si="1354"/>
        <v>16.071888342366812</v>
      </c>
      <c r="V222" s="36">
        <f>V210</f>
        <v>52169.718999999997</v>
      </c>
      <c r="W222" s="23">
        <f t="shared" si="1354"/>
        <v>12.490683944454805</v>
      </c>
      <c r="X222" s="36">
        <f>X210</f>
        <v>53935.218999999997</v>
      </c>
      <c r="Y222" s="23">
        <f t="shared" si="1354"/>
        <v>14.06455632197725</v>
      </c>
      <c r="Z222" s="36">
        <f>Z210</f>
        <v>57989.118999999999</v>
      </c>
      <c r="AA222" s="23">
        <f t="shared" si="1355"/>
        <v>16.776712786885884</v>
      </c>
      <c r="AB222" s="36">
        <f>AB210</f>
        <v>58729.119000000006</v>
      </c>
      <c r="AC222" s="23">
        <f t="shared" si="1356"/>
        <v>18.87350072773415</v>
      </c>
      <c r="AD222" s="36">
        <f>AD210</f>
        <v>58941.419000000002</v>
      </c>
      <c r="AE222" s="23">
        <f t="shared" si="1357"/>
        <v>12.980135085642308</v>
      </c>
      <c r="AF222" s="36">
        <f>AF210</f>
        <v>58956.319000000003</v>
      </c>
      <c r="AG222" s="23">
        <f t="shared" si="1358"/>
        <v>9.3095014595194314</v>
      </c>
      <c r="AH222" s="36">
        <f>AH210</f>
        <v>59005.118999999999</v>
      </c>
      <c r="AI222" s="23">
        <f t="shared" si="1359"/>
        <v>1.7520528290833282</v>
      </c>
      <c r="AJ222" s="36">
        <f>AJ210</f>
        <v>57390.918999999994</v>
      </c>
      <c r="AK222" s="23">
        <f t="shared" si="1360"/>
        <v>-2.2785970959312563</v>
      </c>
      <c r="AL222" s="36">
        <f>AL210</f>
        <v>53830.518999999993</v>
      </c>
      <c r="AM222" s="23">
        <f t="shared" si="1361"/>
        <v>-8.6711519449506387</v>
      </c>
      <c r="AN222" s="410">
        <f t="shared" ref="AN222:AP222" si="1390">AN210</f>
        <v>54403.418999999994</v>
      </c>
      <c r="AO222" s="23">
        <f t="shared" si="1363"/>
        <v>-7.7224970575249241</v>
      </c>
      <c r="AP222" s="410">
        <f t="shared" si="1390"/>
        <v>54204.618999999992</v>
      </c>
      <c r="AQ222" s="23">
        <f t="shared" si="1364"/>
        <v>-8.1357347995518978</v>
      </c>
      <c r="AR222" s="410">
        <f t="shared" ref="AR222:AT222" si="1391">AR210</f>
        <v>54277.418999999994</v>
      </c>
      <c r="AS222" s="23">
        <f t="shared" si="1366"/>
        <v>-5.4250743048739114</v>
      </c>
      <c r="AT222" s="410">
        <f t="shared" si="1391"/>
        <v>55356.118999999999</v>
      </c>
      <c r="AU222" s="23">
        <f t="shared" si="1367"/>
        <v>2.834080050389276</v>
      </c>
      <c r="AV222" s="410">
        <f t="shared" ref="AV222:AX222" si="1392">AV210</f>
        <v>54254.118999999992</v>
      </c>
      <c r="AW222" s="23">
        <f t="shared" si="1369"/>
        <v>-0.27443128160751229</v>
      </c>
      <c r="AX222" s="410">
        <f t="shared" si="1392"/>
        <v>54636.018999999993</v>
      </c>
      <c r="AY222" s="23">
        <f t="shared" si="1370"/>
        <v>0.79587313398512549</v>
      </c>
      <c r="AZ222" s="410">
        <f t="shared" ref="AZ222" si="1393">AZ210</f>
        <v>54936.818999999989</v>
      </c>
      <c r="BA222" s="23">
        <f t="shared" si="1372"/>
        <v>1.2148698522308043</v>
      </c>
      <c r="BB222" s="410">
        <f t="shared" ref="BB222:BD222" si="1394">BB210</f>
        <v>56545.918999999987</v>
      </c>
      <c r="BC222" s="23">
        <f t="shared" si="1374"/>
        <v>2.1493558824092984</v>
      </c>
      <c r="BD222" s="410">
        <f t="shared" si="1394"/>
        <v>56473.918999999987</v>
      </c>
      <c r="BE222" s="23">
        <f t="shared" si="1375"/>
        <v>4.091486583719095</v>
      </c>
      <c r="BF222" s="36">
        <f t="shared" ref="BF222" si="1395">BF210</f>
        <v>54767.015379909993</v>
      </c>
      <c r="BG222" s="23">
        <f t="shared" si="1377"/>
        <v>0.23976194149504249</v>
      </c>
      <c r="BH222" s="36">
        <f t="shared" ref="BH222" si="1396">BH210</f>
        <v>54176.78897011884</v>
      </c>
      <c r="BI222" s="23">
        <f t="shared" si="1379"/>
        <v>-1.3834620273175058</v>
      </c>
      <c r="BJ222" s="36">
        <f t="shared" ref="BJ222" si="1397">BJ210</f>
        <v>53593.462307058158</v>
      </c>
      <c r="BK222" s="23">
        <f t="shared" si="1381"/>
        <v>-5.2213435472537428</v>
      </c>
      <c r="BL222" s="36">
        <f t="shared" ref="BL222" si="1398">BL210</f>
        <v>53019.098471180929</v>
      </c>
      <c r="BM222" s="23">
        <f t="shared" si="1383"/>
        <v>-6.1175505259676743</v>
      </c>
      <c r="BN222" s="5"/>
      <c r="BO222" s="137"/>
      <c r="BP222" s="5"/>
      <c r="BQ222" s="36">
        <f>BQ210</f>
        <v>31700.3</v>
      </c>
      <c r="BR222" s="5"/>
      <c r="BS222" s="36">
        <f>BS210</f>
        <v>33907.300000000003</v>
      </c>
      <c r="BT222" s="5"/>
      <c r="BU222" s="36">
        <f t="shared" ref="BU222:BY222" si="1399">BU210</f>
        <v>37851.863999999994</v>
      </c>
      <c r="BV222" s="23">
        <f t="shared" si="1385"/>
        <v>11.633376883443947</v>
      </c>
      <c r="BW222" s="36">
        <f t="shared" si="1399"/>
        <v>47284.857999999993</v>
      </c>
      <c r="BX222" s="23">
        <f t="shared" si="1386"/>
        <v>24.920817637937187</v>
      </c>
      <c r="BY222" s="36">
        <f t="shared" si="1399"/>
        <v>53935.257999999987</v>
      </c>
      <c r="BZ222" s="23">
        <f t="shared" si="1387"/>
        <v>14.06454472169505</v>
      </c>
      <c r="CA222" s="36">
        <f>CA210</f>
        <v>58956.357999999986</v>
      </c>
      <c r="CB222" s="23">
        <f t="shared" si="1387"/>
        <v>9.3094947279199083</v>
      </c>
      <c r="CC222" s="36">
        <f>CC210</f>
        <v>54403.457999999984</v>
      </c>
      <c r="CD222" s="23">
        <f t="shared" si="1387"/>
        <v>-7.7224919490447519</v>
      </c>
      <c r="CE222" s="36">
        <f>CE210</f>
        <v>54254.157999999989</v>
      </c>
      <c r="CF222" s="23">
        <f t="shared" si="1387"/>
        <v>-0.27443108487699153</v>
      </c>
      <c r="CG222" s="36">
        <f>CG210</f>
        <v>56473.957999999991</v>
      </c>
      <c r="CH222" s="23">
        <f t="shared" si="1387"/>
        <v>4.0914836425993473</v>
      </c>
      <c r="CI222" s="36">
        <f>CI210</f>
        <v>53019.137471180926</v>
      </c>
      <c r="CJ222" s="23">
        <f t="shared" si="1387"/>
        <v>-6.1175463012864579</v>
      </c>
      <c r="CK222" s="36">
        <f>CK210</f>
        <v>49787.902280441296</v>
      </c>
      <c r="CL222" s="23">
        <f t="shared" si="1387"/>
        <v>-6.0944695535569586</v>
      </c>
      <c r="CM222" s="36">
        <f>CM210</f>
        <v>46765.782673712216</v>
      </c>
      <c r="CN222" s="23">
        <f t="shared" si="1387"/>
        <v>-6.069987824966649</v>
      </c>
      <c r="CO222" s="36">
        <f>CO210</f>
        <v>43939.24533481746</v>
      </c>
      <c r="CP222" s="23">
        <f t="shared" si="1387"/>
        <v>-6.0440287263354158</v>
      </c>
      <c r="CQ222" s="36">
        <f>CQ210</f>
        <v>41295.632782098772</v>
      </c>
      <c r="CR222" s="23">
        <f t="shared" si="1387"/>
        <v>-6.0165178818487597</v>
      </c>
      <c r="CS222" s="23">
        <f t="shared" si="1388"/>
        <v>-6.068516852992289</v>
      </c>
    </row>
    <row r="223" spans="1:97" ht="12.75" customHeight="1" x14ac:dyDescent="0.2">
      <c r="A223" s="4" t="s">
        <v>178</v>
      </c>
      <c r="B223" s="36">
        <f t="shared" ref="B223:N223" si="1400">B221+B222</f>
        <v>87315.696999999986</v>
      </c>
      <c r="C223" s="59"/>
      <c r="D223" s="56">
        <f t="shared" si="1400"/>
        <v>89705.286999999982</v>
      </c>
      <c r="E223" s="59"/>
      <c r="F223" s="56">
        <f t="shared" si="1400"/>
        <v>83636.646999999968</v>
      </c>
      <c r="G223" s="59"/>
      <c r="H223" s="56">
        <f t="shared" si="1400"/>
        <v>87243.498999999982</v>
      </c>
      <c r="I223" s="59"/>
      <c r="J223" s="56">
        <f t="shared" si="1400"/>
        <v>93804.977999999974</v>
      </c>
      <c r="K223" s="23">
        <f t="shared" si="1354"/>
        <v>7.4319752609888656</v>
      </c>
      <c r="L223" s="56">
        <f t="shared" si="1400"/>
        <v>91443.774999999965</v>
      </c>
      <c r="M223" s="23">
        <f t="shared" si="1354"/>
        <v>1.9379994849132887</v>
      </c>
      <c r="N223" s="56">
        <f t="shared" si="1400"/>
        <v>97138.444999999978</v>
      </c>
      <c r="O223" s="23">
        <f t="shared" si="1354"/>
        <v>16.143399435895624</v>
      </c>
      <c r="P223" s="36">
        <f>P221+P222</f>
        <v>101346.82499999998</v>
      </c>
      <c r="Q223" s="23">
        <f t="shared" si="1354"/>
        <v>16.16547497710976</v>
      </c>
      <c r="R223" s="36">
        <f>R221+R222</f>
        <v>107660.32499999998</v>
      </c>
      <c r="S223" s="23">
        <f t="shared" si="1354"/>
        <v>14.770374979460055</v>
      </c>
      <c r="T223" s="36">
        <f>T221+T222</f>
        <v>110048.72499999998</v>
      </c>
      <c r="U223" s="23">
        <f t="shared" si="1354"/>
        <v>20.345780781688006</v>
      </c>
      <c r="V223" s="36">
        <f>V221+V222</f>
        <v>115445.22499999998</v>
      </c>
      <c r="W223" s="23">
        <f t="shared" si="1354"/>
        <v>18.846070677783654</v>
      </c>
      <c r="X223" s="36">
        <f>X221+X222</f>
        <v>120297.62499999999</v>
      </c>
      <c r="Y223" s="23">
        <f t="shared" si="1354"/>
        <v>18.698957762120337</v>
      </c>
      <c r="Z223" s="36">
        <f>Z221+Z222</f>
        <v>127093.72500000001</v>
      </c>
      <c r="AA223" s="23">
        <f t="shared" si="1355"/>
        <v>18.0506607239018</v>
      </c>
      <c r="AB223" s="36">
        <f>AB221+AB222</f>
        <v>129247.52499999999</v>
      </c>
      <c r="AC223" s="23">
        <f t="shared" si="1356"/>
        <v>17.445726881433664</v>
      </c>
      <c r="AD223" s="36">
        <f>AD221+AD222</f>
        <v>128173.82499999998</v>
      </c>
      <c r="AE223" s="23">
        <f t="shared" si="1357"/>
        <v>11.025661736983938</v>
      </c>
      <c r="AF223" s="36">
        <f>AF221+AF222</f>
        <v>128600.82499999998</v>
      </c>
      <c r="AG223" s="23">
        <f t="shared" si="1358"/>
        <v>6.9022144036509525</v>
      </c>
      <c r="AH223" s="36">
        <f>AH221+AH222</f>
        <v>130193.82499999998</v>
      </c>
      <c r="AI223" s="23">
        <f t="shared" si="1359"/>
        <v>2.4392234943149127</v>
      </c>
      <c r="AJ223" s="36">
        <f>AJ221+AJ222</f>
        <v>128203.22499999998</v>
      </c>
      <c r="AK223" s="23">
        <f t="shared" si="1360"/>
        <v>-0.80798452426846801</v>
      </c>
      <c r="AL223" s="36">
        <f>AL221+AL222</f>
        <v>121760.42499999999</v>
      </c>
      <c r="AM223" s="23">
        <f t="shared" si="1361"/>
        <v>-5.0036737219943284</v>
      </c>
      <c r="AN223" s="410">
        <f t="shared" ref="AN223:AP223" si="1401">AN221+AN222</f>
        <v>122547.125</v>
      </c>
      <c r="AO223" s="23">
        <f t="shared" si="1363"/>
        <v>-4.7073570484481575</v>
      </c>
      <c r="AP223" s="410">
        <f t="shared" si="1401"/>
        <v>123677.02499999999</v>
      </c>
      <c r="AQ223" s="23">
        <f t="shared" si="1364"/>
        <v>-5.0054601283893385</v>
      </c>
      <c r="AR223" s="410">
        <f t="shared" ref="AR223:AT223" si="1402">AR221+AR222</f>
        <v>125311.425</v>
      </c>
      <c r="AS223" s="23">
        <f t="shared" si="1366"/>
        <v>-2.2556374849384442</v>
      </c>
      <c r="AT223" s="410">
        <f t="shared" si="1402"/>
        <v>128169.32500000001</v>
      </c>
      <c r="AU223" s="23">
        <f t="shared" si="1367"/>
        <v>5.263532876137722</v>
      </c>
      <c r="AV223" s="410">
        <f t="shared" ref="AV223:AX223" si="1403">AV221+AV222</f>
        <v>128246.02499999999</v>
      </c>
      <c r="AW223" s="23">
        <f t="shared" si="1369"/>
        <v>4.6503742947865856</v>
      </c>
      <c r="AX223" s="410">
        <f t="shared" si="1403"/>
        <v>130830.92499999999</v>
      </c>
      <c r="AY223" s="23">
        <f t="shared" si="1370"/>
        <v>5.7843403008764005</v>
      </c>
      <c r="AZ223" s="410">
        <f t="shared" ref="AZ223" si="1404">AZ221+AZ222</f>
        <v>135095.125</v>
      </c>
      <c r="BA223" s="23">
        <f t="shared" si="1372"/>
        <v>7.8075083736379058</v>
      </c>
      <c r="BB223" s="410">
        <f t="shared" ref="BB223:BD223" si="1405">BB221+BB222</f>
        <v>139616.32499999998</v>
      </c>
      <c r="BC223" s="23">
        <f t="shared" si="1374"/>
        <v>8.9311541587661303</v>
      </c>
      <c r="BD223" s="410">
        <f t="shared" si="1405"/>
        <v>142278.32499999998</v>
      </c>
      <c r="BE223" s="23">
        <f t="shared" si="1375"/>
        <v>10.941703651243762</v>
      </c>
      <c r="BF223" s="36">
        <f t="shared" ref="BF223" si="1406">BF221+BF222</f>
        <v>141023.7410787628</v>
      </c>
      <c r="BG223" s="23">
        <f t="shared" si="1377"/>
        <v>7.7908308595714848</v>
      </c>
      <c r="BH223" s="36">
        <f t="shared" ref="BH223" si="1407">BH221+BH222</f>
        <v>142109.6264618464</v>
      </c>
      <c r="BI223" s="23">
        <f t="shared" si="1379"/>
        <v>5.1922683826277183</v>
      </c>
      <c r="BJ223" s="36">
        <f t="shared" ref="BJ223" si="1408">BJ221+BJ222</f>
        <v>143234.00965117977</v>
      </c>
      <c r="BK223" s="23">
        <f t="shared" si="1381"/>
        <v>2.591161636133732</v>
      </c>
      <c r="BL223" s="36">
        <f t="shared" ref="BL223" si="1409">BL221+BL222</f>
        <v>144399.54941383394</v>
      </c>
      <c r="BM223" s="23">
        <f t="shared" si="1383"/>
        <v>1.4908977975625959</v>
      </c>
      <c r="BN223" s="5"/>
      <c r="BO223" s="137"/>
      <c r="BP223" s="5"/>
      <c r="BQ223" s="36">
        <f>BQ221+BQ222</f>
        <v>80302.5</v>
      </c>
      <c r="BR223" s="5"/>
      <c r="BS223" s="36">
        <f>BS221+BS222</f>
        <v>81209.899999999994</v>
      </c>
      <c r="BT223" s="5"/>
      <c r="BU223" s="36">
        <f t="shared" ref="BU223:CA223" si="1410">BU221+BU222</f>
        <v>87243.491999999998</v>
      </c>
      <c r="BV223" s="23">
        <f t="shared" si="1385"/>
        <v>7.4296261908954442</v>
      </c>
      <c r="BW223" s="36">
        <f t="shared" si="1410"/>
        <v>101346.818</v>
      </c>
      <c r="BX223" s="23">
        <f t="shared" si="1386"/>
        <v>16.165476274150059</v>
      </c>
      <c r="BY223" s="36">
        <f t="shared" si="1410"/>
        <v>120297.61799999997</v>
      </c>
      <c r="BZ223" s="23">
        <f t="shared" si="1387"/>
        <v>18.698959053652754</v>
      </c>
      <c r="CA223" s="36">
        <f t="shared" si="1410"/>
        <v>128600.81799999997</v>
      </c>
      <c r="CB223" s="23">
        <f t="shared" si="1387"/>
        <v>6.9022148052840127</v>
      </c>
      <c r="CC223" s="36">
        <f t="shared" ref="CC223" si="1411">CC221+CC222</f>
        <v>122547.11799999997</v>
      </c>
      <c r="CD223" s="23">
        <f t="shared" si="1387"/>
        <v>-4.7073573046790385</v>
      </c>
      <c r="CE223" s="36">
        <f t="shared" ref="CE223" si="1412">CE221+CE222</f>
        <v>128246.01799999998</v>
      </c>
      <c r="CF223" s="23">
        <f t="shared" si="1387"/>
        <v>4.6503745604201008</v>
      </c>
      <c r="CG223" s="36">
        <f t="shared" ref="CG223" si="1413">CG221+CG222</f>
        <v>142278.31799999997</v>
      </c>
      <c r="CH223" s="23">
        <f t="shared" si="1387"/>
        <v>10.941704248470296</v>
      </c>
      <c r="CI223" s="36">
        <f t="shared" ref="CI223" si="1414">CI221+CI222</f>
        <v>144399.5424138339</v>
      </c>
      <c r="CJ223" s="23">
        <f t="shared" si="1387"/>
        <v>1.4908978709137655</v>
      </c>
      <c r="CK223" s="36">
        <f>CK221+CK222</f>
        <v>147093.71749186772</v>
      </c>
      <c r="CL223" s="23">
        <f t="shared" si="1387"/>
        <v>1.8657781271304907</v>
      </c>
      <c r="CM223" s="36">
        <f>CM221+CM222</f>
        <v>150368.26285365672</v>
      </c>
      <c r="CN223" s="23">
        <f t="shared" si="1387"/>
        <v>2.2261626244982402</v>
      </c>
      <c r="CO223" s="36">
        <f>CO221+CO222</f>
        <v>154232.906028406</v>
      </c>
      <c r="CP223" s="23">
        <f t="shared" si="1387"/>
        <v>2.5701189209790032</v>
      </c>
      <c r="CQ223" s="36">
        <f>CQ221+CQ222</f>
        <v>158699.70778072326</v>
      </c>
      <c r="CR223" s="23">
        <f t="shared" si="1387"/>
        <v>2.8961405625687942</v>
      </c>
      <c r="CS223" s="23">
        <f t="shared" si="1388"/>
        <v>2.2086097323636089</v>
      </c>
    </row>
    <row r="224" spans="1:97" ht="12.75" customHeight="1" x14ac:dyDescent="0.2">
      <c r="A224" s="4" t="s">
        <v>99</v>
      </c>
      <c r="B224" s="49">
        <v>77517.370999999999</v>
      </c>
      <c r="C224" s="59"/>
      <c r="D224" s="49">
        <v>77832.413</v>
      </c>
      <c r="E224" s="59"/>
      <c r="F224" s="49">
        <v>78419.581999999995</v>
      </c>
      <c r="G224" s="59"/>
      <c r="H224" s="49">
        <v>78878.297000000006</v>
      </c>
      <c r="I224" s="59"/>
      <c r="J224" s="49">
        <v>77121.725000000006</v>
      </c>
      <c r="K224" s="23">
        <f t="shared" si="1354"/>
        <v>-0.51039656646765241</v>
      </c>
      <c r="L224" s="49">
        <v>80079.351999999999</v>
      </c>
      <c r="M224" s="23">
        <f t="shared" si="1354"/>
        <v>2.8868936647255206</v>
      </c>
      <c r="N224" s="49">
        <v>80082.240999999995</v>
      </c>
      <c r="O224" s="23">
        <f t="shared" si="1354"/>
        <v>2.1202089549520853</v>
      </c>
      <c r="P224" s="48">
        <v>80404.778000000006</v>
      </c>
      <c r="Q224" s="23">
        <f t="shared" si="1354"/>
        <v>1.9352357467859571</v>
      </c>
      <c r="R224" s="48">
        <v>79965.899999999994</v>
      </c>
      <c r="S224" s="23">
        <f t="shared" si="1354"/>
        <v>3.687903765119338</v>
      </c>
      <c r="T224" s="48">
        <v>80275.3</v>
      </c>
      <c r="U224" s="23">
        <f t="shared" si="1354"/>
        <v>0.24469228971784052</v>
      </c>
      <c r="V224" s="48">
        <v>80260.3</v>
      </c>
      <c r="W224" s="23">
        <f t="shared" si="1354"/>
        <v>0.22234517637937934</v>
      </c>
      <c r="X224" s="48">
        <v>78988.800000000003</v>
      </c>
      <c r="Y224" s="23">
        <f t="shared" si="1354"/>
        <v>-1.7610620105188324</v>
      </c>
      <c r="Z224" s="48">
        <v>79684.399999999994</v>
      </c>
      <c r="AA224" s="23">
        <f t="shared" si="1355"/>
        <v>-0.35202505067785106</v>
      </c>
      <c r="AB224" s="48">
        <v>78335.100000000006</v>
      </c>
      <c r="AC224" s="23">
        <f t="shared" si="1356"/>
        <v>-2.4169327302420496</v>
      </c>
      <c r="AD224" s="48">
        <v>78503.100000000006</v>
      </c>
      <c r="AE224" s="23">
        <f t="shared" si="1357"/>
        <v>-2.1893763168091773</v>
      </c>
      <c r="AF224" s="48">
        <v>77630.2</v>
      </c>
      <c r="AG224" s="23">
        <f t="shared" si="1358"/>
        <v>-1.7199906822233046</v>
      </c>
      <c r="AH224" s="48">
        <v>78566.399999999994</v>
      </c>
      <c r="AI224" s="23">
        <f t="shared" si="1359"/>
        <v>-1.4030349729683644</v>
      </c>
      <c r="AJ224" s="48">
        <v>77795.8</v>
      </c>
      <c r="AK224" s="23">
        <f t="shared" si="1360"/>
        <v>-0.68845255830400909</v>
      </c>
      <c r="AL224" s="48">
        <v>79748.5</v>
      </c>
      <c r="AM224" s="23">
        <f t="shared" si="1361"/>
        <v>1.5864341662940706</v>
      </c>
      <c r="AN224" s="287">
        <v>78174.100000000006</v>
      </c>
      <c r="AO224" s="23">
        <f t="shared" si="1363"/>
        <v>0.70062939423061188</v>
      </c>
      <c r="AP224" s="287">
        <v>79577.3</v>
      </c>
      <c r="AQ224" s="23">
        <f t="shared" si="1364"/>
        <v>1.2866823476702649</v>
      </c>
      <c r="AR224" s="287">
        <v>78671.199999999997</v>
      </c>
      <c r="AS224" s="23">
        <f t="shared" si="1366"/>
        <v>1.1252535483920578</v>
      </c>
      <c r="AT224" s="287">
        <v>80212.899999999994</v>
      </c>
      <c r="AU224" s="23">
        <f t="shared" si="1367"/>
        <v>0.58233070214486204</v>
      </c>
      <c r="AV224" s="287">
        <v>82760</v>
      </c>
      <c r="AW224" s="23">
        <f t="shared" si="1369"/>
        <v>5.8662651696661516</v>
      </c>
      <c r="AX224" s="287">
        <v>82068.7</v>
      </c>
      <c r="AY224" s="23">
        <f t="shared" si="1370"/>
        <v>3.1307923239416224</v>
      </c>
      <c r="AZ224" s="287">
        <v>81905.100000000006</v>
      </c>
      <c r="BA224" s="23">
        <f t="shared" si="1372"/>
        <v>4.1106529454234986</v>
      </c>
      <c r="BB224" s="287">
        <v>82488.5</v>
      </c>
      <c r="BC224" s="23">
        <f t="shared" si="1374"/>
        <v>2.8369501663697561</v>
      </c>
      <c r="BD224" s="287">
        <v>82006</v>
      </c>
      <c r="BE224" s="23">
        <f t="shared" si="1375"/>
        <v>-0.9110681488641803</v>
      </c>
      <c r="BF224" s="49">
        <f>BD224*1.003</f>
        <v>82252.017999999996</v>
      </c>
      <c r="BG224" s="23">
        <f t="shared" si="1377"/>
        <v>0.22337139494106317</v>
      </c>
      <c r="BH224" s="49">
        <f t="shared" ref="BH224:BJ224" si="1415">BF224*1.004</f>
        <v>82581.026071999993</v>
      </c>
      <c r="BI224" s="23">
        <f t="shared" si="1379"/>
        <v>0.82525516970248791</v>
      </c>
      <c r="BJ224" s="49">
        <f t="shared" si="1415"/>
        <v>82911.35017628799</v>
      </c>
      <c r="BK224" s="23">
        <f t="shared" si="1381"/>
        <v>0.51261712394816694</v>
      </c>
      <c r="BL224" s="49">
        <f t="shared" ref="BL224" si="1416">BJ224*1.004</f>
        <v>83242.99557699314</v>
      </c>
      <c r="BM224" s="23">
        <f t="shared" si="1383"/>
        <v>1.5084208191999959</v>
      </c>
      <c r="BN224" s="5"/>
      <c r="BO224" s="137"/>
      <c r="BP224" s="5"/>
      <c r="BQ224" s="48">
        <v>75059.8</v>
      </c>
      <c r="BR224" s="5"/>
      <c r="BS224" s="48">
        <v>77277.8</v>
      </c>
      <c r="BT224" s="5"/>
      <c r="BU224" s="36">
        <f>H224</f>
        <v>78878.297000000006</v>
      </c>
      <c r="BV224" s="23">
        <f t="shared" si="1385"/>
        <v>2.0710954504398416</v>
      </c>
      <c r="BW224" s="36">
        <f>P224</f>
        <v>80404.778000000006</v>
      </c>
      <c r="BX224" s="23">
        <f t="shared" si="1386"/>
        <v>1.9352357467859571</v>
      </c>
      <c r="BY224" s="36">
        <f>X224</f>
        <v>78988.800000000003</v>
      </c>
      <c r="BZ224" s="23">
        <f t="shared" si="1387"/>
        <v>-1.7610620105188324</v>
      </c>
      <c r="CA224" s="36">
        <f>AF224</f>
        <v>77630.2</v>
      </c>
      <c r="CB224" s="23">
        <f t="shared" si="1387"/>
        <v>-1.7199906822233046</v>
      </c>
      <c r="CC224" s="36">
        <f>AN224</f>
        <v>78174.100000000006</v>
      </c>
      <c r="CD224" s="23">
        <f t="shared" si="1387"/>
        <v>0.70062939423061188</v>
      </c>
      <c r="CE224" s="36">
        <f>AV224</f>
        <v>82760</v>
      </c>
      <c r="CF224" s="23">
        <f t="shared" si="1387"/>
        <v>5.8662651696661516</v>
      </c>
      <c r="CG224" s="36">
        <f>BD224</f>
        <v>82006</v>
      </c>
      <c r="CH224" s="23">
        <f t="shared" si="1387"/>
        <v>-0.9110681488641803</v>
      </c>
      <c r="CI224" s="36">
        <f>BL224</f>
        <v>83242.99557699314</v>
      </c>
      <c r="CJ224" s="23">
        <f t="shared" si="1387"/>
        <v>1.5084208191999959</v>
      </c>
      <c r="CK224" s="48">
        <f>CI224*1.015</f>
        <v>84491.640510648023</v>
      </c>
      <c r="CL224" s="23">
        <f t="shared" si="1387"/>
        <v>1.4999999999999902</v>
      </c>
      <c r="CM224" s="48">
        <f>CK224*1.015</f>
        <v>85759.01511830774</v>
      </c>
      <c r="CN224" s="23">
        <f t="shared" si="1387"/>
        <v>1.4999999999999902</v>
      </c>
      <c r="CO224" s="48">
        <f>CM224*1.015</f>
        <v>87045.400345082351</v>
      </c>
      <c r="CP224" s="23">
        <f t="shared" si="1387"/>
        <v>1.4999999999999902</v>
      </c>
      <c r="CQ224" s="48">
        <f>CO224*1.015</f>
        <v>88351.081350258581</v>
      </c>
      <c r="CR224" s="23">
        <f t="shared" si="1387"/>
        <v>1.4999999999999902</v>
      </c>
      <c r="CS224" s="23">
        <f t="shared" si="1388"/>
        <v>1.5016841079529719</v>
      </c>
    </row>
    <row r="225" spans="1:97" ht="12.75" customHeight="1" x14ac:dyDescent="0.2">
      <c r="A225" s="4" t="s">
        <v>206</v>
      </c>
      <c r="B225" s="36">
        <f t="shared" ref="B225:N225" si="1417">B223+B224</f>
        <v>164833.06799999997</v>
      </c>
      <c r="C225" s="59"/>
      <c r="D225" s="36">
        <f t="shared" si="1417"/>
        <v>167537.69999999998</v>
      </c>
      <c r="E225" s="59"/>
      <c r="F225" s="36">
        <f t="shared" si="1417"/>
        <v>162056.22899999996</v>
      </c>
      <c r="G225" s="59"/>
      <c r="H225" s="36">
        <f t="shared" si="1417"/>
        <v>166121.79599999997</v>
      </c>
      <c r="I225" s="59"/>
      <c r="J225" s="36">
        <f t="shared" si="1417"/>
        <v>170926.70299999998</v>
      </c>
      <c r="K225" s="23">
        <f t="shared" si="1354"/>
        <v>3.6968522602515819</v>
      </c>
      <c r="L225" s="36">
        <f t="shared" si="1417"/>
        <v>171523.12699999998</v>
      </c>
      <c r="M225" s="23">
        <f t="shared" si="1354"/>
        <v>2.3788239900631281</v>
      </c>
      <c r="N225" s="36">
        <f t="shared" si="1417"/>
        <v>177220.68599999999</v>
      </c>
      <c r="O225" s="23">
        <f t="shared" si="1354"/>
        <v>9.3575279972731185</v>
      </c>
      <c r="P225" s="36">
        <f>P223+P224</f>
        <v>181751.603</v>
      </c>
      <c r="Q225" s="23">
        <f t="shared" si="1354"/>
        <v>9.4086431620327815</v>
      </c>
      <c r="R225" s="36">
        <f>R223+R224</f>
        <v>187626.22499999998</v>
      </c>
      <c r="S225" s="23">
        <f t="shared" si="1354"/>
        <v>9.7699901226082844</v>
      </c>
      <c r="T225" s="36">
        <f>T223+T224</f>
        <v>190324.02499999997</v>
      </c>
      <c r="U225" s="23">
        <f t="shared" si="1354"/>
        <v>10.961144615792829</v>
      </c>
      <c r="V225" s="36">
        <f>V223+V224</f>
        <v>195705.52499999997</v>
      </c>
      <c r="W225" s="23">
        <f t="shared" si="1354"/>
        <v>10.430407091415939</v>
      </c>
      <c r="X225" s="36">
        <f>X223+X224</f>
        <v>199286.42499999999</v>
      </c>
      <c r="Y225" s="23">
        <f t="shared" si="1354"/>
        <v>9.6476849230320063</v>
      </c>
      <c r="Z225" s="36">
        <f>Z223+Z224</f>
        <v>206778.125</v>
      </c>
      <c r="AA225" s="23">
        <f t="shared" si="1355"/>
        <v>10.207474994500387</v>
      </c>
      <c r="AB225" s="36">
        <f>AB223+AB224</f>
        <v>207582.625</v>
      </c>
      <c r="AC225" s="23">
        <f t="shared" si="1356"/>
        <v>9.0680091491339709</v>
      </c>
      <c r="AD225" s="36">
        <f>AD223+AD224</f>
        <v>206676.92499999999</v>
      </c>
      <c r="AE225" s="23">
        <f t="shared" si="1357"/>
        <v>5.6060757610190137</v>
      </c>
      <c r="AF225" s="36">
        <f>AF223+AF224</f>
        <v>206231.02499999997</v>
      </c>
      <c r="AG225" s="23">
        <f t="shared" si="1358"/>
        <v>3.484733092080905</v>
      </c>
      <c r="AH225" s="36">
        <f>AH223+AH224</f>
        <v>208760.22499999998</v>
      </c>
      <c r="AI225" s="23">
        <f t="shared" si="1359"/>
        <v>0.95856367785518426</v>
      </c>
      <c r="AJ225" s="36">
        <f>AJ223+AJ224</f>
        <v>205999.02499999997</v>
      </c>
      <c r="AK225" s="23">
        <f t="shared" si="1360"/>
        <v>-0.76287695080454743</v>
      </c>
      <c r="AL225" s="36">
        <f>AL223+AL224</f>
        <v>201508.92499999999</v>
      </c>
      <c r="AM225" s="23">
        <f t="shared" si="1361"/>
        <v>-2.5005210426853441</v>
      </c>
      <c r="AN225" s="410">
        <f t="shared" ref="AN225:AP225" si="1418">AN223+AN224</f>
        <v>200721.22500000001</v>
      </c>
      <c r="AO225" s="23">
        <f t="shared" si="1363"/>
        <v>-2.6716639749038484</v>
      </c>
      <c r="AP225" s="410">
        <f t="shared" si="1418"/>
        <v>203254.32500000001</v>
      </c>
      <c r="AQ225" s="23">
        <f t="shared" si="1364"/>
        <v>-2.6374276996491863</v>
      </c>
      <c r="AR225" s="410">
        <f t="shared" ref="AR225:AT225" si="1419">AR223+AR224</f>
        <v>203982.625</v>
      </c>
      <c r="AS225" s="23">
        <f t="shared" si="1366"/>
        <v>-0.97883958431355111</v>
      </c>
      <c r="AT225" s="410">
        <f t="shared" si="1419"/>
        <v>208382.22500000001</v>
      </c>
      <c r="AU225" s="23">
        <f t="shared" si="1367"/>
        <v>3.4109159184884774</v>
      </c>
      <c r="AV225" s="410">
        <f t="shared" ref="AV225:AX225" si="1420">AV223+AV224</f>
        <v>211006.02499999999</v>
      </c>
      <c r="AW225" s="23">
        <f t="shared" si="1369"/>
        <v>5.1239224949927387</v>
      </c>
      <c r="AX225" s="410">
        <f t="shared" si="1420"/>
        <v>212899.625</v>
      </c>
      <c r="AY225" s="23">
        <f t="shared" si="1370"/>
        <v>4.7454340762490554</v>
      </c>
      <c r="AZ225" s="410">
        <f t="shared" ref="AZ225" si="1421">AZ223+AZ224</f>
        <v>217000.22500000001</v>
      </c>
      <c r="BA225" s="23">
        <f t="shared" si="1372"/>
        <v>6.3817200116921713</v>
      </c>
      <c r="BB225" s="410">
        <f t="shared" ref="BB225:BD225" si="1422">BB223+BB224</f>
        <v>222104.82499999998</v>
      </c>
      <c r="BC225" s="23">
        <f t="shared" si="1374"/>
        <v>6.5853025611949167</v>
      </c>
      <c r="BD225" s="410">
        <f t="shared" si="1422"/>
        <v>224284.32499999998</v>
      </c>
      <c r="BE225" s="23">
        <f t="shared" si="1375"/>
        <v>6.2928534860556606</v>
      </c>
      <c r="BF225" s="36">
        <f t="shared" ref="BF225" si="1423">BF223+BF224</f>
        <v>223275.75907876279</v>
      </c>
      <c r="BG225" s="23">
        <f t="shared" si="1377"/>
        <v>4.8737211626196153</v>
      </c>
      <c r="BH225" s="36">
        <f t="shared" ref="BH225" si="1424">BH223+BH224</f>
        <v>224690.65253384638</v>
      </c>
      <c r="BI225" s="23">
        <f t="shared" si="1379"/>
        <v>3.5439721474235242</v>
      </c>
      <c r="BJ225" s="36">
        <f t="shared" ref="BJ225" si="1425">BJ223+BJ224</f>
        <v>226145.35982746776</v>
      </c>
      <c r="BK225" s="23">
        <f t="shared" si="1381"/>
        <v>1.8192017338964916</v>
      </c>
      <c r="BL225" s="36">
        <f t="shared" ref="BL225" si="1426">BL223+BL224</f>
        <v>227642.5449908271</v>
      </c>
      <c r="BM225" s="23">
        <f t="shared" si="1383"/>
        <v>1.4973048120180188</v>
      </c>
      <c r="BN225" s="5"/>
      <c r="BO225" s="137"/>
      <c r="BP225" s="5"/>
      <c r="BQ225" s="36">
        <f>BQ223+BQ224</f>
        <v>155362.29999999999</v>
      </c>
      <c r="BR225" s="5"/>
      <c r="BS225" s="36">
        <f t="shared" ref="BS225:CA225" si="1427">BS223+BS224</f>
        <v>158487.70000000001</v>
      </c>
      <c r="BT225" s="5"/>
      <c r="BU225" s="36">
        <f t="shared" si="1427"/>
        <v>166121.78899999999</v>
      </c>
      <c r="BV225" s="23">
        <f t="shared" si="1385"/>
        <v>4.8168337353624135</v>
      </c>
      <c r="BW225" s="36">
        <f t="shared" si="1427"/>
        <v>181751.59600000002</v>
      </c>
      <c r="BX225" s="23">
        <f t="shared" si="1386"/>
        <v>9.4086435584919137</v>
      </c>
      <c r="BY225" s="36">
        <f t="shared" si="1427"/>
        <v>199286.41799999998</v>
      </c>
      <c r="BZ225" s="23">
        <f t="shared" si="1387"/>
        <v>9.6476852946039351</v>
      </c>
      <c r="CA225" s="36">
        <f t="shared" si="1427"/>
        <v>206231.01799999998</v>
      </c>
      <c r="CB225" s="23">
        <f t="shared" si="1387"/>
        <v>3.4847332144832821</v>
      </c>
      <c r="CC225" s="36">
        <f t="shared" ref="CC225" si="1428">CC223+CC224</f>
        <v>200721.21799999999</v>
      </c>
      <c r="CD225" s="23">
        <f t="shared" si="1387"/>
        <v>-2.6716640655868651</v>
      </c>
      <c r="CE225" s="36">
        <f t="shared" ref="CE225" si="1429">CE223+CE224</f>
        <v>211006.01799999998</v>
      </c>
      <c r="CF225" s="23">
        <f t="shared" si="1387"/>
        <v>5.1239226736856436</v>
      </c>
      <c r="CG225" s="36">
        <f t="shared" ref="CG225" si="1430">CG223+CG224</f>
        <v>224284.31799999997</v>
      </c>
      <c r="CH225" s="23">
        <f t="shared" si="1387"/>
        <v>6.2928536948173575</v>
      </c>
      <c r="CI225" s="36">
        <f t="shared" ref="CI225" si="1431">CI223+CI224</f>
        <v>227642.53799082706</v>
      </c>
      <c r="CJ225" s="23">
        <f t="shared" si="1387"/>
        <v>1.4973048587494597</v>
      </c>
      <c r="CK225" s="36">
        <f>CK223+CK224</f>
        <v>231585.35800251574</v>
      </c>
      <c r="CL225" s="23">
        <f t="shared" si="1387"/>
        <v>1.7320225149868751</v>
      </c>
      <c r="CM225" s="36">
        <f>CM223+CM224</f>
        <v>236127.27797196445</v>
      </c>
      <c r="CN225" s="23">
        <f t="shared" si="1387"/>
        <v>1.9612293318644891</v>
      </c>
      <c r="CO225" s="36">
        <f>CO223+CO224</f>
        <v>241278.30637348833</v>
      </c>
      <c r="CP225" s="23">
        <f t="shared" si="1387"/>
        <v>2.181462661054967</v>
      </c>
      <c r="CQ225" s="36">
        <f>CQ223+CQ224</f>
        <v>247050.78913098184</v>
      </c>
      <c r="CR225" s="23">
        <f t="shared" si="1387"/>
        <v>2.3924582546422268</v>
      </c>
      <c r="CS225" s="23">
        <f t="shared" si="1388"/>
        <v>1.9524032049491158</v>
      </c>
    </row>
    <row r="226" spans="1:97" ht="12.75" customHeight="1" x14ac:dyDescent="0.2">
      <c r="A226" s="4" t="s">
        <v>205</v>
      </c>
      <c r="B226" s="49">
        <v>63272.235999999997</v>
      </c>
      <c r="C226" s="59"/>
      <c r="D226" s="49">
        <v>63006.254999999997</v>
      </c>
      <c r="E226" s="59"/>
      <c r="F226" s="49">
        <v>57119.627</v>
      </c>
      <c r="G226" s="59"/>
      <c r="H226" s="49">
        <v>58992.375999999997</v>
      </c>
      <c r="I226" s="59"/>
      <c r="J226" s="49">
        <v>58136.601999999999</v>
      </c>
      <c r="K226" s="23">
        <f t="shared" si="1354"/>
        <v>-8.116725952280234</v>
      </c>
      <c r="L226" s="49">
        <v>56024.686999999998</v>
      </c>
      <c r="M226" s="23">
        <f t="shared" si="1354"/>
        <v>-11.080753807697342</v>
      </c>
      <c r="N226" s="49">
        <v>54723.307000000001</v>
      </c>
      <c r="O226" s="23">
        <f t="shared" si="1354"/>
        <v>-4.1952654907918108</v>
      </c>
      <c r="P226" s="48">
        <v>54695.48</v>
      </c>
      <c r="Q226" s="23">
        <f t="shared" si="1354"/>
        <v>-7.2838157934170926</v>
      </c>
      <c r="R226" s="48">
        <v>55732.5</v>
      </c>
      <c r="S226" s="23">
        <f t="shared" si="1354"/>
        <v>-4.1352640458759531</v>
      </c>
      <c r="T226" s="48">
        <v>55294.2</v>
      </c>
      <c r="U226" s="23">
        <f t="shared" si="1354"/>
        <v>-1.3038662759508157</v>
      </c>
      <c r="V226" s="48">
        <v>55843.7</v>
      </c>
      <c r="W226" s="23">
        <f t="shared" si="1354"/>
        <v>2.0473780943099706</v>
      </c>
      <c r="X226" s="48">
        <v>58462.8</v>
      </c>
      <c r="Y226" s="23">
        <f t="shared" si="1354"/>
        <v>6.8878086452482057</v>
      </c>
      <c r="Z226" s="48">
        <v>53688.800000000003</v>
      </c>
      <c r="AA226" s="23">
        <f t="shared" si="1355"/>
        <v>-3.6669806665769467</v>
      </c>
      <c r="AB226" s="48">
        <v>55778.9</v>
      </c>
      <c r="AC226" s="23">
        <f t="shared" si="1356"/>
        <v>0.87658380083264209</v>
      </c>
      <c r="AD226" s="48">
        <v>53080.7</v>
      </c>
      <c r="AE226" s="23">
        <f t="shared" si="1357"/>
        <v>-4.9477380617688249</v>
      </c>
      <c r="AF226" s="48">
        <v>52396.5</v>
      </c>
      <c r="AG226" s="23">
        <f t="shared" si="1358"/>
        <v>-10.376341878938412</v>
      </c>
      <c r="AH226" s="48">
        <v>52861.8</v>
      </c>
      <c r="AI226" s="23">
        <f t="shared" si="1359"/>
        <v>-1.5403585105273399</v>
      </c>
      <c r="AJ226" s="48">
        <v>51391.1</v>
      </c>
      <c r="AK226" s="23">
        <f t="shared" si="1360"/>
        <v>-7.8664154366615335</v>
      </c>
      <c r="AL226" s="48">
        <v>47930.1</v>
      </c>
      <c r="AM226" s="23">
        <f t="shared" si="1361"/>
        <v>-9.7033385015645948</v>
      </c>
      <c r="AN226" s="287">
        <v>48820.2</v>
      </c>
      <c r="AO226" s="23">
        <f t="shared" si="1363"/>
        <v>-6.825455898771871</v>
      </c>
      <c r="AP226" s="287">
        <v>48431.199999999997</v>
      </c>
      <c r="AQ226" s="23">
        <f t="shared" si="1364"/>
        <v>-8.3814777400693981</v>
      </c>
      <c r="AR226" s="287">
        <v>48962.3</v>
      </c>
      <c r="AS226" s="23">
        <f t="shared" si="1366"/>
        <v>-4.7261101630437841</v>
      </c>
      <c r="AT226" s="287">
        <v>50087.9</v>
      </c>
      <c r="AU226" s="23">
        <f t="shared" si="1367"/>
        <v>4.501972664359144</v>
      </c>
      <c r="AV226" s="287">
        <v>49685</v>
      </c>
      <c r="AW226" s="23">
        <f t="shared" si="1369"/>
        <v>1.7713979049655659</v>
      </c>
      <c r="AX226" s="287">
        <v>50519.4</v>
      </c>
      <c r="AY226" s="23">
        <f t="shared" si="1370"/>
        <v>4.3116833776573937</v>
      </c>
      <c r="AZ226" s="287">
        <v>50920.2</v>
      </c>
      <c r="BA226" s="23">
        <f t="shared" si="1372"/>
        <v>3.9987909064729266</v>
      </c>
      <c r="BB226" s="287">
        <v>50460.2</v>
      </c>
      <c r="BC226" s="23">
        <f t="shared" si="1374"/>
        <v>0.74329329039548586</v>
      </c>
      <c r="BD226" s="287">
        <v>50018</v>
      </c>
      <c r="BE226" s="23">
        <f t="shared" si="1375"/>
        <v>0.6702224011271074</v>
      </c>
      <c r="BF226" s="49">
        <f>BD226*0.995</f>
        <v>49767.909999999996</v>
      </c>
      <c r="BG226" s="23">
        <f t="shared" si="1377"/>
        <v>-1.4875275636686225</v>
      </c>
      <c r="BH226" s="49">
        <f>BF226*0.995</f>
        <v>49519.070449999999</v>
      </c>
      <c r="BI226" s="23">
        <f t="shared" si="1379"/>
        <v>-2.7516183165030683</v>
      </c>
      <c r="BJ226" s="49">
        <f>BH226*0.995</f>
        <v>49271.475097750001</v>
      </c>
      <c r="BK226" s="23">
        <f t="shared" si="1381"/>
        <v>-2.3557673220676811</v>
      </c>
      <c r="BL226" s="49">
        <f>BJ226*0.99485</f>
        <v>49017.727000996587</v>
      </c>
      <c r="BM226" s="23">
        <f t="shared" si="1383"/>
        <v>-1.9998260606249985</v>
      </c>
      <c r="BN226" s="5"/>
      <c r="BO226" s="137"/>
      <c r="BP226" s="5"/>
      <c r="BQ226" s="48">
        <v>60096.9</v>
      </c>
      <c r="BR226" s="5"/>
      <c r="BS226" s="48">
        <v>64653.2</v>
      </c>
      <c r="BT226" s="5"/>
      <c r="BU226" s="36">
        <f>H226</f>
        <v>58992.375999999997</v>
      </c>
      <c r="BV226" s="23">
        <f t="shared" si="1385"/>
        <v>-8.7556748931220785</v>
      </c>
      <c r="BW226" s="36">
        <f>P226</f>
        <v>54695.48</v>
      </c>
      <c r="BX226" s="23">
        <f t="shared" si="1386"/>
        <v>-7.2838157934170926</v>
      </c>
      <c r="BY226" s="36">
        <f>X226</f>
        <v>58462.8</v>
      </c>
      <c r="BZ226" s="23">
        <f t="shared" si="1387"/>
        <v>6.8878086452482057</v>
      </c>
      <c r="CA226" s="36">
        <f>AF226</f>
        <v>52396.5</v>
      </c>
      <c r="CB226" s="23">
        <f t="shared" si="1387"/>
        <v>-10.376341878938412</v>
      </c>
      <c r="CC226" s="36">
        <f>AN226</f>
        <v>48820.2</v>
      </c>
      <c r="CD226" s="23">
        <f t="shared" si="1387"/>
        <v>-6.825455898771871</v>
      </c>
      <c r="CE226" s="36">
        <f>AV226</f>
        <v>49685</v>
      </c>
      <c r="CF226" s="23">
        <f t="shared" si="1387"/>
        <v>1.7713979049655659</v>
      </c>
      <c r="CG226" s="36">
        <f>BD226</f>
        <v>50018</v>
      </c>
      <c r="CH226" s="23">
        <f t="shared" si="1387"/>
        <v>0.6702224011271074</v>
      </c>
      <c r="CI226" s="36">
        <f>BL226</f>
        <v>49017.727000996587</v>
      </c>
      <c r="CJ226" s="23">
        <f t="shared" si="1387"/>
        <v>-1.9998260606249985</v>
      </c>
      <c r="CK226" s="287">
        <f>CI226*0.98</f>
        <v>48037.372460976658</v>
      </c>
      <c r="CL226" s="23">
        <f t="shared" si="1387"/>
        <v>-1.9999999999999907</v>
      </c>
      <c r="CM226" s="287">
        <f>CK226*0.98</f>
        <v>47076.625011757125</v>
      </c>
      <c r="CN226" s="23">
        <f t="shared" si="1387"/>
        <v>-2.0000000000000018</v>
      </c>
      <c r="CO226" s="287">
        <f>CM226*0.98</f>
        <v>46135.09251152198</v>
      </c>
      <c r="CP226" s="23">
        <f t="shared" si="1387"/>
        <v>-2.0000000000000018</v>
      </c>
      <c r="CQ226" s="287">
        <f>CO226*0.98</f>
        <v>45212.390661291538</v>
      </c>
      <c r="CR226" s="23">
        <f t="shared" si="1387"/>
        <v>-2.0000000000000018</v>
      </c>
      <c r="CS226" s="23">
        <f t="shared" si="1388"/>
        <v>-1.9999652121497014</v>
      </c>
    </row>
    <row r="227" spans="1:97" ht="12.75" customHeight="1" x14ac:dyDescent="0.2">
      <c r="A227" s="4" t="s">
        <v>207</v>
      </c>
      <c r="B227" s="56">
        <f t="shared" ref="B227:N227" si="1432">B225+B226</f>
        <v>228105.30399999997</v>
      </c>
      <c r="C227" s="59"/>
      <c r="D227" s="56">
        <f t="shared" si="1432"/>
        <v>230543.95499999999</v>
      </c>
      <c r="E227" s="59"/>
      <c r="F227" s="56">
        <f t="shared" si="1432"/>
        <v>219175.85599999997</v>
      </c>
      <c r="G227" s="59"/>
      <c r="H227" s="56">
        <f t="shared" si="1432"/>
        <v>225114.17199999996</v>
      </c>
      <c r="I227" s="59"/>
      <c r="J227" s="56">
        <f t="shared" si="1432"/>
        <v>229063.30499999999</v>
      </c>
      <c r="K227" s="23">
        <f t="shared" si="1354"/>
        <v>0.41998190449794581</v>
      </c>
      <c r="L227" s="56">
        <f t="shared" si="1432"/>
        <v>227547.81399999998</v>
      </c>
      <c r="M227" s="23">
        <f t="shared" si="1354"/>
        <v>-1.2995964261999449</v>
      </c>
      <c r="N227" s="56">
        <f t="shared" si="1432"/>
        <v>231943.99299999999</v>
      </c>
      <c r="O227" s="23">
        <f t="shared" si="1354"/>
        <v>5.8255216760736639</v>
      </c>
      <c r="P227" s="36">
        <f>P225+P226</f>
        <v>236447.08300000001</v>
      </c>
      <c r="Q227" s="23">
        <f t="shared" si="1354"/>
        <v>5.0342947755417367</v>
      </c>
      <c r="R227" s="36">
        <f>R225+R226</f>
        <v>243358.72499999998</v>
      </c>
      <c r="S227" s="23">
        <f t="shared" si="1354"/>
        <v>6.2408162669267186</v>
      </c>
      <c r="T227" s="36">
        <f>T225+T226</f>
        <v>245618.22499999998</v>
      </c>
      <c r="U227" s="23">
        <f t="shared" si="1354"/>
        <v>7.9413687533820942</v>
      </c>
      <c r="V227" s="36">
        <f>V225+V226</f>
        <v>251549.22499999998</v>
      </c>
      <c r="W227" s="23">
        <f t="shared" si="1354"/>
        <v>8.4525715654123488</v>
      </c>
      <c r="X227" s="36">
        <f>X225+X226</f>
        <v>257749.22499999998</v>
      </c>
      <c r="Y227" s="23">
        <f t="shared" si="1354"/>
        <v>9.0092640305484259</v>
      </c>
      <c r="Z227" s="36">
        <f>Z225+Z226</f>
        <v>260466.92499999999</v>
      </c>
      <c r="AA227" s="23">
        <f t="shared" si="1355"/>
        <v>7.030033544102432</v>
      </c>
      <c r="AB227" s="36">
        <f>AB225+AB226</f>
        <v>263361.52500000002</v>
      </c>
      <c r="AC227" s="23">
        <f t="shared" si="1356"/>
        <v>7.2239346245581038</v>
      </c>
      <c r="AD227" s="36">
        <f>AD225+AD226</f>
        <v>259757.625</v>
      </c>
      <c r="AE227" s="23">
        <f t="shared" si="1357"/>
        <v>3.2631386560622477</v>
      </c>
      <c r="AF227" s="36">
        <f>AF225+AF226</f>
        <v>258627.52499999997</v>
      </c>
      <c r="AG227" s="23">
        <f t="shared" si="1358"/>
        <v>0.34075757162799203</v>
      </c>
      <c r="AH227" s="36">
        <f>AH225+AH226</f>
        <v>261622.02499999997</v>
      </c>
      <c r="AI227" s="23">
        <f t="shared" si="1359"/>
        <v>0.44347281329479848</v>
      </c>
      <c r="AJ227" s="36">
        <f>AJ225+AJ226</f>
        <v>257390.12499999997</v>
      </c>
      <c r="AK227" s="23">
        <f t="shared" si="1360"/>
        <v>-2.2673775146160979</v>
      </c>
      <c r="AL227" s="36">
        <f>AL225+AL226</f>
        <v>249439.02499999999</v>
      </c>
      <c r="AM227" s="23">
        <f t="shared" si="1361"/>
        <v>-3.9723954205386658</v>
      </c>
      <c r="AN227" s="410">
        <f t="shared" ref="AN227:AP227" si="1433">AN225+AN226</f>
        <v>249541.42499999999</v>
      </c>
      <c r="AO227" s="23">
        <f t="shared" si="1363"/>
        <v>-3.5131991461465617</v>
      </c>
      <c r="AP227" s="410">
        <f t="shared" si="1433"/>
        <v>251685.52500000002</v>
      </c>
      <c r="AQ227" s="23">
        <f t="shared" si="1364"/>
        <v>-3.7980364994116722</v>
      </c>
      <c r="AR227" s="410">
        <f t="shared" ref="AR227:AT227" si="1434">AR225+AR226</f>
        <v>252944.92499999999</v>
      </c>
      <c r="AS227" s="23">
        <f t="shared" si="1366"/>
        <v>-1.7270281833850376</v>
      </c>
      <c r="AT227" s="410">
        <f t="shared" si="1434"/>
        <v>258470.125</v>
      </c>
      <c r="AU227" s="23">
        <f t="shared" si="1367"/>
        <v>3.6205641839724079</v>
      </c>
      <c r="AV227" s="410">
        <f t="shared" ref="AV227:AX227" si="1435">AV225+AV226</f>
        <v>260691.02499999999</v>
      </c>
      <c r="AW227" s="23">
        <f t="shared" si="1369"/>
        <v>4.4680357179173846</v>
      </c>
      <c r="AX227" s="410">
        <f t="shared" si="1435"/>
        <v>263419.02500000002</v>
      </c>
      <c r="AY227" s="23">
        <f t="shared" si="1370"/>
        <v>4.6619685418936907</v>
      </c>
      <c r="AZ227" s="410">
        <f t="shared" ref="AZ227" si="1436">AZ225+AZ226</f>
        <v>267920.42499999999</v>
      </c>
      <c r="BA227" s="23">
        <f t="shared" si="1372"/>
        <v>5.9204587718057589</v>
      </c>
      <c r="BB227" s="410">
        <f t="shared" ref="BB227:BD227" si="1437">BB225+BB226</f>
        <v>272565.02499999997</v>
      </c>
      <c r="BC227" s="23">
        <f t="shared" si="1374"/>
        <v>5.4532027637623326</v>
      </c>
      <c r="BD227" s="410">
        <f t="shared" si="1437"/>
        <v>274302.32499999995</v>
      </c>
      <c r="BE227" s="23">
        <f t="shared" si="1375"/>
        <v>5.2212384373416576</v>
      </c>
      <c r="BF227" s="36">
        <f t="shared" ref="BF227" si="1438">BF225+BF226</f>
        <v>273043.66907876276</v>
      </c>
      <c r="BG227" s="23">
        <f t="shared" si="1377"/>
        <v>3.653739162827252</v>
      </c>
      <c r="BH227" s="36">
        <f t="shared" ref="BH227" si="1439">BH225+BH226</f>
        <v>274209.72298384638</v>
      </c>
      <c r="BI227" s="23">
        <f t="shared" si="1379"/>
        <v>2.3474499877515376</v>
      </c>
      <c r="BJ227" s="36">
        <f t="shared" ref="BJ227" si="1440">BJ225+BJ226</f>
        <v>275416.83492521779</v>
      </c>
      <c r="BK227" s="23">
        <f t="shared" si="1381"/>
        <v>1.0462860835567023</v>
      </c>
      <c r="BL227" s="36">
        <f t="shared" ref="BL227" si="1441">BL225+BL226</f>
        <v>276660.27199182368</v>
      </c>
      <c r="BM227" s="23">
        <f t="shared" si="1383"/>
        <v>0.85961611583997843</v>
      </c>
      <c r="BN227" s="5"/>
      <c r="BO227" s="137"/>
      <c r="BP227" s="5"/>
      <c r="BQ227" s="36">
        <f>BQ225+BQ226</f>
        <v>215459.19999999998</v>
      </c>
      <c r="BR227" s="5"/>
      <c r="BS227" s="36">
        <f t="shared" ref="BS227:CA227" si="1442">BS225+BS226</f>
        <v>223140.90000000002</v>
      </c>
      <c r="BT227" s="5"/>
      <c r="BU227" s="36">
        <f t="shared" si="1442"/>
        <v>225114.16499999998</v>
      </c>
      <c r="BV227" s="23">
        <f t="shared" si="1385"/>
        <v>0.88431345396562389</v>
      </c>
      <c r="BW227" s="36">
        <f t="shared" si="1442"/>
        <v>236447.07600000003</v>
      </c>
      <c r="BX227" s="23">
        <f t="shared" si="1386"/>
        <v>5.0342949320848263</v>
      </c>
      <c r="BY227" s="36">
        <f t="shared" si="1442"/>
        <v>257749.21799999999</v>
      </c>
      <c r="BZ227" s="23">
        <f t="shared" si="1387"/>
        <v>9.0092642972670731</v>
      </c>
      <c r="CA227" s="36">
        <f t="shared" si="1442"/>
        <v>258627.51799999998</v>
      </c>
      <c r="CB227" s="23">
        <f t="shared" si="1387"/>
        <v>0.34075758088234487</v>
      </c>
      <c r="CC227" s="36">
        <f t="shared" ref="CC227" si="1443">CC225+CC226</f>
        <v>249541.41800000001</v>
      </c>
      <c r="CD227" s="23">
        <f t="shared" si="1387"/>
        <v>-3.5131992412346436</v>
      </c>
      <c r="CE227" s="36">
        <f t="shared" ref="CE227" si="1444">CE225+CE226</f>
        <v>260691.01799999998</v>
      </c>
      <c r="CF227" s="23">
        <f t="shared" si="1387"/>
        <v>4.4680358432522826</v>
      </c>
      <c r="CG227" s="36">
        <f t="shared" ref="CG227" si="1445">CG225+CG226</f>
        <v>274302.31799999997</v>
      </c>
      <c r="CH227" s="23">
        <f t="shared" si="1387"/>
        <v>5.2212385775408654</v>
      </c>
      <c r="CI227" s="36">
        <f t="shared" ref="CI227" si="1446">CI225+CI226</f>
        <v>276660.26499182364</v>
      </c>
      <c r="CJ227" s="23">
        <f t="shared" si="1387"/>
        <v>0.85961613777674195</v>
      </c>
      <c r="CK227" s="36">
        <f>CK225+CK226</f>
        <v>279622.73046349239</v>
      </c>
      <c r="CL227" s="23">
        <f t="shared" si="1387"/>
        <v>1.0707954291001354</v>
      </c>
      <c r="CM227" s="36">
        <f>CM225+CM226</f>
        <v>283203.90298372158</v>
      </c>
      <c r="CN227" s="23">
        <f t="shared" si="1387"/>
        <v>1.2807158110119232</v>
      </c>
      <c r="CO227" s="36">
        <f>CO225+CO226</f>
        <v>287413.39888501033</v>
      </c>
      <c r="CP227" s="23">
        <f t="shared" si="1387"/>
        <v>1.4863834350230309</v>
      </c>
      <c r="CQ227" s="36">
        <f>CQ225+CQ226</f>
        <v>292263.17979227338</v>
      </c>
      <c r="CR227" s="23">
        <f t="shared" si="1387"/>
        <v>1.6873885929038934</v>
      </c>
      <c r="CS227" s="23">
        <f t="shared" si="1388"/>
        <v>1.2765562640989048</v>
      </c>
    </row>
    <row r="228" spans="1:97" ht="12.75" customHeight="1" x14ac:dyDescent="0.2">
      <c r="A228" s="4" t="s">
        <v>145</v>
      </c>
      <c r="B228" s="36">
        <f>AVERAGE(B227)</f>
        <v>228105.30399999997</v>
      </c>
      <c r="C228" s="59"/>
      <c r="D228" s="36">
        <f>AVERAGE(B227,D227)</f>
        <v>229324.62949999998</v>
      </c>
      <c r="E228" s="59"/>
      <c r="F228" s="36">
        <f>AVERAGE(D227,F227)</f>
        <v>224859.90549999999</v>
      </c>
      <c r="G228" s="59"/>
      <c r="H228" s="36">
        <f>AVERAGE(F227,H227)</f>
        <v>222145.01399999997</v>
      </c>
      <c r="I228" s="59"/>
      <c r="J228" s="36">
        <f>AVERAGE(H227,J227)</f>
        <v>227088.73849999998</v>
      </c>
      <c r="K228" s="23">
        <f t="shared" si="1354"/>
        <v>-0.44565623077312821</v>
      </c>
      <c r="L228" s="36">
        <f>AVERAGE(J227,L227)</f>
        <v>228305.55949999997</v>
      </c>
      <c r="M228" s="23">
        <f t="shared" si="1354"/>
        <v>-0.44437878400671593</v>
      </c>
      <c r="N228" s="36">
        <f>AVERAGE(L227,N227)</f>
        <v>229745.90349999999</v>
      </c>
      <c r="O228" s="23">
        <f t="shared" si="1354"/>
        <v>2.1729076106900669</v>
      </c>
      <c r="P228" s="36">
        <f>AVERAGE(N227,P227)</f>
        <v>234195.538</v>
      </c>
      <c r="Q228" s="23">
        <f t="shared" si="1354"/>
        <v>5.4246205138774872</v>
      </c>
      <c r="R228" s="36">
        <f>AVERAGE(P227,R227)</f>
        <v>239902.90399999998</v>
      </c>
      <c r="S228" s="23">
        <f t="shared" si="1354"/>
        <v>5.642800952897109</v>
      </c>
      <c r="T228" s="36">
        <f>AVERAGE(R227,T227)</f>
        <v>244488.47499999998</v>
      </c>
      <c r="U228" s="23">
        <f t="shared" si="1354"/>
        <v>7.0882704457313039</v>
      </c>
      <c r="V228" s="36">
        <f>AVERAGE(T227,V227)</f>
        <v>248583.72499999998</v>
      </c>
      <c r="W228" s="23">
        <f t="shared" si="1354"/>
        <v>8.1994156209187921</v>
      </c>
      <c r="X228" s="36">
        <f>AVERAGE(V227,X227)</f>
        <v>254649.22499999998</v>
      </c>
      <c r="Y228" s="23">
        <f t="shared" si="1354"/>
        <v>8.7335938057026432</v>
      </c>
      <c r="Z228" s="36">
        <f>AVERAGE(X227,Z227)</f>
        <v>259108.07499999998</v>
      </c>
      <c r="AA228" s="23">
        <f t="shared" si="1355"/>
        <v>8.0053932986155161</v>
      </c>
      <c r="AB228" s="36">
        <f>AVERAGE(Z227,AB227)</f>
        <v>261914.22500000001</v>
      </c>
      <c r="AC228" s="23">
        <f t="shared" si="1356"/>
        <v>7.1274320803874414</v>
      </c>
      <c r="AD228" s="36">
        <f>AVERAGE(AB227,AD227)</f>
        <v>261559.57500000001</v>
      </c>
      <c r="AE228" s="23">
        <f t="shared" si="1357"/>
        <v>5.2199113196167657</v>
      </c>
      <c r="AF228" s="36">
        <f>AVERAGE(AD227,AF227)</f>
        <v>259192.57499999998</v>
      </c>
      <c r="AG228" s="23">
        <f t="shared" si="1358"/>
        <v>1.784160152068015</v>
      </c>
      <c r="AH228" s="36">
        <f>AVERAGE(AF227,AH227)</f>
        <v>260124.77499999997</v>
      </c>
      <c r="AI228" s="23">
        <f t="shared" si="1359"/>
        <v>0.39238452911973809</v>
      </c>
      <c r="AJ228" s="36">
        <f>AVERAGE(AH227,AJ227)</f>
        <v>259506.07499999995</v>
      </c>
      <c r="AK228" s="23">
        <f t="shared" si="1360"/>
        <v>-0.91944223342587117</v>
      </c>
      <c r="AL228" s="36">
        <f>AVERAGE(AJ227,AL227)</f>
        <v>253414.57499999998</v>
      </c>
      <c r="AM228" s="23">
        <f t="shared" si="1361"/>
        <v>-3.1140133179984097</v>
      </c>
      <c r="AN228" s="410">
        <f t="shared" ref="AN228:AP228" si="1447">AVERAGE(AL227,AN227)</f>
        <v>249490.22499999998</v>
      </c>
      <c r="AO228" s="23">
        <f t="shared" si="1363"/>
        <v>-3.7432978163051134</v>
      </c>
      <c r="AP228" s="410">
        <f t="shared" si="1447"/>
        <v>250613.47500000001</v>
      </c>
      <c r="AQ228" s="23">
        <f t="shared" si="1364"/>
        <v>-3.6564375692395901</v>
      </c>
      <c r="AR228" s="410">
        <f t="shared" ref="AR228:AT228" si="1448">AVERAGE(AP227,AR227)</f>
        <v>252315.22500000001</v>
      </c>
      <c r="AS228" s="23">
        <f t="shared" si="1366"/>
        <v>-2.7709755927678992</v>
      </c>
      <c r="AT228" s="410">
        <f t="shared" si="1448"/>
        <v>255707.52499999999</v>
      </c>
      <c r="AU228" s="23">
        <f t="shared" si="1367"/>
        <v>0.90482167412826442</v>
      </c>
      <c r="AV228" s="410">
        <f t="shared" ref="AV228:AX228" si="1449">AVERAGE(AT227,AV227)</f>
        <v>259580.57500000001</v>
      </c>
      <c r="AW228" s="23">
        <f t="shared" si="1369"/>
        <v>4.0443869093468532</v>
      </c>
      <c r="AX228" s="410">
        <f t="shared" si="1449"/>
        <v>262055.02500000002</v>
      </c>
      <c r="AY228" s="23">
        <f t="shared" si="1370"/>
        <v>4.565416923411636</v>
      </c>
      <c r="AZ228" s="410">
        <f t="shared" ref="AZ228" si="1450">AVERAGE(AX227,AZ227)</f>
        <v>265669.72499999998</v>
      </c>
      <c r="BA228" s="23">
        <f t="shared" si="1372"/>
        <v>5.2927840561345363</v>
      </c>
      <c r="BB228" s="410">
        <f t="shared" ref="BB228:BD228" si="1451">AVERAGE(AZ227,BB227)</f>
        <v>270242.72499999998</v>
      </c>
      <c r="BC228" s="23">
        <f t="shared" si="1374"/>
        <v>5.6843067093938604</v>
      </c>
      <c r="BD228" s="410">
        <f t="shared" si="1451"/>
        <v>273433.67499999993</v>
      </c>
      <c r="BE228" s="23">
        <f t="shared" si="1375"/>
        <v>5.3367244448086826</v>
      </c>
      <c r="BF228" s="36">
        <f t="shared" ref="BF228:BJ228" si="1452">AVERAGE(BD227,BF227)</f>
        <v>273672.99703938136</v>
      </c>
      <c r="BG228" s="23">
        <f t="shared" si="1377"/>
        <v>4.4334093724710311</v>
      </c>
      <c r="BH228" s="36">
        <f t="shared" si="1452"/>
        <v>273626.69603130454</v>
      </c>
      <c r="BI228" s="23">
        <f t="shared" si="1379"/>
        <v>2.9950612668811161</v>
      </c>
      <c r="BJ228" s="36">
        <f t="shared" si="1452"/>
        <v>274813.27895453211</v>
      </c>
      <c r="BK228" s="23">
        <f t="shared" si="1381"/>
        <v>1.691277333934571</v>
      </c>
      <c r="BL228" s="36">
        <f t="shared" ref="BL228" si="1453">AVERAGE(BJ227,BL227)</f>
        <v>276038.55345852074</v>
      </c>
      <c r="BM228" s="23">
        <f t="shared" si="1383"/>
        <v>0.95265459110727146</v>
      </c>
      <c r="BN228" s="5"/>
      <c r="BO228" s="137"/>
      <c r="BP228" s="5"/>
      <c r="BQ228" s="32">
        <f>AVERAGE(BQ227)</f>
        <v>215459.19999999998</v>
      </c>
      <c r="BR228" s="32"/>
      <c r="BS228" s="36">
        <f>AVERAGE(BQ227,BS227)</f>
        <v>219300.05</v>
      </c>
      <c r="BT228" s="32"/>
      <c r="BU228" s="36">
        <f>AVERAGE(BS227,BU227)</f>
        <v>224127.5325</v>
      </c>
      <c r="BV228" s="23">
        <f t="shared" si="1385"/>
        <v>2.2013139075891752</v>
      </c>
      <c r="BW228" s="36">
        <f>AVERAGE(BU227,BW227)</f>
        <v>230780.62050000002</v>
      </c>
      <c r="BX228" s="23">
        <f t="shared" si="1386"/>
        <v>2.9684385161381277</v>
      </c>
      <c r="BY228" s="36">
        <f>AVERAGE(BW227,BY227)</f>
        <v>247098.147</v>
      </c>
      <c r="BZ228" s="23">
        <f t="shared" si="1387"/>
        <v>7.0705791780293792</v>
      </c>
      <c r="CA228" s="36">
        <f>AVERAGE(BY227,CA227)</f>
        <v>258188.36799999999</v>
      </c>
      <c r="CB228" s="23">
        <f t="shared" si="1387"/>
        <v>4.4881846078756782</v>
      </c>
      <c r="CC228" s="36">
        <f>AVERAGE(CA227,CC227)</f>
        <v>254084.46799999999</v>
      </c>
      <c r="CD228" s="23">
        <f t="shared" si="1387"/>
        <v>-1.589498408386858</v>
      </c>
      <c r="CE228" s="36">
        <f>AVERAGE(CC227,CE227)</f>
        <v>255116.21799999999</v>
      </c>
      <c r="CF228" s="23">
        <f t="shared" si="1387"/>
        <v>0.4060657497568787</v>
      </c>
      <c r="CG228" s="36">
        <f>AVERAGE(CE227,CG227)</f>
        <v>267496.66799999995</v>
      </c>
      <c r="CH228" s="23">
        <f t="shared" si="1387"/>
        <v>4.8528667040681706</v>
      </c>
      <c r="CI228" s="36">
        <f>AVERAGE(CG227,CI227)</f>
        <v>275481.29149591178</v>
      </c>
      <c r="CJ228" s="23">
        <f t="shared" si="1387"/>
        <v>2.9849431604553001</v>
      </c>
      <c r="CK228" s="36">
        <f>AVERAGE(CI227,CK227)</f>
        <v>278141.49772765802</v>
      </c>
      <c r="CL228" s="23">
        <f t="shared" si="1387"/>
        <v>0.96565767399334757</v>
      </c>
      <c r="CM228" s="36">
        <f>AVERAGE(CK227,CM227)</f>
        <v>281413.31672360701</v>
      </c>
      <c r="CN228" s="23">
        <f t="shared" si="1387"/>
        <v>1.1763145818509235</v>
      </c>
      <c r="CO228" s="36">
        <f>AVERAGE(CM227,CO227)</f>
        <v>285308.65093436593</v>
      </c>
      <c r="CP228" s="23">
        <f t="shared" si="1387"/>
        <v>1.3842039375075998</v>
      </c>
      <c r="CQ228" s="36">
        <f>AVERAGE(CO227,CQ227)</f>
        <v>289838.28933864186</v>
      </c>
      <c r="CR228" s="23">
        <f t="shared" si="1387"/>
        <v>1.5876274306585891</v>
      </c>
      <c r="CS228" s="23">
        <f t="shared" si="1388"/>
        <v>1.6172590083841198</v>
      </c>
    </row>
    <row r="229" spans="1:97" ht="12.75" customHeight="1" x14ac:dyDescent="0.2">
      <c r="J229" s="32"/>
      <c r="L229" s="32"/>
      <c r="N229" s="32"/>
      <c r="P229" s="32"/>
      <c r="R229" s="32"/>
      <c r="T229" s="32"/>
      <c r="V229" s="32"/>
      <c r="X229" s="32"/>
      <c r="Z229" s="32"/>
      <c r="AB229" s="32"/>
      <c r="AD229" s="32"/>
      <c r="AF229" s="32"/>
      <c r="AH229" s="32"/>
      <c r="AJ229" s="32"/>
      <c r="AL229" s="32"/>
      <c r="AN229" s="484"/>
      <c r="AP229" s="484"/>
      <c r="AR229" s="484"/>
      <c r="AT229" s="484"/>
      <c r="AV229" s="484"/>
      <c r="AX229" s="484"/>
      <c r="AZ229" s="484"/>
      <c r="BB229" s="484"/>
      <c r="BD229" s="484"/>
      <c r="BF229" s="32"/>
      <c r="BH229" s="32"/>
      <c r="BJ229" s="32"/>
      <c r="BL229" s="32"/>
      <c r="BN229" s="5"/>
      <c r="BO229" s="136"/>
      <c r="BP229" s="5"/>
      <c r="BQ229" s="5"/>
      <c r="BR229" s="5"/>
      <c r="BS229" s="5"/>
      <c r="BT229" s="5"/>
      <c r="BU229" s="5"/>
      <c r="BW229" s="5"/>
    </row>
    <row r="230" spans="1:97" ht="12.75" customHeight="1" x14ac:dyDescent="0.2">
      <c r="A230" s="4" t="s">
        <v>446</v>
      </c>
      <c r="J230" s="32"/>
      <c r="L230" s="32"/>
      <c r="N230" s="32"/>
      <c r="P230" s="32"/>
      <c r="R230" s="99">
        <v>1040.4000000000001</v>
      </c>
      <c r="T230" s="99">
        <v>572.20000000000005</v>
      </c>
      <c r="V230" s="99">
        <v>1722.3</v>
      </c>
      <c r="X230" s="99">
        <v>10</v>
      </c>
      <c r="Z230" s="99">
        <v>4340.2</v>
      </c>
      <c r="AB230" s="99">
        <v>-401.4</v>
      </c>
      <c r="AD230" s="99">
        <v>1581.4</v>
      </c>
      <c r="AF230" s="99">
        <v>255.5</v>
      </c>
      <c r="AH230" s="99">
        <v>-230.9</v>
      </c>
      <c r="AJ230" s="99">
        <v>-276</v>
      </c>
      <c r="AL230" s="99">
        <v>28.3</v>
      </c>
      <c r="AN230" s="505">
        <v>-193.3</v>
      </c>
      <c r="AP230" s="505">
        <v>-31.9</v>
      </c>
      <c r="AR230" s="505">
        <v>-30</v>
      </c>
      <c r="AT230" s="505">
        <v>309.5</v>
      </c>
      <c r="AV230" s="505">
        <v>-46</v>
      </c>
      <c r="AX230" s="505">
        <v>-306.89999999999998</v>
      </c>
      <c r="AZ230" s="505">
        <v>-514.79999999999995</v>
      </c>
      <c r="BB230" s="505">
        <v>1231.7</v>
      </c>
      <c r="BD230" s="505">
        <v>-530</v>
      </c>
      <c r="BF230" s="32"/>
      <c r="BH230" s="32"/>
      <c r="BJ230" s="32"/>
      <c r="BL230" s="32"/>
      <c r="BN230" s="5"/>
      <c r="BO230" s="136"/>
      <c r="BP230" s="5"/>
      <c r="BQ230" s="5"/>
      <c r="BR230" s="5"/>
      <c r="BS230" s="5"/>
      <c r="BT230" s="5"/>
      <c r="BU230" s="5"/>
      <c r="BW230" s="5"/>
    </row>
    <row r="231" spans="1:97" ht="12.75" customHeight="1" x14ac:dyDescent="0.2">
      <c r="A231" s="4" t="s">
        <v>447</v>
      </c>
      <c r="J231" s="32"/>
      <c r="L231" s="32"/>
      <c r="N231" s="32"/>
      <c r="P231" s="32"/>
      <c r="R231" s="99">
        <v>-493.6</v>
      </c>
      <c r="T231" s="99">
        <v>-617.79999999999995</v>
      </c>
      <c r="V231" s="99">
        <v>-603.79999999999995</v>
      </c>
      <c r="X231" s="99">
        <v>-651.1</v>
      </c>
      <c r="Z231" s="99">
        <v>-801.3</v>
      </c>
      <c r="AB231" s="99">
        <v>-861.5</v>
      </c>
      <c r="AD231" s="99">
        <v>-990</v>
      </c>
      <c r="AF231" s="99">
        <v>-1243.5</v>
      </c>
      <c r="AH231" s="99">
        <v>-843.2</v>
      </c>
      <c r="AJ231" s="99">
        <v>-1025</v>
      </c>
      <c r="AL231" s="99">
        <v>-805.7</v>
      </c>
      <c r="AN231" s="505">
        <v>-742.2</v>
      </c>
      <c r="AP231" s="505">
        <v>-672.9</v>
      </c>
      <c r="AR231" s="505">
        <v>-678.4</v>
      </c>
      <c r="AT231" s="505">
        <v>-813.8</v>
      </c>
      <c r="AV231" s="505">
        <v>-907.9</v>
      </c>
      <c r="AX231" s="505">
        <v>-1414.8</v>
      </c>
      <c r="AZ231" s="505">
        <v>-699.7</v>
      </c>
      <c r="BB231" s="505">
        <v>-948.1</v>
      </c>
      <c r="BD231" s="505">
        <v>-1443</v>
      </c>
      <c r="BF231" s="32"/>
      <c r="BH231" s="32"/>
      <c r="BJ231" s="32"/>
      <c r="BL231" s="32"/>
      <c r="BN231" s="5"/>
      <c r="BO231" s="136"/>
      <c r="BP231" s="5"/>
      <c r="BQ231" s="5"/>
      <c r="BR231" s="5"/>
      <c r="BS231" s="5"/>
      <c r="BT231" s="5"/>
      <c r="BU231" s="5"/>
      <c r="BW231" s="5"/>
    </row>
    <row r="232" spans="1:97" ht="12.75" customHeight="1" x14ac:dyDescent="0.2">
      <c r="A232" s="4" t="s">
        <v>448</v>
      </c>
      <c r="J232" s="32"/>
      <c r="L232" s="32"/>
      <c r="N232" s="32"/>
      <c r="P232" s="32"/>
      <c r="R232" s="32">
        <f>R230+R231</f>
        <v>546.80000000000007</v>
      </c>
      <c r="T232" s="32">
        <f>T230+T231</f>
        <v>-45.599999999999909</v>
      </c>
      <c r="V232" s="32">
        <f>V230+V231</f>
        <v>1118.5</v>
      </c>
      <c r="X232" s="32">
        <f>X230+X231</f>
        <v>-641.1</v>
      </c>
      <c r="Z232" s="32">
        <f>Z230+Z231</f>
        <v>3538.8999999999996</v>
      </c>
      <c r="AB232" s="32">
        <f>AB230+AB231</f>
        <v>-1262.9000000000001</v>
      </c>
      <c r="AD232" s="32">
        <f>AD230+AD231</f>
        <v>591.40000000000009</v>
      </c>
      <c r="AF232" s="32">
        <f>AF230+AF231</f>
        <v>-988</v>
      </c>
      <c r="AH232" s="32">
        <f>AH230+AH231</f>
        <v>-1074.1000000000001</v>
      </c>
      <c r="AJ232" s="32">
        <f>AJ230+AJ231</f>
        <v>-1301</v>
      </c>
      <c r="AL232" s="32">
        <f>AL230+AL231</f>
        <v>-777.40000000000009</v>
      </c>
      <c r="AN232" s="484">
        <f t="shared" ref="AN232:AP232" si="1454">AN230+AN231</f>
        <v>-935.5</v>
      </c>
      <c r="AP232" s="484">
        <f t="shared" si="1454"/>
        <v>-704.8</v>
      </c>
      <c r="AR232" s="484">
        <f t="shared" ref="AR232:AT232" si="1455">AR230+AR231</f>
        <v>-708.4</v>
      </c>
      <c r="AT232" s="484">
        <f t="shared" si="1455"/>
        <v>-504.29999999999995</v>
      </c>
      <c r="AV232" s="484">
        <f t="shared" ref="AV232:AX232" si="1456">AV230+AV231</f>
        <v>-953.9</v>
      </c>
      <c r="AX232" s="484">
        <f t="shared" si="1456"/>
        <v>-1721.6999999999998</v>
      </c>
      <c r="AZ232" s="484">
        <f t="shared" ref="AZ232" si="1457">AZ230+AZ231</f>
        <v>-1214.5</v>
      </c>
      <c r="BB232" s="484">
        <f t="shared" ref="BB232:BD232" si="1458">BB230+BB231</f>
        <v>283.60000000000002</v>
      </c>
      <c r="BD232" s="484">
        <f t="shared" si="1458"/>
        <v>-1973</v>
      </c>
      <c r="BF232" s="32"/>
      <c r="BH232" s="32"/>
      <c r="BJ232" s="32"/>
      <c r="BL232" s="32"/>
      <c r="BN232" s="5"/>
      <c r="BO232" s="136"/>
      <c r="BP232" s="5"/>
      <c r="BQ232" s="5"/>
      <c r="BR232" s="5"/>
      <c r="BS232" s="5"/>
      <c r="BT232" s="5"/>
      <c r="BU232" s="5"/>
      <c r="BW232" s="5"/>
    </row>
    <row r="233" spans="1:97" ht="12.75" customHeight="1" x14ac:dyDescent="0.2">
      <c r="A233" s="4" t="s">
        <v>450</v>
      </c>
      <c r="J233" s="32"/>
      <c r="L233" s="32"/>
      <c r="N233" s="32"/>
      <c r="P233" s="32"/>
      <c r="R233" s="32">
        <f>R196</f>
        <v>2630.7000000000003</v>
      </c>
      <c r="T233" s="32">
        <f>T196</f>
        <v>3145.2000000000003</v>
      </c>
      <c r="V233" s="32">
        <f>V196</f>
        <v>714.80000000000018</v>
      </c>
      <c r="X233" s="32">
        <f>X196</f>
        <v>1286.9999999999995</v>
      </c>
      <c r="Z233" s="32">
        <f>Z196</f>
        <v>1345.3000000000002</v>
      </c>
      <c r="AB233" s="32">
        <f>AB196</f>
        <v>-594.80000000000018</v>
      </c>
      <c r="AD233" s="32">
        <f>AD196</f>
        <v>-412.60000000000036</v>
      </c>
      <c r="AF233" s="32">
        <f>AF196</f>
        <v>798.5</v>
      </c>
      <c r="AH233" s="32">
        <f>AH196</f>
        <v>748.5</v>
      </c>
      <c r="AJ233" s="32">
        <f>AJ196</f>
        <v>545.80000000000018</v>
      </c>
      <c r="AL233" s="32">
        <f>AL196</f>
        <v>-1126.2999999999997</v>
      </c>
      <c r="AN233" s="484">
        <f t="shared" ref="AN233:AP233" si="1459">AN196</f>
        <v>-686</v>
      </c>
      <c r="AP233" s="484">
        <f t="shared" si="1459"/>
        <v>517.29999999999973</v>
      </c>
      <c r="AR233" s="484">
        <f t="shared" ref="AR233:AT233" si="1460">AR196</f>
        <v>464</v>
      </c>
      <c r="AT233" s="484">
        <f t="shared" si="1460"/>
        <v>174.80000000000018</v>
      </c>
      <c r="AV233" s="484">
        <f t="shared" ref="AV233:AX233" si="1461">AV196</f>
        <v>1583</v>
      </c>
      <c r="AX233" s="484">
        <f t="shared" si="1461"/>
        <v>568.40000000000009</v>
      </c>
      <c r="AZ233" s="484">
        <f t="shared" ref="AZ233" si="1462">AZ196</f>
        <v>2384.9999999999995</v>
      </c>
      <c r="BB233" s="484">
        <f t="shared" ref="BB233:BD233" si="1463">BB196</f>
        <v>1227.9000000000001</v>
      </c>
      <c r="BD233" s="484">
        <f t="shared" si="1463"/>
        <v>835</v>
      </c>
      <c r="BF233" s="32"/>
      <c r="BH233" s="32"/>
      <c r="BJ233" s="32"/>
      <c r="BL233" s="32"/>
      <c r="BN233" s="5"/>
      <c r="BO233" s="136"/>
      <c r="BP233" s="5"/>
      <c r="BQ233" s="5"/>
      <c r="BR233" s="5"/>
      <c r="BS233" s="5"/>
      <c r="BT233" s="5"/>
      <c r="BU233" s="5"/>
      <c r="BW233" s="5"/>
    </row>
    <row r="234" spans="1:97" ht="12.75" customHeight="1" x14ac:dyDescent="0.2">
      <c r="A234" s="4" t="s">
        <v>449</v>
      </c>
      <c r="J234" s="32"/>
      <c r="L234" s="32"/>
      <c r="N234" s="32"/>
      <c r="P234" s="32"/>
      <c r="R234" s="32">
        <f>R232+R233</f>
        <v>3177.5000000000005</v>
      </c>
      <c r="T234" s="32">
        <f>T232+T233</f>
        <v>3099.6000000000004</v>
      </c>
      <c r="V234" s="32">
        <f>V232+V233</f>
        <v>1833.3000000000002</v>
      </c>
      <c r="X234" s="32">
        <f>X232+X233</f>
        <v>645.89999999999952</v>
      </c>
      <c r="Z234" s="32">
        <f>Z232+Z233</f>
        <v>4884.2</v>
      </c>
      <c r="AB234" s="32">
        <f>AB232+AB233</f>
        <v>-1857.7000000000003</v>
      </c>
      <c r="AD234" s="32">
        <f>AD232+AD233</f>
        <v>178.79999999999973</v>
      </c>
      <c r="AF234" s="32">
        <f>AF232+AF233</f>
        <v>-189.5</v>
      </c>
      <c r="AH234" s="32">
        <f>AH232+AH233</f>
        <v>-325.60000000000014</v>
      </c>
      <c r="AJ234" s="32">
        <f>AJ232+AJ233</f>
        <v>-755.19999999999982</v>
      </c>
      <c r="AL234" s="32">
        <f>AL232+AL233</f>
        <v>-1903.6999999999998</v>
      </c>
      <c r="AN234" s="484">
        <f t="shared" ref="AN234:AP234" si="1464">AN232+AN233</f>
        <v>-1621.5</v>
      </c>
      <c r="AP234" s="484">
        <f t="shared" si="1464"/>
        <v>-187.50000000000023</v>
      </c>
      <c r="AR234" s="484">
        <f t="shared" ref="AR234:AT234" si="1465">AR232+AR233</f>
        <v>-244.39999999999998</v>
      </c>
      <c r="AT234" s="484">
        <f t="shared" si="1465"/>
        <v>-329.49999999999977</v>
      </c>
      <c r="AV234" s="484">
        <f t="shared" ref="AV234:AX234" si="1466">AV232+AV233</f>
        <v>629.1</v>
      </c>
      <c r="AX234" s="484">
        <f t="shared" si="1466"/>
        <v>-1153.2999999999997</v>
      </c>
      <c r="AZ234" s="484">
        <f t="shared" ref="AZ234" si="1467">AZ232+AZ233</f>
        <v>1170.4999999999995</v>
      </c>
      <c r="BB234" s="484">
        <f t="shared" ref="BB234:BD234" si="1468">BB232+BB233</f>
        <v>1511.5</v>
      </c>
      <c r="BD234" s="484">
        <f t="shared" si="1468"/>
        <v>-1138</v>
      </c>
      <c r="BF234" s="32"/>
      <c r="BH234" s="32"/>
      <c r="BJ234" s="32"/>
      <c r="BL234" s="32"/>
      <c r="BN234" s="5"/>
      <c r="BO234" s="136"/>
      <c r="BP234" s="5"/>
      <c r="BQ234" s="5"/>
      <c r="BR234" s="5"/>
      <c r="BS234" s="5"/>
      <c r="BT234" s="5"/>
      <c r="BU234" s="5"/>
      <c r="BW234" s="5"/>
    </row>
    <row r="235" spans="1:97" ht="12.75" customHeight="1" x14ac:dyDescent="0.2">
      <c r="J235" s="32"/>
      <c r="L235" s="32"/>
      <c r="N235" s="32"/>
      <c r="P235" s="32"/>
      <c r="R235" s="32"/>
      <c r="T235" s="32"/>
      <c r="V235" s="32"/>
      <c r="X235" s="32"/>
      <c r="Z235" s="32"/>
      <c r="AB235" s="32"/>
      <c r="AD235" s="32"/>
      <c r="AF235" s="32"/>
      <c r="AH235" s="32"/>
      <c r="AJ235" s="32"/>
      <c r="AL235" s="32"/>
      <c r="AN235" s="484"/>
      <c r="AP235" s="484"/>
      <c r="AR235" s="484"/>
      <c r="AT235" s="484"/>
      <c r="AV235" s="484"/>
      <c r="AX235" s="484"/>
      <c r="AZ235" s="484"/>
      <c r="BB235" s="484"/>
      <c r="BD235" s="484"/>
      <c r="BF235" s="32"/>
      <c r="BH235" s="32"/>
      <c r="BJ235" s="32"/>
      <c r="BL235" s="32"/>
      <c r="BN235" s="5"/>
      <c r="BO235" s="136"/>
      <c r="BP235" s="5"/>
      <c r="BQ235" s="5"/>
      <c r="BR235" s="5"/>
      <c r="BS235" s="5"/>
      <c r="BT235" s="5"/>
      <c r="BU235" s="5"/>
      <c r="BW235" s="5"/>
    </row>
    <row r="236" spans="1:97" ht="12.75" customHeight="1" x14ac:dyDescent="0.2">
      <c r="A236" s="4" t="s">
        <v>451</v>
      </c>
      <c r="J236" s="32"/>
      <c r="L236" s="32"/>
      <c r="N236" s="32"/>
      <c r="P236" s="32"/>
      <c r="R236" s="99">
        <v>3026.4</v>
      </c>
      <c r="T236" s="99">
        <v>3180.4</v>
      </c>
      <c r="V236" s="99">
        <v>1567.5</v>
      </c>
      <c r="X236" s="99">
        <v>1297</v>
      </c>
      <c r="Z236" s="99">
        <v>1013.6</v>
      </c>
      <c r="AB236" s="99">
        <v>-996.2</v>
      </c>
      <c r="AD236" s="99">
        <v>-961.4</v>
      </c>
      <c r="AF236" s="99">
        <v>268.89999999999998</v>
      </c>
      <c r="AH236" s="99">
        <v>517.6</v>
      </c>
      <c r="AJ236" s="99">
        <v>269.8</v>
      </c>
      <c r="AL236" s="99">
        <v>-2503.6</v>
      </c>
      <c r="AN236" s="505">
        <v>-879.3</v>
      </c>
      <c r="AP236" s="505">
        <v>485.4</v>
      </c>
      <c r="AR236" s="505">
        <v>434</v>
      </c>
      <c r="AT236" s="505">
        <v>297.39999999999998</v>
      </c>
      <c r="AV236" s="505">
        <v>1537</v>
      </c>
      <c r="AX236" s="505">
        <v>261.5</v>
      </c>
      <c r="AZ236" s="505">
        <v>1870.2</v>
      </c>
      <c r="BB236" s="505">
        <v>1603</v>
      </c>
      <c r="BD236" s="505">
        <v>305</v>
      </c>
      <c r="BF236" s="32"/>
      <c r="BH236" s="32"/>
      <c r="BJ236" s="32"/>
      <c r="BL236" s="32"/>
      <c r="BN236" s="5"/>
      <c r="BO236" s="136"/>
      <c r="BP236" s="5"/>
      <c r="BQ236" s="5"/>
      <c r="BR236" s="5"/>
      <c r="BS236" s="5"/>
      <c r="BT236" s="5"/>
      <c r="BU236" s="5"/>
      <c r="BW236" s="5"/>
    </row>
    <row r="237" spans="1:97" ht="12.75" customHeight="1" x14ac:dyDescent="0.2">
      <c r="J237" s="32"/>
      <c r="L237" s="32"/>
      <c r="N237" s="32"/>
      <c r="P237" s="32"/>
      <c r="R237" s="32"/>
      <c r="T237" s="32"/>
      <c r="V237" s="32"/>
      <c r="X237" s="32"/>
      <c r="Z237" s="32"/>
      <c r="AB237" s="32"/>
      <c r="AD237" s="32"/>
      <c r="AF237" s="32"/>
      <c r="AH237" s="32"/>
      <c r="AJ237" s="32"/>
      <c r="AL237" s="32"/>
      <c r="AN237" s="484"/>
      <c r="AP237" s="484"/>
      <c r="AR237" s="484"/>
      <c r="AT237" s="484"/>
      <c r="AV237" s="484"/>
      <c r="AX237" s="484"/>
      <c r="AZ237" s="484"/>
      <c r="BB237" s="484"/>
      <c r="BD237" s="484"/>
      <c r="BF237" s="32"/>
      <c r="BH237" s="32"/>
      <c r="BJ237" s="32"/>
      <c r="BL237" s="32"/>
      <c r="BN237" s="5"/>
      <c r="BO237" s="136"/>
      <c r="BP237" s="5"/>
      <c r="BQ237" s="5"/>
      <c r="BR237" s="5"/>
      <c r="BS237" s="5"/>
      <c r="BT237" s="5"/>
      <c r="BU237" s="5"/>
      <c r="BW237" s="5"/>
    </row>
    <row r="238" spans="1:97" ht="12.75" customHeight="1" x14ac:dyDescent="0.2">
      <c r="A238" s="4" t="s">
        <v>292</v>
      </c>
      <c r="B238" s="36">
        <f>B188+B205</f>
        <v>6809.1</v>
      </c>
      <c r="D238" s="36">
        <f>D188+D205</f>
        <v>5537.1</v>
      </c>
      <c r="F238" s="36">
        <f>F188+F205</f>
        <v>3695.4</v>
      </c>
      <c r="H238" s="36">
        <f>H188+H205</f>
        <v>3814.3</v>
      </c>
      <c r="J238" s="36">
        <f>J188+J205</f>
        <v>7666.3</v>
      </c>
      <c r="K238" s="23">
        <f t="shared" ref="K238:Y239" si="1469">IF(ISERROR((J238/B238-1)*100),"NA",IF(((J238/B238-1)*100)&gt;100,"NM",IF(((J238/B238-1)*100)&lt;-50,"NM",(J238/B238-1)*100)))</f>
        <v>12.58903526163515</v>
      </c>
      <c r="L238" s="36">
        <f>L188+L205</f>
        <v>3362.9</v>
      </c>
      <c r="M238" s="23">
        <f t="shared" si="1469"/>
        <v>-39.266041790829135</v>
      </c>
      <c r="N238" s="36">
        <f>N188+N205</f>
        <v>6218.7999999999993</v>
      </c>
      <c r="O238" s="23">
        <f t="shared" si="1469"/>
        <v>68.284894733993596</v>
      </c>
      <c r="P238" s="36">
        <f>P188+P205</f>
        <v>8454.5</v>
      </c>
      <c r="Q238" s="23" t="str">
        <f t="shared" si="1469"/>
        <v>NM</v>
      </c>
      <c r="R238" s="36">
        <f>R188+R205</f>
        <v>6822.3</v>
      </c>
      <c r="S238" s="23">
        <f t="shared" si="1469"/>
        <v>-11.009222180191225</v>
      </c>
      <c r="T238" s="36">
        <f>T188+T205</f>
        <v>7321.7000000000007</v>
      </c>
      <c r="U238" s="23" t="str">
        <f t="shared" si="1469"/>
        <v>NM</v>
      </c>
      <c r="V238" s="36">
        <f>V188+V205</f>
        <v>6594.7999999999993</v>
      </c>
      <c r="W238" s="23">
        <f t="shared" si="1469"/>
        <v>6.0461825432559291</v>
      </c>
      <c r="X238" s="36">
        <f>X188+X205</f>
        <v>5739.2</v>
      </c>
      <c r="Y238" s="23">
        <f t="shared" si="1469"/>
        <v>-32.116624282926253</v>
      </c>
      <c r="Z238" s="36">
        <f>Z188+Z205</f>
        <v>9810.4</v>
      </c>
      <c r="AA238" s="23">
        <f>IF(ISERROR((Z238/R238-1)*100),"NA",IF(((Z238/R238-1)*100)&gt;100,"NM",IF(((Z238/R238-1)*100)&lt;-50,"NM",(Z238/R238-1)*100)))</f>
        <v>43.799012063380374</v>
      </c>
      <c r="AB238" s="36">
        <f>AB188+AB205</f>
        <v>3864</v>
      </c>
      <c r="AC238" s="23">
        <f>IF(ISERROR((AB238/T238-1)*100),"NA",IF(((AB238/T238-1)*100)&gt;100,"NM",IF(((AB238/T238-1)*100)&lt;-50,"NM",(AB238/T238-1)*100)))</f>
        <v>-47.225371156971754</v>
      </c>
      <c r="AD238" s="36">
        <f>AD188+AD205</f>
        <v>5669.9</v>
      </c>
      <c r="AE238" s="23">
        <f>IF(ISERROR((AD238/V238-1)*100),"NA",IF(((AD238/V238-1)*100)&gt;100,"NM",IF(((AD238/V238-1)*100)&lt;-50,"NM",(AD238/V238-1)*100)))</f>
        <v>-14.024686116334074</v>
      </c>
      <c r="AF238" s="36">
        <f>AF188+AF205</f>
        <v>5641.2000000000007</v>
      </c>
      <c r="AG238" s="23">
        <f>IF(ISERROR((AF238/X238-1)*100),"NA",IF(((AF238/X238-1)*100)&gt;100,"NM",IF(((AF238/X238-1)*100)&lt;-50,"NM",(AF238/X238-1)*100)))</f>
        <v>-1.707555059938648</v>
      </c>
      <c r="AH238" s="36">
        <f>AH188+AH205</f>
        <v>4855.3</v>
      </c>
      <c r="AI238" s="23" t="str">
        <f>IF(ISERROR((AH238/Z238-1)*100),"NA",IF(((AH238/Z238-1)*100)&gt;100,"NM",IF(((AH238/Z238-1)*100)&lt;-50,"NM",(AH238/Z238-1)*100)))</f>
        <v>NM</v>
      </c>
      <c r="AJ238" s="36">
        <f>AJ188+AJ205</f>
        <v>4724.8999999999996</v>
      </c>
      <c r="AK238" s="23">
        <f>IF(ISERROR((AJ238/AB238-1)*100),"NA",IF(((AJ238/AB238-1)*100)&gt;100,"NM",IF(((AJ238/AB238-1)*100)&lt;-50,"NM",(AJ238/AB238-1)*100)))</f>
        <v>22.280020703933733</v>
      </c>
      <c r="AL238" s="36">
        <f>AL188+AL205</f>
        <v>6156.9</v>
      </c>
      <c r="AM238" s="23">
        <f>IF(ISERROR((AL238/AD238-1)*100),"NA",IF(((AL238/AD238-1)*100)&gt;100,"NM",IF(((AL238/AD238-1)*100)&lt;-50,"NM",(AL238/AD238-1)*100)))</f>
        <v>8.5892167410359868</v>
      </c>
      <c r="AN238" s="410">
        <f t="shared" ref="AN238:AP239" si="1470">AN188+AN205</f>
        <v>3364.9</v>
      </c>
      <c r="AO238" s="23">
        <f>IF(ISERROR((AN238/AF238-1)*100),"NA",IF(((AN238/AF238-1)*100)&gt;100,"NM",IF(((AN238/AF238-1)*100)&lt;-50,"NM",(AN238/AF238-1)*100)))</f>
        <v>-40.351343685740623</v>
      </c>
      <c r="AP238" s="410">
        <f t="shared" si="1470"/>
        <v>4941.1000000000004</v>
      </c>
      <c r="AQ238" s="23">
        <f t="shared" ref="AQ238:AQ240" si="1471">IF(ISERROR((AP238/AH238-1)*100),"NA",IF(((AP238/AH238-1)*100)&gt;100,"NM",IF(((AP238/AH238-1)*100)&lt;-50,"NM",(AP238/AH238-1)*100)))</f>
        <v>1.7671410623442352</v>
      </c>
      <c r="AR238" s="410">
        <f t="shared" ref="AR238:AT239" si="1472">AR188+AR205</f>
        <v>4339.3</v>
      </c>
      <c r="AS238" s="23">
        <f t="shared" ref="AS238:AS240" si="1473">IF(ISERROR((AR238/AJ238-1)*100),"NA",IF(((AR238/AJ238-1)*100)&gt;100,"NM",IF(((AR238/AJ238-1)*100)&lt;-50,"NM",(AR238/AJ238-1)*100)))</f>
        <v>-8.1610192808313275</v>
      </c>
      <c r="AT238" s="410">
        <f t="shared" si="1472"/>
        <v>4707.7000000000007</v>
      </c>
      <c r="AU238" s="23">
        <f t="shared" ref="AU238:AU240" si="1474">IF(ISERROR((AT238/AL238-1)*100),"NA",IF(((AT238/AL238-1)*100)&gt;100,"NM",IF(((AT238/AL238-1)*100)&lt;-50,"NM",(AT238/AL238-1)*100)))</f>
        <v>-23.537819357143995</v>
      </c>
      <c r="AV238" s="410">
        <f t="shared" ref="AV238:AX239" si="1475">AV188+AV205</f>
        <v>7245.9</v>
      </c>
      <c r="AW238" s="23" t="str">
        <f t="shared" ref="AW238:AW240" si="1476">IF(ISERROR((AV238/AN238-1)*100),"NA",IF(((AV238/AN238-1)*100)&gt;100,"NM",IF(((AV238/AN238-1)*100)&lt;-50,"NM",(AV238/AN238-1)*100)))</f>
        <v>NM</v>
      </c>
      <c r="AX238" s="410">
        <f t="shared" si="1475"/>
        <v>4962.6000000000004</v>
      </c>
      <c r="AY238" s="23">
        <f t="shared" ref="AY238:AY240" si="1477">IF(ISERROR((AX238/AP238-1)*100),"NA",IF(((AX238/AP238-1)*100)&gt;100,"NM",IF(((AX238/AP238-1)*100)&lt;-50,"NM",(AX238/AP238-1)*100)))</f>
        <v>0.43512578170852301</v>
      </c>
      <c r="AZ238" s="410">
        <f t="shared" ref="AZ238:AZ239" si="1478">AZ188+AZ205</f>
        <v>6372.5999999999995</v>
      </c>
      <c r="BA238" s="23">
        <f t="shared" ref="BA238:BA240" si="1479">IF(ISERROR((AZ238/AR238-1)*100),"NA",IF(((AZ238/AR238-1)*100)&gt;100,"NM",IF(((AZ238/AR238-1)*100)&lt;-50,"NM",(AZ238/AR238-1)*100)))</f>
        <v>46.857788122508225</v>
      </c>
      <c r="BB238" s="410">
        <f t="shared" ref="BB238:BD239" si="1480">BB188+BB205</f>
        <v>7598.1</v>
      </c>
      <c r="BC238" s="23">
        <f t="shared" ref="BC238:BC240" si="1481">IF(ISERROR((BB238/AT238-1)*100),"NA",IF(((BB238/AT238-1)*100)&gt;100,"NM",IF(((BB238/AT238-1)*100)&lt;-50,"NM",(BB238/AT238-1)*100)))</f>
        <v>61.397285298553413</v>
      </c>
      <c r="BD238" s="410">
        <f t="shared" si="1480"/>
        <v>5123</v>
      </c>
      <c r="BE238" s="23">
        <f t="shared" ref="BE238:BE240" si="1482">IF(ISERROR((BD238/AV238-1)*100),"NA",IF(((BD238/AV238-1)*100)&gt;100,"NM",IF(((BD238/AV238-1)*100)&lt;-50,"NM",(BD238/AV238-1)*100)))</f>
        <v>-29.297947804965563</v>
      </c>
      <c r="BF238" s="36">
        <f t="shared" ref="BF238" si="1483">BF188+BF205</f>
        <v>5771.0690713749991</v>
      </c>
      <c r="BG238" s="23">
        <f t="shared" ref="BG238:BG240" si="1484">IF(ISERROR((BF238/AX238-1)*100),"NA",IF(((BF238/AX238-1)*100)&gt;100,"NM",IF(((BF238/AX238-1)*100)&lt;-50,"NM",(BF238/AX238-1)*100)))</f>
        <v>16.29123990196668</v>
      </c>
      <c r="BH238" s="36">
        <f t="shared" ref="BH238" si="1485">BH188+BH205</f>
        <v>5764.1555748877272</v>
      </c>
      <c r="BI238" s="23">
        <f t="shared" ref="BI238:BI240" si="1486">IF(ISERROR((BH238/AZ238-1)*100),"NA",IF(((BH238/AZ238-1)*100)&gt;100,"NM",IF(((BH238/AZ238-1)*100)&lt;-50,"NM",(BH238/AZ238-1)*100)))</f>
        <v>-9.5478207499650409</v>
      </c>
      <c r="BJ238" s="36">
        <f t="shared" ref="BJ238" si="1487">BJ188+BJ205</f>
        <v>5845.3487566134809</v>
      </c>
      <c r="BK238" s="23">
        <f t="shared" ref="BK238:BK240" si="1488">IF(ISERROR((BJ238/BB238-1)*100),"NA",IF(((BJ238/BB238-1)*100)&gt;100,"NM",IF(((BJ238/BB238-1)*100)&lt;-50,"NM",(BJ238/BB238-1)*100)))</f>
        <v>-23.068283431206737</v>
      </c>
      <c r="BL238" s="36">
        <f t="shared" ref="BL238" si="1489">BL188+BL205</f>
        <v>5928.4083393956471</v>
      </c>
      <c r="BM238" s="23">
        <f t="shared" ref="BM238:BM240" si="1490">IF(ISERROR((BL238/BD238-1)*100),"NA",IF(((BL238/BD238-1)*100)&gt;100,"NM",IF(((BL238/BD238-1)*100)&lt;-50,"NM",(BL238/BD238-1)*100)))</f>
        <v>15.721419859372388</v>
      </c>
      <c r="BN238" s="5"/>
      <c r="BO238" s="136"/>
      <c r="BP238" s="5"/>
      <c r="BQ238" s="152"/>
      <c r="BR238" s="152"/>
      <c r="BS238" s="152"/>
      <c r="BT238" s="5"/>
      <c r="BU238" s="36">
        <f>BU188+BU205</f>
        <v>19855.900000000001</v>
      </c>
      <c r="BV238" s="23"/>
      <c r="BW238" s="36">
        <f>BW188+BW205</f>
        <v>25702.5</v>
      </c>
      <c r="BX238" s="23"/>
      <c r="BY238" s="36">
        <f>BY188+BY205</f>
        <v>26478</v>
      </c>
      <c r="BZ238" s="23"/>
      <c r="CA238" s="36">
        <f>CA188+CA205</f>
        <v>24985.5</v>
      </c>
      <c r="CB238" s="23"/>
      <c r="CC238" s="36">
        <f>CC188+CC205</f>
        <v>19102</v>
      </c>
      <c r="CD238" s="23"/>
      <c r="CE238" s="36">
        <f>CE188+CE205</f>
        <v>21234</v>
      </c>
      <c r="CF238" s="23"/>
      <c r="CG238" s="36">
        <f>CG188+CG205</f>
        <v>24056.3</v>
      </c>
      <c r="CH238" s="23"/>
      <c r="CI238" s="36">
        <f>CI188+CI205</f>
        <v>23308.981742271855</v>
      </c>
      <c r="CJ238" s="23"/>
      <c r="CK238" s="36">
        <f>CK188+CK205</f>
        <v>24309.107772562544</v>
      </c>
      <c r="CL238" s="23"/>
      <c r="CM238" s="36">
        <f>CM188+CM205</f>
        <v>25403.680667156732</v>
      </c>
      <c r="CN238" s="23"/>
      <c r="CO238" s="36">
        <f>CO188+CO205</f>
        <v>26596.560983364452</v>
      </c>
      <c r="CP238" s="23"/>
      <c r="CQ238" s="36">
        <f>CQ188+CQ205</f>
        <v>27891.984281959951</v>
      </c>
      <c r="CR238" s="23"/>
      <c r="CS238" s="23">
        <f>IF(ISERROR(((CQ238/CG238)^0.2-1)*100),"NA",IF((((CQ238/CG238)^0.2-1)*100)&gt;100,"NM",IF((((CQ238/CG238)^0.2-1)*100)&lt;-50,"NM",((CQ238/CG238)^0.2-1)*100)))</f>
        <v>3.0030574584231751</v>
      </c>
    </row>
    <row r="239" spans="1:97" ht="12.75" customHeight="1" x14ac:dyDescent="0.2">
      <c r="A239" s="4" t="s">
        <v>293</v>
      </c>
      <c r="B239" s="36">
        <f>B189+B206</f>
        <v>-3698.0520000000001</v>
      </c>
      <c r="D239" s="36">
        <f>D189+D206</f>
        <v>-3357.5280000000002</v>
      </c>
      <c r="F239" s="36">
        <f>F189+F206</f>
        <v>-3963.3869999999997</v>
      </c>
      <c r="H239" s="36">
        <f>H189+H206</f>
        <v>-3134.3940000000002</v>
      </c>
      <c r="J239" s="36">
        <f>J189+J206</f>
        <v>-4007.4389999999999</v>
      </c>
      <c r="K239" s="23">
        <f t="shared" si="1469"/>
        <v>8.3662155102199662</v>
      </c>
      <c r="L239" s="36">
        <f>L189+L206</f>
        <v>-4179.5810000000001</v>
      </c>
      <c r="M239" s="23">
        <f t="shared" si="1469"/>
        <v>24.483876232752188</v>
      </c>
      <c r="N239" s="36">
        <f>N189+N206</f>
        <v>-3697.7790000000005</v>
      </c>
      <c r="O239" s="23">
        <f t="shared" si="1469"/>
        <v>-6.7015408790511604</v>
      </c>
      <c r="P239" s="36">
        <f>P189+P206</f>
        <v>-3972.0469999999996</v>
      </c>
      <c r="Q239" s="23">
        <f t="shared" si="1469"/>
        <v>26.724559835170659</v>
      </c>
      <c r="R239" s="36">
        <f>R189+R206</f>
        <v>-3644.8</v>
      </c>
      <c r="S239" s="23">
        <f t="shared" si="1469"/>
        <v>-9.0491458510035923</v>
      </c>
      <c r="T239" s="36">
        <f>T189+T206</f>
        <v>-4222.1000000000004</v>
      </c>
      <c r="U239" s="23">
        <f t="shared" si="1469"/>
        <v>1.0173029306047798</v>
      </c>
      <c r="V239" s="36">
        <f>V189+V206</f>
        <v>-4761.3999999999996</v>
      </c>
      <c r="W239" s="23">
        <f t="shared" si="1469"/>
        <v>28.763779555241097</v>
      </c>
      <c r="X239" s="36">
        <f>X189+X206</f>
        <v>-5093.3</v>
      </c>
      <c r="Y239" s="23">
        <f t="shared" si="1469"/>
        <v>28.228593468304908</v>
      </c>
      <c r="Z239" s="36">
        <f>Z189+Z206</f>
        <v>-4926.2</v>
      </c>
      <c r="AA239" s="23">
        <f>IF(ISERROR((Z239/R239-1)*100),"NA",IF(((Z239/R239-1)*100)&gt;100,"NM",IF(((Z239/R239-1)*100)&lt;-50,"NM",(Z239/R239-1)*100)))</f>
        <v>35.156935908691821</v>
      </c>
      <c r="AB239" s="36">
        <f>AB189+AB206</f>
        <v>-5721.7</v>
      </c>
      <c r="AC239" s="23">
        <f>IF(ISERROR((AB239/T239-1)*100),"NA",IF(((AB239/T239-1)*100)&gt;100,"NM",IF(((AB239/T239-1)*100)&lt;-50,"NM",(AB239/T239-1)*100)))</f>
        <v>35.517870254138927</v>
      </c>
      <c r="AD239" s="36">
        <f>AD189+AD206</f>
        <v>-5491.1</v>
      </c>
      <c r="AE239" s="23">
        <f>IF(ISERROR((AD239/V239-1)*100),"NA",IF(((AD239/V239-1)*100)&gt;100,"NM",IF(((AD239/V239-1)*100)&lt;-50,"NM",(AD239/V239-1)*100)))</f>
        <v>15.325324484395363</v>
      </c>
      <c r="AF239" s="36">
        <f>AF189+AF206</f>
        <v>-5830.7000000000007</v>
      </c>
      <c r="AG239" s="23">
        <f>IF(ISERROR((AF239/X239-1)*100),"NA",IF(((AF239/X239-1)*100)&gt;100,"NM",IF(((AF239/X239-1)*100)&lt;-50,"NM",(AF239/X239-1)*100)))</f>
        <v>14.477843441383786</v>
      </c>
      <c r="AH239" s="36">
        <f>AH189+AH206</f>
        <v>-5181</v>
      </c>
      <c r="AI239" s="23">
        <f>IF(ISERROR((AH239/Z239-1)*100),"NA",IF(((AH239/Z239-1)*100)&gt;100,"NM",IF(((AH239/Z239-1)*100)&lt;-50,"NM",(AH239/Z239-1)*100)))</f>
        <v>5.1723437944054318</v>
      </c>
      <c r="AJ239" s="36">
        <f>AJ189+AJ206</f>
        <v>-5480.1</v>
      </c>
      <c r="AK239" s="23">
        <f>IF(ISERROR((AJ239/AB239-1)*100),"NA",IF(((AJ239/AB239-1)*100)&gt;100,"NM",IF(((AJ239/AB239-1)*100)&lt;-50,"NM",(AJ239/AB239-1)*100)))</f>
        <v>-4.2225212786409561</v>
      </c>
      <c r="AL239" s="36">
        <f>AL189+AL206</f>
        <v>-8060.7</v>
      </c>
      <c r="AM239" s="23">
        <f>IF(ISERROR((AL239/AD239-1)*100),"NA",IF(((AL239/AD239-1)*100)&gt;100,"NM",IF(((AL239/AD239-1)*100)&lt;-50,"NM",(AL239/AD239-1)*100)))</f>
        <v>46.79572398972882</v>
      </c>
      <c r="AN239" s="410">
        <f t="shared" si="1470"/>
        <v>-4986.3999999999996</v>
      </c>
      <c r="AO239" s="23">
        <f>IF(ISERROR((AN239/AF239-1)*100),"NA",IF(((AN239/AF239-1)*100)&gt;100,"NM",IF(((AN239/AF239-1)*100)&lt;-50,"NM",(AN239/AF239-1)*100)))</f>
        <v>-14.48025108477543</v>
      </c>
      <c r="AP239" s="410">
        <f t="shared" si="1470"/>
        <v>-5128.5</v>
      </c>
      <c r="AQ239" s="23">
        <f t="shared" si="1471"/>
        <v>-1.0133178922987818</v>
      </c>
      <c r="AR239" s="410">
        <f t="shared" si="1472"/>
        <v>-4583.7</v>
      </c>
      <c r="AS239" s="23">
        <f t="shared" si="1473"/>
        <v>-16.357365741501074</v>
      </c>
      <c r="AT239" s="410">
        <f t="shared" si="1472"/>
        <v>-5037.2</v>
      </c>
      <c r="AU239" s="23">
        <f t="shared" si="1474"/>
        <v>-37.509149329462701</v>
      </c>
      <c r="AV239" s="410">
        <f t="shared" si="1475"/>
        <v>-6616.7999999999993</v>
      </c>
      <c r="AW239" s="23">
        <f t="shared" si="1476"/>
        <v>32.696935665008823</v>
      </c>
      <c r="AX239" s="410">
        <f t="shared" si="1475"/>
        <v>-6115.9</v>
      </c>
      <c r="AY239" s="23">
        <f t="shared" si="1477"/>
        <v>19.25319294140586</v>
      </c>
      <c r="AZ239" s="410">
        <f t="shared" si="1478"/>
        <v>-5202.2000000000007</v>
      </c>
      <c r="BA239" s="23">
        <f t="shared" si="1479"/>
        <v>13.493465977267283</v>
      </c>
      <c r="BB239" s="410">
        <f t="shared" si="1480"/>
        <v>-6086.6</v>
      </c>
      <c r="BC239" s="23">
        <f t="shared" si="1481"/>
        <v>20.833002461685069</v>
      </c>
      <c r="BD239" s="410">
        <f t="shared" si="1480"/>
        <v>-6262</v>
      </c>
      <c r="BE239" s="23">
        <f t="shared" si="1482"/>
        <v>-5.362108572119439</v>
      </c>
      <c r="BF239" s="36">
        <f t="shared" ref="BF239" si="1491">BF189+BF206</f>
        <v>-6259.9279795249986</v>
      </c>
      <c r="BG239" s="23">
        <f t="shared" si="1484"/>
        <v>2.3549760382772567</v>
      </c>
      <c r="BH239" s="36">
        <f t="shared" ref="BH239" si="1492">BH189+BH206</f>
        <v>-6207.7816347100525</v>
      </c>
      <c r="BI239" s="23">
        <f t="shared" si="1486"/>
        <v>19.329930312368827</v>
      </c>
      <c r="BJ239" s="36">
        <f t="shared" ref="BJ239" si="1493">BJ189+BJ206</f>
        <v>-6258.136798633539</v>
      </c>
      <c r="BK239" s="23">
        <f t="shared" si="1488"/>
        <v>2.8182696190572454</v>
      </c>
      <c r="BL239" s="36">
        <f t="shared" ref="BL239" si="1494">BL189+BL206</f>
        <v>-6310.2069419777681</v>
      </c>
      <c r="BM239" s="23">
        <f t="shared" si="1490"/>
        <v>0.76983299229906876</v>
      </c>
      <c r="BN239" s="5"/>
      <c r="BO239" s="136"/>
      <c r="BP239" s="5"/>
      <c r="BQ239" s="152"/>
      <c r="BR239" s="152"/>
      <c r="BS239" s="152"/>
      <c r="BT239" s="5"/>
      <c r="BU239" s="36">
        <f>BU189+BU206</f>
        <v>-14153.361000000001</v>
      </c>
      <c r="BV239" s="23"/>
      <c r="BW239" s="36">
        <f>BW189+BW206</f>
        <v>-15856.846</v>
      </c>
      <c r="BX239" s="23"/>
      <c r="BY239" s="36">
        <f>BY189+BY206</f>
        <v>-17721.599999999999</v>
      </c>
      <c r="BZ239" s="23"/>
      <c r="CA239" s="36">
        <f>CA189+CA206</f>
        <v>-21969.699999999997</v>
      </c>
      <c r="CB239" s="23"/>
      <c r="CC239" s="36">
        <f>CC189+CC206</f>
        <v>-23708.199999999997</v>
      </c>
      <c r="CD239" s="23"/>
      <c r="CE239" s="36">
        <f>CE189+CE206</f>
        <v>-21366.199999999997</v>
      </c>
      <c r="CF239" s="23"/>
      <c r="CG239" s="36">
        <f>CG189+CG206</f>
        <v>-23666.7</v>
      </c>
      <c r="CH239" s="23"/>
      <c r="CI239" s="36">
        <f>CI189+CI206</f>
        <v>-25036.053354846357</v>
      </c>
      <c r="CJ239" s="23"/>
      <c r="CK239" s="36">
        <f>CK189+CK206</f>
        <v>-25489.422473993691</v>
      </c>
      <c r="CL239" s="23"/>
      <c r="CM239" s="36">
        <f>CM189+CM206</f>
        <v>-26043.682527284931</v>
      </c>
      <c r="CN239" s="23"/>
      <c r="CO239" s="36">
        <f>CO189+CO206</f>
        <v>-26700.463783085579</v>
      </c>
      <c r="CP239" s="23"/>
      <c r="CQ239" s="36">
        <f>CQ189+CQ206</f>
        <v>-27461.802242137128</v>
      </c>
      <c r="CR239" s="23"/>
      <c r="CS239" s="23">
        <f>IF(ISERROR(((CQ239/CG239)^0.2-1)*100),"NA",IF((((CQ239/CG239)^0.2-1)*100)&gt;100,"NM",IF((((CQ239/CG239)^0.2-1)*100)&lt;-50,"NM",((CQ239/CG239)^0.2-1)*100)))</f>
        <v>3.0192220403667536</v>
      </c>
    </row>
    <row r="240" spans="1:97" ht="12.75" customHeight="1" x14ac:dyDescent="0.2">
      <c r="A240" s="4" t="s">
        <v>449</v>
      </c>
      <c r="B240" s="56">
        <f>B238+B239</f>
        <v>3111.0480000000002</v>
      </c>
      <c r="C240" s="24"/>
      <c r="D240" s="56">
        <f>D238+D239</f>
        <v>2179.5720000000001</v>
      </c>
      <c r="E240" s="24"/>
      <c r="F240" s="56">
        <f>F238+F239</f>
        <v>-267.98699999999963</v>
      </c>
      <c r="G240" s="24"/>
      <c r="H240" s="56">
        <f>H238+H239</f>
        <v>679.90599999999995</v>
      </c>
      <c r="I240" s="24"/>
      <c r="J240" s="56">
        <f>J238+J239</f>
        <v>3658.8610000000003</v>
      </c>
      <c r="K240" s="23">
        <f>IF(ISERROR((J240/B240-1)*100),"NA",IF(((J240/B240-1)*100)&gt;100,"NM",IF(((J240/B240-1)*100)&lt;-50,"NM",(J240/B240-1)*100)))</f>
        <v>17.60863220368185</v>
      </c>
      <c r="L240" s="56">
        <f>L238+L239</f>
        <v>-816.68100000000004</v>
      </c>
      <c r="M240" s="23" t="str">
        <f>IF(ISERROR((L240/D240-1)*100),"NA",IF(((L240/D240-1)*100)&gt;100,"NM",IF(((L240/D240-1)*100)&lt;-50,"NM",(L240/D240-1)*100)))</f>
        <v>NM</v>
      </c>
      <c r="N240" s="56">
        <f>N238+N239</f>
        <v>2521.0209999999988</v>
      </c>
      <c r="O240" s="23" t="str">
        <f>IF(ISERROR((N240/F240-1)*100),"NA",IF(((N240/F240-1)*100)&gt;100,"NM",IF(((N240/F240-1)*100)&lt;-50,"NM",(N240/F240-1)*100)))</f>
        <v>NM</v>
      </c>
      <c r="P240" s="56">
        <f>P238+P239</f>
        <v>4482.4530000000004</v>
      </c>
      <c r="Q240" s="23" t="str">
        <f>IF(ISERROR((P240/H240-1)*100),"NA",IF(((P240/H240-1)*100)&gt;100,"NM",IF(((P240/H240-1)*100)&lt;-50,"NM",(P240/H240-1)*100)))</f>
        <v>NM</v>
      </c>
      <c r="R240" s="56">
        <f>R238+R239</f>
        <v>3177.5</v>
      </c>
      <c r="S240" s="23">
        <f>IF(ISERROR((R240/J240-1)*100),"NA",IF(((R240/J240-1)*100)&gt;100,"NM",IF(((R240/J240-1)*100)&lt;-50,"NM",(R240/J240-1)*100)))</f>
        <v>-13.156034077271595</v>
      </c>
      <c r="T240" s="56">
        <f>T238+T239</f>
        <v>3099.6000000000004</v>
      </c>
      <c r="U240" s="23" t="str">
        <f>IF(ISERROR((T240/L240-1)*100),"NA",IF(((T240/L240-1)*100)&gt;100,"NM",IF(((T240/L240-1)*100)&lt;-50,"NM",(T240/L240-1)*100)))</f>
        <v>NM</v>
      </c>
      <c r="V240" s="56">
        <f>V238+V239</f>
        <v>1833.3999999999996</v>
      </c>
      <c r="W240" s="23">
        <f>IF(ISERROR((V240/N240-1)*100),"NA",IF(((V240/N240-1)*100)&gt;100,"NM",IF(((V240/N240-1)*100)&lt;-50,"NM",(V240/N240-1)*100)))</f>
        <v>-27.275496713434734</v>
      </c>
      <c r="X240" s="56">
        <f>X238+X239</f>
        <v>645.89999999999964</v>
      </c>
      <c r="Y240" s="23" t="str">
        <f>IF(ISERROR((X240/P240-1)*100),"NA",IF(((X240/P240-1)*100)&gt;100,"NM",IF(((X240/P240-1)*100)&lt;-50,"NM",(X240/P240-1)*100)))</f>
        <v>NM</v>
      </c>
      <c r="Z240" s="56">
        <f>Z238+Z239</f>
        <v>4884.2</v>
      </c>
      <c r="AA240" s="23">
        <f>IF(ISERROR((Z240/R240-1)*100),"NA",IF(((Z240/R240-1)*100)&gt;100,"NM",IF(((Z240/R240-1)*100)&lt;-50,"NM",(Z240/R240-1)*100)))</f>
        <v>53.712037765538945</v>
      </c>
      <c r="AB240" s="56">
        <f>AB238+AB239</f>
        <v>-1857.6999999999998</v>
      </c>
      <c r="AC240" s="23" t="str">
        <f>IF(ISERROR((AB240/T240-1)*100),"NA",IF(((AB240/T240-1)*100)&gt;100,"NM",IF(((AB240/T240-1)*100)&lt;-50,"NM",(AB240/T240-1)*100)))</f>
        <v>NM</v>
      </c>
      <c r="AD240" s="56">
        <f>AD238+AD239</f>
        <v>178.79999999999927</v>
      </c>
      <c r="AE240" s="23" t="str">
        <f>IF(ISERROR((AD240/V240-1)*100),"NA",IF(((AD240/V240-1)*100)&gt;100,"NM",IF(((AD240/V240-1)*100)&lt;-50,"NM",(AD240/V240-1)*100)))</f>
        <v>NM</v>
      </c>
      <c r="AF240" s="56">
        <f>AF238+AF239</f>
        <v>-189.5</v>
      </c>
      <c r="AG240" s="23" t="str">
        <f>IF(ISERROR((AF240/X240-1)*100),"NA",IF(((AF240/X240-1)*100)&gt;100,"NM",IF(((AF240/X240-1)*100)&lt;-50,"NM",(AF240/X240-1)*100)))</f>
        <v>NM</v>
      </c>
      <c r="AH240" s="56">
        <f>AH238+AH239</f>
        <v>-325.69999999999982</v>
      </c>
      <c r="AI240" s="23" t="str">
        <f>IF(ISERROR((AH240/Z240-1)*100),"NA",IF(((AH240/Z240-1)*100)&gt;100,"NM",IF(((AH240/Z240-1)*100)&lt;-50,"NM",(AH240/Z240-1)*100)))</f>
        <v>NM</v>
      </c>
      <c r="AJ240" s="56">
        <f>AJ238+AJ239</f>
        <v>-755.20000000000073</v>
      </c>
      <c r="AK240" s="23" t="str">
        <f>IF(ISERROR((AJ240/AB240-1)*100),"NA",IF(((AJ240/AB240-1)*100)&gt;100,"NM",IF(((AJ240/AB240-1)*100)&lt;-50,"NM",(AJ240/AB240-1)*100)))</f>
        <v>NM</v>
      </c>
      <c r="AL240" s="56">
        <f>AL238+AL239</f>
        <v>-1903.8000000000002</v>
      </c>
      <c r="AM240" s="23" t="str">
        <f>IF(ISERROR((AL240/AD240-1)*100),"NA",IF(((AL240/AD240-1)*100)&gt;100,"NM",IF(((AL240/AD240-1)*100)&lt;-50,"NM",(AL240/AD240-1)*100)))</f>
        <v>NM</v>
      </c>
      <c r="AN240" s="413">
        <f t="shared" ref="AN240:AP240" si="1495">AN238+AN239</f>
        <v>-1621.4999999999995</v>
      </c>
      <c r="AO240" s="23" t="str">
        <f>IF(ISERROR((AN240/AF240-1)*100),"NA",IF(((AN240/AF240-1)*100)&gt;100,"NM",IF(((AN240/AF240-1)*100)&lt;-50,"NM",(AN240/AF240-1)*100)))</f>
        <v>NM</v>
      </c>
      <c r="AP240" s="413">
        <f t="shared" si="1495"/>
        <v>-187.39999999999964</v>
      </c>
      <c r="AQ240" s="23">
        <f t="shared" si="1471"/>
        <v>-42.462388701258902</v>
      </c>
      <c r="AR240" s="413">
        <f t="shared" ref="AR240:AT240" si="1496">AR238+AR239</f>
        <v>-244.39999999999964</v>
      </c>
      <c r="AS240" s="23" t="str">
        <f t="shared" si="1473"/>
        <v>NM</v>
      </c>
      <c r="AT240" s="413">
        <f t="shared" si="1496"/>
        <v>-329.49999999999909</v>
      </c>
      <c r="AU240" s="23" t="str">
        <f t="shared" si="1474"/>
        <v>NM</v>
      </c>
      <c r="AV240" s="413">
        <f t="shared" ref="AV240:AX240" si="1497">AV238+AV239</f>
        <v>629.10000000000036</v>
      </c>
      <c r="AW240" s="23" t="str">
        <f t="shared" si="1476"/>
        <v>NM</v>
      </c>
      <c r="AX240" s="413">
        <f t="shared" si="1497"/>
        <v>-1153.2999999999993</v>
      </c>
      <c r="AY240" s="23" t="str">
        <f t="shared" si="1477"/>
        <v>NM</v>
      </c>
      <c r="AZ240" s="413">
        <f t="shared" ref="AZ240" si="1498">AZ238+AZ239</f>
        <v>1170.3999999999987</v>
      </c>
      <c r="BA240" s="23" t="str">
        <f t="shared" si="1479"/>
        <v>NM</v>
      </c>
      <c r="BB240" s="413">
        <f t="shared" ref="BB240:BD240" si="1499">BB238+BB239</f>
        <v>1511.5</v>
      </c>
      <c r="BC240" s="23" t="str">
        <f t="shared" si="1481"/>
        <v>NM</v>
      </c>
      <c r="BD240" s="413">
        <f t="shared" si="1499"/>
        <v>-1139</v>
      </c>
      <c r="BE240" s="23" t="str">
        <f t="shared" si="1482"/>
        <v>NM</v>
      </c>
      <c r="BF240" s="56">
        <f t="shared" ref="BF240" si="1500">BF238+BF239</f>
        <v>-488.85890814999948</v>
      </c>
      <c r="BG240" s="23" t="str">
        <f t="shared" si="1484"/>
        <v>NM</v>
      </c>
      <c r="BH240" s="56">
        <f t="shared" ref="BH240" si="1501">BH238+BH239</f>
        <v>-443.62605982232526</v>
      </c>
      <c r="BI240" s="23" t="str">
        <f t="shared" si="1486"/>
        <v>NM</v>
      </c>
      <c r="BJ240" s="56">
        <f t="shared" ref="BJ240" si="1502">BJ238+BJ239</f>
        <v>-412.78804202005813</v>
      </c>
      <c r="BK240" s="23" t="str">
        <f t="shared" si="1488"/>
        <v>NM</v>
      </c>
      <c r="BL240" s="56">
        <f t="shared" ref="BL240" si="1503">BL238+BL239</f>
        <v>-381.79860258212102</v>
      </c>
      <c r="BM240" s="23" t="str">
        <f t="shared" si="1490"/>
        <v>NM</v>
      </c>
      <c r="BN240" s="5"/>
      <c r="BO240" s="136"/>
      <c r="BP240" s="5"/>
      <c r="BQ240" s="120">
        <v>-7799.6</v>
      </c>
      <c r="BR240" s="120"/>
      <c r="BS240" s="120">
        <v>-1455.5</v>
      </c>
      <c r="BT240" s="120"/>
      <c r="BU240" s="56">
        <f>BU238+BU239</f>
        <v>5702.5390000000007</v>
      </c>
      <c r="BV240" s="23" t="str">
        <f>IF(ISERROR((BU240/BS240-1)*100),"NA",IF(((BU240/BS240-1)*100)&gt;100,"NM",IF(((BU240/BS240-1)*100)&lt;-50,"NM",(BU240/BS240-1)*100)))</f>
        <v>NM</v>
      </c>
      <c r="BW240" s="56">
        <f>BW238+BW239</f>
        <v>9845.6540000000005</v>
      </c>
      <c r="BX240" s="23">
        <f>IF(ISERROR((BW240/BU240-1)*100),"NA",IF(((BW240/BU240-1)*100)&gt;100,"NM",IF(((BW240/BU240-1)*100)&lt;-50,"NM",(BW240/BU240-1)*100)))</f>
        <v>72.653865234415747</v>
      </c>
      <c r="BY240" s="56">
        <f>BY238+BY239</f>
        <v>8756.4000000000015</v>
      </c>
      <c r="BZ240" s="23">
        <f>IF(ISERROR((BY240/BW240-1)*100),"NA",IF(((BY240/BW240-1)*100)&gt;100,"NM",IF(((BY240/BW240-1)*100)&lt;-50,"NM",(BY240/BW240-1)*100)))</f>
        <v>-11.063297572715825</v>
      </c>
      <c r="CA240" s="56">
        <f>CA238+CA239</f>
        <v>3015.8000000000029</v>
      </c>
      <c r="CB240" s="23" t="str">
        <f>IF(ISERROR((CA240/BY240-1)*100),"NA",IF(((CA240/BY240-1)*100)&gt;100,"NM",IF(((CA240/BY240-1)*100)&lt;-50,"NM",(CA240/BY240-1)*100)))</f>
        <v>NM</v>
      </c>
      <c r="CC240" s="56">
        <f>CC238+CC239</f>
        <v>-4606.1999999999971</v>
      </c>
      <c r="CD240" s="23" t="str">
        <f>IF(ISERROR((CC240/CA240-1)*100),"NA",IF(((CC240/CA240-1)*100)&gt;100,"NM",IF(((CC240/CA240-1)*100)&lt;-50,"NM",(CC240/CA240-1)*100)))</f>
        <v>NM</v>
      </c>
      <c r="CE240" s="56">
        <f>CE238+CE239</f>
        <v>-132.19999999999709</v>
      </c>
      <c r="CF240" s="23" t="str">
        <f>IF(ISERROR((CE240/CC240-1)*100),"NA",IF(((CE240/CC240-1)*100)&gt;100,"NM",IF(((CE240/CC240-1)*100)&lt;-50,"NM",(CE240/CC240-1)*100)))</f>
        <v>NM</v>
      </c>
      <c r="CG240" s="56">
        <f>CG238+CG239</f>
        <v>389.59999999999854</v>
      </c>
      <c r="CH240" s="23" t="str">
        <f>IF(ISERROR((CG240/CE240-1)*100),"NA",IF(((CG240/CE240-1)*100)&gt;100,"NM",IF(((CG240/CE240-1)*100)&lt;-50,"NM",(CG240/CE240-1)*100)))</f>
        <v>NM</v>
      </c>
      <c r="CI240" s="56">
        <f>CI238+CI239</f>
        <v>-1727.0716125745021</v>
      </c>
      <c r="CJ240" s="23" t="str">
        <f>IF(ISERROR((CI240/CG240-1)*100),"NA",IF(((CI240/CG240-1)*100)&gt;100,"NM",IF(((CI240/CG240-1)*100)&lt;-50,"NM",(CI240/CG240-1)*100)))</f>
        <v>NM</v>
      </c>
      <c r="CK240" s="56">
        <f>CK238+CK239</f>
        <v>-1180.3147014311471</v>
      </c>
      <c r="CL240" s="23">
        <f>IF(ISERROR((CK240/CI240-1)*100),"NA",IF(((CK240/CI240-1)*100)&gt;100,"NM",IF(((CK240/CI240-1)*100)&lt;-50,"NM",(CK240/CI240-1)*100)))</f>
        <v>-31.658033584856295</v>
      </c>
      <c r="CM240" s="56">
        <f>CM238+CM239</f>
        <v>-640.00186012819904</v>
      </c>
      <c r="CN240" s="23">
        <f>IF(ISERROR((CM240/CK240-1)*100),"NA",IF(((CM240/CK240-1)*100)&gt;100,"NM",IF(((CM240/CK240-1)*100)&lt;-50,"NM",(CM240/CK240-1)*100)))</f>
        <v>-45.777015286500422</v>
      </c>
      <c r="CO240" s="56">
        <f>CO238+CO239</f>
        <v>-103.90279972112694</v>
      </c>
      <c r="CP240" s="23" t="str">
        <f>IF(ISERROR((CO240/CM240-1)*100),"NA",IF(((CO240/CM240-1)*100)&gt;100,"NM",IF(((CO240/CM240-1)*100)&lt;-50,"NM",(CO240/CM240-1)*100)))</f>
        <v>NM</v>
      </c>
      <c r="CQ240" s="56">
        <f>CQ238+CQ239</f>
        <v>430.18203982282284</v>
      </c>
      <c r="CR240" s="23" t="str">
        <f>IF(ISERROR((CQ240/CO240-1)*100),"NA",IF(((CQ240/CO240-1)*100)&gt;100,"NM",IF(((CQ240/CO240-1)*100)&lt;-50,"NM",(CQ240/CO240-1)*100)))</f>
        <v>NM</v>
      </c>
      <c r="CS240" s="23">
        <f>IF(ISERROR(((CQ240/CG240)^0.2-1)*100),"NA",IF((((CQ240/CG240)^0.2-1)*100)&gt;100,"NM",IF((((CQ240/CG240)^0.2-1)*100)&lt;-50,"NM",((CQ240/CG240)^0.2-1)*100)))</f>
        <v>2.001525100649082</v>
      </c>
    </row>
    <row r="241" spans="1:105" s="177" customFormat="1" ht="12.75" customHeight="1" x14ac:dyDescent="0.2">
      <c r="A241" s="176" t="s">
        <v>249</v>
      </c>
      <c r="B241" s="288"/>
      <c r="C241" s="57"/>
      <c r="D241" s="288"/>
      <c r="E241" s="57"/>
      <c r="F241" s="288"/>
      <c r="G241" s="57"/>
      <c r="H241" s="288"/>
      <c r="I241" s="57"/>
      <c r="J241" s="288"/>
      <c r="K241" s="176"/>
      <c r="L241" s="288"/>
      <c r="M241" s="176"/>
      <c r="N241" s="288"/>
      <c r="O241" s="176"/>
      <c r="P241" s="288"/>
      <c r="Q241" s="176"/>
      <c r="R241" s="288">
        <f>R240-R234</f>
        <v>0</v>
      </c>
      <c r="S241" s="176"/>
      <c r="T241" s="288">
        <f>T240-T234</f>
        <v>0</v>
      </c>
      <c r="U241" s="176"/>
      <c r="V241" s="288">
        <f>V240-V234</f>
        <v>9.9999999999454303E-2</v>
      </c>
      <c r="W241" s="176"/>
      <c r="X241" s="288">
        <f>X240-X234</f>
        <v>0</v>
      </c>
      <c r="Y241" s="176"/>
      <c r="Z241" s="288">
        <f>Z240-Z234</f>
        <v>0</v>
      </c>
      <c r="AA241" s="176"/>
      <c r="AB241" s="288">
        <f>AB240-AB234</f>
        <v>0</v>
      </c>
      <c r="AC241" s="176"/>
      <c r="AD241" s="288">
        <f>AD240-AD234</f>
        <v>-4.5474735088646412E-13</v>
      </c>
      <c r="AE241" s="176"/>
      <c r="AF241" s="288">
        <f>AF240-AF234</f>
        <v>0</v>
      </c>
      <c r="AG241" s="176"/>
      <c r="AH241" s="288">
        <f>AH240-AH234</f>
        <v>-9.9999999999681677E-2</v>
      </c>
      <c r="AI241" s="176"/>
      <c r="AJ241" s="288">
        <f>AJ240-AJ234</f>
        <v>-9.0949470177292824E-13</v>
      </c>
      <c r="AK241" s="176"/>
      <c r="AL241" s="288">
        <f>AL240-AL234</f>
        <v>-0.1000000000003638</v>
      </c>
      <c r="AM241" s="176"/>
      <c r="AN241" s="288">
        <f t="shared" ref="AN241:AP241" si="1504">AN240-AN234</f>
        <v>0</v>
      </c>
      <c r="AO241" s="176"/>
      <c r="AP241" s="288">
        <f t="shared" si="1504"/>
        <v>0.10000000000059117</v>
      </c>
      <c r="AQ241" s="176"/>
      <c r="AR241" s="288">
        <f t="shared" ref="AR241:AT241" si="1505">AR240-AR234</f>
        <v>3.4106051316484809E-13</v>
      </c>
      <c r="AS241" s="176"/>
      <c r="AT241" s="288">
        <f t="shared" si="1505"/>
        <v>6.8212102632969618E-13</v>
      </c>
      <c r="AU241" s="176"/>
      <c r="AV241" s="288">
        <f t="shared" ref="AV241:AX241" si="1506">AV240-AV234</f>
        <v>0</v>
      </c>
      <c r="AW241" s="176"/>
      <c r="AX241" s="288">
        <f t="shared" si="1506"/>
        <v>0</v>
      </c>
      <c r="AY241" s="176"/>
      <c r="AZ241" s="288">
        <f t="shared" ref="AZ241" si="1507">AZ240-AZ234</f>
        <v>-0.10000000000081855</v>
      </c>
      <c r="BA241" s="176"/>
      <c r="BB241" s="288">
        <f t="shared" ref="BB241:BD241" si="1508">BB240-BB234</f>
        <v>0</v>
      </c>
      <c r="BC241" s="176"/>
      <c r="BD241" s="288">
        <f t="shared" si="1508"/>
        <v>-1</v>
      </c>
      <c r="BE241" s="176"/>
      <c r="BF241" s="288"/>
      <c r="BG241" s="176"/>
      <c r="BH241" s="288"/>
      <c r="BI241" s="176"/>
      <c r="BJ241" s="288"/>
      <c r="BK241" s="176"/>
      <c r="BL241" s="288"/>
      <c r="BM241" s="176"/>
      <c r="BN241" s="182"/>
      <c r="BO241" s="289"/>
      <c r="BP241" s="182"/>
      <c r="BQ241" s="182"/>
      <c r="BR241" s="182"/>
      <c r="BS241" s="182"/>
      <c r="BT241" s="182"/>
      <c r="BU241" s="182"/>
      <c r="BV241" s="176"/>
      <c r="BW241" s="182"/>
      <c r="BX241" s="176"/>
      <c r="BY241" s="176"/>
      <c r="BZ241" s="176"/>
      <c r="CA241" s="176"/>
      <c r="CB241" s="176"/>
      <c r="CC241" s="176"/>
      <c r="CD241" s="176"/>
      <c r="CE241" s="176"/>
      <c r="CF241" s="176"/>
      <c r="CG241" s="176"/>
      <c r="CH241" s="176"/>
      <c r="CI241" s="176"/>
      <c r="CJ241" s="176"/>
      <c r="CK241" s="176"/>
      <c r="CL241" s="176"/>
      <c r="CM241" s="176"/>
      <c r="CN241" s="176"/>
      <c r="CO241" s="176"/>
      <c r="CP241" s="176"/>
      <c r="CQ241" s="176"/>
      <c r="CR241" s="176"/>
      <c r="CS241" s="176"/>
      <c r="CV241"/>
      <c r="CW241"/>
      <c r="CX241"/>
      <c r="CY241"/>
      <c r="CZ241"/>
      <c r="DA241"/>
    </row>
    <row r="242" spans="1:105" ht="12.75" customHeight="1" x14ac:dyDescent="0.2">
      <c r="B242" s="119"/>
      <c r="C242" s="24"/>
      <c r="D242" s="119"/>
      <c r="E242" s="24"/>
      <c r="F242" s="119"/>
      <c r="G242" s="24"/>
      <c r="H242" s="119"/>
      <c r="I242" s="24"/>
      <c r="J242" s="119"/>
      <c r="L242" s="119"/>
      <c r="N242" s="119"/>
      <c r="P242" s="32"/>
      <c r="R242" s="32"/>
      <c r="T242" s="32"/>
      <c r="V242" s="32"/>
      <c r="X242" s="32"/>
      <c r="Z242" s="32"/>
      <c r="AB242" s="32"/>
      <c r="AD242" s="32"/>
      <c r="AF242" s="32"/>
      <c r="AH242" s="32"/>
      <c r="AJ242" s="32"/>
      <c r="AL242" s="32"/>
      <c r="AN242" s="484"/>
      <c r="AP242" s="484"/>
      <c r="AR242" s="409"/>
      <c r="AT242" s="409"/>
      <c r="AV242" s="409"/>
      <c r="AX242" s="409"/>
      <c r="AZ242" s="409"/>
      <c r="BB242" s="409"/>
      <c r="BD242" s="409"/>
      <c r="BF242" s="35"/>
      <c r="BH242" s="35"/>
      <c r="BJ242" s="35"/>
      <c r="BL242" s="35"/>
      <c r="BN242" s="5"/>
      <c r="BO242" s="136"/>
      <c r="BP242" s="5"/>
      <c r="BQ242" s="5"/>
      <c r="BR242" s="5"/>
      <c r="BS242" s="5"/>
      <c r="BT242" s="5"/>
      <c r="BU242" s="5"/>
      <c r="BW242" s="5"/>
    </row>
    <row r="243" spans="1:105" ht="12.75" customHeight="1" x14ac:dyDescent="0.2">
      <c r="A243" s="3" t="s">
        <v>100</v>
      </c>
      <c r="B243" s="37"/>
      <c r="C243" s="59"/>
      <c r="D243" s="37"/>
      <c r="E243" s="59"/>
      <c r="F243" s="37"/>
      <c r="G243" s="59"/>
      <c r="H243" s="37"/>
      <c r="I243" s="59"/>
      <c r="J243" s="37"/>
      <c r="L243" s="37"/>
      <c r="N243" s="37"/>
      <c r="P243" s="35"/>
      <c r="R243" s="35"/>
      <c r="T243" s="35"/>
      <c r="V243" s="35"/>
      <c r="X243" s="35"/>
      <c r="Z243" s="35"/>
      <c r="AB243" s="35"/>
      <c r="AD243" s="35"/>
      <c r="AF243" s="35"/>
      <c r="AH243" s="35"/>
      <c r="AJ243" s="35"/>
      <c r="AL243" s="35"/>
      <c r="AN243" s="409"/>
      <c r="AP243" s="409"/>
      <c r="AR243" s="409"/>
      <c r="AT243" s="409"/>
      <c r="AV243" s="409"/>
      <c r="AX243" s="409"/>
      <c r="AZ243" s="409"/>
      <c r="BB243" s="409"/>
      <c r="BD243" s="409"/>
      <c r="BF243" s="35"/>
      <c r="BH243" s="35"/>
      <c r="BJ243" s="35"/>
      <c r="BL243" s="35"/>
      <c r="BN243" s="5"/>
      <c r="BO243" s="136"/>
      <c r="BP243" s="5"/>
      <c r="BQ243" s="5"/>
      <c r="BR243" s="5"/>
      <c r="BS243" s="5"/>
      <c r="BT243" s="5"/>
      <c r="BU243" s="5"/>
      <c r="BW243" s="5"/>
    </row>
    <row r="244" spans="1:105" ht="12.75" customHeight="1" x14ac:dyDescent="0.2">
      <c r="A244" s="4" t="s">
        <v>18</v>
      </c>
      <c r="B244" s="49">
        <v>6.3570000000000002</v>
      </c>
      <c r="C244" s="59"/>
      <c r="D244" s="49">
        <v>10.127000000000001</v>
      </c>
      <c r="E244" s="59"/>
      <c r="F244" s="49">
        <v>0.51700000000000002</v>
      </c>
      <c r="G244" s="59"/>
      <c r="H244" s="49">
        <v>-9.4619999999999997</v>
      </c>
      <c r="I244" s="59"/>
      <c r="J244" s="49">
        <v>5.2229999999999999</v>
      </c>
      <c r="K244" s="23">
        <f t="shared" ref="K244:Y252" si="1509">IF(ISERROR((J244/B244-1)*100),"NA",IF(((J244/B244-1)*100)&gt;100,"NM",IF(((J244/B244-1)*100)&lt;-50,"NM",(J244/B244-1)*100)))</f>
        <v>-17.838603114676744</v>
      </c>
      <c r="L244" s="49">
        <v>12.69</v>
      </c>
      <c r="M244" s="23">
        <f t="shared" si="1509"/>
        <v>25.308581021032861</v>
      </c>
      <c r="N244" s="49">
        <v>16.722999999999999</v>
      </c>
      <c r="O244" s="23" t="str">
        <f t="shared" si="1509"/>
        <v>NM</v>
      </c>
      <c r="P244" s="49">
        <v>5.274</v>
      </c>
      <c r="Q244" s="23" t="str">
        <f t="shared" si="1509"/>
        <v>NM</v>
      </c>
      <c r="R244" s="49">
        <v>2.6</v>
      </c>
      <c r="S244" s="23" t="str">
        <f t="shared" si="1509"/>
        <v>NM</v>
      </c>
      <c r="T244" s="49">
        <v>6.1</v>
      </c>
      <c r="U244" s="23" t="str">
        <f t="shared" si="1509"/>
        <v>NM</v>
      </c>
      <c r="V244" s="49">
        <v>16.8</v>
      </c>
      <c r="W244" s="23">
        <f t="shared" si="1509"/>
        <v>0.46044370029301174</v>
      </c>
      <c r="X244" s="49">
        <v>12.1</v>
      </c>
      <c r="Y244" s="23" t="str">
        <f t="shared" si="1509"/>
        <v>NM</v>
      </c>
      <c r="Z244" s="49">
        <v>7.5</v>
      </c>
      <c r="AA244" s="23" t="str">
        <f t="shared" ref="AA244:AA252" si="1510">IF(ISERROR((Z244/R244-1)*100),"NA",IF(((Z244/R244-1)*100)&gt;100,"NM",IF(((Z244/R244-1)*100)&lt;-50,"NM",(Z244/R244-1)*100)))</f>
        <v>NM</v>
      </c>
      <c r="AB244" s="49">
        <v>8.1999999999999993</v>
      </c>
      <c r="AC244" s="23">
        <f t="shared" ref="AC244:AC252" si="1511">IF(ISERROR((AB244/T244-1)*100),"NA",IF(((AB244/T244-1)*100)&gt;100,"NM",IF(((AB244/T244-1)*100)&lt;-50,"NM",(AB244/T244-1)*100)))</f>
        <v>34.426229508196712</v>
      </c>
      <c r="AD244" s="49">
        <v>9.3000000000000007</v>
      </c>
      <c r="AE244" s="23">
        <f t="shared" ref="AE244:AE252" si="1512">IF(ISERROR((AD244/V244-1)*100),"NA",IF(((AD244/V244-1)*100)&gt;100,"NM",IF(((AD244/V244-1)*100)&lt;-50,"NM",(AD244/V244-1)*100)))</f>
        <v>-44.642857142857139</v>
      </c>
      <c r="AF244" s="49">
        <v>-4.4000000000000004</v>
      </c>
      <c r="AG244" s="23" t="str">
        <f t="shared" ref="AG244:AG252" si="1513">IF(ISERROR((AF244/X244-1)*100),"NA",IF(((AF244/X244-1)*100)&gt;100,"NM",IF(((AF244/X244-1)*100)&lt;-50,"NM",(AF244/X244-1)*100)))</f>
        <v>NM</v>
      </c>
      <c r="AH244" s="49">
        <v>6.5</v>
      </c>
      <c r="AI244" s="23">
        <f t="shared" ref="AI244:AI252" si="1514">IF(ISERROR((AH244/Z244-1)*100),"NA",IF(((AH244/Z244-1)*100)&gt;100,"NM",IF(((AH244/Z244-1)*100)&lt;-50,"NM",(AH244/Z244-1)*100)))</f>
        <v>-13.33333333333333</v>
      </c>
      <c r="AJ244" s="49">
        <v>3.5</v>
      </c>
      <c r="AK244" s="23" t="str">
        <f t="shared" ref="AK244:AK252" si="1515">IF(ISERROR((AJ244/AB244-1)*100),"NA",IF(((AJ244/AB244-1)*100)&gt;100,"NM",IF(((AJ244/AB244-1)*100)&lt;-50,"NM",(AJ244/AB244-1)*100)))</f>
        <v>NM</v>
      </c>
      <c r="AL244" s="49">
        <v>0.1</v>
      </c>
      <c r="AM244" s="23" t="str">
        <f t="shared" ref="AM244:AM252" si="1516">IF(ISERROR((AL244/AD244-1)*100),"NA",IF(((AL244/AD244-1)*100)&gt;100,"NM",IF(((AL244/AD244-1)*100)&lt;-50,"NM",(AL244/AD244-1)*100)))</f>
        <v>NM</v>
      </c>
      <c r="AN244" s="158">
        <v>-8.6999999999999993</v>
      </c>
      <c r="AO244" s="23">
        <f t="shared" ref="AO244:AO252" si="1517">IF(ISERROR((AN244/AF244-1)*100),"NA",IF(((AN244/AF244-1)*100)&gt;100,"NM",IF(((AN244/AF244-1)*100)&lt;-50,"NM",(AN244/AF244-1)*100)))</f>
        <v>97.727272727272691</v>
      </c>
      <c r="AP244" s="158">
        <v>-14.7</v>
      </c>
      <c r="AQ244" s="23" t="str">
        <f t="shared" ref="AQ244:AQ252" si="1518">IF(ISERROR((AP244/AH244-1)*100),"NA",IF(((AP244/AH244-1)*100)&gt;100,"NM",IF(((AP244/AH244-1)*100)&lt;-50,"NM",(AP244/AH244-1)*100)))</f>
        <v>NM</v>
      </c>
      <c r="AR244" s="158">
        <v>-8.6</v>
      </c>
      <c r="AS244" s="23" t="str">
        <f t="shared" ref="AS244:AS252" si="1519">IF(ISERROR((AR244/AJ244-1)*100),"NA",IF(((AR244/AJ244-1)*100)&gt;100,"NM",IF(((AR244/AJ244-1)*100)&lt;-50,"NM",(AR244/AJ244-1)*100)))</f>
        <v>NM</v>
      </c>
      <c r="AT244" s="158">
        <v>6.7</v>
      </c>
      <c r="AU244" s="23" t="str">
        <f t="shared" ref="AU244:AU252" si="1520">IF(ISERROR((AT244/AL244-1)*100),"NA",IF(((AT244/AL244-1)*100)&gt;100,"NM",IF(((AT244/AL244-1)*100)&lt;-50,"NM",(AT244/AL244-1)*100)))</f>
        <v>NM</v>
      </c>
      <c r="AV244" s="158">
        <v>8.6</v>
      </c>
      <c r="AW244" s="23" t="str">
        <f t="shared" ref="AW244:AW252" si="1521">IF(ISERROR((AV244/AN244-1)*100),"NA",IF(((AV244/AN244-1)*100)&gt;100,"NM",IF(((AV244/AN244-1)*100)&lt;-50,"NM",(AV244/AN244-1)*100)))</f>
        <v>NM</v>
      </c>
      <c r="AX244" s="158">
        <v>8.6999999999999993</v>
      </c>
      <c r="AY244" s="23" t="str">
        <f t="shared" ref="AY244:AY252" si="1522">IF(ISERROR((AX244/AP244-1)*100),"NA",IF(((AX244/AP244-1)*100)&gt;100,"NM",IF(((AX244/AP244-1)*100)&lt;-50,"NM",(AX244/AP244-1)*100)))</f>
        <v>NM</v>
      </c>
      <c r="AZ244" s="158">
        <v>35.200000000000003</v>
      </c>
      <c r="BA244" s="23" t="str">
        <f t="shared" ref="BA244:BA252" si="1523">IF(ISERROR((AZ244/AR244-1)*100),"NA",IF(((AZ244/AR244-1)*100)&gt;100,"NM",IF(((AZ244/AR244-1)*100)&lt;-50,"NM",(AZ244/AR244-1)*100)))</f>
        <v>NM</v>
      </c>
      <c r="BB244" s="158">
        <v>5</v>
      </c>
      <c r="BC244" s="23">
        <f t="shared" ref="BC244:BC252" si="1524">IF(ISERROR((BB244/AT244-1)*100),"NA",IF(((BB244/AT244-1)*100)&gt;100,"NM",IF(((BB244/AT244-1)*100)&lt;-50,"NM",(BB244/AT244-1)*100)))</f>
        <v>-25.373134328358216</v>
      </c>
      <c r="BD244" s="158">
        <v>8</v>
      </c>
      <c r="BE244" s="23">
        <f t="shared" ref="BE244:BE252" si="1525">IF(ISERROR((BD244/AV244-1)*100),"NA",IF(((BD244/AV244-1)*100)&gt;100,"NM",IF(((BD244/AV244-1)*100)&lt;-50,"NM",(BD244/AV244-1)*100)))</f>
        <v>-6.9767441860465134</v>
      </c>
      <c r="BF244" s="36">
        <f t="shared" ref="BF244" si="1526">BF224*BF255/400</f>
        <v>8.0239999999999991</v>
      </c>
      <c r="BG244" s="23">
        <f t="shared" ref="BG244:BG252" si="1527">IF(ISERROR((BF244/AX244-1)*100),"NA",IF(((BF244/AX244-1)*100)&gt;100,"NM",IF(((BF244/AX244-1)*100)&lt;-50,"NM",(BF244/AX244-1)*100)))</f>
        <v>-7.770114942528739</v>
      </c>
      <c r="BH244" s="36">
        <f t="shared" ref="BH244" si="1528">BH224*BH255/400</f>
        <v>8.0560960000000001</v>
      </c>
      <c r="BI244" s="23" t="str">
        <f t="shared" ref="BI244:BI252" si="1529">IF(ISERROR((BH244/AZ244-1)*100),"NA",IF(((BH244/AZ244-1)*100)&gt;100,"NM",IF(((BH244/AZ244-1)*100)&lt;-50,"NM",(BH244/AZ244-1)*100)))</f>
        <v>NM</v>
      </c>
      <c r="BJ244" s="36">
        <f t="shared" ref="BJ244" si="1530">BJ224*BJ255/400</f>
        <v>8.0883203839999993</v>
      </c>
      <c r="BK244" s="23">
        <f t="shared" ref="BK244:BK252" si="1531">IF(ISERROR((BJ244/BB244-1)*100),"NA",IF(((BJ244/BB244-1)*100)&gt;100,"NM",IF(((BJ244/BB244-1)*100)&lt;-50,"NM",(BJ244/BB244-1)*100)))</f>
        <v>61.766407679999993</v>
      </c>
      <c r="BL244" s="36">
        <f t="shared" ref="BL244" si="1532">BL224*BL255/400</f>
        <v>8.1206736655359979</v>
      </c>
      <c r="BM244" s="23">
        <f t="shared" ref="BM244:BM252" si="1533">IF(ISERROR((BL244/BD244-1)*100),"NA",IF(((BL244/BD244-1)*100)&gt;100,"NM",IF(((BL244/BD244-1)*100)&lt;-50,"NM",(BL244/BD244-1)*100)))</f>
        <v>1.5084208191999737</v>
      </c>
      <c r="BN244" s="5"/>
      <c r="BO244" s="137"/>
      <c r="BP244" s="5"/>
      <c r="BQ244" s="49">
        <v>-46.4</v>
      </c>
      <c r="BR244" s="5"/>
      <c r="BS244" s="49">
        <v>2.2000000000000002</v>
      </c>
      <c r="BT244" s="5"/>
      <c r="BU244" s="56">
        <f>B244+D244+F244+H244</f>
        <v>7.5390000000000015</v>
      </c>
      <c r="BV244" s="23" t="str">
        <f t="shared" ref="BV244:BV252" si="1534">IF(ISERROR((BU244/BS244-1)*100),"NA",IF(((BU244/BS244-1)*100)&gt;100,"NM",IF(((BU244/BS244-1)*100)&lt;-50,"NM",(BU244/BS244-1)*100)))</f>
        <v>NM</v>
      </c>
      <c r="BW244" s="56">
        <f>J244+L244+N244+P244</f>
        <v>39.909999999999997</v>
      </c>
      <c r="BX244" s="23" t="str">
        <f t="shared" ref="BX244:BX252" si="1535">IF(ISERROR((BW244/BU244-1)*100),"NA",IF(((BW244/BU244-1)*100)&gt;100,"NM",IF(((BW244/BU244-1)*100)&lt;-50,"NM",(BW244/BU244-1)*100)))</f>
        <v>NM</v>
      </c>
      <c r="BY244" s="56">
        <f>R244+T244+V244+X244</f>
        <v>37.6</v>
      </c>
      <c r="BZ244" s="23">
        <f t="shared" ref="BZ244:CR252" si="1536">IF(ISERROR((BY244/BW244-1)*100),"NA",IF(((BY244/BW244-1)*100)&gt;100,"NM",IF(((BY244/BW244-1)*100)&lt;-50,"NM",(BY244/BW244-1)*100)))</f>
        <v>-5.788023051866686</v>
      </c>
      <c r="CA244" s="56">
        <f>Z244+AB244+AD244+AF244</f>
        <v>20.6</v>
      </c>
      <c r="CB244" s="23">
        <f t="shared" si="1536"/>
        <v>-45.212765957446813</v>
      </c>
      <c r="CC244" s="56">
        <f>AH244+AJ244+AL244+AN244</f>
        <v>1.4000000000000004</v>
      </c>
      <c r="CD244" s="23" t="str">
        <f t="shared" si="1536"/>
        <v>NM</v>
      </c>
      <c r="CE244" s="56">
        <f>AP244+AR244+AT244+AV244</f>
        <v>-7.9999999999999982</v>
      </c>
      <c r="CF244" s="23" t="str">
        <f t="shared" si="1536"/>
        <v>NM</v>
      </c>
      <c r="CG244" s="56">
        <f>AX244+AZ244+BB244+BD244</f>
        <v>56.900000000000006</v>
      </c>
      <c r="CH244" s="23" t="str">
        <f t="shared" si="1536"/>
        <v>NM</v>
      </c>
      <c r="CI244" s="56">
        <f>BF244+BH244+BJ244+BL244</f>
        <v>32.289090049535993</v>
      </c>
      <c r="CJ244" s="23">
        <f t="shared" si="1536"/>
        <v>-43.252917311887543</v>
      </c>
      <c r="CK244" s="36">
        <f>CK224*CK255/100</f>
        <v>36.998008425811427</v>
      </c>
      <c r="CL244" s="23">
        <f t="shared" si="1536"/>
        <v>14.583620563637112</v>
      </c>
      <c r="CM244" s="36">
        <f>CM224*CM255/100</f>
        <v>46.128880064029374</v>
      </c>
      <c r="CN244" s="23">
        <f t="shared" si="1536"/>
        <v>24.679359853996495</v>
      </c>
      <c r="CO244" s="36">
        <f>CO224*CO255/100</f>
        <v>46.820813264989809</v>
      </c>
      <c r="CP244" s="23">
        <f t="shared" si="1536"/>
        <v>1.4999999999999902</v>
      </c>
      <c r="CQ244" s="36">
        <f>CQ224*CQ255/100</f>
        <v>47.523125463964654</v>
      </c>
      <c r="CR244" s="23">
        <f t="shared" si="1536"/>
        <v>1.4999999999999902</v>
      </c>
      <c r="CS244" s="23">
        <f t="shared" ref="CS244:CS252" si="1537">IF(ISERROR(((CQ244/CG244)^0.2-1)*100),"NA",IF((((CQ244/CG244)^0.2-1)*100)&gt;100,"NM",IF((((CQ244/CG244)^0.2-1)*100)&lt;-50,"NM",((CQ244/CG244)^0.2-1)*100)))</f>
        <v>-3.5374927782540588</v>
      </c>
    </row>
    <row r="245" spans="1:105" ht="12.75" customHeight="1" x14ac:dyDescent="0.2">
      <c r="A245" s="121" t="s">
        <v>179</v>
      </c>
      <c r="B245" s="49">
        <v>57.866999999999997</v>
      </c>
      <c r="C245" s="59"/>
      <c r="D245" s="49">
        <v>58.000999999999998</v>
      </c>
      <c r="E245" s="59"/>
      <c r="F245" s="49">
        <v>56.325000000000003</v>
      </c>
      <c r="G245" s="59"/>
      <c r="H245" s="49">
        <v>53.890999999999998</v>
      </c>
      <c r="I245" s="59"/>
      <c r="J245" s="49">
        <v>55.875999999999998</v>
      </c>
      <c r="K245" s="23">
        <f t="shared" si="1509"/>
        <v>-3.440648383361844</v>
      </c>
      <c r="L245" s="49">
        <v>52.622</v>
      </c>
      <c r="M245" s="23">
        <f t="shared" si="1509"/>
        <v>-9.2739780348614627</v>
      </c>
      <c r="N245" s="49">
        <v>55.96</v>
      </c>
      <c r="O245" s="23">
        <f t="shared" si="1509"/>
        <v>-0.64802485574789737</v>
      </c>
      <c r="P245" s="49">
        <v>58.215000000000003</v>
      </c>
      <c r="Q245" s="23">
        <f t="shared" si="1509"/>
        <v>8.0236031990499335</v>
      </c>
      <c r="R245" s="49">
        <v>58</v>
      </c>
      <c r="S245" s="23">
        <f t="shared" si="1509"/>
        <v>3.8012742501252861</v>
      </c>
      <c r="T245" s="49">
        <v>68.2</v>
      </c>
      <c r="U245" s="23">
        <f t="shared" si="1509"/>
        <v>29.603587852989243</v>
      </c>
      <c r="V245" s="49">
        <v>69.400000000000006</v>
      </c>
      <c r="W245" s="23">
        <f t="shared" si="1509"/>
        <v>24.017155110793432</v>
      </c>
      <c r="X245" s="49">
        <v>74.599999999999994</v>
      </c>
      <c r="Y245" s="23">
        <f t="shared" si="1509"/>
        <v>28.145666924332204</v>
      </c>
      <c r="Z245" s="49">
        <v>78.5</v>
      </c>
      <c r="AA245" s="23">
        <f t="shared" si="1510"/>
        <v>35.344827586206897</v>
      </c>
      <c r="AB245" s="49">
        <v>77.400000000000006</v>
      </c>
      <c r="AC245" s="23">
        <f t="shared" si="1511"/>
        <v>13.489736070381241</v>
      </c>
      <c r="AD245" s="49">
        <v>77.900000000000006</v>
      </c>
      <c r="AE245" s="23">
        <f t="shared" si="1512"/>
        <v>12.247838616714702</v>
      </c>
      <c r="AF245" s="49">
        <v>77.400000000000006</v>
      </c>
      <c r="AG245" s="23">
        <f t="shared" si="1513"/>
        <v>3.7533512064343411</v>
      </c>
      <c r="AH245" s="49">
        <v>76.8</v>
      </c>
      <c r="AI245" s="23">
        <f t="shared" si="1514"/>
        <v>-2.1656050955414008</v>
      </c>
      <c r="AJ245" s="49">
        <v>76.900000000000006</v>
      </c>
      <c r="AK245" s="23">
        <f t="shared" si="1515"/>
        <v>-0.64599483204134112</v>
      </c>
      <c r="AL245" s="49">
        <v>74.900000000000006</v>
      </c>
      <c r="AM245" s="23">
        <f t="shared" si="1516"/>
        <v>-3.8510911424903704</v>
      </c>
      <c r="AN245" s="158">
        <v>75.599999999999994</v>
      </c>
      <c r="AO245" s="23">
        <f t="shared" si="1517"/>
        <v>-2.3255813953488524</v>
      </c>
      <c r="AP245" s="158">
        <v>71.8</v>
      </c>
      <c r="AQ245" s="23">
        <f t="shared" si="1518"/>
        <v>-6.5104166666666625</v>
      </c>
      <c r="AR245" s="158">
        <v>75</v>
      </c>
      <c r="AS245" s="23">
        <f t="shared" si="1519"/>
        <v>-2.4707412223667125</v>
      </c>
      <c r="AT245" s="158">
        <v>75.8</v>
      </c>
      <c r="AU245" s="23">
        <f t="shared" si="1520"/>
        <v>1.2016021361815676</v>
      </c>
      <c r="AV245" s="158">
        <v>81.2</v>
      </c>
      <c r="AW245" s="23">
        <f t="shared" si="1521"/>
        <v>7.4074074074074181</v>
      </c>
      <c r="AX245" s="158">
        <v>79</v>
      </c>
      <c r="AY245" s="23">
        <f t="shared" si="1522"/>
        <v>10.027855153203348</v>
      </c>
      <c r="AZ245" s="158">
        <v>86.7</v>
      </c>
      <c r="BA245" s="23">
        <f t="shared" si="1523"/>
        <v>15.600000000000014</v>
      </c>
      <c r="BB245" s="158">
        <v>85.5</v>
      </c>
      <c r="BC245" s="23">
        <f t="shared" si="1524"/>
        <v>12.796833773087069</v>
      </c>
      <c r="BD245" s="158">
        <v>92</v>
      </c>
      <c r="BE245" s="23">
        <f t="shared" si="1525"/>
        <v>13.300492610837434</v>
      </c>
      <c r="BF245" s="36">
        <f t="shared" ref="BF245" si="1538">BF221*BF258/40000</f>
        <v>88.785317313872426</v>
      </c>
      <c r="BG245" s="23">
        <f t="shared" si="1527"/>
        <v>12.386477612496737</v>
      </c>
      <c r="BH245" s="36">
        <f t="shared" ref="BH245" si="1539">BH221*BH258/40000</f>
        <v>91.23031889766736</v>
      </c>
      <c r="BI245" s="23">
        <f t="shared" si="1529"/>
        <v>5.2252813121884234</v>
      </c>
      <c r="BJ245" s="36">
        <f t="shared" ref="BJ245" si="1540">BJ221*BJ258/40000</f>
        <v>93.002067869526172</v>
      </c>
      <c r="BK245" s="23">
        <f t="shared" si="1531"/>
        <v>8.774348385410736</v>
      </c>
      <c r="BL245" s="36">
        <f t="shared" ref="BL245" si="1541">BL221*BL258/40000</f>
        <v>94.807217853002484</v>
      </c>
      <c r="BM245" s="23">
        <f t="shared" si="1533"/>
        <v>3.0513237532635795</v>
      </c>
      <c r="BN245" s="5"/>
      <c r="BO245" s="137"/>
      <c r="BP245" s="5"/>
      <c r="BQ245" s="74"/>
      <c r="BR245" s="152"/>
      <c r="BS245" s="74"/>
      <c r="BT245" s="5"/>
      <c r="BU245" s="56">
        <f>B245+D245+F245+H245</f>
        <v>226.08399999999997</v>
      </c>
      <c r="BV245" s="23" t="str">
        <f t="shared" si="1534"/>
        <v>NA</v>
      </c>
      <c r="BW245" s="56">
        <f>J245+L245+N245+P245</f>
        <v>222.673</v>
      </c>
      <c r="BX245" s="23">
        <f t="shared" si="1535"/>
        <v>-1.5087312680242659</v>
      </c>
      <c r="BY245" s="56">
        <f>R245+T245+V245+X245</f>
        <v>270.20000000000005</v>
      </c>
      <c r="BZ245" s="23">
        <f t="shared" si="1536"/>
        <v>21.343853992176886</v>
      </c>
      <c r="CA245" s="56">
        <f>Z245+AB245+AD245+AF245</f>
        <v>311.20000000000005</v>
      </c>
      <c r="CB245" s="23">
        <f t="shared" si="1536"/>
        <v>15.1739452257587</v>
      </c>
      <c r="CC245" s="56">
        <f>AH245+AJ245+AL245+AN245</f>
        <v>304.2</v>
      </c>
      <c r="CD245" s="23">
        <f t="shared" si="1536"/>
        <v>-2.249357326478163</v>
      </c>
      <c r="CE245" s="56">
        <f>AP245+AR245+AT245+AV245</f>
        <v>303.8</v>
      </c>
      <c r="CF245" s="23">
        <f t="shared" si="1536"/>
        <v>-0.13149243918474385</v>
      </c>
      <c r="CG245" s="56">
        <f>AX245+AZ245+BB245+BD245</f>
        <v>343.2</v>
      </c>
      <c r="CH245" s="23">
        <f t="shared" si="1536"/>
        <v>12.969058591178406</v>
      </c>
      <c r="CI245" s="56">
        <f>BF245+BH245+BJ245+BL245</f>
        <v>367.82492193406847</v>
      </c>
      <c r="CJ245" s="23">
        <f t="shared" si="1536"/>
        <v>7.1750938036330147</v>
      </c>
      <c r="CK245" s="36">
        <f>CK221*CK258/10000</f>
        <v>391.67591680443155</v>
      </c>
      <c r="CL245" s="23">
        <f t="shared" si="1536"/>
        <v>6.4843335641727728</v>
      </c>
      <c r="CM245" s="36">
        <f>CM221*CM258/10000</f>
        <v>417.021288188413</v>
      </c>
      <c r="CN245" s="23">
        <f t="shared" si="1536"/>
        <v>6.4710058230709855</v>
      </c>
      <c r="CO245" s="36">
        <f>CO221*CO258/10000</f>
        <v>443.95466577217866</v>
      </c>
      <c r="CP245" s="23">
        <f t="shared" si="1536"/>
        <v>6.4585138328950187</v>
      </c>
      <c r="CQ245" s="36">
        <f>CQ221*CQ258/10000</f>
        <v>472.57554558016426</v>
      </c>
      <c r="CR245" s="23">
        <f t="shared" si="1536"/>
        <v>6.4468023459568258</v>
      </c>
      <c r="CS245" s="23">
        <f t="shared" si="1537"/>
        <v>6.6067719299290228</v>
      </c>
    </row>
    <row r="246" spans="1:105" ht="12.75" customHeight="1" x14ac:dyDescent="0.2">
      <c r="A246" s="121" t="s">
        <v>177</v>
      </c>
      <c r="B246" s="49">
        <v>18.082000000000001</v>
      </c>
      <c r="C246" s="59"/>
      <c r="D246" s="49">
        <v>19.751999999999999</v>
      </c>
      <c r="E246" s="59"/>
      <c r="F246" s="49">
        <v>18.754999999999999</v>
      </c>
      <c r="G246" s="59"/>
      <c r="H246" s="49">
        <v>19.797999999999998</v>
      </c>
      <c r="I246" s="59"/>
      <c r="J246" s="49">
        <v>19.535</v>
      </c>
      <c r="K246" s="23">
        <f t="shared" si="1509"/>
        <v>8.0356155292556011</v>
      </c>
      <c r="L246" s="49">
        <v>19.279</v>
      </c>
      <c r="M246" s="23">
        <f t="shared" si="1509"/>
        <v>-2.3946942081814471</v>
      </c>
      <c r="N246" s="49">
        <v>21.36</v>
      </c>
      <c r="O246" s="23">
        <f t="shared" si="1509"/>
        <v>13.889629432151441</v>
      </c>
      <c r="P246" s="49">
        <v>21.905000000000001</v>
      </c>
      <c r="Q246" s="23">
        <f t="shared" si="1509"/>
        <v>10.642489140317224</v>
      </c>
      <c r="R246" s="49">
        <v>22.1</v>
      </c>
      <c r="S246" s="23">
        <f t="shared" si="1509"/>
        <v>13.130278986434618</v>
      </c>
      <c r="T246" s="49">
        <v>23.5</v>
      </c>
      <c r="U246" s="23">
        <f t="shared" si="1509"/>
        <v>21.89428912287983</v>
      </c>
      <c r="V246" s="49">
        <v>25.8</v>
      </c>
      <c r="W246" s="23">
        <f t="shared" si="1509"/>
        <v>20.786516853932604</v>
      </c>
      <c r="X246" s="49">
        <v>26.8</v>
      </c>
      <c r="Y246" s="23">
        <f t="shared" si="1509"/>
        <v>22.346496233736591</v>
      </c>
      <c r="Z246" s="49">
        <v>28.3</v>
      </c>
      <c r="AA246" s="23">
        <f t="shared" si="1510"/>
        <v>28.054298642533926</v>
      </c>
      <c r="AB246" s="49">
        <v>28.9</v>
      </c>
      <c r="AC246" s="23">
        <f t="shared" si="1511"/>
        <v>22.978723404255309</v>
      </c>
      <c r="AD246" s="49">
        <v>32.1</v>
      </c>
      <c r="AE246" s="23">
        <f t="shared" si="1512"/>
        <v>24.418604651162788</v>
      </c>
      <c r="AF246" s="49">
        <v>31.7</v>
      </c>
      <c r="AG246" s="23">
        <f t="shared" si="1513"/>
        <v>18.28358208955223</v>
      </c>
      <c r="AH246" s="49">
        <v>30.7</v>
      </c>
      <c r="AI246" s="23">
        <f t="shared" si="1514"/>
        <v>8.4805653710247277</v>
      </c>
      <c r="AJ246" s="49">
        <v>30.9</v>
      </c>
      <c r="AK246" s="23">
        <f t="shared" si="1515"/>
        <v>6.9204152249134898</v>
      </c>
      <c r="AL246" s="49">
        <v>30.9</v>
      </c>
      <c r="AM246" s="23">
        <f t="shared" si="1516"/>
        <v>-3.7383177570093573</v>
      </c>
      <c r="AN246" s="158">
        <v>29.8</v>
      </c>
      <c r="AO246" s="23">
        <f t="shared" si="1517"/>
        <v>-5.9936908517350123</v>
      </c>
      <c r="AP246" s="158">
        <v>28.2</v>
      </c>
      <c r="AQ246" s="23">
        <f t="shared" si="1518"/>
        <v>-8.1433224755700362</v>
      </c>
      <c r="AR246" s="158">
        <v>28.9</v>
      </c>
      <c r="AS246" s="23">
        <f t="shared" si="1519"/>
        <v>-6.4724919093851145</v>
      </c>
      <c r="AT246" s="158">
        <v>29.5</v>
      </c>
      <c r="AU246" s="23">
        <f t="shared" si="1520"/>
        <v>-4.5307443365695699</v>
      </c>
      <c r="AV246" s="158">
        <v>29.2</v>
      </c>
      <c r="AW246" s="23">
        <f t="shared" si="1521"/>
        <v>-2.0134228187919545</v>
      </c>
      <c r="AX246" s="158">
        <v>29</v>
      </c>
      <c r="AY246" s="23">
        <f t="shared" si="1522"/>
        <v>2.8368794326241176</v>
      </c>
      <c r="AZ246" s="158">
        <v>27.4</v>
      </c>
      <c r="BA246" s="23">
        <f t="shared" si="1523"/>
        <v>-5.1903114186851234</v>
      </c>
      <c r="BB246" s="158">
        <v>29.4</v>
      </c>
      <c r="BC246" s="23">
        <f t="shared" si="1524"/>
        <v>-0.33898305084746339</v>
      </c>
      <c r="BD246" s="158">
        <v>28</v>
      </c>
      <c r="BE246" s="23">
        <f t="shared" si="1525"/>
        <v>-4.1095890410958846</v>
      </c>
      <c r="BF246" s="36">
        <f t="shared" ref="BF246" si="1542">BF222*BF259/40000</f>
        <v>27.153710204483598</v>
      </c>
      <c r="BG246" s="23">
        <f t="shared" si="1527"/>
        <v>-6.3665165362634557</v>
      </c>
      <c r="BH246" s="36">
        <f t="shared" ref="BH246" si="1543">BH222*BH259/40000</f>
        <v>26.861073536676781</v>
      </c>
      <c r="BI246" s="23">
        <f t="shared" si="1529"/>
        <v>-1.9668849026394875</v>
      </c>
      <c r="BJ246" s="36">
        <f t="shared" ref="BJ246" si="1544">BJ222*BJ259/40000</f>
        <v>26.571857791516628</v>
      </c>
      <c r="BK246" s="23">
        <f t="shared" si="1531"/>
        <v>-9.6195313213720102</v>
      </c>
      <c r="BL246" s="36">
        <f t="shared" ref="BL246" si="1545">BL222*BL259/40000</f>
        <v>26.287085852729053</v>
      </c>
      <c r="BM246" s="23">
        <f t="shared" si="1533"/>
        <v>-6.1175505259676637</v>
      </c>
      <c r="BN246" s="5"/>
      <c r="BO246" s="137"/>
      <c r="BP246" s="5"/>
      <c r="BQ246" s="74"/>
      <c r="BR246" s="152"/>
      <c r="BS246" s="74"/>
      <c r="BT246" s="5"/>
      <c r="BU246" s="56">
        <f>B246+D246+F246+H246</f>
        <v>76.387</v>
      </c>
      <c r="BV246" s="23" t="str">
        <f t="shared" si="1534"/>
        <v>NA</v>
      </c>
      <c r="BW246" s="56">
        <f>J246+L246+N246+P246</f>
        <v>82.079000000000008</v>
      </c>
      <c r="BX246" s="23">
        <f t="shared" si="1535"/>
        <v>7.4515297105528511</v>
      </c>
      <c r="BY246" s="56">
        <f>R246+T246+V246+X246</f>
        <v>98.2</v>
      </c>
      <c r="BZ246" s="23">
        <f t="shared" si="1536"/>
        <v>19.640833830821514</v>
      </c>
      <c r="CA246" s="56">
        <f>Z246+AB246+AD246+AF246</f>
        <v>121.00000000000001</v>
      </c>
      <c r="CB246" s="23">
        <f t="shared" si="1536"/>
        <v>23.217922606924656</v>
      </c>
      <c r="CC246" s="56">
        <f>AH246+AJ246+AL246+AN246</f>
        <v>122.3</v>
      </c>
      <c r="CD246" s="23">
        <f t="shared" si="1536"/>
        <v>1.074380165289246</v>
      </c>
      <c r="CE246" s="56">
        <f>AP246+AR246+AT246+AV246</f>
        <v>115.8</v>
      </c>
      <c r="CF246" s="23">
        <f t="shared" si="1536"/>
        <v>-5.3147996729353997</v>
      </c>
      <c r="CG246" s="56">
        <f>AX246+AZ246+BB246+BD246</f>
        <v>113.8</v>
      </c>
      <c r="CH246" s="23">
        <f t="shared" si="1536"/>
        <v>-1.7271157167530249</v>
      </c>
      <c r="CI246" s="56">
        <f>BF246+BH246+BJ246+BL246</f>
        <v>106.87372738540606</v>
      </c>
      <c r="CJ246" s="23">
        <f t="shared" si="1536"/>
        <v>-6.0863555488523176</v>
      </c>
      <c r="CK246" s="36">
        <f>CK222*CK259/10000</f>
        <v>100.36034060915102</v>
      </c>
      <c r="CL246" s="23">
        <f t="shared" si="1536"/>
        <v>-6.0944695535569586</v>
      </c>
      <c r="CM246" s="36">
        <f>CM222*CM259/10000</f>
        <v>94.268480153080489</v>
      </c>
      <c r="CN246" s="23">
        <f t="shared" si="1536"/>
        <v>-6.0699878249666606</v>
      </c>
      <c r="CO246" s="36">
        <f>CO222*CO259/10000</f>
        <v>88.570866132748506</v>
      </c>
      <c r="CP246" s="23">
        <f t="shared" si="1536"/>
        <v>-6.0440287263354158</v>
      </c>
      <c r="CQ246" s="36">
        <f>CQ222*CQ259/10000</f>
        <v>83.241984133763381</v>
      </c>
      <c r="CR246" s="23">
        <f t="shared" si="1536"/>
        <v>-6.0165178818487375</v>
      </c>
      <c r="CS246" s="23">
        <f t="shared" si="1537"/>
        <v>-6.0622762739482745</v>
      </c>
    </row>
    <row r="247" spans="1:105" ht="12.75" customHeight="1" x14ac:dyDescent="0.2">
      <c r="A247" s="12" t="s">
        <v>180</v>
      </c>
      <c r="B247" s="56">
        <f t="shared" ref="B247:N247" si="1546">B245+B246</f>
        <v>75.948999999999998</v>
      </c>
      <c r="C247" s="59"/>
      <c r="D247" s="56">
        <f t="shared" si="1546"/>
        <v>77.753</v>
      </c>
      <c r="E247" s="59"/>
      <c r="F247" s="56">
        <f t="shared" si="1546"/>
        <v>75.08</v>
      </c>
      <c r="G247" s="59"/>
      <c r="H247" s="56">
        <f t="shared" si="1546"/>
        <v>73.688999999999993</v>
      </c>
      <c r="I247" s="59"/>
      <c r="J247" s="56">
        <f t="shared" si="1546"/>
        <v>75.411000000000001</v>
      </c>
      <c r="K247" s="23">
        <f t="shared" si="1509"/>
        <v>-0.70837009045543464</v>
      </c>
      <c r="L247" s="56">
        <f t="shared" si="1546"/>
        <v>71.900999999999996</v>
      </c>
      <c r="M247" s="23">
        <f t="shared" si="1509"/>
        <v>-7.5263976952657856</v>
      </c>
      <c r="N247" s="56">
        <f t="shared" si="1546"/>
        <v>77.319999999999993</v>
      </c>
      <c r="O247" s="23">
        <f t="shared" si="1509"/>
        <v>2.9834842834310038</v>
      </c>
      <c r="P247" s="56">
        <f>P245+P246</f>
        <v>80.12</v>
      </c>
      <c r="Q247" s="23">
        <f t="shared" si="1509"/>
        <v>8.7272184450867929</v>
      </c>
      <c r="R247" s="56">
        <f>R245+R246</f>
        <v>80.099999999999994</v>
      </c>
      <c r="S247" s="23">
        <f t="shared" si="1509"/>
        <v>6.2179257667979382</v>
      </c>
      <c r="T247" s="56">
        <f>T245+T246</f>
        <v>91.7</v>
      </c>
      <c r="U247" s="23">
        <f t="shared" si="1509"/>
        <v>27.536473762534609</v>
      </c>
      <c r="V247" s="56">
        <f>V245+V246</f>
        <v>95.2</v>
      </c>
      <c r="W247" s="23">
        <f t="shared" si="1509"/>
        <v>23.12467666839111</v>
      </c>
      <c r="X247" s="56">
        <f>X245+X246</f>
        <v>101.39999999999999</v>
      </c>
      <c r="Y247" s="23">
        <f t="shared" si="1509"/>
        <v>26.560159760359436</v>
      </c>
      <c r="Z247" s="56">
        <f>Z245+Z246</f>
        <v>106.8</v>
      </c>
      <c r="AA247" s="23">
        <f t="shared" si="1510"/>
        <v>33.33333333333335</v>
      </c>
      <c r="AB247" s="56">
        <f>AB245+AB246</f>
        <v>106.30000000000001</v>
      </c>
      <c r="AC247" s="23">
        <f t="shared" si="1511"/>
        <v>15.921483097055633</v>
      </c>
      <c r="AD247" s="56">
        <f>AD245+AD246</f>
        <v>110</v>
      </c>
      <c r="AE247" s="23">
        <f t="shared" si="1512"/>
        <v>15.546218487394947</v>
      </c>
      <c r="AF247" s="56">
        <f>AF245+AF246</f>
        <v>109.10000000000001</v>
      </c>
      <c r="AG247" s="23">
        <f t="shared" si="1513"/>
        <v>7.5936883629191598</v>
      </c>
      <c r="AH247" s="56">
        <f>AH245+AH246</f>
        <v>107.5</v>
      </c>
      <c r="AI247" s="23">
        <f t="shared" si="1514"/>
        <v>0.65543071161049404</v>
      </c>
      <c r="AJ247" s="56">
        <f>AJ245+AJ246</f>
        <v>107.80000000000001</v>
      </c>
      <c r="AK247" s="23">
        <f t="shared" si="1515"/>
        <v>1.4111006585136421</v>
      </c>
      <c r="AL247" s="56">
        <f>AL245+AL246</f>
        <v>105.80000000000001</v>
      </c>
      <c r="AM247" s="23">
        <f t="shared" si="1516"/>
        <v>-3.8181818181818095</v>
      </c>
      <c r="AN247" s="413">
        <f t="shared" ref="AN247:AP247" si="1547">AN245+AN246</f>
        <v>105.39999999999999</v>
      </c>
      <c r="AO247" s="23">
        <f t="shared" si="1517"/>
        <v>-3.3913840513290716</v>
      </c>
      <c r="AP247" s="413">
        <f t="shared" si="1547"/>
        <v>100</v>
      </c>
      <c r="AQ247" s="23">
        <f t="shared" si="1518"/>
        <v>-6.9767441860465134</v>
      </c>
      <c r="AR247" s="413">
        <f t="shared" ref="AR247:AT247" si="1548">AR245+AR246</f>
        <v>103.9</v>
      </c>
      <c r="AS247" s="23">
        <f t="shared" si="1519"/>
        <v>-3.6178107606679055</v>
      </c>
      <c r="AT247" s="413">
        <f t="shared" si="1548"/>
        <v>105.3</v>
      </c>
      <c r="AU247" s="23">
        <f t="shared" si="1520"/>
        <v>-0.47258979206050711</v>
      </c>
      <c r="AV247" s="413">
        <f t="shared" ref="AV247:AX247" si="1549">AV245+AV246</f>
        <v>110.4</v>
      </c>
      <c r="AW247" s="23">
        <f t="shared" si="1521"/>
        <v>4.7438330170778142</v>
      </c>
      <c r="AX247" s="413">
        <f t="shared" si="1549"/>
        <v>108</v>
      </c>
      <c r="AY247" s="23">
        <f t="shared" si="1522"/>
        <v>8.0000000000000071</v>
      </c>
      <c r="AZ247" s="413">
        <f t="shared" ref="AZ247" si="1550">AZ245+AZ246</f>
        <v>114.1</v>
      </c>
      <c r="BA247" s="23">
        <f t="shared" si="1523"/>
        <v>9.8171318575553279</v>
      </c>
      <c r="BB247" s="413">
        <f t="shared" ref="BB247:BD247" si="1551">BB245+BB246</f>
        <v>114.9</v>
      </c>
      <c r="BC247" s="23">
        <f t="shared" si="1524"/>
        <v>9.1168091168091223</v>
      </c>
      <c r="BD247" s="413">
        <f t="shared" si="1551"/>
        <v>120</v>
      </c>
      <c r="BE247" s="23">
        <f t="shared" si="1525"/>
        <v>8.6956521739130377</v>
      </c>
      <c r="BF247" s="36">
        <f t="shared" ref="BF247" si="1552">BF245+BF246</f>
        <v>115.93902751835603</v>
      </c>
      <c r="BG247" s="23">
        <f t="shared" si="1527"/>
        <v>7.3509514058852199</v>
      </c>
      <c r="BH247" s="36">
        <f t="shared" ref="BH247" si="1553">BH245+BH246</f>
        <v>118.09139243434414</v>
      </c>
      <c r="BI247" s="23">
        <f t="shared" si="1529"/>
        <v>3.4981528784786553</v>
      </c>
      <c r="BJ247" s="36">
        <f t="shared" ref="BJ247" si="1554">BJ245+BJ246</f>
        <v>119.57392566104281</v>
      </c>
      <c r="BK247" s="23">
        <f t="shared" si="1531"/>
        <v>4.0678204186621381</v>
      </c>
      <c r="BL247" s="36">
        <f t="shared" ref="BL247" si="1555">BL245+BL246</f>
        <v>121.09430370573153</v>
      </c>
      <c r="BM247" s="23">
        <f t="shared" si="1533"/>
        <v>0.91191975477626919</v>
      </c>
      <c r="BN247" s="5"/>
      <c r="BO247" s="137"/>
      <c r="BP247" s="5"/>
      <c r="BQ247" s="112"/>
      <c r="BR247" s="152"/>
      <c r="BS247" s="112"/>
      <c r="BT247" s="5"/>
      <c r="BU247" s="36">
        <f t="shared" ref="BU247:CA247" si="1556">BU245+BU246</f>
        <v>302.471</v>
      </c>
      <c r="BV247" s="23" t="str">
        <f t="shared" si="1534"/>
        <v>NA</v>
      </c>
      <c r="BW247" s="36">
        <f t="shared" si="1556"/>
        <v>304.75200000000001</v>
      </c>
      <c r="BX247" s="23">
        <f t="shared" si="1535"/>
        <v>0.75412188275900682</v>
      </c>
      <c r="BY247" s="36">
        <f t="shared" si="1556"/>
        <v>368.40000000000003</v>
      </c>
      <c r="BZ247" s="23">
        <f t="shared" si="1536"/>
        <v>20.885178768309977</v>
      </c>
      <c r="CA247" s="36">
        <f t="shared" si="1556"/>
        <v>432.20000000000005</v>
      </c>
      <c r="CB247" s="23">
        <f t="shared" si="1536"/>
        <v>17.318132464712278</v>
      </c>
      <c r="CC247" s="36">
        <f t="shared" ref="CC247" si="1557">CC245+CC246</f>
        <v>426.5</v>
      </c>
      <c r="CD247" s="23">
        <f t="shared" si="1536"/>
        <v>-1.3188338732068594</v>
      </c>
      <c r="CE247" s="36">
        <f t="shared" ref="CE247" si="1558">CE245+CE246</f>
        <v>419.6</v>
      </c>
      <c r="CF247" s="23">
        <f t="shared" si="1536"/>
        <v>-1.6178194607268437</v>
      </c>
      <c r="CG247" s="36">
        <f t="shared" ref="CG247" si="1559">CG245+CG246</f>
        <v>457</v>
      </c>
      <c r="CH247" s="23">
        <f t="shared" si="1536"/>
        <v>8.913250714966626</v>
      </c>
      <c r="CI247" s="36">
        <f t="shared" ref="CI247" si="1560">CI245+CI246</f>
        <v>474.6986493194745</v>
      </c>
      <c r="CJ247" s="23">
        <f t="shared" si="1536"/>
        <v>3.8727897854429871</v>
      </c>
      <c r="CK247" s="36">
        <f>CK245+CK246</f>
        <v>492.03625741358258</v>
      </c>
      <c r="CL247" s="23">
        <f t="shared" si="1536"/>
        <v>3.6523398832002618</v>
      </c>
      <c r="CM247" s="36">
        <f>CM245+CM246</f>
        <v>511.28976834149347</v>
      </c>
      <c r="CN247" s="23">
        <f t="shared" si="1536"/>
        <v>3.9130268629222753</v>
      </c>
      <c r="CO247" s="36">
        <f>CO245+CO246</f>
        <v>532.52553190492722</v>
      </c>
      <c r="CP247" s="23">
        <f t="shared" si="1536"/>
        <v>4.1533715083557521</v>
      </c>
      <c r="CQ247" s="36">
        <f>CQ245+CQ246</f>
        <v>555.81752971392768</v>
      </c>
      <c r="CR247" s="23">
        <f t="shared" si="1536"/>
        <v>4.3738743803853675</v>
      </c>
      <c r="CS247" s="23">
        <f t="shared" si="1537"/>
        <v>3.9927847252688498</v>
      </c>
    </row>
    <row r="248" spans="1:105" ht="12.75" customHeight="1" x14ac:dyDescent="0.2">
      <c r="A248" s="12" t="s">
        <v>174</v>
      </c>
      <c r="B248" s="49">
        <v>37.121000000000002</v>
      </c>
      <c r="C248" s="59"/>
      <c r="D248" s="49">
        <v>36.914999999999999</v>
      </c>
      <c r="E248" s="59"/>
      <c r="F248" s="49">
        <v>36.847999999999999</v>
      </c>
      <c r="G248" s="59"/>
      <c r="H248" s="49">
        <v>37.264000000000003</v>
      </c>
      <c r="I248" s="59"/>
      <c r="J248" s="49">
        <v>37.1</v>
      </c>
      <c r="K248" s="23">
        <f t="shared" si="1509"/>
        <v>-5.6571751838585538E-2</v>
      </c>
      <c r="L248" s="49">
        <v>36.731000000000002</v>
      </c>
      <c r="M248" s="23">
        <f t="shared" si="1509"/>
        <v>-0.49844236760123728</v>
      </c>
      <c r="N248" s="49">
        <v>37.646000000000001</v>
      </c>
      <c r="O248" s="23">
        <f t="shared" si="1509"/>
        <v>2.1656534954407336</v>
      </c>
      <c r="P248" s="49">
        <v>37.018000000000001</v>
      </c>
      <c r="Q248" s="23">
        <f t="shared" si="1509"/>
        <v>-0.66015457277802669</v>
      </c>
      <c r="R248" s="49">
        <v>36.799999999999997</v>
      </c>
      <c r="S248" s="23">
        <f t="shared" si="1509"/>
        <v>-0.80862533692723781</v>
      </c>
      <c r="T248" s="49">
        <v>36.200000000000003</v>
      </c>
      <c r="U248" s="23">
        <f t="shared" si="1509"/>
        <v>-1.4456453676730763</v>
      </c>
      <c r="V248" s="49">
        <v>36.200000000000003</v>
      </c>
      <c r="W248" s="23">
        <f t="shared" si="1509"/>
        <v>-3.8410455294055068</v>
      </c>
      <c r="X248" s="49">
        <v>36.200000000000003</v>
      </c>
      <c r="Y248" s="23">
        <f t="shared" si="1509"/>
        <v>-2.2097358042033499</v>
      </c>
      <c r="Z248" s="49">
        <v>36.1</v>
      </c>
      <c r="AA248" s="23">
        <f t="shared" si="1510"/>
        <v>-1.9021739130434701</v>
      </c>
      <c r="AB248" s="49">
        <v>36.5</v>
      </c>
      <c r="AC248" s="23">
        <f t="shared" si="1511"/>
        <v>0.82872928176793703</v>
      </c>
      <c r="AD248" s="49">
        <v>36</v>
      </c>
      <c r="AE248" s="23">
        <f t="shared" si="1512"/>
        <v>-0.55248618784531356</v>
      </c>
      <c r="AF248" s="49">
        <v>36.200000000000003</v>
      </c>
      <c r="AG248" s="23">
        <f t="shared" si="1513"/>
        <v>0</v>
      </c>
      <c r="AH248" s="49">
        <v>36.1</v>
      </c>
      <c r="AI248" s="23">
        <f t="shared" si="1514"/>
        <v>0</v>
      </c>
      <c r="AJ248" s="49">
        <v>36.4</v>
      </c>
      <c r="AK248" s="23">
        <f t="shared" si="1515"/>
        <v>-0.2739726027397249</v>
      </c>
      <c r="AL248" s="49">
        <v>36</v>
      </c>
      <c r="AM248" s="23">
        <f t="shared" si="1516"/>
        <v>0</v>
      </c>
      <c r="AN248" s="158">
        <v>36.6</v>
      </c>
      <c r="AO248" s="23">
        <f t="shared" si="1517"/>
        <v>1.1049723756906049</v>
      </c>
      <c r="AP248" s="158">
        <v>26.4</v>
      </c>
      <c r="AQ248" s="23">
        <f t="shared" si="1518"/>
        <v>-26.869806094182834</v>
      </c>
      <c r="AR248" s="158">
        <v>37.6</v>
      </c>
      <c r="AS248" s="23">
        <f t="shared" si="1519"/>
        <v>3.2967032967033072</v>
      </c>
      <c r="AT248" s="158">
        <v>37.5</v>
      </c>
      <c r="AU248" s="23">
        <f t="shared" si="1520"/>
        <v>4.1666666666666741</v>
      </c>
      <c r="AV248" s="158">
        <v>38.700000000000003</v>
      </c>
      <c r="AW248" s="23">
        <f t="shared" si="1521"/>
        <v>5.7377049180327822</v>
      </c>
      <c r="AX248" s="158">
        <v>39.200000000000003</v>
      </c>
      <c r="AY248" s="23">
        <f t="shared" si="1522"/>
        <v>48.484848484848506</v>
      </c>
      <c r="AZ248" s="158">
        <v>39.1</v>
      </c>
      <c r="BA248" s="23">
        <f t="shared" si="1523"/>
        <v>3.9893617021276695</v>
      </c>
      <c r="BB248" s="158">
        <v>39.6</v>
      </c>
      <c r="BC248" s="23">
        <f t="shared" si="1524"/>
        <v>5.600000000000005</v>
      </c>
      <c r="BD248" s="158">
        <v>40</v>
      </c>
      <c r="BE248" s="23">
        <f t="shared" si="1525"/>
        <v>3.3591731266149782</v>
      </c>
      <c r="BF248" s="36">
        <f t="shared" ref="BF248" si="1561">BF224*BF261/40000</f>
        <v>40.119999999999997</v>
      </c>
      <c r="BG248" s="23">
        <f t="shared" si="1527"/>
        <v>2.3469387755101989</v>
      </c>
      <c r="BH248" s="36">
        <f t="shared" ref="BH248" si="1562">BH224*BH261/40000</f>
        <v>40.28047999999999</v>
      </c>
      <c r="BI248" s="23">
        <f t="shared" si="1529"/>
        <v>3.0191304347825687</v>
      </c>
      <c r="BJ248" s="36">
        <f t="shared" ref="BJ248" si="1563">BJ224*BJ261/40000</f>
        <v>16.582270035257597</v>
      </c>
      <c r="BK248" s="23" t="str">
        <f t="shared" si="1531"/>
        <v>NM</v>
      </c>
      <c r="BL248" s="36">
        <f t="shared" ref="BL248" si="1564">BL224*BL261/40000</f>
        <v>16.648599115398628</v>
      </c>
      <c r="BM248" s="23" t="str">
        <f t="shared" si="1533"/>
        <v>NM</v>
      </c>
      <c r="BN248" s="5"/>
      <c r="BO248" s="137"/>
      <c r="BP248" s="5"/>
      <c r="BQ248" s="74"/>
      <c r="BR248" s="152"/>
      <c r="BS248" s="74"/>
      <c r="BT248" s="5"/>
      <c r="BU248" s="56">
        <f>B248+D248+F248+H248</f>
        <v>148.148</v>
      </c>
      <c r="BV248" s="23" t="str">
        <f t="shared" si="1534"/>
        <v>NA</v>
      </c>
      <c r="BW248" s="56">
        <f>J248+L248+N248+P248</f>
        <v>148.495</v>
      </c>
      <c r="BX248" s="23">
        <f t="shared" si="1535"/>
        <v>0.23422523422524932</v>
      </c>
      <c r="BY248" s="56">
        <f>R248+T248+V248+X248</f>
        <v>145.4</v>
      </c>
      <c r="BZ248" s="23">
        <f t="shared" si="1536"/>
        <v>-2.0842452607831907</v>
      </c>
      <c r="CA248" s="56">
        <f>Z248+AB248+AD248+AF248</f>
        <v>144.80000000000001</v>
      </c>
      <c r="CB248" s="23">
        <f t="shared" si="1536"/>
        <v>-0.4126547455295726</v>
      </c>
      <c r="CC248" s="56">
        <f>AH248+AJ248+AL248+AN248</f>
        <v>145.1</v>
      </c>
      <c r="CD248" s="23">
        <f t="shared" si="1536"/>
        <v>0.2071823204419676</v>
      </c>
      <c r="CE248" s="56">
        <f>AP248+AR248+AT248+AV248</f>
        <v>140.19999999999999</v>
      </c>
      <c r="CF248" s="23">
        <f t="shared" si="1536"/>
        <v>-3.3769813921433522</v>
      </c>
      <c r="CG248" s="56">
        <f>AX248+AZ248+BB248+BD248</f>
        <v>157.9</v>
      </c>
      <c r="CH248" s="23">
        <f t="shared" si="1536"/>
        <v>12.624821683309563</v>
      </c>
      <c r="CI248" s="56">
        <f>BF248+BH248+BJ248+BL248</f>
        <v>113.63134915065621</v>
      </c>
      <c r="CJ248" s="23">
        <f t="shared" si="1536"/>
        <v>-28.035877675328557</v>
      </c>
      <c r="CK248" s="36">
        <f>CK224*CK261/10000</f>
        <v>115.33581938791603</v>
      </c>
      <c r="CL248" s="23">
        <f t="shared" si="1536"/>
        <v>1.4999999999999902</v>
      </c>
      <c r="CM248" s="36">
        <f>CM224*CM261/10000</f>
        <v>117.06585667873476</v>
      </c>
      <c r="CN248" s="23">
        <f t="shared" si="1536"/>
        <v>1.4999999999999902</v>
      </c>
      <c r="CO248" s="36">
        <f>CO224*CO261/10000</f>
        <v>118.82184452891578</v>
      </c>
      <c r="CP248" s="23">
        <f t="shared" si="1536"/>
        <v>1.4999999999999902</v>
      </c>
      <c r="CQ248" s="36">
        <f>CQ224*CQ261/10000</f>
        <v>120.6041721968495</v>
      </c>
      <c r="CR248" s="23">
        <f t="shared" si="1536"/>
        <v>1.4999999999999902</v>
      </c>
      <c r="CS248" s="23">
        <f t="shared" si="1537"/>
        <v>-5.246329922382909</v>
      </c>
    </row>
    <row r="249" spans="1:105" ht="12.75" customHeight="1" x14ac:dyDescent="0.2">
      <c r="A249" s="12" t="s">
        <v>181</v>
      </c>
      <c r="B249" s="49">
        <v>4.0469999999999997</v>
      </c>
      <c r="C249" s="59"/>
      <c r="D249" s="49">
        <v>4.6079999999999997</v>
      </c>
      <c r="E249" s="59"/>
      <c r="F249" s="49">
        <v>3.9289999999999998</v>
      </c>
      <c r="G249" s="59"/>
      <c r="H249" s="49">
        <v>6.0549999999999997</v>
      </c>
      <c r="I249" s="59"/>
      <c r="J249" s="49">
        <v>5.4009999999999998</v>
      </c>
      <c r="K249" s="23">
        <f t="shared" si="1509"/>
        <v>33.456881640721534</v>
      </c>
      <c r="L249" s="49">
        <v>5.4930000000000003</v>
      </c>
      <c r="M249" s="23">
        <f t="shared" si="1509"/>
        <v>19.205729166666675</v>
      </c>
      <c r="N249" s="49">
        <v>5.0519999999999996</v>
      </c>
      <c r="O249" s="23">
        <f t="shared" si="1509"/>
        <v>28.582336472384817</v>
      </c>
      <c r="P249" s="49">
        <v>5.53</v>
      </c>
      <c r="Q249" s="23">
        <f t="shared" si="1509"/>
        <v>-8.6705202312138638</v>
      </c>
      <c r="R249" s="49">
        <v>4.8</v>
      </c>
      <c r="S249" s="23">
        <f t="shared" si="1509"/>
        <v>-11.1275689687095</v>
      </c>
      <c r="T249" s="49">
        <v>4.4000000000000004</v>
      </c>
      <c r="U249" s="23">
        <f t="shared" si="1509"/>
        <v>-19.89805206626616</v>
      </c>
      <c r="V249" s="49">
        <v>4</v>
      </c>
      <c r="W249" s="23">
        <f t="shared" si="1509"/>
        <v>-20.823436262866192</v>
      </c>
      <c r="X249" s="49">
        <v>3.8</v>
      </c>
      <c r="Y249" s="23">
        <f t="shared" si="1509"/>
        <v>-31.283905967450277</v>
      </c>
      <c r="Z249" s="49">
        <v>2.9</v>
      </c>
      <c r="AA249" s="23">
        <f t="shared" si="1510"/>
        <v>-39.583333333333336</v>
      </c>
      <c r="AB249" s="49">
        <v>4.3</v>
      </c>
      <c r="AC249" s="23">
        <f t="shared" si="1511"/>
        <v>-2.2727272727272818</v>
      </c>
      <c r="AD249" s="49">
        <v>3.5</v>
      </c>
      <c r="AE249" s="23">
        <f t="shared" si="1512"/>
        <v>-12.5</v>
      </c>
      <c r="AF249" s="49">
        <v>3.4</v>
      </c>
      <c r="AG249" s="23">
        <f t="shared" si="1513"/>
        <v>-10.526315789473683</v>
      </c>
      <c r="AH249" s="49">
        <v>3.3</v>
      </c>
      <c r="AI249" s="23">
        <f t="shared" si="1514"/>
        <v>13.793103448275868</v>
      </c>
      <c r="AJ249" s="49">
        <v>3.4</v>
      </c>
      <c r="AK249" s="23">
        <f t="shared" si="1515"/>
        <v>-20.93023255813954</v>
      </c>
      <c r="AL249" s="49">
        <v>3.2</v>
      </c>
      <c r="AM249" s="23">
        <f t="shared" si="1516"/>
        <v>-8.5714285714285623</v>
      </c>
      <c r="AN249" s="158">
        <v>3.1</v>
      </c>
      <c r="AO249" s="23">
        <f t="shared" si="1517"/>
        <v>-8.8235294117646959</v>
      </c>
      <c r="AP249" s="158">
        <v>2.9</v>
      </c>
      <c r="AQ249" s="23">
        <f t="shared" si="1518"/>
        <v>-12.121212121212121</v>
      </c>
      <c r="AR249" s="158">
        <v>2.9</v>
      </c>
      <c r="AS249" s="23">
        <f t="shared" si="1519"/>
        <v>-14.705882352941179</v>
      </c>
      <c r="AT249" s="158">
        <v>3.1</v>
      </c>
      <c r="AU249" s="23">
        <f t="shared" si="1520"/>
        <v>-3.125</v>
      </c>
      <c r="AV249" s="158">
        <v>3</v>
      </c>
      <c r="AW249" s="23">
        <f t="shared" si="1521"/>
        <v>-3.2258064516129115</v>
      </c>
      <c r="AX249" s="158">
        <v>3.2</v>
      </c>
      <c r="AY249" s="23">
        <f t="shared" si="1522"/>
        <v>10.344827586206895</v>
      </c>
      <c r="AZ249" s="158">
        <v>4.2</v>
      </c>
      <c r="BA249" s="23">
        <f t="shared" si="1523"/>
        <v>44.827586206896555</v>
      </c>
      <c r="BB249" s="158">
        <v>5.7</v>
      </c>
      <c r="BC249" s="23">
        <f t="shared" si="1524"/>
        <v>83.870967741935473</v>
      </c>
      <c r="BD249" s="158">
        <v>5</v>
      </c>
      <c r="BE249" s="23">
        <f t="shared" si="1525"/>
        <v>66.666666666666671</v>
      </c>
      <c r="BF249" s="36">
        <f t="shared" ref="BF249" si="1565">BF226*BF263/40000</f>
        <v>4.9749999999999996</v>
      </c>
      <c r="BG249" s="23">
        <f t="shared" si="1527"/>
        <v>55.468749999999979</v>
      </c>
      <c r="BH249" s="36">
        <f t="shared" ref="BH249" si="1566">BH226*BH263/40000</f>
        <v>4.9501249999999999</v>
      </c>
      <c r="BI249" s="23">
        <f t="shared" si="1529"/>
        <v>17.860119047619037</v>
      </c>
      <c r="BJ249" s="36">
        <f t="shared" ref="BJ249" si="1567">BJ226*BJ263/40000</f>
        <v>4.9253743750000005</v>
      </c>
      <c r="BK249" s="23">
        <f t="shared" si="1531"/>
        <v>-13.589923245614033</v>
      </c>
      <c r="BL249" s="36">
        <f t="shared" ref="BL249" si="1568">BL226*BL263/40000</f>
        <v>4.90000869696875</v>
      </c>
      <c r="BM249" s="23">
        <f t="shared" si="1533"/>
        <v>-1.9998260606249985</v>
      </c>
      <c r="BN249" s="5"/>
      <c r="BO249" s="137"/>
      <c r="BP249" s="5"/>
      <c r="BQ249" s="74"/>
      <c r="BR249" s="152"/>
      <c r="BS249" s="74"/>
      <c r="BT249" s="5"/>
      <c r="BU249" s="56">
        <f>B249+D249+F249+H249</f>
        <v>18.638999999999999</v>
      </c>
      <c r="BV249" s="23" t="str">
        <f t="shared" si="1534"/>
        <v>NA</v>
      </c>
      <c r="BW249" s="56">
        <f>J249+L249+N249+P249</f>
        <v>21.475999999999999</v>
      </c>
      <c r="BX249" s="23">
        <f t="shared" si="1535"/>
        <v>15.220773646654862</v>
      </c>
      <c r="BY249" s="56">
        <f>R249+T249+V249+X249</f>
        <v>17</v>
      </c>
      <c r="BZ249" s="23">
        <f t="shared" si="1536"/>
        <v>-20.841869994412367</v>
      </c>
      <c r="CA249" s="56">
        <f>Z249+AB249+AD249+AF249</f>
        <v>14.1</v>
      </c>
      <c r="CB249" s="23">
        <f t="shared" si="1536"/>
        <v>-17.058823529411772</v>
      </c>
      <c r="CC249" s="56">
        <f>AH249+AJ249+AL249+AN249</f>
        <v>12.999999999999998</v>
      </c>
      <c r="CD249" s="23">
        <f t="shared" si="1536"/>
        <v>-7.8014184397163238</v>
      </c>
      <c r="CE249" s="56">
        <f>AP249+AR249+AT249+AV249</f>
        <v>11.9</v>
      </c>
      <c r="CF249" s="23">
        <f t="shared" si="1536"/>
        <v>-8.4615384615384421</v>
      </c>
      <c r="CG249" s="56">
        <f>AX249+AZ249+BB249+BD249</f>
        <v>18.100000000000001</v>
      </c>
      <c r="CH249" s="23">
        <f t="shared" si="1536"/>
        <v>52.100840336134468</v>
      </c>
      <c r="CI249" s="56">
        <f>BF249+BH249+BJ249+BL249</f>
        <v>19.750508071968749</v>
      </c>
      <c r="CJ249" s="23">
        <f t="shared" si="1536"/>
        <v>9.1188291268991648</v>
      </c>
      <c r="CK249" s="36">
        <f>CK226*CK263/10000</f>
        <v>19.355497910529376</v>
      </c>
      <c r="CL249" s="23">
        <f t="shared" si="1536"/>
        <v>-1.9999999999999907</v>
      </c>
      <c r="CM249" s="36">
        <f>CM226*CM263/10000</f>
        <v>18.968387952318789</v>
      </c>
      <c r="CN249" s="23">
        <f t="shared" si="1536"/>
        <v>-2.0000000000000018</v>
      </c>
      <c r="CO249" s="36">
        <f>CO226*CO263/10000</f>
        <v>18.589020193272411</v>
      </c>
      <c r="CP249" s="23">
        <f t="shared" si="1536"/>
        <v>-2.0000000000000129</v>
      </c>
      <c r="CQ249" s="36">
        <f>CQ226*CQ263/10000</f>
        <v>18.21723978940696</v>
      </c>
      <c r="CR249" s="23">
        <f t="shared" si="1536"/>
        <v>-2.0000000000000129</v>
      </c>
      <c r="CS249" s="23">
        <f t="shared" si="1537"/>
        <v>0.12921238010239477</v>
      </c>
    </row>
    <row r="250" spans="1:105" ht="12.75" customHeight="1" x14ac:dyDescent="0.2">
      <c r="A250" s="12" t="s">
        <v>175</v>
      </c>
      <c r="B250" s="49">
        <v>5.1180000000000003</v>
      </c>
      <c r="C250" s="59"/>
      <c r="D250" s="49">
        <v>1.2829999999999999</v>
      </c>
      <c r="E250" s="59"/>
      <c r="F250" s="49">
        <v>6.1520000000000001</v>
      </c>
      <c r="G250" s="59"/>
      <c r="H250" s="49">
        <v>2.5819999999999999</v>
      </c>
      <c r="I250" s="59"/>
      <c r="J250" s="49">
        <v>7.508</v>
      </c>
      <c r="K250" s="23">
        <f t="shared" si="1509"/>
        <v>46.697928878468154</v>
      </c>
      <c r="L250" s="49">
        <v>3.4020000000000001</v>
      </c>
      <c r="M250" s="23" t="str">
        <f t="shared" si="1509"/>
        <v>NM</v>
      </c>
      <c r="N250" s="49">
        <v>5.3959999999999999</v>
      </c>
      <c r="O250" s="23">
        <f t="shared" si="1509"/>
        <v>-12.288686605981802</v>
      </c>
      <c r="P250" s="49">
        <v>14.541</v>
      </c>
      <c r="Q250" s="23" t="str">
        <f t="shared" si="1509"/>
        <v>NM</v>
      </c>
      <c r="R250" s="56">
        <f>R251-R247-R248-R249</f>
        <v>7.6000000000000201</v>
      </c>
      <c r="S250" s="23">
        <f t="shared" si="1509"/>
        <v>1.2253596164094382</v>
      </c>
      <c r="T250" s="56">
        <f>T251-T247-T248-T249</f>
        <v>10.1</v>
      </c>
      <c r="U250" s="23" t="str">
        <f t="shared" si="1509"/>
        <v>NM</v>
      </c>
      <c r="V250" s="56">
        <f>V251-V247-V248-V249</f>
        <v>7.9000000000000057</v>
      </c>
      <c r="W250" s="23">
        <f t="shared" si="1509"/>
        <v>46.404744255003806</v>
      </c>
      <c r="X250" s="56">
        <f>X251-X247-X248-X249</f>
        <v>13.600000000000005</v>
      </c>
      <c r="Y250" s="23">
        <f t="shared" si="1509"/>
        <v>-6.4713568530362142</v>
      </c>
      <c r="Z250" s="56">
        <f>Z251-Z247-Z248-Z249</f>
        <v>7.2000000000000011</v>
      </c>
      <c r="AA250" s="215">
        <f t="shared" si="1510"/>
        <v>-5.2631578947370805</v>
      </c>
      <c r="AB250" s="56">
        <f>AB251-AB247-AB248-AB249</f>
        <v>7.8999999999999888</v>
      </c>
      <c r="AC250" s="215">
        <f t="shared" si="1511"/>
        <v>-21.78217821782189</v>
      </c>
      <c r="AD250" s="56">
        <f>AD251-AD247-AD248-AD249</f>
        <v>9.5</v>
      </c>
      <c r="AE250" s="215">
        <f t="shared" si="1512"/>
        <v>20.253164556961934</v>
      </c>
      <c r="AF250" s="56">
        <f>AF251-AF247-AF248-AF249</f>
        <v>19.100000000000001</v>
      </c>
      <c r="AG250" s="23">
        <f t="shared" si="1513"/>
        <v>40.441176470588204</v>
      </c>
      <c r="AH250" s="56">
        <f>AH251-AH247-AH248-AH249</f>
        <v>9.6999999999999922</v>
      </c>
      <c r="AI250" s="23">
        <f t="shared" si="1514"/>
        <v>34.722222222222101</v>
      </c>
      <c r="AJ250" s="56">
        <f>AJ251-AJ247-AJ248-AJ249</f>
        <v>7.499999999999984</v>
      </c>
      <c r="AK250" s="23">
        <f t="shared" si="1515"/>
        <v>-5.0632911392405777</v>
      </c>
      <c r="AL250" s="56">
        <f>AL251-AL247-AL248-AL249</f>
        <v>7.4999999999999885</v>
      </c>
      <c r="AM250" s="23">
        <f t="shared" si="1516"/>
        <v>-21.052631578947491</v>
      </c>
      <c r="AN250" s="413">
        <f t="shared" ref="AN250:AP250" si="1569">AN251-AN247-AN248-AN249</f>
        <v>11.500000000000002</v>
      </c>
      <c r="AO250" s="23">
        <f t="shared" si="1517"/>
        <v>-39.790575916230367</v>
      </c>
      <c r="AP250" s="413">
        <f t="shared" si="1569"/>
        <v>17.600000000000009</v>
      </c>
      <c r="AQ250" s="23">
        <f t="shared" si="1518"/>
        <v>81.443298969072401</v>
      </c>
      <c r="AR250" s="413">
        <f t="shared" ref="AR250:AT250" si="1570">AR251-AR247-AR248-AR249</f>
        <v>6.4999999999999982</v>
      </c>
      <c r="AS250" s="23">
        <f t="shared" si="1519"/>
        <v>-13.333333333333176</v>
      </c>
      <c r="AT250" s="413">
        <f t="shared" si="1570"/>
        <v>10.299999999999992</v>
      </c>
      <c r="AU250" s="23">
        <f t="shared" si="1520"/>
        <v>37.333333333333442</v>
      </c>
      <c r="AV250" s="413">
        <f t="shared" ref="AV250:AX250" si="1571">AV251-AV247-AV248-AV249</f>
        <v>28.499999999999986</v>
      </c>
      <c r="AW250" s="23" t="str">
        <f t="shared" si="1521"/>
        <v>NM</v>
      </c>
      <c r="AX250" s="413">
        <f t="shared" si="1571"/>
        <v>12.400000000000009</v>
      </c>
      <c r="AY250" s="23">
        <f t="shared" si="1522"/>
        <v>-29.545454545454529</v>
      </c>
      <c r="AZ250" s="413">
        <f t="shared" ref="AZ250" si="1572">AZ251-AZ247-AZ248-AZ249</f>
        <v>10.500000000000011</v>
      </c>
      <c r="BA250" s="23">
        <f t="shared" si="1523"/>
        <v>61.538461538461739</v>
      </c>
      <c r="BB250" s="413">
        <f t="shared" ref="BB250:BD250" si="1573">BB251-BB247-BB248-BB249</f>
        <v>5.899999999999987</v>
      </c>
      <c r="BC250" s="23">
        <f t="shared" si="1524"/>
        <v>-42.718446601941828</v>
      </c>
      <c r="BD250" s="413">
        <f t="shared" si="1573"/>
        <v>13</v>
      </c>
      <c r="BE250" s="23" t="str">
        <f t="shared" si="1525"/>
        <v>NM</v>
      </c>
      <c r="BF250" s="217">
        <v>6</v>
      </c>
      <c r="BG250" s="23" t="str">
        <f t="shared" si="1527"/>
        <v>NM</v>
      </c>
      <c r="BH250" s="217">
        <f>BF250*1.01</f>
        <v>6.0600000000000005</v>
      </c>
      <c r="BI250" s="23">
        <f t="shared" si="1529"/>
        <v>-42.285714285714334</v>
      </c>
      <c r="BJ250" s="217">
        <f>BH250*1.01</f>
        <v>6.1206000000000005</v>
      </c>
      <c r="BK250" s="23">
        <f t="shared" si="1531"/>
        <v>3.7389830508476996</v>
      </c>
      <c r="BL250" s="217">
        <v>12</v>
      </c>
      <c r="BM250" s="23">
        <f t="shared" si="1533"/>
        <v>-7.6923076923076872</v>
      </c>
      <c r="BN250" s="5"/>
      <c r="BO250" s="137"/>
      <c r="BP250" s="5"/>
      <c r="BQ250" s="74"/>
      <c r="BR250" s="152"/>
      <c r="BS250" s="74"/>
      <c r="BT250" s="5"/>
      <c r="BU250" s="56">
        <f>B250+D250+F250+H250</f>
        <v>15.135000000000002</v>
      </c>
      <c r="BV250" s="23" t="str">
        <f t="shared" si="1534"/>
        <v>NA</v>
      </c>
      <c r="BW250" s="56">
        <f>J250+L250+N250+P250</f>
        <v>30.847000000000001</v>
      </c>
      <c r="BX250" s="23" t="str">
        <f t="shared" si="1535"/>
        <v>NM</v>
      </c>
      <c r="BY250" s="56">
        <f>R250+T250+V250+X250</f>
        <v>39.200000000000031</v>
      </c>
      <c r="BZ250" s="23">
        <f t="shared" si="1536"/>
        <v>27.078808311991544</v>
      </c>
      <c r="CA250" s="56">
        <f>Z250+AB250+AD250+AF250</f>
        <v>43.699999999999989</v>
      </c>
      <c r="CB250" s="23">
        <f t="shared" si="1536"/>
        <v>11.479591836734571</v>
      </c>
      <c r="CC250" s="56">
        <f>AH250+AJ250+AL250+AN250</f>
        <v>36.199999999999967</v>
      </c>
      <c r="CD250" s="23">
        <f t="shared" si="1536"/>
        <v>-17.162471395881063</v>
      </c>
      <c r="CE250" s="56">
        <f>AP250+AR250+AT250+AV250</f>
        <v>62.899999999999984</v>
      </c>
      <c r="CF250" s="23">
        <f t="shared" si="1536"/>
        <v>73.756906077348177</v>
      </c>
      <c r="CG250" s="56">
        <f>AX250+AZ250+BB250+BD250</f>
        <v>41.800000000000011</v>
      </c>
      <c r="CH250" s="23">
        <f t="shared" si="1536"/>
        <v>-33.545310015898224</v>
      </c>
      <c r="CI250" s="56">
        <f>BF250+BH250+BJ250+BL250</f>
        <v>30.180600000000002</v>
      </c>
      <c r="CJ250" s="23">
        <f t="shared" si="1536"/>
        <v>-27.797607655502411</v>
      </c>
      <c r="CK250" s="48">
        <f>CI250*1.03</f>
        <v>31.086018000000003</v>
      </c>
      <c r="CL250" s="23">
        <f t="shared" si="1536"/>
        <v>3.0000000000000027</v>
      </c>
      <c r="CM250" s="48">
        <f>CK250*1.03</f>
        <v>32.018598540000006</v>
      </c>
      <c r="CN250" s="23">
        <f t="shared" si="1536"/>
        <v>3.0000000000000027</v>
      </c>
      <c r="CO250" s="48">
        <f>CM250*1.03</f>
        <v>32.979156496200005</v>
      </c>
      <c r="CP250" s="23">
        <f t="shared" si="1536"/>
        <v>3.0000000000000027</v>
      </c>
      <c r="CQ250" s="48">
        <f>CO250*1.03</f>
        <v>33.968531191086008</v>
      </c>
      <c r="CR250" s="23">
        <f t="shared" si="1536"/>
        <v>3.0000000000000027</v>
      </c>
      <c r="CS250" s="23">
        <f t="shared" si="1537"/>
        <v>-4.0643334569725571</v>
      </c>
    </row>
    <row r="251" spans="1:105" ht="12.75" customHeight="1" x14ac:dyDescent="0.2">
      <c r="A251" s="4" t="s">
        <v>101</v>
      </c>
      <c r="B251" s="56">
        <f t="shared" ref="B251:N251" si="1574">B247+B248+B249+B250</f>
        <v>122.23499999999999</v>
      </c>
      <c r="C251" s="59"/>
      <c r="D251" s="56">
        <f t="shared" si="1574"/>
        <v>120.55900000000001</v>
      </c>
      <c r="E251" s="59"/>
      <c r="F251" s="56">
        <f t="shared" si="1574"/>
        <v>122.009</v>
      </c>
      <c r="G251" s="59"/>
      <c r="H251" s="56">
        <f t="shared" si="1574"/>
        <v>119.59</v>
      </c>
      <c r="I251" s="59"/>
      <c r="J251" s="56">
        <f t="shared" si="1574"/>
        <v>125.41999999999999</v>
      </c>
      <c r="K251" s="23">
        <f t="shared" si="1509"/>
        <v>2.605636683437651</v>
      </c>
      <c r="L251" s="56">
        <f t="shared" si="1574"/>
        <v>117.527</v>
      </c>
      <c r="M251" s="23">
        <f t="shared" si="1509"/>
        <v>-2.5149511857264994</v>
      </c>
      <c r="N251" s="56">
        <f t="shared" si="1574"/>
        <v>125.414</v>
      </c>
      <c r="O251" s="23">
        <f t="shared" si="1509"/>
        <v>2.7907777295117508</v>
      </c>
      <c r="P251" s="56">
        <f>P247+P248+P249+P250</f>
        <v>137.209</v>
      </c>
      <c r="Q251" s="23">
        <f t="shared" si="1509"/>
        <v>14.732837193745297</v>
      </c>
      <c r="R251" s="49">
        <v>129.30000000000001</v>
      </c>
      <c r="S251" s="23">
        <f t="shared" si="1509"/>
        <v>3.093605485568518</v>
      </c>
      <c r="T251" s="49">
        <f>142.4</f>
        <v>142.4</v>
      </c>
      <c r="U251" s="23">
        <f t="shared" si="1509"/>
        <v>21.163647502276085</v>
      </c>
      <c r="V251" s="49">
        <v>143.30000000000001</v>
      </c>
      <c r="W251" s="23">
        <f t="shared" si="1509"/>
        <v>14.261565694420097</v>
      </c>
      <c r="X251" s="49">
        <v>155</v>
      </c>
      <c r="Y251" s="23">
        <f t="shared" si="1509"/>
        <v>12.966350603823361</v>
      </c>
      <c r="Z251" s="49">
        <v>153</v>
      </c>
      <c r="AA251" s="215">
        <f t="shared" si="1510"/>
        <v>18.329466357308565</v>
      </c>
      <c r="AB251" s="49">
        <v>155</v>
      </c>
      <c r="AC251" s="215">
        <f t="shared" si="1511"/>
        <v>8.8483146067415586</v>
      </c>
      <c r="AD251" s="49">
        <v>159</v>
      </c>
      <c r="AE251" s="215">
        <f t="shared" si="1512"/>
        <v>10.95603628750872</v>
      </c>
      <c r="AF251" s="49">
        <v>167.8</v>
      </c>
      <c r="AG251" s="23">
        <f t="shared" si="1513"/>
        <v>8.2580645161290498</v>
      </c>
      <c r="AH251" s="49">
        <v>156.6</v>
      </c>
      <c r="AI251" s="23">
        <f t="shared" si="1514"/>
        <v>2.3529411764705799</v>
      </c>
      <c r="AJ251" s="49">
        <v>155.1</v>
      </c>
      <c r="AK251" s="23">
        <f t="shared" si="1515"/>
        <v>6.4516129032243796E-2</v>
      </c>
      <c r="AL251" s="49">
        <v>152.5</v>
      </c>
      <c r="AM251" s="23">
        <f t="shared" si="1516"/>
        <v>-4.0880503144654075</v>
      </c>
      <c r="AN251" s="158">
        <v>156.6</v>
      </c>
      <c r="AO251" s="23">
        <f t="shared" si="1517"/>
        <v>-6.6746126340882057</v>
      </c>
      <c r="AP251" s="158">
        <v>146.9</v>
      </c>
      <c r="AQ251" s="23">
        <f t="shared" si="1518"/>
        <v>-6.1941251596423941</v>
      </c>
      <c r="AR251" s="158">
        <v>150.9</v>
      </c>
      <c r="AS251" s="23">
        <f t="shared" si="1519"/>
        <v>-2.7079303675048294</v>
      </c>
      <c r="AT251" s="158">
        <v>156.19999999999999</v>
      </c>
      <c r="AU251" s="23">
        <f t="shared" si="1520"/>
        <v>2.4262295081967089</v>
      </c>
      <c r="AV251" s="158">
        <v>180.6</v>
      </c>
      <c r="AW251" s="23">
        <f t="shared" si="1521"/>
        <v>15.325670498084287</v>
      </c>
      <c r="AX251" s="158">
        <v>162.80000000000001</v>
      </c>
      <c r="AY251" s="23">
        <f t="shared" si="1522"/>
        <v>10.823689584751527</v>
      </c>
      <c r="AZ251" s="158">
        <v>167.9</v>
      </c>
      <c r="BA251" s="23">
        <f t="shared" si="1523"/>
        <v>11.265738899933741</v>
      </c>
      <c r="BB251" s="158">
        <v>166.1</v>
      </c>
      <c r="BC251" s="23">
        <f t="shared" si="1524"/>
        <v>6.3380281690140983</v>
      </c>
      <c r="BD251" s="158">
        <v>178</v>
      </c>
      <c r="BE251" s="23">
        <f t="shared" si="1525"/>
        <v>-1.4396456256921319</v>
      </c>
      <c r="BF251" s="211">
        <f t="shared" ref="BF251" si="1575">BF247+BF248+BF249+BF250</f>
        <v>167.03402751835603</v>
      </c>
      <c r="BG251" s="23">
        <f t="shared" si="1527"/>
        <v>2.6007540039041821</v>
      </c>
      <c r="BH251" s="211">
        <f t="shared" ref="BH251" si="1576">BH247+BH248+BH249+BH250</f>
        <v>169.38199743434416</v>
      </c>
      <c r="BI251" s="23">
        <f t="shared" si="1529"/>
        <v>0.8826667268279742</v>
      </c>
      <c r="BJ251" s="211">
        <f t="shared" ref="BJ251" si="1577">BJ247+BJ248+BJ249+BJ250</f>
        <v>147.2021700713004</v>
      </c>
      <c r="BK251" s="23">
        <f t="shared" si="1531"/>
        <v>-11.377381052799274</v>
      </c>
      <c r="BL251" s="211">
        <f t="shared" ref="BL251" si="1578">BL247+BL248+BL249+BL250</f>
        <v>154.64291151809891</v>
      </c>
      <c r="BM251" s="23">
        <f t="shared" si="1533"/>
        <v>-13.12195982129275</v>
      </c>
      <c r="BN251" s="5"/>
      <c r="BO251" s="137"/>
      <c r="BP251" s="5"/>
      <c r="BQ251" s="49">
        <f>434.2+4.2</f>
        <v>438.4</v>
      </c>
      <c r="BR251" s="5"/>
      <c r="BS251" s="49">
        <f>446.4+5.9</f>
        <v>452.29999999999995</v>
      </c>
      <c r="BT251" s="5"/>
      <c r="BU251" s="36">
        <f t="shared" ref="BU251:CA251" si="1579">BU247+BU248+BU249+BU250</f>
        <v>484.39300000000003</v>
      </c>
      <c r="BV251" s="23">
        <f t="shared" si="1534"/>
        <v>7.0955118284324659</v>
      </c>
      <c r="BW251" s="36">
        <f t="shared" si="1579"/>
        <v>505.57</v>
      </c>
      <c r="BX251" s="23">
        <f t="shared" si="1535"/>
        <v>4.3718633423686981</v>
      </c>
      <c r="BY251" s="36">
        <f t="shared" si="1579"/>
        <v>570.00000000000011</v>
      </c>
      <c r="BZ251" s="23">
        <f t="shared" si="1536"/>
        <v>12.744031489210217</v>
      </c>
      <c r="CA251" s="36">
        <f t="shared" si="1579"/>
        <v>634.79999999999995</v>
      </c>
      <c r="CB251" s="23">
        <f t="shared" si="1536"/>
        <v>11.36842105263154</v>
      </c>
      <c r="CC251" s="36">
        <f t="shared" ref="CC251" si="1580">CC247+CC248+CC249+CC250</f>
        <v>620.79999999999995</v>
      </c>
      <c r="CD251" s="23">
        <f t="shared" si="1536"/>
        <v>-2.2054190296156295</v>
      </c>
      <c r="CE251" s="36">
        <f t="shared" ref="CE251" si="1581">CE247+CE248+CE249+CE250</f>
        <v>634.59999999999991</v>
      </c>
      <c r="CF251" s="23">
        <f t="shared" si="1536"/>
        <v>2.2229381443299001</v>
      </c>
      <c r="CG251" s="36">
        <f t="shared" ref="CG251" si="1582">CG247+CG248+CG249+CG250</f>
        <v>674.8</v>
      </c>
      <c r="CH251" s="23">
        <f t="shared" si="1536"/>
        <v>6.3346990230066291</v>
      </c>
      <c r="CI251" s="36">
        <f t="shared" ref="CI251" si="1583">CI247+CI248+CI249+CI250</f>
        <v>638.26110654209947</v>
      </c>
      <c r="CJ251" s="23">
        <f t="shared" si="1536"/>
        <v>-5.4147737785863237</v>
      </c>
      <c r="CK251" s="36">
        <f>CK247+CK248+CK249+CK250</f>
        <v>657.81359271202791</v>
      </c>
      <c r="CL251" s="23">
        <f t="shared" si="1536"/>
        <v>3.0633992843238866</v>
      </c>
      <c r="CM251" s="36">
        <f>CM247+CM248+CM249+CM250</f>
        <v>679.34261151254702</v>
      </c>
      <c r="CN251" s="23">
        <f t="shared" si="1536"/>
        <v>3.2728145236037953</v>
      </c>
      <c r="CO251" s="36">
        <f>CO247+CO248+CO249+CO250</f>
        <v>702.91555312331548</v>
      </c>
      <c r="CP251" s="23">
        <f t="shared" si="1536"/>
        <v>3.4699636400377765</v>
      </c>
      <c r="CQ251" s="36">
        <f>CQ247+CQ248+CQ249+CQ250</f>
        <v>728.60747289127016</v>
      </c>
      <c r="CR251" s="23">
        <f t="shared" si="1536"/>
        <v>3.6550506890615786</v>
      </c>
      <c r="CS251" s="23">
        <f t="shared" si="1537"/>
        <v>1.5462077909781602</v>
      </c>
    </row>
    <row r="252" spans="1:105" ht="12.75" customHeight="1" x14ac:dyDescent="0.2">
      <c r="A252" s="4" t="s">
        <v>15</v>
      </c>
      <c r="B252" s="36">
        <f>B244+B251</f>
        <v>128.59199999999998</v>
      </c>
      <c r="C252" s="59"/>
      <c r="D252" s="36">
        <f t="shared" ref="D252:Z252" si="1584">D244+D251</f>
        <v>130.68600000000001</v>
      </c>
      <c r="E252" s="59"/>
      <c r="F252" s="36">
        <f t="shared" si="1584"/>
        <v>122.526</v>
      </c>
      <c r="G252" s="59"/>
      <c r="H252" s="36">
        <f t="shared" si="1584"/>
        <v>110.128</v>
      </c>
      <c r="I252" s="59"/>
      <c r="J252" s="36">
        <f t="shared" si="1584"/>
        <v>130.643</v>
      </c>
      <c r="K252" s="23">
        <f t="shared" si="1509"/>
        <v>1.59496702749784</v>
      </c>
      <c r="L252" s="36">
        <f t="shared" si="1584"/>
        <v>130.21700000000001</v>
      </c>
      <c r="M252" s="23">
        <f t="shared" si="1509"/>
        <v>-0.35887547250661456</v>
      </c>
      <c r="N252" s="36">
        <f t="shared" si="1584"/>
        <v>142.137</v>
      </c>
      <c r="O252" s="23">
        <f t="shared" si="1509"/>
        <v>16.005582488614657</v>
      </c>
      <c r="P252" s="36">
        <f t="shared" si="1584"/>
        <v>142.483</v>
      </c>
      <c r="Q252" s="23">
        <f t="shared" si="1509"/>
        <v>29.379449368008139</v>
      </c>
      <c r="R252" s="36">
        <f t="shared" si="1584"/>
        <v>131.9</v>
      </c>
      <c r="S252" s="23">
        <f t="shared" si="1509"/>
        <v>0.96216406543021549</v>
      </c>
      <c r="T252" s="36">
        <f t="shared" si="1584"/>
        <v>148.5</v>
      </c>
      <c r="U252" s="23">
        <f t="shared" si="1509"/>
        <v>14.040409470345638</v>
      </c>
      <c r="V252" s="36">
        <f t="shared" si="1584"/>
        <v>160.10000000000002</v>
      </c>
      <c r="W252" s="23">
        <f t="shared" si="1509"/>
        <v>12.637807186024762</v>
      </c>
      <c r="X252" s="36">
        <f t="shared" si="1584"/>
        <v>167.1</v>
      </c>
      <c r="Y252" s="23">
        <f t="shared" si="1509"/>
        <v>17.277148852845592</v>
      </c>
      <c r="Z252" s="36">
        <f t="shared" si="1584"/>
        <v>160.5</v>
      </c>
      <c r="AA252" s="215">
        <f t="shared" si="1510"/>
        <v>21.68309325246398</v>
      </c>
      <c r="AB252" s="36">
        <f t="shared" ref="AB252:AD252" si="1585">AB244+AB251</f>
        <v>163.19999999999999</v>
      </c>
      <c r="AC252" s="215">
        <f t="shared" si="1511"/>
        <v>9.8989898989898961</v>
      </c>
      <c r="AD252" s="36">
        <f t="shared" si="1585"/>
        <v>168.3</v>
      </c>
      <c r="AE252" s="215">
        <f t="shared" si="1512"/>
        <v>5.1217988757026767</v>
      </c>
      <c r="AF252" s="36">
        <f t="shared" ref="AF252:AH252" si="1586">AF244+AF251</f>
        <v>163.4</v>
      </c>
      <c r="AG252" s="23">
        <f t="shared" si="1513"/>
        <v>-2.2142429682824538</v>
      </c>
      <c r="AH252" s="36">
        <f t="shared" si="1586"/>
        <v>163.1</v>
      </c>
      <c r="AI252" s="23">
        <f t="shared" si="1514"/>
        <v>1.6199376947040545</v>
      </c>
      <c r="AJ252" s="36">
        <f t="shared" ref="AJ252:AL252" si="1587">AJ244+AJ251</f>
        <v>158.6</v>
      </c>
      <c r="AK252" s="23">
        <f t="shared" si="1515"/>
        <v>-2.8186274509803932</v>
      </c>
      <c r="AL252" s="36">
        <f t="shared" si="1587"/>
        <v>152.6</v>
      </c>
      <c r="AM252" s="23">
        <f t="shared" si="1516"/>
        <v>-9.3285799168152153</v>
      </c>
      <c r="AN252" s="410">
        <f t="shared" ref="AN252:AP252" si="1588">AN244+AN251</f>
        <v>147.9</v>
      </c>
      <c r="AO252" s="23">
        <f t="shared" si="1517"/>
        <v>-9.485924112607103</v>
      </c>
      <c r="AP252" s="410">
        <f t="shared" si="1588"/>
        <v>132.20000000000002</v>
      </c>
      <c r="AQ252" s="23">
        <f t="shared" si="1518"/>
        <v>-18.945432250153271</v>
      </c>
      <c r="AR252" s="410">
        <f t="shared" ref="AR252:AT252" si="1589">AR244+AR251</f>
        <v>142.30000000000001</v>
      </c>
      <c r="AS252" s="23">
        <f t="shared" si="1519"/>
        <v>-10.277427490542234</v>
      </c>
      <c r="AT252" s="410">
        <f t="shared" si="1589"/>
        <v>162.89999999999998</v>
      </c>
      <c r="AU252" s="23">
        <f t="shared" si="1520"/>
        <v>6.7496723460026109</v>
      </c>
      <c r="AV252" s="410">
        <f t="shared" ref="AV252:AX252" si="1590">AV244+AV251</f>
        <v>189.2</v>
      </c>
      <c r="AW252" s="23">
        <f t="shared" si="1521"/>
        <v>27.92427315753887</v>
      </c>
      <c r="AX252" s="410">
        <f t="shared" si="1590"/>
        <v>171.5</v>
      </c>
      <c r="AY252" s="23">
        <f t="shared" si="1522"/>
        <v>29.72768532526473</v>
      </c>
      <c r="AZ252" s="410">
        <f t="shared" ref="AZ252" si="1591">AZ244+AZ251</f>
        <v>203.10000000000002</v>
      </c>
      <c r="BA252" s="23">
        <f t="shared" si="1523"/>
        <v>42.726633872101203</v>
      </c>
      <c r="BB252" s="410">
        <f t="shared" ref="BB252:BD252" si="1592">BB244+BB251</f>
        <v>171.1</v>
      </c>
      <c r="BC252" s="23">
        <f t="shared" si="1524"/>
        <v>5.0337630448127779</v>
      </c>
      <c r="BD252" s="410">
        <f t="shared" si="1592"/>
        <v>186</v>
      </c>
      <c r="BE252" s="23">
        <f t="shared" si="1525"/>
        <v>-1.6913319238900604</v>
      </c>
      <c r="BF252" s="211">
        <f t="shared" ref="BF252" si="1593">BF244+BF251</f>
        <v>175.05802751835603</v>
      </c>
      <c r="BG252" s="23">
        <f t="shared" si="1527"/>
        <v>2.0746516142017724</v>
      </c>
      <c r="BH252" s="211">
        <f t="shared" ref="BH252" si="1594">BH244+BH251</f>
        <v>177.43809343434415</v>
      </c>
      <c r="BI252" s="23">
        <f t="shared" si="1529"/>
        <v>-12.635109091903429</v>
      </c>
      <c r="BJ252" s="211">
        <f t="shared" ref="BJ252" si="1595">BJ244+BJ251</f>
        <v>155.29049045530041</v>
      </c>
      <c r="BK252" s="23">
        <f t="shared" si="1531"/>
        <v>-9.2399237549383848</v>
      </c>
      <c r="BL252" s="211">
        <f t="shared" ref="BL252" si="1596">BL244+BL251</f>
        <v>162.76358518363492</v>
      </c>
      <c r="BM252" s="23">
        <f t="shared" si="1533"/>
        <v>-12.492696137830695</v>
      </c>
      <c r="BN252" s="5"/>
      <c r="BO252" s="137"/>
      <c r="BP252" s="5"/>
      <c r="BQ252" s="36">
        <f t="shared" ref="BQ252:CA252" si="1597">BQ244+BQ251</f>
        <v>392</v>
      </c>
      <c r="BR252" s="5"/>
      <c r="BS252" s="36">
        <f t="shared" si="1597"/>
        <v>454.49999999999994</v>
      </c>
      <c r="BT252" s="5"/>
      <c r="BU252" s="36">
        <f t="shared" si="1597"/>
        <v>491.93200000000002</v>
      </c>
      <c r="BV252" s="23">
        <f t="shared" si="1534"/>
        <v>8.2358635863586613</v>
      </c>
      <c r="BW252" s="36">
        <f t="shared" si="1597"/>
        <v>545.48</v>
      </c>
      <c r="BX252" s="23">
        <f t="shared" si="1535"/>
        <v>10.885244302058016</v>
      </c>
      <c r="BY252" s="36">
        <f t="shared" si="1597"/>
        <v>607.60000000000014</v>
      </c>
      <c r="BZ252" s="23">
        <f t="shared" si="1536"/>
        <v>11.3881352203564</v>
      </c>
      <c r="CA252" s="36">
        <f t="shared" si="1597"/>
        <v>655.4</v>
      </c>
      <c r="CB252" s="23">
        <f t="shared" si="1536"/>
        <v>7.8670177748518588</v>
      </c>
      <c r="CC252" s="36">
        <f t="shared" ref="CC252" si="1598">CC244+CC251</f>
        <v>622.19999999999993</v>
      </c>
      <c r="CD252" s="23">
        <f t="shared" si="1536"/>
        <v>-5.0656087885260987</v>
      </c>
      <c r="CE252" s="36">
        <f t="shared" ref="CE252" si="1599">CE244+CE251</f>
        <v>626.59999999999991</v>
      </c>
      <c r="CF252" s="23">
        <f t="shared" si="1536"/>
        <v>0.70716811314690542</v>
      </c>
      <c r="CG252" s="36">
        <f t="shared" ref="CG252" si="1600">CG244+CG251</f>
        <v>731.69999999999993</v>
      </c>
      <c r="CH252" s="23">
        <f t="shared" si="1536"/>
        <v>16.773060963932341</v>
      </c>
      <c r="CI252" s="36">
        <f t="shared" ref="CI252" si="1601">CI244+CI251</f>
        <v>670.55019659163543</v>
      </c>
      <c r="CJ252" s="23">
        <f t="shared" si="1536"/>
        <v>-8.3572233713768647</v>
      </c>
      <c r="CK252" s="36">
        <f>CK244+CK251</f>
        <v>694.81160113783938</v>
      </c>
      <c r="CL252" s="23">
        <f t="shared" si="1536"/>
        <v>3.6181339845283933</v>
      </c>
      <c r="CM252" s="36">
        <f>CM244+CM251</f>
        <v>725.47149157657645</v>
      </c>
      <c r="CN252" s="23">
        <f t="shared" si="1536"/>
        <v>4.4126912084553105</v>
      </c>
      <c r="CO252" s="36">
        <f>CO244+CO251</f>
        <v>749.73636638830533</v>
      </c>
      <c r="CP252" s="23">
        <f t="shared" si="1536"/>
        <v>3.3447041122177001</v>
      </c>
      <c r="CQ252" s="36">
        <f>CQ244+CQ251</f>
        <v>776.13059835523484</v>
      </c>
      <c r="CR252" s="23">
        <f t="shared" si="1536"/>
        <v>3.520468413994382</v>
      </c>
      <c r="CS252" s="23">
        <f t="shared" si="1537"/>
        <v>1.1859818292233371</v>
      </c>
    </row>
    <row r="253" spans="1:105" ht="12.75" customHeight="1" x14ac:dyDescent="0.2">
      <c r="B253" s="35"/>
      <c r="C253" s="60"/>
      <c r="D253" s="35"/>
      <c r="E253" s="60"/>
      <c r="F253" s="35"/>
      <c r="G253" s="60"/>
      <c r="H253" s="35"/>
      <c r="I253" s="60"/>
      <c r="J253" s="35"/>
      <c r="L253" s="35"/>
      <c r="N253" s="35"/>
      <c r="P253" s="35"/>
      <c r="R253" s="35"/>
      <c r="T253" s="35"/>
      <c r="V253" s="35"/>
      <c r="X253" s="35"/>
      <c r="Z253" s="35"/>
      <c r="AA253" s="216"/>
      <c r="AB253" s="35"/>
      <c r="AC253" s="216"/>
      <c r="AD253" s="35"/>
      <c r="AE253" s="216"/>
      <c r="AF253" s="35"/>
      <c r="AH253" s="35"/>
      <c r="AJ253" s="35"/>
      <c r="AL253" s="35"/>
      <c r="AN253" s="409"/>
      <c r="AP253" s="409"/>
      <c r="AR253" s="455"/>
      <c r="AT253" s="455"/>
      <c r="AV253" s="455"/>
      <c r="AX253" s="455"/>
      <c r="AZ253" s="455"/>
      <c r="BB253" s="455"/>
      <c r="BD253" s="455"/>
      <c r="BF253" s="212"/>
      <c r="BH253" s="212"/>
      <c r="BJ253" s="212"/>
      <c r="BL253" s="212"/>
      <c r="BN253" s="5"/>
      <c r="BO253" s="138"/>
      <c r="BP253" s="5"/>
      <c r="BQ253" s="5"/>
      <c r="BR253" s="5"/>
      <c r="BS253" s="5"/>
      <c r="BT253" s="5"/>
      <c r="BU253" s="35"/>
      <c r="BW253" s="35"/>
      <c r="BY253" s="35"/>
      <c r="CA253" s="35"/>
      <c r="CC253" s="35"/>
      <c r="CE253" s="35"/>
      <c r="CG253" s="35"/>
      <c r="CI253" s="35"/>
      <c r="CK253" s="35"/>
      <c r="CM253" s="35"/>
      <c r="CO253" s="35"/>
      <c r="CQ253" s="35"/>
    </row>
    <row r="254" spans="1:105" ht="12.75" customHeight="1" x14ac:dyDescent="0.2">
      <c r="A254" s="11" t="s">
        <v>152</v>
      </c>
      <c r="B254" s="35"/>
      <c r="C254" s="60"/>
      <c r="D254" s="35"/>
      <c r="E254" s="60"/>
      <c r="F254" s="35"/>
      <c r="G254" s="60"/>
      <c r="H254" s="35"/>
      <c r="I254" s="60"/>
      <c r="J254" s="35"/>
      <c r="L254" s="35"/>
      <c r="N254" s="35"/>
      <c r="P254" s="37"/>
      <c r="R254" s="37"/>
      <c r="T254" s="37"/>
      <c r="V254" s="37"/>
      <c r="X254" s="37"/>
      <c r="Z254" s="37"/>
      <c r="AA254" s="216"/>
      <c r="AB254" s="37"/>
      <c r="AC254" s="216"/>
      <c r="AD254" s="37"/>
      <c r="AE254" s="216"/>
      <c r="AF254" s="37"/>
      <c r="AH254" s="37"/>
      <c r="AJ254" s="37"/>
      <c r="AL254" s="37"/>
      <c r="AN254" s="411"/>
      <c r="AP254" s="411"/>
      <c r="AR254" s="455"/>
      <c r="AT254" s="455"/>
      <c r="AV254" s="455"/>
      <c r="AX254" s="455"/>
      <c r="AZ254" s="455"/>
      <c r="BB254" s="455"/>
      <c r="BD254" s="455"/>
      <c r="BF254" s="212"/>
      <c r="BH254" s="212"/>
      <c r="BJ254" s="212"/>
      <c r="BL254" s="212"/>
      <c r="BN254" s="5"/>
      <c r="BO254" s="138"/>
      <c r="BP254" s="5"/>
      <c r="BQ254" s="5"/>
      <c r="BR254" s="5"/>
      <c r="BS254" s="5"/>
      <c r="BT254" s="5"/>
      <c r="BU254" s="35"/>
      <c r="BW254" s="35"/>
      <c r="BY254" s="35"/>
      <c r="CA254" s="35"/>
      <c r="CC254" s="35"/>
      <c r="CE254" s="35"/>
      <c r="CG254" s="35"/>
      <c r="CI254" s="35"/>
      <c r="CK254" s="35"/>
      <c r="CM254" s="35"/>
      <c r="CO254" s="35"/>
      <c r="CQ254" s="35"/>
    </row>
    <row r="255" spans="1:105" ht="12.75" customHeight="1" x14ac:dyDescent="0.2">
      <c r="A255" s="34" t="s">
        <v>208</v>
      </c>
      <c r="B255" s="115">
        <f>B244/B224*400</f>
        <v>3.2802970059446421E-2</v>
      </c>
      <c r="C255" s="59"/>
      <c r="D255" s="115">
        <f>D244/D224*400</f>
        <v>5.204515501787154E-2</v>
      </c>
      <c r="E255" s="59"/>
      <c r="F255" s="115">
        <f>F244/F224*400</f>
        <v>2.6370964333882834E-3</v>
      </c>
      <c r="G255" s="59"/>
      <c r="H255" s="115">
        <f>H244/H224*400</f>
        <v>-4.7982780358455247E-2</v>
      </c>
      <c r="I255" s="59"/>
      <c r="J255" s="115">
        <f>J244/J224*400</f>
        <v>2.7089643028601857E-2</v>
      </c>
      <c r="K255" s="23">
        <f t="shared" ref="K255:Y255" si="1602">IF(ISERROR((J255/B255-1)*100),"NA",IF(((J255/B255-1)*100)&gt;100,"NM",IF(((J255/B255-1)*100)&lt;-50,"NM",(J255/B255-1)*100)))</f>
        <v>-17.417102843098409</v>
      </c>
      <c r="L255" s="115">
        <f>L244/L224*400</f>
        <v>6.3387126309413691E-2</v>
      </c>
      <c r="M255" s="23">
        <f t="shared" si="1602"/>
        <v>21.792559341301775</v>
      </c>
      <c r="N255" s="115">
        <f>N244/N224*400</f>
        <v>8.3529131009208404E-2</v>
      </c>
      <c r="O255" s="23" t="str">
        <f t="shared" si="1602"/>
        <v>NM</v>
      </c>
      <c r="P255" s="116">
        <f>P244/P224*400</f>
        <v>2.623724674670453E-2</v>
      </c>
      <c r="Q255" s="23" t="str">
        <f t="shared" si="1602"/>
        <v>NM</v>
      </c>
      <c r="R255" s="116">
        <f>R244/R224*400</f>
        <v>1.3005543612965029E-2</v>
      </c>
      <c r="S255" s="23" t="str">
        <f t="shared" si="1602"/>
        <v>NM</v>
      </c>
      <c r="T255" s="116">
        <f>T244/T224*400</f>
        <v>3.0395401823474964E-2</v>
      </c>
      <c r="U255" s="23" t="str">
        <f t="shared" si="1602"/>
        <v>NM</v>
      </c>
      <c r="V255" s="116">
        <f>V244/V224*400</f>
        <v>8.3727571414510038E-2</v>
      </c>
      <c r="W255" s="23">
        <f t="shared" si="1602"/>
        <v>0.23757029781592554</v>
      </c>
      <c r="X255" s="116">
        <f>X244/X224*400</f>
        <v>6.1274509803921566E-2</v>
      </c>
      <c r="Y255" s="23" t="str">
        <f t="shared" si="1602"/>
        <v>NM</v>
      </c>
      <c r="Z255" s="116">
        <f>Z244/Z224*400</f>
        <v>3.7648523424911276E-2</v>
      </c>
      <c r="AA255" s="215" t="str">
        <f>IF(ISERROR((Z255/R255-1)*100),"NA",IF(((Z255/R255-1)*100)&gt;100,"NM",IF(((Z255/R255-1)*100)&lt;-50,"NM",(Z255/R255-1)*100)))</f>
        <v>NM</v>
      </c>
      <c r="AB255" s="116">
        <f>AB244/AB224*400</f>
        <v>4.1871396091917923E-2</v>
      </c>
      <c r="AC255" s="215">
        <f>IF(ISERROR((AB255/T255-1)*100),"NA",IF(((AB255/T255-1)*100)&gt;100,"NM",IF(((AB255/T255-1)*100)&lt;-50,"NM",(AB255/T255-1)*100)))</f>
        <v>37.755691913833566</v>
      </c>
      <c r="AD255" s="116">
        <f>AD244/AD224*400</f>
        <v>4.7386663711369362E-2</v>
      </c>
      <c r="AE255" s="215">
        <f>IF(ISERROR((AD255/V255-1)*100),"NA",IF(((AD255/V255-1)*100)&gt;100,"NM",IF(((AD255/V255-1)*100)&lt;-50,"NM",(AD255/V255-1)*100)))</f>
        <v>-43.403752299499729</v>
      </c>
      <c r="AF255" s="116">
        <f>AF244/AF224*400</f>
        <v>-2.2671589149583539E-2</v>
      </c>
      <c r="AG255" s="23" t="str">
        <f>IF(ISERROR((AF255/X255-1)*100),"NA",IF(((AF255/X255-1)*100)&gt;100,"NM",IF(((AF255/X255-1)*100)&lt;-50,"NM",(AF255/X255-1)*100)))</f>
        <v>NM</v>
      </c>
      <c r="AH255" s="116">
        <f>AH244/AH224*400</f>
        <v>3.3093027044639949E-2</v>
      </c>
      <c r="AI255" s="23">
        <f>IF(ISERROR((AH255/Z255-1)*100),"NA",IF(((AH255/Z255-1)*100)&gt;100,"NM",IF(((AH255/Z255-1)*100)&lt;-50,"NM",(AH255/Z255-1)*100)))</f>
        <v>-12.100066525469755</v>
      </c>
      <c r="AJ255" s="116">
        <f>AJ244/AJ224*400</f>
        <v>1.799583010908044E-2</v>
      </c>
      <c r="AK255" s="23" t="str">
        <f>IF(ISERROR((AJ255/AB255-1)*100),"NA",IF(((AJ255/AB255-1)*100)&gt;100,"NM",IF(((AJ255/AB255-1)*100)&lt;-50,"NM",(AJ255/AB255-1)*100)))</f>
        <v>NM</v>
      </c>
      <c r="AL255" s="116">
        <f>AL244/AL224*400</f>
        <v>5.0157683216612225E-4</v>
      </c>
      <c r="AM255" s="23" t="str">
        <f>IF(ISERROR((AL255/AD255-1)*100),"NA",IF(((AL255/AD255-1)*100)&gt;100,"NM",IF(((AL255/AD255-1)*100)&lt;-50,"NM",(AL255/AD255-1)*100)))</f>
        <v>NM</v>
      </c>
      <c r="AN255" s="445">
        <f t="shared" ref="AN255:AP255" si="1603">AN244/AN224*400</f>
        <v>-4.4516022570135115E-2</v>
      </c>
      <c r="AO255" s="23">
        <f>IF(ISERROR((AN255/AF255-1)*100),"NA",IF(((AN255/AF255-1)*100)&gt;100,"NM",IF(((AN255/AF255-1)*100)&lt;-50,"NM",(AN255/AF255-1)*100)))</f>
        <v>96.351575870687654</v>
      </c>
      <c r="AP255" s="445">
        <f t="shared" si="1603"/>
        <v>-7.3890418498742727E-2</v>
      </c>
      <c r="AQ255" s="23" t="str">
        <f t="shared" ref="AQ255" si="1604">IF(ISERROR((AP255/AH255-1)*100),"NA",IF(((AP255/AH255-1)*100)&gt;100,"NM",IF(((AP255/AH255-1)*100)&lt;-50,"NM",(AP255/AH255-1)*100)))</f>
        <v>NM</v>
      </c>
      <c r="AR255" s="445">
        <f t="shared" ref="AR255:AT255" si="1605">AR244/AR224*400</f>
        <v>-4.3726293739004871E-2</v>
      </c>
      <c r="AS255" s="23" t="str">
        <f t="shared" ref="AS255" si="1606">IF(ISERROR((AR255/AJ255-1)*100),"NA",IF(((AR255/AJ255-1)*100)&gt;100,"NM",IF(((AR255/AJ255-1)*100)&lt;-50,"NM",(AR255/AJ255-1)*100)))</f>
        <v>NM</v>
      </c>
      <c r="AT255" s="445">
        <f t="shared" si="1605"/>
        <v>3.3411084750707185E-2</v>
      </c>
      <c r="AU255" s="23" t="str">
        <f t="shared" ref="AU255" si="1607">IF(ISERROR((AT255/AL255-1)*100),"NA",IF(((AT255/AL255-1)*100)&gt;100,"NM",IF(((AT255/AL255-1)*100)&lt;-50,"NM",(AT255/AL255-1)*100)))</f>
        <v>NM</v>
      </c>
      <c r="AV255" s="445">
        <f t="shared" ref="AV255:AX255" si="1608">AV244/AV224*400</f>
        <v>4.156597390043499E-2</v>
      </c>
      <c r="AW255" s="23" t="str">
        <f t="shared" ref="AW255" si="1609">IF(ISERROR((AV255/AN255-1)*100),"NA",IF(((AV255/AN255-1)*100)&gt;100,"NM",IF(((AV255/AN255-1)*100)&lt;-50,"NM",(AV255/AN255-1)*100)))</f>
        <v>NM</v>
      </c>
      <c r="AX255" s="445">
        <f t="shared" si="1608"/>
        <v>4.240349853232718E-2</v>
      </c>
      <c r="AY255" s="23" t="str">
        <f t="shared" ref="AY255" si="1610">IF(ISERROR((AX255/AP255-1)*100),"NA",IF(((AX255/AP255-1)*100)&gt;100,"NM",IF(((AX255/AP255-1)*100)&lt;-50,"NM",(AX255/AP255-1)*100)))</f>
        <v>NM</v>
      </c>
      <c r="AZ255" s="445">
        <f t="shared" ref="AZ255" si="1611">AZ244/AZ224*400</f>
        <v>0.17190626713110663</v>
      </c>
      <c r="BA255" s="23" t="str">
        <f t="shared" ref="BA255" si="1612">IF(ISERROR((AZ255/AR255-1)*100),"NA",IF(((AZ255/AR255-1)*100)&gt;100,"NM",IF(((AZ255/AR255-1)*100)&lt;-50,"NM",(AZ255/AR255-1)*100)))</f>
        <v>NM</v>
      </c>
      <c r="BB255" s="445">
        <f t="shared" ref="BB255:BD255" si="1613">BB244/BB224*400</f>
        <v>2.4245803960552079E-2</v>
      </c>
      <c r="BC255" s="23">
        <f t="shared" ref="BC255" si="1614">IF(ISERROR((BB255/AT255-1)*100),"NA",IF(((BB255/AT255-1)*100)&gt;100,"NM",IF(((BB255/AT255-1)*100)&lt;-50,"NM",(BB255/AT255-1)*100)))</f>
        <v>-27.431856398978816</v>
      </c>
      <c r="BD255" s="445">
        <f t="shared" si="1613"/>
        <v>3.9021535009633443E-2</v>
      </c>
      <c r="BE255" s="23">
        <f t="shared" ref="BE255" si="1615">IF(ISERROR((BD255/AV255-1)*100),"NA",IF(((BD255/AV255-1)*100)&gt;100,"NM",IF(((BD255/AV255-1)*100)&lt;-50,"NM",(BD255/AV255-1)*100)))</f>
        <v>-6.1214465872888368</v>
      </c>
      <c r="BF255" s="213">
        <f>BD255</f>
        <v>3.9021535009633443E-2</v>
      </c>
      <c r="BG255" s="23">
        <f t="shared" ref="BG255" si="1616">IF(ISERROR((BF255/AX255-1)*100),"NA",IF(((BF255/AX255-1)*100)&gt;100,"NM",IF(((BF255/AX255-1)*100)&lt;-50,"NM",(BF255/AX255-1)*100)))</f>
        <v>-7.9756709699682631</v>
      </c>
      <c r="BH255" s="213">
        <f>BF255</f>
        <v>3.9021535009633443E-2</v>
      </c>
      <c r="BI255" s="23" t="str">
        <f t="shared" ref="BI255" si="1617">IF(ISERROR((BH255/AZ255-1)*100),"NA",IF(((BH255/AZ255-1)*100)&gt;100,"NM",IF(((BH255/AZ255-1)*100)&lt;-50,"NM",(BH255/AZ255-1)*100)))</f>
        <v>NM</v>
      </c>
      <c r="BJ255" s="213">
        <f>BH255</f>
        <v>3.9021535009633443E-2</v>
      </c>
      <c r="BK255" s="23">
        <f t="shared" ref="BK255" si="1618">IF(ISERROR((BJ255/BB255-1)*100),"NA",IF(((BJ255/BB255-1)*100)&gt;100,"NM",IF(((BJ255/BB255-1)*100)&lt;-50,"NM",(BJ255/BB255-1)*100)))</f>
        <v>60.94139453210741</v>
      </c>
      <c r="BL255" s="213">
        <f>BJ255</f>
        <v>3.9021535009633443E-2</v>
      </c>
      <c r="BM255" s="23">
        <f t="shared" ref="BM255" si="1619">IF(ISERROR((BL255/BD255-1)*100),"NA",IF(((BL255/BD255-1)*100)&gt;100,"NM",IF(((BL255/BD255-1)*100)&lt;-50,"NM",(BL255/BD255-1)*100)))</f>
        <v>0</v>
      </c>
      <c r="BN255" s="5"/>
      <c r="BO255" s="139"/>
      <c r="BP255" s="5"/>
      <c r="BQ255" s="115">
        <f>BQ244/BQ224*100</f>
        <v>-6.1817377610918219E-2</v>
      </c>
      <c r="BR255" s="5"/>
      <c r="BS255" s="115">
        <f>BS244/BS224*100</f>
        <v>2.846871934760048E-3</v>
      </c>
      <c r="BT255" s="5"/>
      <c r="BU255" s="115">
        <f>BU244/BU224*100</f>
        <v>9.5577621306910318E-3</v>
      </c>
      <c r="BV255" s="23" t="str">
        <f>IF(ISERROR((BU255/BS255-1)*100),"NA",IF(((BU255/BS255-1)*100)&gt;100,"NM",IF(((BU255/BS255-1)*100)&lt;-50,"NM",(BU255/BS255-1)*100)))</f>
        <v>NM</v>
      </c>
      <c r="BW255" s="115">
        <f>BW244/BW224*100</f>
        <v>4.9636353700273868E-2</v>
      </c>
      <c r="BX255" s="23" t="str">
        <f>IF(ISERROR((BW255/BU255-1)*100),"NA",IF(((BW255/BU255-1)*100)&gt;100,"NM",IF(((BW255/BU255-1)*100)&lt;-50,"NM",(BW255/BU255-1)*100)))</f>
        <v>NM</v>
      </c>
      <c r="BY255" s="115">
        <f>BY244/BY224*100</f>
        <v>4.7601685302220059E-2</v>
      </c>
      <c r="BZ255" s="23">
        <f>IF(ISERROR((BY255/BW255-1)*100),"NA",IF(((BY255/BW255-1)*100)&gt;100,"NM",IF(((BY255/BW255-1)*100)&lt;-50,"NM",(BY255/BW255-1)*100)))</f>
        <v>-4.0991496078459537</v>
      </c>
      <c r="CA255" s="115">
        <f>CA244/CA224*100</f>
        <v>2.6536064572808007E-2</v>
      </c>
      <c r="CB255" s="23">
        <f>IF(ISERROR((CA255/BY255-1)*100),"NA",IF(((CA255/BY255-1)*100)&gt;100,"NM",IF(((CA255/BY255-1)*100)&lt;-50,"NM",(CA255/BY255-1)*100)))</f>
        <v>-44.25393890083464</v>
      </c>
      <c r="CC255" s="116">
        <f>CC244/CC224*100</f>
        <v>1.7908744712123326E-3</v>
      </c>
      <c r="CD255" s="23" t="str">
        <f>IF(ISERROR((CC255/CA255-1)*100),"NA",IF(((CC255/CA255-1)*100)&gt;100,"NM",IF(((CC255/CA255-1)*100)&lt;-50,"NM",(CC255/CA255-1)*100)))</f>
        <v>NM</v>
      </c>
      <c r="CE255" s="116">
        <f>CE244/CE224*100</f>
        <v>-9.6665055582406938E-3</v>
      </c>
      <c r="CF255" s="23" t="str">
        <f>IF(ISERROR((CE255/CC255-1)*100),"NA",IF(((CE255/CC255-1)*100)&gt;100,"NM",IF(((CE255/CC255-1)*100)&lt;-50,"NM",(CE255/CC255-1)*100)))</f>
        <v>NM</v>
      </c>
      <c r="CG255" s="116">
        <f>CG244/CG224*100</f>
        <v>6.938516693900447E-2</v>
      </c>
      <c r="CH255" s="23" t="str">
        <f>IF(ISERROR((CG255/CE255-1)*100),"NA",IF(((CG255/CE255-1)*100)&gt;100,"NM",IF(((CG255/CE255-1)*100)&lt;-50,"NM",(CG255/CE255-1)*100)))</f>
        <v>NM</v>
      </c>
      <c r="CI255" s="116">
        <f>CI244/CI224*100</f>
        <v>3.8788957347974287E-2</v>
      </c>
      <c r="CJ255" s="23">
        <f>IF(ISERROR((CI255/CG255-1)*100),"NA",IF(((CI255/CG255-1)*100)&gt;100,"NM",IF(((CI255/CG255-1)*100)&lt;-50,"NM",(CI255/CG255-1)*100)))</f>
        <v>-44.096182139227082</v>
      </c>
      <c r="CK255" s="118">
        <f>CI255+0.005</f>
        <v>4.3788957347974285E-2</v>
      </c>
      <c r="CL255" s="23">
        <f>IF(ISERROR((CK255/CI255-1)*100),"NA",IF(((CK255/CI255-1)*100)&gt;100,"NM",IF(((CK255/CI255-1)*100)&lt;-50,"NM",(CK255/CI255-1)*100)))</f>
        <v>12.890266565159724</v>
      </c>
      <c r="CM255" s="118">
        <f>CK255+0.01</f>
        <v>5.3788957347974287E-2</v>
      </c>
      <c r="CN255" s="23">
        <f>IF(ISERROR((CM255/CK255-1)*100),"NA",IF(((CM255/CK255-1)*100)&gt;100,"NM",IF(((CM255/CK255-1)*100)&lt;-50,"NM",(CM255/CK255-1)*100)))</f>
        <v>22.836807737927579</v>
      </c>
      <c r="CO255" s="118">
        <f>CM255</f>
        <v>5.3788957347974287E-2</v>
      </c>
      <c r="CP255" s="23">
        <f>IF(ISERROR((CO255/CM255-1)*100),"NA",IF(((CO255/CM255-1)*100)&gt;100,"NM",IF(((CO255/CM255-1)*100)&lt;-50,"NM",(CO255/CM255-1)*100)))</f>
        <v>0</v>
      </c>
      <c r="CQ255" s="118">
        <f>CO255</f>
        <v>5.3788957347974287E-2</v>
      </c>
      <c r="CR255" s="23">
        <f>IF(ISERROR((CQ255/CO255-1)*100),"NA",IF(((CQ255/CO255-1)*100)&gt;100,"NM",IF(((CQ255/CO255-1)*100)&lt;-50,"NM",(CQ255/CO255-1)*100)))</f>
        <v>0</v>
      </c>
      <c r="CS255" s="23">
        <f>IF(ISERROR(((CQ255/CG255)^0.2-1)*100),"NA",IF((((CQ255/CG255)^0.2-1)*100)&gt;100,"NM",IF((((CQ255/CG255)^0.2-1)*100)&lt;-50,"NM",((CQ255/CG255)^0.2-1)*100)))</f>
        <v>-4.964623917813582</v>
      </c>
    </row>
    <row r="256" spans="1:105" ht="12.75" customHeight="1" x14ac:dyDescent="0.2">
      <c r="A256" s="13"/>
      <c r="B256" s="35"/>
      <c r="C256" s="60"/>
      <c r="D256" s="35"/>
      <c r="E256" s="60"/>
      <c r="F256" s="35"/>
      <c r="G256" s="60"/>
      <c r="H256" s="35"/>
      <c r="I256" s="60"/>
      <c r="J256" s="35"/>
      <c r="L256" s="35"/>
      <c r="N256" s="35"/>
      <c r="P256" s="37"/>
      <c r="R256" s="37"/>
      <c r="T256" s="37"/>
      <c r="V256" s="37"/>
      <c r="X256" s="37"/>
      <c r="Z256" s="37"/>
      <c r="AA256" s="216"/>
      <c r="AB256" s="37"/>
      <c r="AC256" s="216"/>
      <c r="AD256" s="37"/>
      <c r="AE256" s="216"/>
      <c r="AF256" s="37"/>
      <c r="AH256" s="37"/>
      <c r="AJ256" s="37"/>
      <c r="AL256" s="37"/>
      <c r="AN256" s="411"/>
      <c r="AP256" s="411"/>
      <c r="AR256" s="455"/>
      <c r="AT256" s="455"/>
      <c r="AV256" s="455"/>
      <c r="AX256" s="455"/>
      <c r="AZ256" s="455"/>
      <c r="BB256" s="455"/>
      <c r="BD256" s="455"/>
      <c r="BF256" s="212"/>
      <c r="BH256" s="212"/>
      <c r="BJ256" s="212"/>
      <c r="BL256" s="212"/>
      <c r="BN256" s="5"/>
      <c r="BO256" s="138"/>
      <c r="BP256" s="5"/>
      <c r="BQ256" s="5"/>
      <c r="BR256" s="5"/>
      <c r="BS256" s="5"/>
      <c r="BT256" s="5"/>
      <c r="BU256" s="35"/>
      <c r="BW256" s="35"/>
      <c r="BY256" s="35"/>
      <c r="CA256" s="35"/>
      <c r="CC256" s="35"/>
      <c r="CE256" s="35"/>
      <c r="CG256" s="35"/>
      <c r="CI256" s="35"/>
      <c r="CK256" s="35"/>
      <c r="CM256" s="35"/>
      <c r="CO256" s="35"/>
      <c r="CQ256" s="35"/>
    </row>
    <row r="257" spans="1:97" ht="12.75" customHeight="1" x14ac:dyDescent="0.2">
      <c r="A257" s="41" t="s">
        <v>182</v>
      </c>
      <c r="B257" s="35"/>
      <c r="C257" s="60"/>
      <c r="D257" s="35"/>
      <c r="E257" s="60"/>
      <c r="F257" s="35"/>
      <c r="G257" s="60"/>
      <c r="H257" s="35"/>
      <c r="I257" s="60"/>
      <c r="J257" s="35"/>
      <c r="L257" s="35"/>
      <c r="N257" s="35"/>
      <c r="P257" s="37"/>
      <c r="R257" s="37"/>
      <c r="T257" s="37"/>
      <c r="V257" s="37"/>
      <c r="X257" s="37"/>
      <c r="Z257" s="37"/>
      <c r="AA257" s="216"/>
      <c r="AB257" s="37"/>
      <c r="AC257" s="216"/>
      <c r="AD257" s="37"/>
      <c r="AE257" s="216"/>
      <c r="AF257" s="37"/>
      <c r="AH257" s="37"/>
      <c r="AJ257" s="37"/>
      <c r="AL257" s="37"/>
      <c r="AN257" s="411"/>
      <c r="AP257" s="411"/>
      <c r="AR257" s="455"/>
      <c r="AT257" s="455"/>
      <c r="AV257" s="455"/>
      <c r="AX257" s="455"/>
      <c r="AZ257" s="455"/>
      <c r="BB257" s="455"/>
      <c r="BD257" s="455"/>
      <c r="BF257" s="212"/>
      <c r="BH257" s="212"/>
      <c r="BJ257" s="212"/>
      <c r="BL257" s="212"/>
      <c r="BN257" s="5"/>
      <c r="BO257" s="138"/>
      <c r="BP257" s="5"/>
      <c r="BQ257" s="5"/>
      <c r="BR257" s="5"/>
      <c r="BS257" s="5"/>
      <c r="BT257" s="5"/>
      <c r="BU257" s="35"/>
      <c r="BW257" s="35"/>
      <c r="BY257" s="35"/>
      <c r="CA257" s="35"/>
      <c r="CC257" s="35"/>
      <c r="CE257" s="35"/>
      <c r="CG257" s="35"/>
      <c r="CI257" s="35"/>
      <c r="CK257" s="35"/>
      <c r="CM257" s="35"/>
      <c r="CO257" s="35"/>
      <c r="CQ257" s="35"/>
    </row>
    <row r="258" spans="1:97" ht="12.75" customHeight="1" x14ac:dyDescent="0.2">
      <c r="A258" s="12" t="s">
        <v>176</v>
      </c>
      <c r="B258" s="35">
        <f>B245/B221*40000</f>
        <v>46.824758521276436</v>
      </c>
      <c r="C258" s="59"/>
      <c r="D258" s="35">
        <f>D245/D221*40000</f>
        <v>44.643527196560299</v>
      </c>
      <c r="E258" s="59"/>
      <c r="F258" s="35">
        <f>F245/F221*40000</f>
        <v>46.595611495842611</v>
      </c>
      <c r="G258" s="59"/>
      <c r="H258" s="35">
        <f>H245/H221*40000</f>
        <v>43.64379308140073</v>
      </c>
      <c r="I258" s="59"/>
      <c r="J258" s="35">
        <f>J245/J221*40000</f>
        <v>44.920981087218628</v>
      </c>
      <c r="K258" s="23">
        <f t="shared" ref="K258:Y264" si="1620">IF(ISERROR((J258/B258-1)*100),"NA",IF(((J258/B258-1)*100)&gt;100,"NM",IF(((J258/B258-1)*100)&lt;-50,"NM",(J258/B258-1)*100)))</f>
        <v>-4.0657496037972312</v>
      </c>
      <c r="L258" s="35">
        <f>L245/L221*40000</f>
        <v>43.062300605578443</v>
      </c>
      <c r="M258" s="23">
        <f t="shared" si="1620"/>
        <v>-3.5418944027874377</v>
      </c>
      <c r="N258" s="35">
        <f>N245/N221*40000</f>
        <v>44.096393407912274</v>
      </c>
      <c r="O258" s="23">
        <f t="shared" si="1620"/>
        <v>-5.3636340584420132</v>
      </c>
      <c r="P258" s="37">
        <f>P245/P221*40000</f>
        <v>43.072763522685428</v>
      </c>
      <c r="Q258" s="23">
        <f t="shared" si="1620"/>
        <v>-1.3083866419453249</v>
      </c>
      <c r="R258" s="37">
        <f>R245/R221*40000</f>
        <v>39.998478678552338</v>
      </c>
      <c r="S258" s="23">
        <f>IF(ISERROR((R258/J258-1)*100),"NA",IF(((R258/J258-1)*100)&gt;100,"NM",IF(((R258/J258-1)*100)&lt;-50,"NM",(R258/J258-1)*100)))</f>
        <v>-10.958136464358947</v>
      </c>
      <c r="T258" s="37">
        <f>T245/T221*40000</f>
        <v>44.983835665473698</v>
      </c>
      <c r="U258" s="23">
        <f>IF(ISERROR((T258/L258-1)*100),"NA",IF(((T258/L258-1)*100)&gt;100,"NM",IF(((T258/L258-1)*100)&lt;-50,"NM",(T258/L258-1)*100)))</f>
        <v>4.4622210910076898</v>
      </c>
      <c r="V258" s="37">
        <f>V245/V221*40000</f>
        <v>43.871636522353548</v>
      </c>
      <c r="W258" s="23">
        <f>IF(ISERROR((V258/N258-1)*100),"NA",IF(((V258/N258-1)*100)&gt;100,"NM",IF(((V258/N258-1)*100)&lt;-50,"NM",(V258/N258-1)*100)))</f>
        <v>-0.50969448562293573</v>
      </c>
      <c r="X258" s="37">
        <f>X245/X221*40000</f>
        <v>44.965217204451577</v>
      </c>
      <c r="Y258" s="23">
        <f t="shared" si="1620"/>
        <v>4.393620299680645</v>
      </c>
      <c r="Z258" s="37">
        <f>Z245/Z221*40000</f>
        <v>45.438360505231735</v>
      </c>
      <c r="AA258" s="215">
        <f>IF(ISERROR((Z258/R258-1)*100),"NA",IF(((Z258/R258-1)*100)&gt;100,"NM",IF(((Z258/R258-1)*100)&lt;-50,"NM",(Z258/R258-1)*100)))</f>
        <v>13.600221824427351</v>
      </c>
      <c r="AB258" s="37">
        <f>AB245/AB221*40000</f>
        <v>43.903431396336458</v>
      </c>
      <c r="AC258" s="215">
        <f>IF(ISERROR((AB258/T258-1)*100),"NA",IF(((AB258/T258-1)*100)&gt;100,"NM",IF(((AB258/T258-1)*100)&lt;-50,"NM",(AB258/T258-1)*100)))</f>
        <v>-2.401761106304412</v>
      </c>
      <c r="AD258" s="37">
        <f>AD245/AD221*40000</f>
        <v>45.007824803893158</v>
      </c>
      <c r="AE258" s="215">
        <f>IF(ISERROR((AD258/V258-1)*100),"NA",IF(((AD258/V258-1)*100)&gt;100,"NM",IF(((AD258/V258-1)*100)&lt;-50,"NM",(AD258/V258-1)*100)))</f>
        <v>2.5898014562568239</v>
      </c>
      <c r="AF258" s="37">
        <f>AF245/AF221*40000</f>
        <v>44.454332119176797</v>
      </c>
      <c r="AG258" s="23">
        <f t="shared" ref="AG258:AG264" si="1621">IF(ISERROR((AF258/X258-1)*100),"NA",IF(((AF258/X258-1)*100)&gt;100,"NM",IF(((AF258/X258-1)*100)&lt;-50,"NM",(AF258/X258-1)*100)))</f>
        <v>-1.1361783997436148</v>
      </c>
      <c r="AH258" s="37">
        <f>AH245/AH221*40000</f>
        <v>43.1529124858654</v>
      </c>
      <c r="AI258" s="23">
        <f t="shared" ref="AI258:AI264" si="1622">IF(ISERROR((AH258/Z258-1)*100),"NA",IF(((AH258/Z258-1)*100)&gt;100,"NM",IF(((AH258/Z258-1)*100)&lt;-50,"NM",(AH258/Z258-1)*100)))</f>
        <v>-5.0297765895474855</v>
      </c>
      <c r="AJ258" s="37">
        <f>AJ245/AJ221*40000</f>
        <v>43.438777435097236</v>
      </c>
      <c r="AK258" s="23">
        <f t="shared" ref="AK258:AK264" si="1623">IF(ISERROR((AJ258/AB258-1)*100),"NA",IF(((AJ258/AB258-1)*100)&gt;100,"NM",IF(((AJ258/AB258-1)*100)&lt;-50,"NM",(AJ258/AB258-1)*100)))</f>
        <v>-1.0583545441917197</v>
      </c>
      <c r="AL258" s="37">
        <f>AL245/AL221*40000</f>
        <v>44.104285967950553</v>
      </c>
      <c r="AM258" s="23">
        <f t="shared" ref="AM258:AM264" si="1624">IF(ISERROR((AL258/AD258-1)*100),"NA",IF(((AL258/AD258-1)*100)&gt;100,"NM",IF(((AL258/AD258-1)*100)&lt;-50,"NM",(AL258/AD258-1)*100)))</f>
        <v>-2.0075150040675838</v>
      </c>
      <c r="AN258" s="411">
        <f t="shared" ref="AN258:AP261" si="1625">AN245/AN221*40000</f>
        <v>44.376805687674214</v>
      </c>
      <c r="AO258" s="23">
        <f t="shared" ref="AO258:AO264" si="1626">IF(ISERROR((AN258/AF258-1)*100),"NA",IF(((AN258/AF258-1)*100)&gt;100,"NM",IF(((AN258/AF258-1)*100)&lt;-50,"NM",(AN258/AF258-1)*100)))</f>
        <v>-0.17439567260788547</v>
      </c>
      <c r="AP258" s="411">
        <f t="shared" si="1625"/>
        <v>41.340154535600796</v>
      </c>
      <c r="AQ258" s="23">
        <f t="shared" ref="AQ258:AQ264" si="1627">IF(ISERROR((AP258/AH258-1)*100),"NA",IF(((AP258/AH258-1)*100)&gt;100,"NM",IF(((AP258/AH258-1)*100)&lt;-50,"NM",(AP258/AH258-1)*100)))</f>
        <v>-4.2007777594579965</v>
      </c>
      <c r="AR258" s="411">
        <f t="shared" ref="AR258:AT261" si="1628">AR245/AR221*40000</f>
        <v>42.233293163840429</v>
      </c>
      <c r="AS258" s="23">
        <f t="shared" ref="AS258:AS264" si="1629">IF(ISERROR((AR258/AJ258-1)*100),"NA",IF(((AR258/AJ258-1)*100)&gt;100,"NM",IF(((AR258/AJ258-1)*100)&lt;-50,"NM",(AR258/AJ258-1)*100)))</f>
        <v>-2.7751339757615123</v>
      </c>
      <c r="AT258" s="411">
        <f t="shared" si="1628"/>
        <v>41.640797961842246</v>
      </c>
      <c r="AU258" s="23">
        <f t="shared" ref="AU258:AU264" si="1630">IF(ISERROR((AT258/AL258-1)*100),"NA",IF(((AT258/AL258-1)*100)&gt;100,"NM",IF(((AT258/AL258-1)*100)&lt;-50,"NM",(AT258/AL258-1)*100)))</f>
        <v>-5.5855977532398127</v>
      </c>
      <c r="AV258" s="411">
        <f t="shared" ref="AV258:AX261" si="1631">AV245/AV221*40000</f>
        <v>43.896693241014773</v>
      </c>
      <c r="AW258" s="23">
        <f t="shared" ref="AW258:AW264" si="1632">IF(ISERROR((AV258/AN258-1)*100),"NA",IF(((AV258/AN258-1)*100)&gt;100,"NM",IF(((AV258/AN258-1)*100)&lt;-50,"NM",(AV258/AN258-1)*100)))</f>
        <v>-1.0818995175959523</v>
      </c>
      <c r="AX258" s="411">
        <f t="shared" si="1631"/>
        <v>41.472588731850394</v>
      </c>
      <c r="AY258" s="23">
        <f t="shared" ref="AY258:AY264" si="1633">IF(ISERROR((AX258/AP258-1)*100),"NA",IF(((AX258/AP258-1)*100)&gt;100,"NM",IF(((AX258/AP258-1)*100)&lt;-50,"NM",(AX258/AP258-1)*100)))</f>
        <v>0.32035244603536572</v>
      </c>
      <c r="AZ258" s="411">
        <f t="shared" ref="AZ258:AZ261" si="1634">AZ245/AZ221*40000</f>
        <v>43.264387348704702</v>
      </c>
      <c r="BA258" s="23">
        <f t="shared" ref="BA258:BA264" si="1635">IF(ISERROR((AZ258/AR258-1)*100),"NA",IF(((AZ258/AR258-1)*100)&gt;100,"NM",IF(((AZ258/AR258-1)*100)&lt;-50,"NM",(AZ258/AR258-1)*100)))</f>
        <v>2.4414250171404639</v>
      </c>
      <c r="BB258" s="411">
        <f t="shared" ref="BB258:BD261" si="1636">BB245/BB221*40000</f>
        <v>41.169896292549723</v>
      </c>
      <c r="BC258" s="23">
        <f t="shared" ref="BC258:BC264" si="1637">IF(ISERROR((BB258/AT258-1)*100),"NA",IF(((BB258/AT258-1)*100)&gt;100,"NM",IF(((BB258/AT258-1)*100)&lt;-50,"NM",(BB258/AT258-1)*100)))</f>
        <v>-1.1308661032961909</v>
      </c>
      <c r="BD258" s="411">
        <f t="shared" si="1636"/>
        <v>42.888240494316811</v>
      </c>
      <c r="BE258" s="23">
        <f t="shared" ref="BE258:BE264" si="1638">IF(ISERROR((BD258/AV258-1)*100),"NA",IF(((BD258/AV258-1)*100)&gt;100,"NM",IF(((BD258/AV258-1)*100)&lt;-50,"NM",(BD258/AV258-1)*100)))</f>
        <v>-2.2973319223866251</v>
      </c>
      <c r="BF258" s="114">
        <f>AX258-0.3</f>
        <v>41.172588731850396</v>
      </c>
      <c r="BG258" s="23">
        <f t="shared" ref="BG258:BG264" si="1639">IF(ISERROR((BF258/AX258-1)*100),"NA",IF(((BF258/AX258-1)*100)&gt;100,"NM",IF(((BF258/AX258-1)*100)&lt;-50,"NM",(BF258/AX258-1)*100)))</f>
        <v>-0.72336936075948488</v>
      </c>
      <c r="BH258" s="114">
        <v>41.5</v>
      </c>
      <c r="BI258" s="23">
        <f t="shared" ref="BI258:BI264" si="1640">IF(ISERROR((BH258/AZ258-1)*100),"NA",IF(((BH258/AZ258-1)*100)&gt;100,"NM",IF(((BH258/AZ258-1)*100)&lt;-50,"NM",(BH258/AZ258-1)*100)))</f>
        <v>-4.0781517012687507</v>
      </c>
      <c r="BJ258" s="114">
        <v>41.5</v>
      </c>
      <c r="BK258" s="23">
        <f t="shared" ref="BK258:BK264" si="1641">IF(ISERROR((BJ258/BB258-1)*100),"NA",IF(((BJ258/BB258-1)*100)&gt;100,"NM",IF(((BJ258/BB258-1)*100)&lt;-50,"NM",(BJ258/BB258-1)*100)))</f>
        <v>0.80180845029238501</v>
      </c>
      <c r="BL258" s="114">
        <v>41.5</v>
      </c>
      <c r="BM258" s="23">
        <f t="shared" ref="BM258:BM264" si="1642">IF(ISERROR((BL258/BD258-1)*100),"NA",IF(((BL258/BD258-1)*100)&gt;100,"NM",IF(((BL258/BD258-1)*100)&lt;-50,"NM",(BL258/BD258-1)*100)))</f>
        <v>-3.2368791032608812</v>
      </c>
      <c r="BN258" s="5"/>
      <c r="BO258" s="138"/>
      <c r="BP258" s="5"/>
      <c r="BQ258" s="152"/>
      <c r="BR258" s="152"/>
      <c r="BS258" s="152"/>
      <c r="BT258" s="5"/>
      <c r="BU258" s="35">
        <f>BU245/BU221*10000</f>
        <v>45.773749348776263</v>
      </c>
      <c r="BV258" s="23" t="str">
        <f t="shared" ref="BV258:BV264" si="1643">IF(ISERROR((BU258/BS258-1)*100),"NA",IF(((BU258/BS258-1)*100)&gt;100,"NM",IF(((BU258/BS258-1)*100)&lt;-50,"NM",(BU258/BS258-1)*100)))</f>
        <v>NA</v>
      </c>
      <c r="BW258" s="35">
        <f>BW245/BW221*10000</f>
        <v>41.188480772802173</v>
      </c>
      <c r="BX258" s="23">
        <f t="shared" ref="BX258:BX264" si="1644">IF(ISERROR((BW258/BU258-1)*100),"NA",IF(((BW258/BU258-1)*100)&gt;100,"NM",IF(((BW258/BU258-1)*100)&lt;-50,"NM",(BW258/BU258-1)*100)))</f>
        <v>-10.017244908290813</v>
      </c>
      <c r="BY258" s="35">
        <f>BY245/BY221*10000</f>
        <v>40.715851576104299</v>
      </c>
      <c r="BZ258" s="23">
        <f t="shared" ref="BZ258:CR264" si="1645">IF(ISERROR((BY258/BW258-1)*100),"NA",IF(((BY258/BW258-1)*100)&gt;100,"NM",IF(((BY258/BW258-1)*100)&lt;-50,"NM",(BY258/BW258-1)*100)))</f>
        <v>-1.1474790714057215</v>
      </c>
      <c r="CA258" s="35">
        <f>CA245/CA221*10000</f>
        <v>44.684099783385513</v>
      </c>
      <c r="CB258" s="23">
        <f t="shared" si="1645"/>
        <v>9.7461997076591533</v>
      </c>
      <c r="CC258" s="35">
        <f>CC245/CC221*10000</f>
        <v>44.640983475205182</v>
      </c>
      <c r="CD258" s="23">
        <f t="shared" si="1645"/>
        <v>-9.6491388188069127E-2</v>
      </c>
      <c r="CE258" s="35">
        <f>CE245/CE221*10000</f>
        <v>41.058570496808713</v>
      </c>
      <c r="CF258" s="23">
        <f t="shared" si="1645"/>
        <v>-8.0249418796658922</v>
      </c>
      <c r="CG258" s="35">
        <f>CG245/CG221*10000</f>
        <v>39.997967469252153</v>
      </c>
      <c r="CH258" s="23">
        <f t="shared" si="1645"/>
        <v>-2.5831465019927946</v>
      </c>
      <c r="CI258" s="35">
        <f>CI245/CI221*10000</f>
        <v>40.252056462750637</v>
      </c>
      <c r="CJ258" s="23">
        <f t="shared" si="1645"/>
        <v>0.63525476311718787</v>
      </c>
      <c r="CK258" s="47">
        <f>CI258</f>
        <v>40.252056462750637</v>
      </c>
      <c r="CL258" s="23">
        <f t="shared" si="1645"/>
        <v>0</v>
      </c>
      <c r="CM258" s="47">
        <f>CK258</f>
        <v>40.252056462750637</v>
      </c>
      <c r="CN258" s="23">
        <f t="shared" si="1645"/>
        <v>0</v>
      </c>
      <c r="CO258" s="47">
        <f>CM258</f>
        <v>40.252056462750637</v>
      </c>
      <c r="CP258" s="23">
        <f t="shared" si="1645"/>
        <v>0</v>
      </c>
      <c r="CQ258" s="47">
        <f>CO258</f>
        <v>40.252056462750637</v>
      </c>
      <c r="CR258" s="23">
        <f t="shared" si="1645"/>
        <v>0</v>
      </c>
      <c r="CS258" s="23">
        <f t="shared" ref="CS258:CS264" si="1646">IF(ISERROR(((CQ258/CG258)^0.2-1)*100),"NA",IF((((CQ258/CG258)^0.2-1)*100)&gt;100,"NM",IF((((CQ258/CG258)^0.2-1)*100)&lt;-50,"NM",((CQ258/CG258)^0.2-1)*100)))</f>
        <v>0.12672933879631643</v>
      </c>
    </row>
    <row r="259" spans="1:97" ht="12.75" customHeight="1" x14ac:dyDescent="0.2">
      <c r="A259" s="12" t="s">
        <v>177</v>
      </c>
      <c r="B259" s="35">
        <f>B246/B222*40000</f>
        <v>19.092532419794761</v>
      </c>
      <c r="C259" s="59"/>
      <c r="D259" s="35">
        <f>D246/D222*40000</f>
        <v>20.936386566973983</v>
      </c>
      <c r="E259" s="59"/>
      <c r="F259" s="35">
        <f>F246/F222*40000</f>
        <v>21.261488132989115</v>
      </c>
      <c r="G259" s="59"/>
      <c r="H259" s="35">
        <f>H246/H222*40000</f>
        <v>20.921580399359879</v>
      </c>
      <c r="I259" s="59"/>
      <c r="J259" s="35">
        <f>J246/J222*40000</f>
        <v>17.738911284876071</v>
      </c>
      <c r="K259" s="23">
        <f t="shared" si="1620"/>
        <v>-7.0897935651285433</v>
      </c>
      <c r="L259" s="35">
        <f>L246/L222*40000</f>
        <v>18.117701957600364</v>
      </c>
      <c r="M259" s="23">
        <f t="shared" si="1620"/>
        <v>-13.463090205928573</v>
      </c>
      <c r="N259" s="35">
        <f>N246/N222*40000</f>
        <v>18.422955347361977</v>
      </c>
      <c r="O259" s="23">
        <f t="shared" si="1620"/>
        <v>-13.350583777919567</v>
      </c>
      <c r="P259" s="37">
        <f>P246/P222*40000</f>
        <v>18.530260208884382</v>
      </c>
      <c r="Q259" s="23">
        <f t="shared" si="1620"/>
        <v>-11.429921377013486</v>
      </c>
      <c r="R259" s="37">
        <f>R246/R222*40000</f>
        <v>17.801721406322301</v>
      </c>
      <c r="S259" s="23">
        <f t="shared" si="1620"/>
        <v>0.3540810393464211</v>
      </c>
      <c r="T259" s="37">
        <f>T246/T222*40000</f>
        <v>19.026522547370426</v>
      </c>
      <c r="U259" s="23">
        <f t="shared" si="1620"/>
        <v>5.0162023412070322</v>
      </c>
      <c r="V259" s="37">
        <f>V246/V222*40000</f>
        <v>19.781590159609639</v>
      </c>
      <c r="W259" s="23">
        <f t="shared" si="1620"/>
        <v>7.3746843903750081</v>
      </c>
      <c r="X259" s="37">
        <f>X246/X222*40000</f>
        <v>19.875695693383577</v>
      </c>
      <c r="Y259" s="23">
        <f t="shared" si="1620"/>
        <v>7.2607479297787769</v>
      </c>
      <c r="Z259" s="37">
        <f>Z246/Z222*40000</f>
        <v>19.520903568133189</v>
      </c>
      <c r="AA259" s="215">
        <f t="shared" ref="AA259:AA264" si="1647">IF(ISERROR((Z259/R259-1)*100),"NA",IF(((Z259/R259-1)*100)&gt;100,"NM",IF(((Z259/R259-1)*100)&lt;-50,"NM",(Z259/R259-1)*100)))</f>
        <v>9.657392802475373</v>
      </c>
      <c r="AB259" s="37">
        <f>AB246/AB222*40000</f>
        <v>19.683591711975108</v>
      </c>
      <c r="AC259" s="215">
        <f t="shared" ref="AC259:AC264" si="1648">IF(ISERROR((AB259/T259-1)*100),"NA",IF(((AB259/T259-1)*100)&gt;100,"NM",IF(((AB259/T259-1)*100)&lt;-50,"NM",(AB259/T259-1)*100)))</f>
        <v>3.453438025623301</v>
      </c>
      <c r="AD259" s="37">
        <f>AD246/AD222*40000</f>
        <v>21.784341500159673</v>
      </c>
      <c r="AE259" s="215">
        <f t="shared" ref="AE259:AE264" si="1649">IF(ISERROR((AD259/V259-1)*100),"NA",IF(((AD259/V259-1)*100)&gt;100,"NM",IF(((AD259/V259-1)*100)&lt;-50,"NM",(AD259/V259-1)*100)))</f>
        <v>10.124319250326419</v>
      </c>
      <c r="AF259" s="37">
        <f>AF246/AF222*40000</f>
        <v>21.50744859087963</v>
      </c>
      <c r="AG259" s="23">
        <f t="shared" si="1621"/>
        <v>8.2097901007774468</v>
      </c>
      <c r="AH259" s="37">
        <f>AH246/AH222*40000</f>
        <v>20.811753637849623</v>
      </c>
      <c r="AI259" s="23">
        <f t="shared" si="1622"/>
        <v>6.6126553272035871</v>
      </c>
      <c r="AJ259" s="37">
        <f>AJ246/AJ222*40000</f>
        <v>21.53650824096405</v>
      </c>
      <c r="AK259" s="23">
        <f t="shared" si="1623"/>
        <v>9.4135082463718369</v>
      </c>
      <c r="AL259" s="37">
        <f>AL246/AL222*40000</f>
        <v>22.960952689309945</v>
      </c>
      <c r="AM259" s="23">
        <f t="shared" si="1624"/>
        <v>5.4011785903266718</v>
      </c>
      <c r="AN259" s="411">
        <f t="shared" si="1625"/>
        <v>21.910387654128872</v>
      </c>
      <c r="AO259" s="23">
        <f t="shared" si="1626"/>
        <v>1.8734861159687366</v>
      </c>
      <c r="AP259" s="411">
        <f t="shared" si="1625"/>
        <v>20.810034657747526</v>
      </c>
      <c r="AQ259" s="23">
        <f t="shared" si="1627"/>
        <v>-8.259660055609519E-3</v>
      </c>
      <c r="AR259" s="411">
        <f t="shared" si="1628"/>
        <v>21.297991343324561</v>
      </c>
      <c r="AS259" s="23">
        <f t="shared" si="1629"/>
        <v>-1.1075003197863365</v>
      </c>
      <c r="AT259" s="411">
        <f t="shared" si="1628"/>
        <v>21.316523291670791</v>
      </c>
      <c r="AU259" s="23">
        <f t="shared" si="1630"/>
        <v>-7.1618517745771104</v>
      </c>
      <c r="AV259" s="411">
        <f t="shared" si="1631"/>
        <v>21.52831935212145</v>
      </c>
      <c r="AW259" s="23">
        <f t="shared" si="1632"/>
        <v>-1.7437770067725067</v>
      </c>
      <c r="AX259" s="411">
        <f t="shared" si="1631"/>
        <v>21.231415121954626</v>
      </c>
      <c r="AY259" s="23">
        <f t="shared" si="1633"/>
        <v>2.0248907372685254</v>
      </c>
      <c r="AZ259" s="411">
        <f t="shared" si="1634"/>
        <v>19.950190417832534</v>
      </c>
      <c r="BA259" s="23">
        <f t="shared" si="1635"/>
        <v>-6.3283006541105973</v>
      </c>
      <c r="BB259" s="411">
        <f t="shared" si="1636"/>
        <v>20.797256827676637</v>
      </c>
      <c r="BC259" s="23">
        <f t="shared" si="1637"/>
        <v>-2.4359810316584407</v>
      </c>
      <c r="BD259" s="411">
        <f t="shared" si="1636"/>
        <v>19.832163586876277</v>
      </c>
      <c r="BE259" s="23">
        <f t="shared" si="1638"/>
        <v>-7.8787188981290779</v>
      </c>
      <c r="BF259" s="210">
        <f t="shared" ref="BF259:BJ259" si="1650">BD259</f>
        <v>19.832163586876277</v>
      </c>
      <c r="BG259" s="23">
        <f t="shared" si="1639"/>
        <v>-6.5904770220965414</v>
      </c>
      <c r="BH259" s="210">
        <f t="shared" si="1650"/>
        <v>19.832163586876277</v>
      </c>
      <c r="BI259" s="23">
        <f t="shared" si="1640"/>
        <v>-0.59160754100250346</v>
      </c>
      <c r="BJ259" s="210">
        <f t="shared" si="1650"/>
        <v>19.832163586876277</v>
      </c>
      <c r="BK259" s="23">
        <f t="shared" si="1641"/>
        <v>-4.6404833521891735</v>
      </c>
      <c r="BL259" s="210">
        <f t="shared" ref="BL259" si="1651">BJ259</f>
        <v>19.832163586876277</v>
      </c>
      <c r="BM259" s="23">
        <f t="shared" si="1642"/>
        <v>0</v>
      </c>
      <c r="BN259" s="5"/>
      <c r="BO259" s="138"/>
      <c r="BP259" s="5"/>
      <c r="BQ259" s="152"/>
      <c r="BR259" s="152"/>
      <c r="BS259" s="152"/>
      <c r="BT259" s="5"/>
      <c r="BU259" s="35">
        <f>BU246/BU222*10000</f>
        <v>20.180512114277914</v>
      </c>
      <c r="BV259" s="23" t="str">
        <f t="shared" si="1643"/>
        <v>NA</v>
      </c>
      <c r="BW259" s="35">
        <f>BW246/BW222*10000</f>
        <v>17.358411016059311</v>
      </c>
      <c r="BX259" s="23">
        <f t="shared" si="1644"/>
        <v>-13.984288814067991</v>
      </c>
      <c r="BY259" s="35">
        <f>BY246/BY222*10000</f>
        <v>18.207014046359067</v>
      </c>
      <c r="BZ259" s="23">
        <f t="shared" si="1645"/>
        <v>4.888713774058373</v>
      </c>
      <c r="CA259" s="35">
        <f>CA246/CA222*10000</f>
        <v>20.523655820123768</v>
      </c>
      <c r="CB259" s="23">
        <f t="shared" si="1645"/>
        <v>12.723897328062804</v>
      </c>
      <c r="CC259" s="35">
        <f>CC246/CC222*10000</f>
        <v>22.480188667418904</v>
      </c>
      <c r="CD259" s="23">
        <f t="shared" si="1645"/>
        <v>9.5330620647844135</v>
      </c>
      <c r="CE259" s="35">
        <f>CE246/CE222*10000</f>
        <v>21.343986206550291</v>
      </c>
      <c r="CF259" s="23">
        <f t="shared" si="1645"/>
        <v>-5.054238990953575</v>
      </c>
      <c r="CG259" s="35">
        <f>CG246/CG222*10000</f>
        <v>20.150880871498334</v>
      </c>
      <c r="CH259" s="23">
        <f t="shared" si="1645"/>
        <v>-5.5898899273360776</v>
      </c>
      <c r="CI259" s="35">
        <f>CI246/CI222*10000</f>
        <v>20.157575638324619</v>
      </c>
      <c r="CJ259" s="23">
        <f t="shared" si="1645"/>
        <v>3.3223196886411621E-2</v>
      </c>
      <c r="CK259" s="47">
        <f>CI259</f>
        <v>20.157575638324619</v>
      </c>
      <c r="CL259" s="23">
        <f t="shared" si="1645"/>
        <v>0</v>
      </c>
      <c r="CM259" s="47">
        <f>CK259</f>
        <v>20.157575638324619</v>
      </c>
      <c r="CN259" s="23">
        <f t="shared" si="1645"/>
        <v>0</v>
      </c>
      <c r="CO259" s="47">
        <f>CM259</f>
        <v>20.157575638324619</v>
      </c>
      <c r="CP259" s="23">
        <f t="shared" si="1645"/>
        <v>0</v>
      </c>
      <c r="CQ259" s="47">
        <f>CO259</f>
        <v>20.157575638324619</v>
      </c>
      <c r="CR259" s="23">
        <f t="shared" si="1645"/>
        <v>0</v>
      </c>
      <c r="CS259" s="23">
        <f t="shared" si="1646"/>
        <v>6.6437565286125988E-3</v>
      </c>
    </row>
    <row r="260" spans="1:97" ht="12.75" customHeight="1" x14ac:dyDescent="0.2">
      <c r="A260" s="4" t="s">
        <v>178</v>
      </c>
      <c r="B260" s="35">
        <f>B247/B223*40000</f>
        <v>34.792827685954343</v>
      </c>
      <c r="C260" s="59"/>
      <c r="D260" s="35">
        <f>D247/D223*40000</f>
        <v>34.670420261851461</v>
      </c>
      <c r="E260" s="59"/>
      <c r="F260" s="35">
        <f>F247/F223*40000</f>
        <v>35.907704430092721</v>
      </c>
      <c r="G260" s="59"/>
      <c r="H260" s="35">
        <f>H247/H223*40000</f>
        <v>33.785439990204893</v>
      </c>
      <c r="I260" s="59"/>
      <c r="J260" s="35">
        <f>J247/J223*40000</f>
        <v>32.156502397985754</v>
      </c>
      <c r="K260" s="23">
        <f t="shared" si="1620"/>
        <v>-7.5772090494181317</v>
      </c>
      <c r="L260" s="35">
        <f>L247/L223*40000</f>
        <v>31.451457466623626</v>
      </c>
      <c r="M260" s="23">
        <f t="shared" si="1620"/>
        <v>-9.2844643096804962</v>
      </c>
      <c r="N260" s="35">
        <f>N247/N223*40000</f>
        <v>31.839093162341651</v>
      </c>
      <c r="O260" s="23">
        <f t="shared" si="1620"/>
        <v>-11.330747348865167</v>
      </c>
      <c r="P260" s="37">
        <f>P247/P223*40000</f>
        <v>31.622105576568391</v>
      </c>
      <c r="Q260" s="23">
        <f t="shared" si="1620"/>
        <v>-6.4031559579028619</v>
      </c>
      <c r="R260" s="37">
        <f>R247/R223*40000</f>
        <v>29.760266839246491</v>
      </c>
      <c r="S260" s="23">
        <f t="shared" si="1620"/>
        <v>-7.4517916441352856</v>
      </c>
      <c r="T260" s="37">
        <f>T247/T223*40000</f>
        <v>33.330690564565842</v>
      </c>
      <c r="U260" s="23">
        <f t="shared" si="1620"/>
        <v>5.9750270712779052</v>
      </c>
      <c r="V260" s="37">
        <f>V247/V223*40000</f>
        <v>32.985340017311252</v>
      </c>
      <c r="W260" s="23">
        <f t="shared" si="1620"/>
        <v>3.6001240648566801</v>
      </c>
      <c r="X260" s="37">
        <f>X247/X223*40000</f>
        <v>33.716376362376231</v>
      </c>
      <c r="Y260" s="23">
        <f t="shared" si="1620"/>
        <v>6.6228062541150656</v>
      </c>
      <c r="Z260" s="37">
        <f>Z247/Z223*40000</f>
        <v>33.612989154263907</v>
      </c>
      <c r="AA260" s="215">
        <f t="shared" si="1647"/>
        <v>12.945859443493358</v>
      </c>
      <c r="AB260" s="37">
        <f>AB247/AB223*40000</f>
        <v>32.898115457143192</v>
      </c>
      <c r="AC260" s="215">
        <f t="shared" si="1648"/>
        <v>-1.2978282180643563</v>
      </c>
      <c r="AD260" s="37">
        <f>AD247/AD223*40000</f>
        <v>34.328381789339595</v>
      </c>
      <c r="AE260" s="215">
        <f t="shared" si="1649"/>
        <v>4.0716323412870459</v>
      </c>
      <c r="AF260" s="37">
        <f>AF247/AF223*40000</f>
        <v>33.934463484196158</v>
      </c>
      <c r="AG260" s="23">
        <f t="shared" si="1621"/>
        <v>0.6468284713516459</v>
      </c>
      <c r="AH260" s="37">
        <f>AH247/AH223*40000</f>
        <v>33.027680076224819</v>
      </c>
      <c r="AI260" s="23">
        <f t="shared" si="1622"/>
        <v>-1.7413181414865031</v>
      </c>
      <c r="AJ260" s="37">
        <f>AJ247/AJ223*40000</f>
        <v>33.634099298204092</v>
      </c>
      <c r="AK260" s="23">
        <f t="shared" si="1623"/>
        <v>2.2371610982388157</v>
      </c>
      <c r="AL260" s="37">
        <f>AL247/AL223*40000</f>
        <v>34.756777499750029</v>
      </c>
      <c r="AM260" s="23">
        <f t="shared" si="1624"/>
        <v>1.2479344731113118</v>
      </c>
      <c r="AN260" s="411">
        <f t="shared" si="1625"/>
        <v>34.403091871800335</v>
      </c>
      <c r="AO260" s="23">
        <f t="shared" si="1626"/>
        <v>1.3809806889165221</v>
      </c>
      <c r="AP260" s="411">
        <f t="shared" si="1625"/>
        <v>32.342304482178484</v>
      </c>
      <c r="AQ260" s="23">
        <f t="shared" si="1627"/>
        <v>-2.0751551197799922</v>
      </c>
      <c r="AR260" s="411">
        <f t="shared" si="1628"/>
        <v>33.165371792715632</v>
      </c>
      <c r="AS260" s="23">
        <f t="shared" si="1629"/>
        <v>-1.393608020636028</v>
      </c>
      <c r="AT260" s="411">
        <f t="shared" si="1628"/>
        <v>32.862777423537182</v>
      </c>
      <c r="AU260" s="23">
        <f t="shared" si="1630"/>
        <v>-5.4492971226301705</v>
      </c>
      <c r="AV260" s="411">
        <f t="shared" si="1631"/>
        <v>34.433815784933685</v>
      </c>
      <c r="AW260" s="23">
        <f t="shared" si="1632"/>
        <v>8.9305674175554906E-2</v>
      </c>
      <c r="AX260" s="411">
        <f t="shared" si="1631"/>
        <v>33.019716095410935</v>
      </c>
      <c r="AY260" s="23">
        <f t="shared" si="1633"/>
        <v>2.0945063256259999</v>
      </c>
      <c r="AZ260" s="411">
        <f t="shared" si="1634"/>
        <v>33.783602480104292</v>
      </c>
      <c r="BA260" s="23">
        <f t="shared" si="1635"/>
        <v>1.8640848993118908</v>
      </c>
      <c r="BB260" s="411">
        <f t="shared" si="1636"/>
        <v>32.918786538751831</v>
      </c>
      <c r="BC260" s="23">
        <f t="shared" si="1637"/>
        <v>0.17043329750496827</v>
      </c>
      <c r="BD260" s="411">
        <f t="shared" si="1636"/>
        <v>33.736691797573528</v>
      </c>
      <c r="BE260" s="23">
        <f t="shared" si="1638"/>
        <v>-2.024533068638823</v>
      </c>
      <c r="BF260" s="212">
        <f t="shared" ref="BF260" si="1652">BF247/BF223*40000</f>
        <v>32.884967206650181</v>
      </c>
      <c r="BG260" s="23">
        <f t="shared" si="1639"/>
        <v>-0.40808615183545172</v>
      </c>
      <c r="BH260" s="212">
        <f t="shared" ref="BH260" si="1653">BH247/BH223*40000</f>
        <v>33.239519482108925</v>
      </c>
      <c r="BI260" s="23">
        <f t="shared" si="1640"/>
        <v>-1.6104943169272357</v>
      </c>
      <c r="BJ260" s="212">
        <f t="shared" ref="BJ260" si="1654">BJ247/BJ223*40000</f>
        <v>33.392607231269508</v>
      </c>
      <c r="BK260" s="23">
        <f t="shared" si="1641"/>
        <v>1.4393625717639802</v>
      </c>
      <c r="BL260" s="212">
        <f t="shared" ref="BL260" si="1655">BL247/BL223*40000</f>
        <v>33.544233121860508</v>
      </c>
      <c r="BM260" s="23">
        <f t="shared" si="1642"/>
        <v>-0.57047287525346935</v>
      </c>
      <c r="BN260" s="5"/>
      <c r="BO260" s="138"/>
      <c r="BP260" s="5"/>
      <c r="BQ260" s="152"/>
      <c r="BR260" s="152"/>
      <c r="BS260" s="152"/>
      <c r="BT260" s="5"/>
      <c r="BU260" s="35">
        <f>BU247/BU223*10000</f>
        <v>34.669749349326821</v>
      </c>
      <c r="BV260" s="23" t="str">
        <f t="shared" si="1643"/>
        <v>NA</v>
      </c>
      <c r="BW260" s="35">
        <f>BW247/BW223*10000</f>
        <v>30.070209012383597</v>
      </c>
      <c r="BX260" s="23">
        <f t="shared" si="1644"/>
        <v>-13.266725093968802</v>
      </c>
      <c r="BY260" s="35">
        <f>BY247/BY223*10000</f>
        <v>30.624047767928381</v>
      </c>
      <c r="BZ260" s="23">
        <f t="shared" si="1645"/>
        <v>1.8418187759077442</v>
      </c>
      <c r="CA260" s="35">
        <f>CA247/CA223*10000</f>
        <v>33.607873318504097</v>
      </c>
      <c r="CB260" s="23">
        <f t="shared" si="1645"/>
        <v>9.743406793208397</v>
      </c>
      <c r="CC260" s="35">
        <f>CC247/CC223*10000</f>
        <v>34.80294004139698</v>
      </c>
      <c r="CD260" s="23">
        <f t="shared" si="1645"/>
        <v>3.5559129599399331</v>
      </c>
      <c r="CE260" s="35">
        <f>CE247/CE223*10000</f>
        <v>32.718364791646017</v>
      </c>
      <c r="CF260" s="23">
        <f t="shared" si="1645"/>
        <v>-5.9896527341409271</v>
      </c>
      <c r="CG260" s="35">
        <f>CG247/CG223*10000</f>
        <v>32.120143562563065</v>
      </c>
      <c r="CH260" s="23">
        <f t="shared" si="1645"/>
        <v>-1.8283958654183641</v>
      </c>
      <c r="CI260" s="35">
        <f>CI247/CI223*10000</f>
        <v>32.87397185505187</v>
      </c>
      <c r="CJ260" s="23">
        <f t="shared" si="1645"/>
        <v>2.3469020025409071</v>
      </c>
      <c r="CK260" s="35">
        <f>CK247/CK223*10000</f>
        <v>33.450528398045648</v>
      </c>
      <c r="CL260" s="23">
        <f t="shared" si="1645"/>
        <v>1.7538390114097968</v>
      </c>
      <c r="CM260" s="35">
        <f>CM247/CM223*10000</f>
        <v>34.002505491407938</v>
      </c>
      <c r="CN260" s="23">
        <f t="shared" si="1645"/>
        <v>1.6501296684884093</v>
      </c>
      <c r="CO260" s="35">
        <f>CO247/CO223*10000</f>
        <v>34.52736161288751</v>
      </c>
      <c r="CP260" s="23">
        <f t="shared" si="1645"/>
        <v>1.5435807270502311</v>
      </c>
      <c r="CQ260" s="35">
        <f>CQ247/CQ223*10000</f>
        <v>35.023223261501244</v>
      </c>
      <c r="CR260" s="23">
        <f t="shared" si="1645"/>
        <v>1.436141151395276</v>
      </c>
      <c r="CS260" s="23">
        <f t="shared" si="1646"/>
        <v>1.7456210367963632</v>
      </c>
    </row>
    <row r="261" spans="1:97" ht="12.75" customHeight="1" x14ac:dyDescent="0.2">
      <c r="A261" s="4" t="s">
        <v>99</v>
      </c>
      <c r="B261" s="35">
        <f>B248/B224*40000</f>
        <v>19.154932382833262</v>
      </c>
      <c r="C261" s="59"/>
      <c r="D261" s="35">
        <f>D248/D224*40000</f>
        <v>18.971530537027036</v>
      </c>
      <c r="E261" s="59"/>
      <c r="F261" s="35">
        <f>F248/F224*40000</f>
        <v>18.79530548887649</v>
      </c>
      <c r="G261" s="59"/>
      <c r="H261" s="35">
        <f>H248/H224*40000</f>
        <v>18.896959704898293</v>
      </c>
      <c r="I261" s="59"/>
      <c r="J261" s="35">
        <f>J248/J224*40000</f>
        <v>19.242308182292341</v>
      </c>
      <c r="K261" s="23">
        <f t="shared" si="1620"/>
        <v>0.45615300389880709</v>
      </c>
      <c r="L261" s="35">
        <f>L248/L224*40000</f>
        <v>18.347301311828797</v>
      </c>
      <c r="M261" s="23">
        <f t="shared" si="1620"/>
        <v>-3.290347207253097</v>
      </c>
      <c r="N261" s="35">
        <f>N248/N224*40000</f>
        <v>18.803669592612927</v>
      </c>
      <c r="O261" s="23">
        <f t="shared" si="1620"/>
        <v>4.4501025755527834E-2</v>
      </c>
      <c r="P261" s="37">
        <f>P248/P224*40000</f>
        <v>18.415821010039974</v>
      </c>
      <c r="Q261" s="23">
        <f t="shared" si="1620"/>
        <v>-2.5461169541130091</v>
      </c>
      <c r="R261" s="37">
        <f>R248/R224*40000</f>
        <v>18.407846344504346</v>
      </c>
      <c r="S261" s="23">
        <f t="shared" si="1620"/>
        <v>-4.3365994863126867</v>
      </c>
      <c r="T261" s="37">
        <f>T248/T224*40000</f>
        <v>18.037926983767115</v>
      </c>
      <c r="U261" s="23">
        <f t="shared" si="1620"/>
        <v>-1.6862116275499606</v>
      </c>
      <c r="V261" s="37">
        <f>V248/V224*40000</f>
        <v>18.041298126221808</v>
      </c>
      <c r="W261" s="23">
        <f t="shared" si="1620"/>
        <v>-4.0543759963247776</v>
      </c>
      <c r="X261" s="37">
        <f>X248/X224*40000</f>
        <v>18.33171285042943</v>
      </c>
      <c r="Y261" s="23">
        <f t="shared" si="1620"/>
        <v>-0.45671686081597551</v>
      </c>
      <c r="Z261" s="37">
        <f>Z248/Z224*40000</f>
        <v>18.12148927519063</v>
      </c>
      <c r="AA261" s="215">
        <f t="shared" si="1647"/>
        <v>-1.5556250522441362</v>
      </c>
      <c r="AB261" s="37">
        <f>AB248/AB224*40000</f>
        <v>18.637877528719564</v>
      </c>
      <c r="AC261" s="215">
        <f t="shared" si="1648"/>
        <v>3.3260504130677715</v>
      </c>
      <c r="AD261" s="37">
        <f>AD248/AD224*40000</f>
        <v>18.343224662465555</v>
      </c>
      <c r="AE261" s="215">
        <f t="shared" si="1649"/>
        <v>1.6735299984036001</v>
      </c>
      <c r="AF261" s="37">
        <f>AF248/AF224*40000</f>
        <v>18.652534709430096</v>
      </c>
      <c r="AG261" s="23">
        <f t="shared" si="1621"/>
        <v>1.7500921033309247</v>
      </c>
      <c r="AH261" s="37">
        <f>AH248/AH224*40000</f>
        <v>18.379358097100035</v>
      </c>
      <c r="AI261" s="23">
        <f t="shared" si="1622"/>
        <v>1.4230001629195188</v>
      </c>
      <c r="AJ261" s="37">
        <f>AJ248/AJ224*40000</f>
        <v>18.715663313443653</v>
      </c>
      <c r="AK261" s="23">
        <f t="shared" si="1623"/>
        <v>0.41735323458493845</v>
      </c>
      <c r="AL261" s="37">
        <f>AL248/AL224*40000</f>
        <v>18.056765957980399</v>
      </c>
      <c r="AM261" s="23">
        <f t="shared" si="1624"/>
        <v>-1.5616594669492168</v>
      </c>
      <c r="AN261" s="411">
        <f t="shared" si="1625"/>
        <v>18.727430184677534</v>
      </c>
      <c r="AO261" s="23">
        <f t="shared" si="1626"/>
        <v>0.40152974603271385</v>
      </c>
      <c r="AP261" s="411">
        <f t="shared" si="1625"/>
        <v>13.270115975284407</v>
      </c>
      <c r="AQ261" s="23">
        <f t="shared" si="1627"/>
        <v>-27.798806110762829</v>
      </c>
      <c r="AR261" s="411">
        <f t="shared" si="1628"/>
        <v>19.117542378913761</v>
      </c>
      <c r="AS261" s="23">
        <f t="shared" si="1629"/>
        <v>2.1472873215315547</v>
      </c>
      <c r="AT261" s="411">
        <f t="shared" si="1628"/>
        <v>18.700234002261485</v>
      </c>
      <c r="AU261" s="23">
        <f t="shared" si="1630"/>
        <v>3.5635841200937657</v>
      </c>
      <c r="AV261" s="411">
        <f t="shared" si="1631"/>
        <v>18.704688255195748</v>
      </c>
      <c r="AW261" s="23">
        <f t="shared" si="1632"/>
        <v>-0.12143646649603879</v>
      </c>
      <c r="AX261" s="411">
        <f t="shared" si="1631"/>
        <v>19.105944166289952</v>
      </c>
      <c r="AY261" s="23">
        <f t="shared" si="1633"/>
        <v>43.977220710616074</v>
      </c>
      <c r="AZ261" s="411">
        <f t="shared" si="1634"/>
        <v>19.095270013710987</v>
      </c>
      <c r="BA261" s="23">
        <f t="shared" si="1635"/>
        <v>-0.11650224051465985</v>
      </c>
      <c r="BB261" s="411">
        <f t="shared" si="1636"/>
        <v>19.202676736757248</v>
      </c>
      <c r="BC261" s="23">
        <f t="shared" si="1637"/>
        <v>2.6868259211890066</v>
      </c>
      <c r="BD261" s="411">
        <f t="shared" si="1636"/>
        <v>19.51076750481672</v>
      </c>
      <c r="BE261" s="23">
        <f t="shared" si="1638"/>
        <v>4.3095037919012702</v>
      </c>
      <c r="BF261" s="210">
        <f t="shared" ref="BF261:BH261" si="1656">BD261</f>
        <v>19.51076750481672</v>
      </c>
      <c r="BG261" s="23">
        <f t="shared" si="1639"/>
        <v>2.1188345103668293</v>
      </c>
      <c r="BH261" s="210">
        <f t="shared" si="1656"/>
        <v>19.51076750481672</v>
      </c>
      <c r="BI261" s="23">
        <f t="shared" si="1640"/>
        <v>2.1759183861102427</v>
      </c>
      <c r="BJ261" s="210">
        <v>8</v>
      </c>
      <c r="BK261" s="23" t="str">
        <f t="shared" si="1641"/>
        <v>NM</v>
      </c>
      <c r="BL261" s="210">
        <f t="shared" ref="BL261" si="1657">BJ261</f>
        <v>8</v>
      </c>
      <c r="BM261" s="23" t="str">
        <f t="shared" si="1642"/>
        <v>NM</v>
      </c>
      <c r="BN261" s="5"/>
      <c r="BO261" s="138"/>
      <c r="BP261" s="5"/>
      <c r="BQ261" s="152"/>
      <c r="BR261" s="152"/>
      <c r="BS261" s="152"/>
      <c r="BT261" s="5"/>
      <c r="BU261" s="35">
        <f>BU248/BU224*10000</f>
        <v>18.781845657747908</v>
      </c>
      <c r="BV261" s="23" t="str">
        <f t="shared" si="1643"/>
        <v>NA</v>
      </c>
      <c r="BW261" s="35">
        <f>BW248/BW224*10000</f>
        <v>18.468429823909222</v>
      </c>
      <c r="BX261" s="23">
        <f t="shared" si="1644"/>
        <v>-1.668716906473966</v>
      </c>
      <c r="BY261" s="35">
        <f>BY248/BY224*10000</f>
        <v>18.407672986549994</v>
      </c>
      <c r="BZ261" s="23">
        <f t="shared" si="1645"/>
        <v>-0.32897673456014909</v>
      </c>
      <c r="CA261" s="35">
        <f>CA248/CA224*10000</f>
        <v>18.652534709430096</v>
      </c>
      <c r="CB261" s="23">
        <f t="shared" si="1645"/>
        <v>1.3302155196858179</v>
      </c>
      <c r="CC261" s="35">
        <f>CC248/CC224*10000</f>
        <v>18.561134698064958</v>
      </c>
      <c r="CD261" s="23">
        <f t="shared" si="1645"/>
        <v>-0.49001389242251392</v>
      </c>
      <c r="CE261" s="35">
        <f>CE248/CE224*10000</f>
        <v>16.940550990816817</v>
      </c>
      <c r="CF261" s="23">
        <f t="shared" si="1645"/>
        <v>-8.7310594616669128</v>
      </c>
      <c r="CG261" s="35">
        <f>CG248/CG224*10000</f>
        <v>19.254688681316004</v>
      </c>
      <c r="CH261" s="23">
        <f t="shared" si="1645"/>
        <v>13.66034488343173</v>
      </c>
      <c r="CI261" s="35">
        <f>CI248/CI224*10000</f>
        <v>13.650559829452108</v>
      </c>
      <c r="CJ261" s="23">
        <f t="shared" si="1645"/>
        <v>-29.105268564024733</v>
      </c>
      <c r="CK261" s="47">
        <f>CI261</f>
        <v>13.650559829452108</v>
      </c>
      <c r="CL261" s="23">
        <f t="shared" si="1645"/>
        <v>0</v>
      </c>
      <c r="CM261" s="47">
        <f>CK261</f>
        <v>13.650559829452108</v>
      </c>
      <c r="CN261" s="23">
        <f t="shared" si="1645"/>
        <v>0</v>
      </c>
      <c r="CO261" s="47">
        <f>CM261</f>
        <v>13.650559829452108</v>
      </c>
      <c r="CP261" s="23">
        <f t="shared" si="1645"/>
        <v>0</v>
      </c>
      <c r="CQ261" s="47">
        <f>CO261</f>
        <v>13.650559829452108</v>
      </c>
      <c r="CR261" s="23">
        <f t="shared" si="1645"/>
        <v>0</v>
      </c>
      <c r="CS261" s="23">
        <f t="shared" si="1646"/>
        <v>-6.6481793771608455</v>
      </c>
    </row>
    <row r="262" spans="1:97" ht="12.75" customHeight="1" x14ac:dyDescent="0.2">
      <c r="A262" s="4" t="s">
        <v>204</v>
      </c>
      <c r="B262" s="35">
        <f>(B247+B248)/B225*40000</f>
        <v>27.438669041821154</v>
      </c>
      <c r="C262" s="59"/>
      <c r="D262" s="35">
        <f>(D247+D248)/D225*40000</f>
        <v>27.377241062757818</v>
      </c>
      <c r="E262" s="59"/>
      <c r="F262" s="35">
        <f>(F247+F248)/F225*40000</f>
        <v>27.626954098752975</v>
      </c>
      <c r="G262" s="59"/>
      <c r="H262" s="35">
        <f>(H247+H248)/H225*40000</f>
        <v>26.716060787110685</v>
      </c>
      <c r="I262" s="59"/>
      <c r="J262" s="35">
        <f>(J247+J248)/J225*40000</f>
        <v>26.32964844586045</v>
      </c>
      <c r="K262" s="23">
        <f t="shared" si="1620"/>
        <v>-4.0418162931677548</v>
      </c>
      <c r="L262" s="35">
        <f>(L247+L248)/L225*40000</f>
        <v>25.333493366174469</v>
      </c>
      <c r="M262" s="23">
        <f t="shared" si="1620"/>
        <v>-7.4651338748794815</v>
      </c>
      <c r="N262" s="35">
        <f>(N247+N248)/N225*40000</f>
        <v>25.948663803276329</v>
      </c>
      <c r="O262" s="23">
        <f t="shared" si="1620"/>
        <v>-6.074829275343097</v>
      </c>
      <c r="P262" s="37">
        <f>(P247+P248)/P225*40000</f>
        <v>25.77980013744363</v>
      </c>
      <c r="Q262" s="23">
        <f t="shared" si="1620"/>
        <v>-3.5044861483425005</v>
      </c>
      <c r="R262" s="37">
        <f>(R247+R248)/R225*40000</f>
        <v>24.921889250823014</v>
      </c>
      <c r="S262" s="23">
        <f t="shared" si="1620"/>
        <v>-5.3466691662522496</v>
      </c>
      <c r="T262" s="37">
        <f>(T247+T248)/T225*40000</f>
        <v>26.880473970640338</v>
      </c>
      <c r="U262" s="23">
        <f t="shared" si="1620"/>
        <v>6.1064638109934455</v>
      </c>
      <c r="V262" s="37">
        <f>(V247+V248)/V225*40000</f>
        <v>26.856676631893766</v>
      </c>
      <c r="W262" s="23">
        <f t="shared" si="1620"/>
        <v>3.4992662261969398</v>
      </c>
      <c r="X262" s="37">
        <f>(X247+X248)/X225*40000</f>
        <v>27.618539496606456</v>
      </c>
      <c r="Y262" s="23">
        <f t="shared" si="1620"/>
        <v>7.1324810485716927</v>
      </c>
      <c r="Z262" s="37">
        <f>(Z247+Z248)/Z225*40000</f>
        <v>27.643156160739924</v>
      </c>
      <c r="AA262" s="215">
        <f t="shared" si="1647"/>
        <v>10.919183864951343</v>
      </c>
      <c r="AB262" s="37">
        <f>(AB247+AB248)/AB225*40000</f>
        <v>27.516753870898395</v>
      </c>
      <c r="AC262" s="215">
        <f t="shared" si="1648"/>
        <v>2.3670709859990646</v>
      </c>
      <c r="AD262" s="37">
        <f>(AD247+AD248)/AD225*40000</f>
        <v>28.256661937465928</v>
      </c>
      <c r="AE262" s="215">
        <f t="shared" si="1649"/>
        <v>5.2128017355267398</v>
      </c>
      <c r="AF262" s="37">
        <f>(AF247+AF248)/AF225*40000</f>
        <v>28.181986682168709</v>
      </c>
      <c r="AG262" s="23">
        <f t="shared" si="1621"/>
        <v>2.0401049289064943</v>
      </c>
      <c r="AH262" s="37">
        <f>(AH247+AH248)/AH225*40000</f>
        <v>27.514819932772159</v>
      </c>
      <c r="AI262" s="23">
        <f t="shared" si="1622"/>
        <v>-0.46426040218241482</v>
      </c>
      <c r="AJ262" s="37">
        <f>(AJ247+AJ248)/AJ225*40000</f>
        <v>28.000132524899094</v>
      </c>
      <c r="AK262" s="23">
        <f t="shared" si="1623"/>
        <v>1.7566703407988715</v>
      </c>
      <c r="AL262" s="37">
        <f>(AL247+AL248)/AL225*40000</f>
        <v>28.147636636938046</v>
      </c>
      <c r="AM262" s="23">
        <f t="shared" si="1624"/>
        <v>-0.38583927842985588</v>
      </c>
      <c r="AN262" s="411">
        <f t="shared" ref="AN262:AP262" si="1658">(AN247+AN248)/AN225*40000</f>
        <v>28.297954040485752</v>
      </c>
      <c r="AO262" s="23">
        <f t="shared" si="1626"/>
        <v>0.41149461755447536</v>
      </c>
      <c r="AP262" s="411">
        <f t="shared" si="1658"/>
        <v>24.875239432174443</v>
      </c>
      <c r="AQ262" s="23">
        <f t="shared" si="1627"/>
        <v>-9.5933046519914971</v>
      </c>
      <c r="AR262" s="411">
        <f t="shared" ref="AR262:AT262" si="1659">(AR247+AR248)/AR225*40000</f>
        <v>27.747461334022933</v>
      </c>
      <c r="AS262" s="23">
        <f t="shared" si="1629"/>
        <v>-0.90239283921771385</v>
      </c>
      <c r="AT262" s="411">
        <f t="shared" si="1659"/>
        <v>27.411167147293874</v>
      </c>
      <c r="AU262" s="23">
        <f t="shared" si="1630"/>
        <v>-2.6164523122971683</v>
      </c>
      <c r="AV262" s="411">
        <f t="shared" ref="AV262:AX262" si="1660">(AV247+AV248)/AV225*40000</f>
        <v>28.264595762135233</v>
      </c>
      <c r="AW262" s="23">
        <f t="shared" si="1632"/>
        <v>-0.11788229743674439</v>
      </c>
      <c r="AX262" s="411">
        <f t="shared" si="1660"/>
        <v>27.656225322144177</v>
      </c>
      <c r="AY262" s="23">
        <f t="shared" si="1633"/>
        <v>11.17973516416777</v>
      </c>
      <c r="AZ262" s="411">
        <f t="shared" ref="AZ262" si="1661">(AZ247+AZ248)/AZ225*40000</f>
        <v>28.239602055712151</v>
      </c>
      <c r="BA262" s="23">
        <f t="shared" si="1635"/>
        <v>1.7736423370947163</v>
      </c>
      <c r="BB262" s="411">
        <f t="shared" ref="BB262:BD262" si="1662">(BB247+BB248)/BB225*40000</f>
        <v>27.824699440905889</v>
      </c>
      <c r="BC262" s="23">
        <f t="shared" si="1637"/>
        <v>1.5086270912504363</v>
      </c>
      <c r="BD262" s="411">
        <f t="shared" si="1662"/>
        <v>28.535208601849462</v>
      </c>
      <c r="BE262" s="23">
        <f t="shared" si="1638"/>
        <v>0.95742688836455425</v>
      </c>
      <c r="BF262" s="212">
        <f t="shared" ref="BF262" si="1663">(BF247+BF248)/BF225*40000</f>
        <v>27.958078057780494</v>
      </c>
      <c r="BG262" s="23">
        <f t="shared" si="1639"/>
        <v>1.0914458937193672</v>
      </c>
      <c r="BH262" s="212">
        <f t="shared" ref="BH262" si="1664">(BH247+BH248)/BH225*40000</f>
        <v>28.193762517199104</v>
      </c>
      <c r="BI262" s="23">
        <f t="shared" si="1640"/>
        <v>-0.16232359939992724</v>
      </c>
      <c r="BJ262" s="212">
        <f t="shared" ref="BJ262" si="1665">(BJ247+BJ248)/BJ225*40000</f>
        <v>24.082951920866748</v>
      </c>
      <c r="BK262" s="23">
        <f t="shared" si="1641"/>
        <v>-13.447575697936532</v>
      </c>
      <c r="BL262" s="212">
        <f t="shared" ref="BL262" si="1666">(BL247+BL248)/BL225*40000</f>
        <v>24.203367226751141</v>
      </c>
      <c r="BM262" s="23">
        <f t="shared" si="1642"/>
        <v>-15.180689356578103</v>
      </c>
      <c r="BN262" s="5"/>
      <c r="BO262" s="138"/>
      <c r="BP262" s="5"/>
      <c r="BQ262" s="152"/>
      <c r="BR262" s="152"/>
      <c r="BS262" s="152"/>
      <c r="BT262" s="5"/>
      <c r="BU262" s="35">
        <f>(BU247+BU248)/BU225*10000</f>
        <v>27.125821526037146</v>
      </c>
      <c r="BV262" s="23" t="str">
        <f t="shared" si="1643"/>
        <v>NA</v>
      </c>
      <c r="BW262" s="35">
        <f>(BW247+BW248)/BW225*10000</f>
        <v>24.937717740866496</v>
      </c>
      <c r="BX262" s="23">
        <f t="shared" si="1644"/>
        <v>-8.0664977577558865</v>
      </c>
      <c r="BY262" s="35">
        <f>(BY247+BY248)/BY225*10000</f>
        <v>25.781987812134801</v>
      </c>
      <c r="BZ262" s="23">
        <f t="shared" si="1645"/>
        <v>3.3855145849404078</v>
      </c>
      <c r="CA262" s="35">
        <f>(CA247+CA248)/CA225*10000</f>
        <v>27.978332531918166</v>
      </c>
      <c r="CB262" s="23">
        <f t="shared" si="1645"/>
        <v>8.5189114810984901</v>
      </c>
      <c r="CC262" s="35">
        <f>(CC247+CC248)/CC225*10000</f>
        <v>28.477308263444279</v>
      </c>
      <c r="CD262" s="23">
        <f t="shared" si="1645"/>
        <v>1.7834362750420274</v>
      </c>
      <c r="CE262" s="35">
        <f>(CE247+CE248)/CE225*10000</f>
        <v>26.530049015000131</v>
      </c>
      <c r="CF262" s="23">
        <f t="shared" si="1645"/>
        <v>-6.8379329620271818</v>
      </c>
      <c r="CG262" s="35">
        <f>(CG247+CG248)/CG225*10000</f>
        <v>27.416094245162519</v>
      </c>
      <c r="CH262" s="23">
        <f t="shared" si="1645"/>
        <v>3.3397798460960804</v>
      </c>
      <c r="CI262" s="35">
        <f>(CI247+CI248)/CI225*10000</f>
        <v>25.844466665269636</v>
      </c>
      <c r="CJ262" s="23">
        <f t="shared" si="1645"/>
        <v>-5.732499917161582</v>
      </c>
      <c r="CK262" s="35">
        <f>(CK247+CK248)/CK225*10000</f>
        <v>26.226704574081953</v>
      </c>
      <c r="CL262" s="23">
        <f t="shared" si="1645"/>
        <v>1.4789932164704922</v>
      </c>
      <c r="CM262" s="35">
        <f>(CM247+CM248)/CM225*10000</f>
        <v>26.610886739431827</v>
      </c>
      <c r="CN262" s="23">
        <f t="shared" si="1645"/>
        <v>1.4648510805643999</v>
      </c>
      <c r="CO262" s="35">
        <f>(CO247+CO248)/CO225*10000</f>
        <v>26.99568752051772</v>
      </c>
      <c r="CP262" s="23">
        <f t="shared" si="1645"/>
        <v>1.446027653470483</v>
      </c>
      <c r="CQ262" s="35">
        <f>(CQ247+CQ248)/CQ225*10000</f>
        <v>27.379864046989571</v>
      </c>
      <c r="CR262" s="23">
        <f t="shared" si="1645"/>
        <v>1.4231033241137503</v>
      </c>
      <c r="CS262" s="23">
        <f t="shared" si="1646"/>
        <v>-2.644385756808143E-2</v>
      </c>
    </row>
    <row r="263" spans="1:97" ht="12.75" customHeight="1" x14ac:dyDescent="0.2">
      <c r="A263" s="4" t="s">
        <v>429</v>
      </c>
      <c r="B263" s="35">
        <f>B249/B226*40000</f>
        <v>2.5584681407497594</v>
      </c>
      <c r="C263" s="59"/>
      <c r="D263" s="35">
        <f>D249/D226*40000</f>
        <v>2.9254238329194457</v>
      </c>
      <c r="E263" s="59"/>
      <c r="F263" s="35">
        <f>F249/F226*40000</f>
        <v>2.7514185272953551</v>
      </c>
      <c r="G263" s="59"/>
      <c r="H263" s="35">
        <f>H249/H226*40000</f>
        <v>4.1056152747602503</v>
      </c>
      <c r="I263" s="59"/>
      <c r="J263" s="35">
        <f>J249/J226*40000</f>
        <v>3.7160754596562073</v>
      </c>
      <c r="K263" s="23">
        <f t="shared" si="1620"/>
        <v>45.246110376313339</v>
      </c>
      <c r="L263" s="35">
        <f>L249/L226*40000</f>
        <v>3.9218425263134451</v>
      </c>
      <c r="M263" s="23">
        <f t="shared" si="1620"/>
        <v>34.060660960692893</v>
      </c>
      <c r="N263" s="35">
        <f>N249/N226*40000</f>
        <v>3.6927592844489454</v>
      </c>
      <c r="O263" s="23">
        <f t="shared" si="1620"/>
        <v>34.212924999052355</v>
      </c>
      <c r="P263" s="37">
        <f>P249/P226*40000</f>
        <v>4.0442098688959307</v>
      </c>
      <c r="Q263" s="23">
        <f t="shared" si="1620"/>
        <v>-1.4956444224527465</v>
      </c>
      <c r="R263" s="37">
        <f>R249/R226*40000</f>
        <v>3.4450275871349754</v>
      </c>
      <c r="S263" s="23">
        <f t="shared" si="1620"/>
        <v>-7.2939281094767665</v>
      </c>
      <c r="T263" s="37">
        <f>T249/T226*40000</f>
        <v>3.1829739828047066</v>
      </c>
      <c r="U263" s="23">
        <f t="shared" si="1620"/>
        <v>-18.839832006291168</v>
      </c>
      <c r="V263" s="37">
        <f>V249/V226*40000</f>
        <v>2.8651396666051858</v>
      </c>
      <c r="W263" s="23">
        <f t="shared" si="1620"/>
        <v>-22.411956861879823</v>
      </c>
      <c r="X263" s="37">
        <f>X249/X226*40000</f>
        <v>2.5999438959475083</v>
      </c>
      <c r="Y263" s="23">
        <f t="shared" si="1620"/>
        <v>-35.71194423059719</v>
      </c>
      <c r="Z263" s="37">
        <f>Z249/Z226*40000</f>
        <v>2.1605996036417277</v>
      </c>
      <c r="AA263" s="215">
        <f t="shared" si="1647"/>
        <v>-37.283532598977821</v>
      </c>
      <c r="AB263" s="37">
        <f>AB249/AB226*40000</f>
        <v>3.0836032980212944</v>
      </c>
      <c r="AC263" s="215">
        <f t="shared" si="1648"/>
        <v>-3.1219446128130435</v>
      </c>
      <c r="AD263" s="37">
        <f>AD249/AD226*40000</f>
        <v>2.6374934769134546</v>
      </c>
      <c r="AE263" s="215">
        <f t="shared" si="1649"/>
        <v>-7.9453784520550848</v>
      </c>
      <c r="AF263" s="37">
        <f>AF249/AF226*40000</f>
        <v>2.5955932171041955</v>
      </c>
      <c r="AG263" s="23">
        <f t="shared" si="1621"/>
        <v>-0.16733741255317014</v>
      </c>
      <c r="AH263" s="37">
        <f>AH249/AH226*40000</f>
        <v>2.4970772845419562</v>
      </c>
      <c r="AI263" s="23">
        <f t="shared" si="1622"/>
        <v>15.573347339927746</v>
      </c>
      <c r="AJ263" s="37">
        <f>AJ249/AJ226*40000</f>
        <v>2.6463726209402019</v>
      </c>
      <c r="AK263" s="23">
        <f t="shared" si="1623"/>
        <v>-14.179212915022422</v>
      </c>
      <c r="AL263" s="37">
        <f>AL249/AL226*40000</f>
        <v>2.6705556633514225</v>
      </c>
      <c r="AM263" s="23">
        <f t="shared" si="1624"/>
        <v>1.2535457140413042</v>
      </c>
      <c r="AN263" s="411">
        <f t="shared" ref="AN263:AP263" si="1667">AN249/AN226*40000</f>
        <v>2.5399322411624699</v>
      </c>
      <c r="AO263" s="23">
        <f t="shared" si="1626"/>
        <v>-2.1444414161254644</v>
      </c>
      <c r="AP263" s="411">
        <f t="shared" si="1667"/>
        <v>2.3951502337336263</v>
      </c>
      <c r="AQ263" s="23">
        <f t="shared" si="1627"/>
        <v>-4.0818540715301328</v>
      </c>
      <c r="AR263" s="411">
        <f t="shared" ref="AR263:AT263" si="1668">AR249/AR226*40000</f>
        <v>2.3691697489701258</v>
      </c>
      <c r="AS263" s="23">
        <f t="shared" si="1629"/>
        <v>-10.474823907133368</v>
      </c>
      <c r="AT263" s="411">
        <f t="shared" si="1668"/>
        <v>2.475647811148002</v>
      </c>
      <c r="AU263" s="23">
        <f t="shared" si="1630"/>
        <v>-7.2984006616368386</v>
      </c>
      <c r="AV263" s="411">
        <f t="shared" ref="AV263:AX263" si="1669">AV249/AV226*40000</f>
        <v>2.4152158599174802</v>
      </c>
      <c r="AW263" s="23">
        <f t="shared" si="1632"/>
        <v>-4.9102247384327775</v>
      </c>
      <c r="AX263" s="411">
        <f t="shared" si="1669"/>
        <v>2.5336801308012369</v>
      </c>
      <c r="AY263" s="23">
        <f t="shared" si="1633"/>
        <v>5.7837665093628088</v>
      </c>
      <c r="AZ263" s="411">
        <f t="shared" ref="AZ263" si="1670">AZ249/AZ226*40000</f>
        <v>3.2992800499605268</v>
      </c>
      <c r="BA263" s="23">
        <f t="shared" si="1635"/>
        <v>39.258913439812339</v>
      </c>
      <c r="BB263" s="411">
        <f t="shared" ref="BB263:BD263" si="1671">BB249/BB226*40000</f>
        <v>4.5184125310640866</v>
      </c>
      <c r="BC263" s="23">
        <f t="shared" si="1637"/>
        <v>82.514350818294233</v>
      </c>
      <c r="BD263" s="411">
        <f t="shared" si="1671"/>
        <v>3.9985605182134432</v>
      </c>
      <c r="BE263" s="23">
        <f t="shared" si="1638"/>
        <v>65.557066122862423</v>
      </c>
      <c r="BF263" s="210">
        <f>BD263</f>
        <v>3.9985605182134432</v>
      </c>
      <c r="BG263" s="23">
        <f t="shared" si="1639"/>
        <v>57.816311127993927</v>
      </c>
      <c r="BH263" s="210">
        <f>BF263</f>
        <v>3.9985605182134432</v>
      </c>
      <c r="BI263" s="23">
        <f t="shared" si="1640"/>
        <v>21.194941249721523</v>
      </c>
      <c r="BJ263" s="210">
        <f>BH263</f>
        <v>3.9985605182134432</v>
      </c>
      <c r="BK263" s="23">
        <f t="shared" si="1641"/>
        <v>-11.505191464406151</v>
      </c>
      <c r="BL263" s="210">
        <f>BD263</f>
        <v>3.9985605182134432</v>
      </c>
      <c r="BM263" s="23">
        <f t="shared" si="1642"/>
        <v>0</v>
      </c>
      <c r="BN263" s="5"/>
      <c r="BO263" s="138"/>
      <c r="BP263" s="5"/>
      <c r="BQ263" s="152"/>
      <c r="BR263" s="152"/>
      <c r="BS263" s="152"/>
      <c r="BT263" s="5"/>
      <c r="BU263" s="35">
        <f>BU249/BU226*10000</f>
        <v>3.1595608218933244</v>
      </c>
      <c r="BV263" s="23" t="str">
        <f t="shared" si="1643"/>
        <v>NA</v>
      </c>
      <c r="BW263" s="35">
        <f>BW249/BW226*10000</f>
        <v>3.9264670499280743</v>
      </c>
      <c r="BX263" s="23">
        <f t="shared" si="1644"/>
        <v>24.272557841605071</v>
      </c>
      <c r="BY263" s="35">
        <f>BY249/BY226*10000</f>
        <v>2.9078319888886606</v>
      </c>
      <c r="BZ263" s="23">
        <f t="shared" si="1645"/>
        <v>-25.942788977640173</v>
      </c>
      <c r="CA263" s="35">
        <f>CA249/CA226*10000</f>
        <v>2.6910194383212618</v>
      </c>
      <c r="CB263" s="23">
        <f t="shared" si="1645"/>
        <v>-7.4561581066539535</v>
      </c>
      <c r="CC263" s="35">
        <f>CC249/CC226*10000</f>
        <v>2.662832188315492</v>
      </c>
      <c r="CD263" s="23">
        <f t="shared" si="1645"/>
        <v>-1.0474562020761136</v>
      </c>
      <c r="CE263" s="35">
        <f>CE249/CE226*10000</f>
        <v>2.3950890610848345</v>
      </c>
      <c r="CF263" s="23">
        <f t="shared" si="1645"/>
        <v>-10.054825400020107</v>
      </c>
      <c r="CG263" s="35">
        <f>CG249/CG226*10000</f>
        <v>3.618697268983166</v>
      </c>
      <c r="CH263" s="23">
        <f t="shared" si="1645"/>
        <v>51.088213285234119</v>
      </c>
      <c r="CI263" s="35">
        <f>CI249/CI226*10000</f>
        <v>4.0292582460152015</v>
      </c>
      <c r="CJ263" s="23">
        <f t="shared" si="1645"/>
        <v>11.345546380767036</v>
      </c>
      <c r="CK263" s="47">
        <f>CI263</f>
        <v>4.0292582460152015</v>
      </c>
      <c r="CL263" s="23">
        <f t="shared" si="1645"/>
        <v>0</v>
      </c>
      <c r="CM263" s="47">
        <f>CK263</f>
        <v>4.0292582460152015</v>
      </c>
      <c r="CN263" s="23">
        <f t="shared" si="1645"/>
        <v>0</v>
      </c>
      <c r="CO263" s="47">
        <f>CM263</f>
        <v>4.0292582460152015</v>
      </c>
      <c r="CP263" s="23">
        <f t="shared" si="1645"/>
        <v>0</v>
      </c>
      <c r="CQ263" s="47">
        <f>CO263</f>
        <v>4.0292582460152015</v>
      </c>
      <c r="CR263" s="23">
        <f t="shared" si="1645"/>
        <v>0</v>
      </c>
      <c r="CS263" s="23">
        <f t="shared" si="1646"/>
        <v>2.1726294249398093</v>
      </c>
    </row>
    <row r="264" spans="1:97" ht="12.75" customHeight="1" x14ac:dyDescent="0.2">
      <c r="A264" s="4" t="s">
        <v>323</v>
      </c>
      <c r="B264" s="35">
        <f>(B251-B250)/B227*40000</f>
        <v>20.537356728890444</v>
      </c>
      <c r="C264" s="59"/>
      <c r="D264" s="35">
        <f>(D251-D250)/D227*40000</f>
        <v>20.694708737863028</v>
      </c>
      <c r="E264" s="59"/>
      <c r="F264" s="35">
        <f>(F251-F250)/F227*40000</f>
        <v>21.144117260799021</v>
      </c>
      <c r="G264" s="59"/>
      <c r="H264" s="35">
        <f>(H251-H250)/H227*40000</f>
        <v>20.79087228679677</v>
      </c>
      <c r="I264" s="59"/>
      <c r="J264" s="35">
        <f>(J251-J250)/J227*40000</f>
        <v>20.590290531257285</v>
      </c>
      <c r="K264" s="23">
        <f t="shared" si="1620"/>
        <v>0.25774398850646474</v>
      </c>
      <c r="L264" s="35">
        <f>(L251-L250)/L227*40000</f>
        <v>20.061717666072592</v>
      </c>
      <c r="M264" s="23">
        <f t="shared" si="1620"/>
        <v>-3.0587097398105167</v>
      </c>
      <c r="N264" s="35">
        <f>(N251-N250)/N227*40000</f>
        <v>20.69775525508005</v>
      </c>
      <c r="O264" s="23">
        <f t="shared" si="1620"/>
        <v>-2.1110458299742896</v>
      </c>
      <c r="P264" s="37">
        <f>(P251-P250)/P227*40000</f>
        <v>20.751873686680245</v>
      </c>
      <c r="Q264" s="23">
        <f t="shared" si="1620"/>
        <v>-0.18757558402824337</v>
      </c>
      <c r="R264" s="37">
        <f>(R251-R250)/R227*40000</f>
        <v>20.003392111788884</v>
      </c>
      <c r="S264" s="23">
        <f t="shared" si="1620"/>
        <v>-2.8503649260191555</v>
      </c>
      <c r="T264" s="37">
        <f>(T251-T250)/T227*40000</f>
        <v>21.545632454594934</v>
      </c>
      <c r="U264" s="23">
        <f t="shared" si="1620"/>
        <v>7.3967484400992545</v>
      </c>
      <c r="V264" s="37">
        <f>(V251-V250)/V227*40000</f>
        <v>21.530577166357801</v>
      </c>
      <c r="W264" s="23">
        <f t="shared" si="1620"/>
        <v>4.0237305979030857</v>
      </c>
      <c r="X264" s="37">
        <f>(X251-X250)/X227*40000</f>
        <v>21.943809918342144</v>
      </c>
      <c r="Y264" s="23">
        <f t="shared" si="1620"/>
        <v>5.7437523457313233</v>
      </c>
      <c r="Z264" s="37">
        <f>(Z251-Z250)/Z227*40000</f>
        <v>22.390558801275827</v>
      </c>
      <c r="AA264" s="23">
        <f t="shared" si="1647"/>
        <v>11.933809406655982</v>
      </c>
      <c r="AB264" s="37">
        <f>(AB251-AB250)/AB227*40000</f>
        <v>22.341911940250196</v>
      </c>
      <c r="AC264" s="23">
        <f t="shared" si="1648"/>
        <v>3.6957814412426071</v>
      </c>
      <c r="AD264" s="37">
        <f>(AD251-AD250)/AD227*40000</f>
        <v>23.021460871456611</v>
      </c>
      <c r="AE264" s="23">
        <f t="shared" si="1649"/>
        <v>6.9244948408924367</v>
      </c>
      <c r="AF264" s="37">
        <f>(AF251-AF250)/AF227*40000</f>
        <v>22.998325487590701</v>
      </c>
      <c r="AG264" s="23">
        <f t="shared" si="1621"/>
        <v>4.8055263565107698</v>
      </c>
      <c r="AH264" s="37">
        <f>(AH251-AH250)/AH227*40000</f>
        <v>22.45988272585231</v>
      </c>
      <c r="AI264" s="23">
        <f t="shared" si="1622"/>
        <v>0.30961230218395919</v>
      </c>
      <c r="AJ264" s="37">
        <f>(AJ251-AJ250)/AJ227*40000</f>
        <v>22.93794293778754</v>
      </c>
      <c r="AK264" s="23">
        <f t="shared" si="1623"/>
        <v>2.6677707759807268</v>
      </c>
      <c r="AL264" s="37">
        <f>(AL251-AL250)/AL227*40000</f>
        <v>23.25217555673175</v>
      </c>
      <c r="AM264" s="23">
        <f t="shared" si="1624"/>
        <v>1.0021722190584059</v>
      </c>
      <c r="AN264" s="411">
        <f t="shared" ref="AN264:AP264" si="1672">(AN251-AN250)/AN227*40000</f>
        <v>23.258663366212645</v>
      </c>
      <c r="AO264" s="23">
        <f t="shared" si="1626"/>
        <v>1.1319862342256792</v>
      </c>
      <c r="AP264" s="411">
        <f t="shared" si="1672"/>
        <v>20.549453529359702</v>
      </c>
      <c r="AQ264" s="23">
        <f t="shared" si="1627"/>
        <v>-8.5059624745663527</v>
      </c>
      <c r="AR264" s="411">
        <f t="shared" ref="AR264:AT264" si="1673">(AR251-AR250)/AR227*40000</f>
        <v>22.835010427665232</v>
      </c>
      <c r="AS264" s="23">
        <f t="shared" si="1629"/>
        <v>-0.44874342220434515</v>
      </c>
      <c r="AT264" s="411">
        <f t="shared" si="1673"/>
        <v>22.579011791014533</v>
      </c>
      <c r="AU264" s="23">
        <f t="shared" si="1630"/>
        <v>-2.8950571273419157</v>
      </c>
      <c r="AV264" s="411">
        <f t="shared" ref="AV264:AX264" si="1674">(AV251-AV250)/AV227*40000</f>
        <v>23.33797260569289</v>
      </c>
      <c r="AW264" s="23">
        <f t="shared" si="1632"/>
        <v>0.34098795030266249</v>
      </c>
      <c r="AX264" s="411">
        <f t="shared" si="1674"/>
        <v>22.838137830021957</v>
      </c>
      <c r="AY264" s="23">
        <f t="shared" si="1633"/>
        <v>11.137446051265233</v>
      </c>
      <c r="AZ264" s="411">
        <f t="shared" ref="AZ264" si="1675">(AZ251-AZ250)/AZ227*40000</f>
        <v>23.499514827956848</v>
      </c>
      <c r="BA264" s="23">
        <f t="shared" si="1635"/>
        <v>2.9100245099365152</v>
      </c>
      <c r="BB264" s="411">
        <f t="shared" ref="BB264:BD264" si="1676">(BB251-BB250)/BB227*40000</f>
        <v>23.509986286758547</v>
      </c>
      <c r="BC264" s="23">
        <f t="shared" si="1637"/>
        <v>4.1231853030631704</v>
      </c>
      <c r="BD264" s="411">
        <f t="shared" si="1676"/>
        <v>24.061042865750412</v>
      </c>
      <c r="BE264" s="23">
        <f t="shared" si="1638"/>
        <v>3.0982565292802855</v>
      </c>
      <c r="BF264" s="37">
        <f t="shared" ref="BF264" si="1677">(BF251-BF250)/BF227*40000</f>
        <v>23.590955697552367</v>
      </c>
      <c r="BG264" s="23">
        <f t="shared" si="1639"/>
        <v>3.2963189605625054</v>
      </c>
      <c r="BH264" s="37">
        <f t="shared" ref="BH264" si="1678">(BH251-BH250)/BH227*40000</f>
        <v>23.824391878907285</v>
      </c>
      <c r="BI264" s="23">
        <f t="shared" si="1640"/>
        <v>1.3824840781986536</v>
      </c>
      <c r="BJ264" s="37">
        <f t="shared" ref="BJ264" si="1679">(BJ251-BJ250)/BJ227*40000</f>
        <v>20.489897810292884</v>
      </c>
      <c r="BK264" s="23">
        <f t="shared" si="1641"/>
        <v>-12.84598144647433</v>
      </c>
      <c r="BL264" s="37">
        <f t="shared" ref="BL264" si="1680">(BL251-BL250)/BL227*40000</f>
        <v>20.623548222682949</v>
      </c>
      <c r="BM264" s="23">
        <f t="shared" si="1642"/>
        <v>-14.286557163158331</v>
      </c>
      <c r="BN264" s="5"/>
      <c r="BO264" s="138"/>
      <c r="BP264" s="5"/>
      <c r="BQ264" s="152"/>
      <c r="BR264" s="152"/>
      <c r="BS264" s="152"/>
      <c r="BT264" s="5"/>
      <c r="BU264" s="35">
        <f>(BU251-BU250)/BU227*10000</f>
        <v>20.845334188543848</v>
      </c>
      <c r="BV264" s="23" t="str">
        <f t="shared" si="1643"/>
        <v>NA</v>
      </c>
      <c r="BW264" s="35">
        <f>(BW251-BW250)/BW227*10000</f>
        <v>20.077347033887616</v>
      </c>
      <c r="BX264" s="23">
        <f t="shared" si="1644"/>
        <v>-3.6842160826488501</v>
      </c>
      <c r="BY264" s="35">
        <f>(BY251-BY250)/BY227*10000</f>
        <v>20.59366092819727</v>
      </c>
      <c r="BZ264" s="23">
        <f t="shared" si="1645"/>
        <v>2.5716240967404325</v>
      </c>
      <c r="CA264" s="35">
        <f>(CA251-CA250)/CA227*10000</f>
        <v>22.855263220675532</v>
      </c>
      <c r="CB264" s="23">
        <f t="shared" si="1645"/>
        <v>10.982031317130359</v>
      </c>
      <c r="CC264" s="35">
        <f>(CC251-CC250)/CC227*10000</f>
        <v>23.426972752074366</v>
      </c>
      <c r="CD264" s="23">
        <f t="shared" si="1645"/>
        <v>2.5014349031064809</v>
      </c>
      <c r="CE264" s="35">
        <f>(CE251-CE250)/CE227*10000</f>
        <v>21.930176359202374</v>
      </c>
      <c r="CF264" s="23">
        <f t="shared" si="1645"/>
        <v>-6.3892010662771508</v>
      </c>
      <c r="CG264" s="35">
        <f>(CG251-CG250)/CG227*10000</f>
        <v>23.076728064689561</v>
      </c>
      <c r="CH264" s="23">
        <f t="shared" si="1645"/>
        <v>5.2281919064735227</v>
      </c>
      <c r="CI264" s="35">
        <f>(CI251-CI250)/CI227*10000</f>
        <v>21.979322059858163</v>
      </c>
      <c r="CJ264" s="23">
        <f t="shared" si="1645"/>
        <v>-4.7554662071464744</v>
      </c>
      <c r="CK264" s="35">
        <f>(CK251-CK250)/CK227*10000</f>
        <v>22.41332718814337</v>
      </c>
      <c r="CL264" s="23">
        <f t="shared" si="1645"/>
        <v>1.9746065283690051</v>
      </c>
      <c r="CM264" s="35">
        <f>(CM251-CM250)/CM227*10000</f>
        <v>22.857171322591373</v>
      </c>
      <c r="CN264" s="23">
        <f t="shared" si="1645"/>
        <v>1.9802688405976543</v>
      </c>
      <c r="CO264" s="35">
        <f>(CO251-CO250)/CO227*10000</f>
        <v>23.309156748643677</v>
      </c>
      <c r="CP264" s="23">
        <f t="shared" si="1645"/>
        <v>1.9774337763552197</v>
      </c>
      <c r="CQ264" s="35">
        <f>(CQ251-CQ250)/CQ227*10000</f>
        <v>23.767583114434743</v>
      </c>
      <c r="CR264" s="23">
        <f t="shared" si="1645"/>
        <v>1.9667222230926207</v>
      </c>
      <c r="CS264" s="23">
        <f t="shared" si="1646"/>
        <v>0.59170231514393823</v>
      </c>
    </row>
    <row r="265" spans="1:97" ht="12.75" customHeight="1" x14ac:dyDescent="0.2">
      <c r="A265" s="13"/>
      <c r="B265" s="35"/>
      <c r="C265" s="60"/>
      <c r="D265" s="35"/>
      <c r="E265" s="60"/>
      <c r="F265" s="35"/>
      <c r="G265" s="60"/>
      <c r="H265" s="35"/>
      <c r="I265" s="60"/>
      <c r="J265" s="35"/>
      <c r="L265" s="35"/>
      <c r="N265" s="35"/>
      <c r="P265" s="37"/>
      <c r="R265" s="37"/>
      <c r="T265" s="37"/>
      <c r="V265" s="37"/>
      <c r="X265" s="37"/>
      <c r="Z265" s="37"/>
      <c r="AB265" s="37"/>
      <c r="AD265" s="37"/>
      <c r="AF265" s="37"/>
      <c r="AH265" s="37"/>
      <c r="AJ265" s="37"/>
      <c r="AL265" s="37"/>
      <c r="AN265" s="411"/>
      <c r="AP265" s="411"/>
      <c r="AR265" s="411"/>
      <c r="AT265" s="411"/>
      <c r="AV265" s="411"/>
      <c r="AX265" s="411"/>
      <c r="AZ265" s="411"/>
      <c r="BB265" s="411"/>
      <c r="BD265" s="411"/>
      <c r="BF265" s="37"/>
      <c r="BH265" s="37"/>
      <c r="BJ265" s="37"/>
      <c r="BL265" s="37"/>
      <c r="BN265" s="5"/>
      <c r="BO265" s="138"/>
      <c r="BP265" s="5"/>
      <c r="BQ265" s="5"/>
      <c r="BR265" s="5"/>
      <c r="BS265" s="5"/>
      <c r="BT265" s="5"/>
      <c r="BU265" s="35"/>
      <c r="BW265" s="35"/>
      <c r="BY265" s="35"/>
      <c r="CA265" s="35"/>
      <c r="CC265" s="35"/>
      <c r="CE265" s="35"/>
      <c r="CG265" s="35"/>
      <c r="CI265" s="35"/>
      <c r="CK265" s="35"/>
      <c r="CM265" s="35"/>
      <c r="CO265" s="35"/>
      <c r="CQ265" s="35"/>
    </row>
    <row r="266" spans="1:97" ht="12.75" customHeight="1" x14ac:dyDescent="0.2">
      <c r="A266" s="3" t="s">
        <v>124</v>
      </c>
      <c r="B266" s="35"/>
      <c r="C266" s="60"/>
      <c r="D266" s="35"/>
      <c r="E266" s="60"/>
      <c r="F266" s="35"/>
      <c r="G266" s="60"/>
      <c r="H266" s="35"/>
      <c r="I266" s="60"/>
      <c r="J266" s="35"/>
      <c r="L266" s="35"/>
      <c r="N266" s="35"/>
      <c r="P266" s="37"/>
      <c r="R266" s="37"/>
      <c r="T266" s="37"/>
      <c r="V266" s="37"/>
      <c r="X266" s="37"/>
      <c r="Z266" s="37"/>
      <c r="AB266" s="37"/>
      <c r="AD266" s="37"/>
      <c r="AF266" s="37"/>
      <c r="AH266" s="37"/>
      <c r="AJ266" s="37"/>
      <c r="AL266" s="37"/>
      <c r="AN266" s="411"/>
      <c r="AP266" s="411"/>
      <c r="AR266" s="411"/>
      <c r="AT266" s="411"/>
      <c r="AV266" s="411"/>
      <c r="AX266" s="411"/>
      <c r="AZ266" s="411"/>
      <c r="BB266" s="411"/>
      <c r="BD266" s="411"/>
      <c r="BF266" s="37"/>
      <c r="BH266" s="37"/>
      <c r="BJ266" s="37"/>
      <c r="BL266" s="37"/>
      <c r="BN266" s="5"/>
      <c r="BO266" s="138"/>
      <c r="BP266" s="5"/>
      <c r="BQ266" s="5"/>
      <c r="BR266" s="5"/>
      <c r="BS266" s="5"/>
      <c r="BT266" s="5"/>
      <c r="BU266" s="35"/>
      <c r="BW266" s="35"/>
      <c r="BY266" s="35"/>
      <c r="CA266" s="35"/>
      <c r="CC266" s="35"/>
      <c r="CE266" s="35"/>
      <c r="CG266" s="35"/>
      <c r="CI266" s="35"/>
      <c r="CK266" s="35"/>
      <c r="CM266" s="35"/>
      <c r="CO266" s="35"/>
      <c r="CQ266" s="35"/>
    </row>
    <row r="267" spans="1:97" ht="12.75" customHeight="1" x14ac:dyDescent="0.2">
      <c r="A267" s="4" t="s">
        <v>161</v>
      </c>
      <c r="B267" s="49">
        <v>103.294</v>
      </c>
      <c r="C267" s="59"/>
      <c r="D267" s="49">
        <v>104.334</v>
      </c>
      <c r="E267" s="59"/>
      <c r="F267" s="49">
        <v>99.745000000000005</v>
      </c>
      <c r="G267" s="59"/>
      <c r="H267" s="49">
        <v>97.063000000000002</v>
      </c>
      <c r="I267" s="59"/>
      <c r="J267" s="49">
        <v>97.649000000000001</v>
      </c>
      <c r="K267" s="23">
        <f t="shared" ref="K267:Y268" si="1681">IF(ISERROR((J267/B267-1)*100),"NA",IF(((J267/B267-1)*100)&gt;100,"NM",IF(((J267/B267-1)*100)&lt;-50,"NM",(J267/B267-1)*100)))</f>
        <v>-5.4649834453114332</v>
      </c>
      <c r="L267" s="49">
        <v>98.923000000000002</v>
      </c>
      <c r="M267" s="23">
        <f t="shared" si="1681"/>
        <v>-5.1862288419882274</v>
      </c>
      <c r="N267" s="49">
        <v>103.17700000000001</v>
      </c>
      <c r="O267" s="23">
        <f t="shared" si="1681"/>
        <v>3.4407739736327603</v>
      </c>
      <c r="P267" s="49">
        <v>111.264</v>
      </c>
      <c r="Q267" s="23">
        <f t="shared" si="1681"/>
        <v>14.630703769716558</v>
      </c>
      <c r="R267" s="49">
        <v>101.8</v>
      </c>
      <c r="S267" s="23">
        <f t="shared" si="1681"/>
        <v>4.2509395897551316</v>
      </c>
      <c r="T267" s="49">
        <v>107.5</v>
      </c>
      <c r="U267" s="23">
        <f t="shared" si="1681"/>
        <v>8.6703799925194289</v>
      </c>
      <c r="V267" s="49">
        <v>106.1</v>
      </c>
      <c r="W267" s="23">
        <f t="shared" si="1681"/>
        <v>2.8329957257915872</v>
      </c>
      <c r="X267" s="49">
        <v>114.2</v>
      </c>
      <c r="Y267" s="23">
        <f t="shared" si="1681"/>
        <v>2.6387690537819974</v>
      </c>
      <c r="Z267" s="49">
        <v>110.7</v>
      </c>
      <c r="AA267" s="23">
        <f>IF(ISERROR((Z267/R267-1)*100),"NA",IF(((Z267/R267-1)*100)&gt;100,"NM",IF(((Z267/R267-1)*100)&lt;-50,"NM",(Z267/R267-1)*100)))</f>
        <v>8.7426326129666165</v>
      </c>
      <c r="AB267" s="49">
        <v>108.3</v>
      </c>
      <c r="AC267" s="23">
        <f>IF(ISERROR((AB267/T267-1)*100),"NA",IF(((AB267/T267-1)*100)&gt;100,"NM",IF(((AB267/T267-1)*100)&lt;-50,"NM",(AB267/T267-1)*100)))</f>
        <v>0.74418604651163012</v>
      </c>
      <c r="AD267" s="49">
        <v>109.7</v>
      </c>
      <c r="AE267" s="23">
        <f>IF(ISERROR((AD267/V267-1)*100),"NA",IF(((AD267/V267-1)*100)&gt;100,"NM",IF(((AD267/V267-1)*100)&lt;-50,"NM",(AD267/V267-1)*100)))</f>
        <v>3.3930254476908672</v>
      </c>
      <c r="AF267" s="49">
        <v>116.4</v>
      </c>
      <c r="AG267" s="23">
        <f>IF(ISERROR((AF267/X267-1)*100),"NA",IF(((AF267/X267-1)*100)&gt;100,"NM",IF(((AF267/X267-1)*100)&lt;-50,"NM",(AF267/X267-1)*100)))</f>
        <v>1.9264448336252293</v>
      </c>
      <c r="AH267" s="49">
        <v>116.2</v>
      </c>
      <c r="AI267" s="23">
        <f>IF(ISERROR((AH267/Z267-1)*100),"NA",IF(((AH267/Z267-1)*100)&gt;100,"NM",IF(((AH267/Z267-1)*100)&lt;-50,"NM",(AH267/Z267-1)*100)))</f>
        <v>4.9683830171635135</v>
      </c>
      <c r="AJ267" s="49">
        <v>111.6</v>
      </c>
      <c r="AK267" s="23">
        <f>IF(ISERROR((AJ267/AB267-1)*100),"NA",IF(((AJ267/AB267-1)*100)&gt;100,"NM",IF(((AJ267/AB267-1)*100)&lt;-50,"NM",(AJ267/AB267-1)*100)))</f>
        <v>3.0470914127423754</v>
      </c>
      <c r="AL267" s="49">
        <v>107</v>
      </c>
      <c r="AM267" s="23">
        <f>IF(ISERROR((AL267/AD267-1)*100),"NA",IF(((AL267/AD267-1)*100)&gt;100,"NM",IF(((AL267/AD267-1)*100)&lt;-50,"NM",(AL267/AD267-1)*100)))</f>
        <v>-2.4612579762990028</v>
      </c>
      <c r="AN267" s="158">
        <v>105.5</v>
      </c>
      <c r="AO267" s="23">
        <f>IF(ISERROR((AN267/AF267-1)*100),"NA",IF(((AN267/AF267-1)*100)&gt;100,"NM",IF(((AN267/AF267-1)*100)&lt;-50,"NM",(AN267/AF267-1)*100)))</f>
        <v>-9.3642611683848802</v>
      </c>
      <c r="AP267" s="158">
        <v>109.5</v>
      </c>
      <c r="AQ267" s="23">
        <f t="shared" ref="AQ267:AQ268" si="1682">IF(ISERROR((AP267/AH267-1)*100),"NA",IF(((AP267/AH267-1)*100)&gt;100,"NM",IF(((AP267/AH267-1)*100)&lt;-50,"NM",(AP267/AH267-1)*100)))</f>
        <v>-5.7659208261617962</v>
      </c>
      <c r="AR267" s="158">
        <v>110.6</v>
      </c>
      <c r="AS267" s="23">
        <f t="shared" ref="AS267:AS268" si="1683">IF(ISERROR((AR267/AJ267-1)*100),"NA",IF(((AR267/AJ267-1)*100)&gt;100,"NM",IF(((AR267/AJ267-1)*100)&lt;-50,"NM",(AR267/AJ267-1)*100)))</f>
        <v>-0.8960573476702538</v>
      </c>
      <c r="AT267" s="158">
        <v>111.5</v>
      </c>
      <c r="AU267" s="23">
        <f t="shared" ref="AU267:AU268" si="1684">IF(ISERROR((AT267/AL267-1)*100),"NA",IF(((AT267/AL267-1)*100)&gt;100,"NM",IF(((AT267/AL267-1)*100)&lt;-50,"NM",(AT267/AL267-1)*100)))</f>
        <v>4.20560747663552</v>
      </c>
      <c r="AV267" s="158">
        <v>124.3</v>
      </c>
      <c r="AW267" s="23">
        <f t="shared" ref="AW267:AW268" si="1685">IF(ISERROR((AV267/AN267-1)*100),"NA",IF(((AV267/AN267-1)*100)&gt;100,"NM",IF(((AV267/AN267-1)*100)&lt;-50,"NM",(AV267/AN267-1)*100)))</f>
        <v>17.819905213270147</v>
      </c>
      <c r="AX267" s="158">
        <v>122.1</v>
      </c>
      <c r="AY267" s="23">
        <f t="shared" ref="AY267:AY268" si="1686">IF(ISERROR((AX267/AP267-1)*100),"NA",IF(((AX267/AP267-1)*100)&gt;100,"NM",IF(((AX267/AP267-1)*100)&lt;-50,"NM",(AX267/AP267-1)*100)))</f>
        <v>11.506849315068489</v>
      </c>
      <c r="AZ267" s="158">
        <v>118.4</v>
      </c>
      <c r="BA267" s="23">
        <f t="shared" ref="BA267:BA268" si="1687">IF(ISERROR((AZ267/AR267-1)*100),"NA",IF(((AZ267/AR267-1)*100)&gt;100,"NM",IF(((AZ267/AR267-1)*100)&lt;-50,"NM",(AZ267/AR267-1)*100)))</f>
        <v>7.0524412296564254</v>
      </c>
      <c r="BB267" s="158">
        <v>117.5</v>
      </c>
      <c r="BC267" s="23">
        <f t="shared" ref="BC267:BC268" si="1688">IF(ISERROR((BB267/AT267-1)*100),"NA",IF(((BB267/AT267-1)*100)&gt;100,"NM",IF(((BB267/AT267-1)*100)&lt;-50,"NM",(BB267/AT267-1)*100)))</f>
        <v>5.3811659192825045</v>
      </c>
      <c r="BD267" s="158">
        <v>125</v>
      </c>
      <c r="BE267" s="23">
        <f t="shared" ref="BE267:BE268" si="1689">IF(ISERROR((BD267/AV267-1)*100),"NA",IF(((BD267/AV267-1)*100)&gt;100,"NM",IF(((BD267/AV267-1)*100)&lt;-50,"NM",(BD267/AV267-1)*100)))</f>
        <v>0.56315366049879412</v>
      </c>
      <c r="BF267" s="56">
        <f t="shared" ref="BF267" si="1690">BF252*BF271/100</f>
        <v>126.04177981321635</v>
      </c>
      <c r="BG267" s="23">
        <f t="shared" ref="BG267:BG268" si="1691">IF(ISERROR((BF267/AX267-1)*100),"NA",IF(((BF267/AX267-1)*100)&gt;100,"NM",IF(((BF267/AX267-1)*100)&lt;-50,"NM",(BF267/AX267-1)*100)))</f>
        <v>3.2283208953450826</v>
      </c>
      <c r="BH267" s="56">
        <f t="shared" ref="BH267" si="1692">BH252*BH271/100</f>
        <v>117.10914166666714</v>
      </c>
      <c r="BI267" s="23">
        <f t="shared" ref="BI267:BI268" si="1693">IF(ISERROR((BH267/AZ267-1)*100),"NA",IF(((BH267/AZ267-1)*100)&gt;100,"NM",IF(((BH267/AZ267-1)*100)&lt;-50,"NM",(BH267/AZ267-1)*100)))</f>
        <v>-1.090251970720324</v>
      </c>
      <c r="BJ267" s="56">
        <f t="shared" ref="BJ267" si="1694">BJ252*BJ271/100</f>
        <v>102.49172370049828</v>
      </c>
      <c r="BK267" s="23">
        <f t="shared" ref="BK267:BK268" si="1695">IF(ISERROR((BJ267/BB267-1)*100),"NA",IF(((BJ267/BB267-1)*100)&gt;100,"NM",IF(((BJ267/BB267-1)*100)&lt;-50,"NM",(BJ267/BB267-1)*100)))</f>
        <v>-12.773001105958903</v>
      </c>
      <c r="BL267" s="56">
        <f t="shared" ref="BL267" si="1696">BL252*BL271/100</f>
        <v>107.42396622119904</v>
      </c>
      <c r="BM267" s="23">
        <f t="shared" ref="BM267:BM268" si="1697">IF(ISERROR((BL267/BD267-1)*100),"NA",IF(((BL267/BD267-1)*100)&gt;100,"NM",IF(((BL267/BD267-1)*100)&lt;-50,"NM",(BL267/BD267-1)*100)))</f>
        <v>-14.060827023040767</v>
      </c>
      <c r="BN267" s="5"/>
      <c r="BO267" s="137"/>
      <c r="BP267" s="5"/>
      <c r="BQ267" s="49">
        <v>347.6</v>
      </c>
      <c r="BR267" s="5"/>
      <c r="BS267" s="49">
        <v>404.4</v>
      </c>
      <c r="BT267" s="5"/>
      <c r="BU267" s="56">
        <f>B267+D267+F267+H267</f>
        <v>404.43599999999998</v>
      </c>
      <c r="BV267" s="23">
        <f>IF(ISERROR((BU267/BS267-1)*100),"NA",IF(((BU267/BS267-1)*100)&gt;100,"NM",IF(((BU267/BS267-1)*100)&lt;-50,"NM",(BU267/BS267-1)*100)))</f>
        <v>8.9020771513403929E-3</v>
      </c>
      <c r="BW267" s="56">
        <f>J267+L267+N267+P267</f>
        <v>411.01300000000003</v>
      </c>
      <c r="BX267" s="23">
        <f>IF(ISERROR((BW267/BU267-1)*100),"NA",IF(((BW267/BU267-1)*100)&gt;100,"NM",IF(((BW267/BU267-1)*100)&lt;-50,"NM",(BW267/BU267-1)*100)))</f>
        <v>1.6262152726265855</v>
      </c>
      <c r="BY267" s="56">
        <f>R267+T267+V267+X267</f>
        <v>429.59999999999997</v>
      </c>
      <c r="BZ267" s="23">
        <f>IF(ISERROR((BY267/BW267-1)*100),"NA",IF(((BY267/BW267-1)*100)&gt;100,"NM",IF(((BY267/BW267-1)*100)&lt;-50,"NM",(BY267/BW267-1)*100)))</f>
        <v>4.5222413889584923</v>
      </c>
      <c r="CA267" s="56">
        <f>Z267+AB267+AD267+AF267</f>
        <v>445.1</v>
      </c>
      <c r="CB267" s="23">
        <f>IF(ISERROR((CA267/BY267-1)*100),"NA",IF(((CA267/BY267-1)*100)&gt;100,"NM",IF(((CA267/BY267-1)*100)&lt;-50,"NM",(CA267/BY267-1)*100)))</f>
        <v>3.6080074487895741</v>
      </c>
      <c r="CC267" s="56">
        <f>AH267+AJ267+AL267+AN267</f>
        <v>440.3</v>
      </c>
      <c r="CD267" s="23">
        <f>IF(ISERROR((CC267/CA267-1)*100),"NA",IF(((CC267/CA267-1)*100)&gt;100,"NM",IF(((CC267/CA267-1)*100)&lt;-50,"NM",(CC267/CA267-1)*100)))</f>
        <v>-1.0784093462143374</v>
      </c>
      <c r="CE267" s="56">
        <f>AP267+AR267+AT267+AV267</f>
        <v>455.90000000000003</v>
      </c>
      <c r="CF267" s="23">
        <f>IF(ISERROR((CE267/CC267-1)*100),"NA",IF(((CE267/CC267-1)*100)&gt;100,"NM",IF(((CE267/CC267-1)*100)&lt;-50,"NM",(CE267/CC267-1)*100)))</f>
        <v>3.543038837156498</v>
      </c>
      <c r="CG267" s="56">
        <f>AX267+AZ267+BB267+BD267</f>
        <v>483</v>
      </c>
      <c r="CH267" s="23">
        <f>IF(ISERROR((CG267/CE267-1)*100),"NA",IF(((CG267/CE267-1)*100)&gt;100,"NM",IF(((CG267/CE267-1)*100)&lt;-50,"NM",(CG267/CE267-1)*100)))</f>
        <v>5.9442860276376353</v>
      </c>
      <c r="CI267" s="56">
        <f>BF267+BH267+BJ267+BL267</f>
        <v>453.06661140158087</v>
      </c>
      <c r="CJ267" s="23">
        <f>IF(ISERROR((CI267/CG267-1)*100),"NA",IF(((CI267/CG267-1)*100)&gt;100,"NM",IF(((CI267/CG267-1)*100)&lt;-50,"NM",(CI267/CG267-1)*100)))</f>
        <v>-6.1973889437720757</v>
      </c>
      <c r="CK267" s="36">
        <f>CK252*CK271/100</f>
        <v>465.98511043556346</v>
      </c>
      <c r="CL267" s="23">
        <f>IF(ISERROR((CK267/CI267-1)*100),"NA",IF(((CK267/CI267-1)*100)&gt;100,"NM",IF(((CK267/CI267-1)*100)&lt;-50,"NM",(CK267/CI267-1)*100)))</f>
        <v>2.8513465148134909</v>
      </c>
      <c r="CM267" s="36">
        <f>CM252*CM271/100</f>
        <v>486.54759443646441</v>
      </c>
      <c r="CN267" s="23">
        <f>IF(ISERROR((CM267/CK267-1)*100),"NA",IF(((CM267/CK267-1)*100)&gt;100,"NM",IF(((CM267/CK267-1)*100)&lt;-50,"NM",(CM267/CK267-1)*100)))</f>
        <v>4.4126912084553327</v>
      </c>
      <c r="CO267" s="36">
        <f>CO252*CO271/100</f>
        <v>502.82117183547712</v>
      </c>
      <c r="CP267" s="23">
        <f>IF(ISERROR((CO267/CM267-1)*100),"NA",IF(((CO267/CM267-1)*100)&gt;100,"NM",IF(((CO267/CM267-1)*100)&lt;-50,"NM",(CO267/CM267-1)*100)))</f>
        <v>3.3447041122177001</v>
      </c>
      <c r="CQ267" s="36">
        <f>CQ252*CQ271/100</f>
        <v>520.52283236882158</v>
      </c>
      <c r="CR267" s="23">
        <f>IF(ISERROR((CQ267/CO267-1)*100),"NA",IF(((CQ267/CO267-1)*100)&gt;100,"NM",IF(((CQ267/CO267-1)*100)&lt;-50,"NM",(CQ267/CO267-1)*100)))</f>
        <v>3.5204684139944042</v>
      </c>
      <c r="CS267" s="23">
        <f>IF(ISERROR(((CQ267/CG267)^0.2-1)*100),"NA",IF((((CQ267/CG267)^0.2-1)*100)&gt;100,"NM",IF((((CQ267/CG267)^0.2-1)*100)&lt;-50,"NM",((CQ267/CG267)^0.2-1)*100)))</f>
        <v>1.5075932390525404</v>
      </c>
    </row>
    <row r="268" spans="1:97" ht="12.75" customHeight="1" x14ac:dyDescent="0.2">
      <c r="A268" s="4" t="s">
        <v>11</v>
      </c>
      <c r="B268" s="36">
        <f t="shared" ref="B268:Z268" si="1698">B267</f>
        <v>103.294</v>
      </c>
      <c r="C268" s="59"/>
      <c r="D268" s="36">
        <f t="shared" si="1698"/>
        <v>104.334</v>
      </c>
      <c r="E268" s="59"/>
      <c r="F268" s="36">
        <f t="shared" si="1698"/>
        <v>99.745000000000005</v>
      </c>
      <c r="G268" s="59"/>
      <c r="H268" s="36">
        <f t="shared" si="1698"/>
        <v>97.063000000000002</v>
      </c>
      <c r="I268" s="59"/>
      <c r="J268" s="36">
        <f t="shared" si="1698"/>
        <v>97.649000000000001</v>
      </c>
      <c r="K268" s="23">
        <f t="shared" si="1681"/>
        <v>-5.4649834453114332</v>
      </c>
      <c r="L268" s="36">
        <f t="shared" si="1698"/>
        <v>98.923000000000002</v>
      </c>
      <c r="M268" s="23">
        <f t="shared" si="1681"/>
        <v>-5.1862288419882274</v>
      </c>
      <c r="N268" s="36">
        <f t="shared" si="1698"/>
        <v>103.17700000000001</v>
      </c>
      <c r="O268" s="23">
        <f t="shared" si="1681"/>
        <v>3.4407739736327603</v>
      </c>
      <c r="P268" s="56">
        <f t="shared" si="1698"/>
        <v>111.264</v>
      </c>
      <c r="Q268" s="23">
        <f t="shared" si="1681"/>
        <v>14.630703769716558</v>
      </c>
      <c r="R268" s="56">
        <f t="shared" si="1698"/>
        <v>101.8</v>
      </c>
      <c r="S268" s="23">
        <f t="shared" si="1681"/>
        <v>4.2509395897551316</v>
      </c>
      <c r="T268" s="56">
        <f t="shared" si="1698"/>
        <v>107.5</v>
      </c>
      <c r="U268" s="23">
        <f t="shared" si="1681"/>
        <v>8.6703799925194289</v>
      </c>
      <c r="V268" s="56">
        <f t="shared" si="1698"/>
        <v>106.1</v>
      </c>
      <c r="W268" s="23">
        <f t="shared" si="1681"/>
        <v>2.8329957257915872</v>
      </c>
      <c r="X268" s="56">
        <f t="shared" si="1698"/>
        <v>114.2</v>
      </c>
      <c r="Y268" s="23">
        <f t="shared" si="1681"/>
        <v>2.6387690537819974</v>
      </c>
      <c r="Z268" s="56">
        <f t="shared" si="1698"/>
        <v>110.7</v>
      </c>
      <c r="AA268" s="23">
        <f>IF(ISERROR((Z268/R268-1)*100),"NA",IF(((Z268/R268-1)*100)&gt;100,"NM",IF(((Z268/R268-1)*100)&lt;-50,"NM",(Z268/R268-1)*100)))</f>
        <v>8.7426326129666165</v>
      </c>
      <c r="AB268" s="56">
        <f t="shared" ref="AB268:AD268" si="1699">AB267</f>
        <v>108.3</v>
      </c>
      <c r="AC268" s="23">
        <f>IF(ISERROR((AB268/T268-1)*100),"NA",IF(((AB268/T268-1)*100)&gt;100,"NM",IF(((AB268/T268-1)*100)&lt;-50,"NM",(AB268/T268-1)*100)))</f>
        <v>0.74418604651163012</v>
      </c>
      <c r="AD268" s="56">
        <f t="shared" si="1699"/>
        <v>109.7</v>
      </c>
      <c r="AE268" s="23">
        <f>IF(ISERROR((AD268/V268-1)*100),"NA",IF(((AD268/V268-1)*100)&gt;100,"NM",IF(((AD268/V268-1)*100)&lt;-50,"NM",(AD268/V268-1)*100)))</f>
        <v>3.3930254476908672</v>
      </c>
      <c r="AF268" s="56">
        <f t="shared" ref="AF268:AH268" si="1700">AF267</f>
        <v>116.4</v>
      </c>
      <c r="AG268" s="23">
        <f>IF(ISERROR((AF268/X268-1)*100),"NA",IF(((AF268/X268-1)*100)&gt;100,"NM",IF(((AF268/X268-1)*100)&lt;-50,"NM",(AF268/X268-1)*100)))</f>
        <v>1.9264448336252293</v>
      </c>
      <c r="AH268" s="56">
        <f t="shared" si="1700"/>
        <v>116.2</v>
      </c>
      <c r="AI268" s="23">
        <f>IF(ISERROR((AH268/Z268-1)*100),"NA",IF(((AH268/Z268-1)*100)&gt;100,"NM",IF(((AH268/Z268-1)*100)&lt;-50,"NM",(AH268/Z268-1)*100)))</f>
        <v>4.9683830171635135</v>
      </c>
      <c r="AJ268" s="56">
        <f t="shared" ref="AJ268:AL268" si="1701">AJ267</f>
        <v>111.6</v>
      </c>
      <c r="AK268" s="23">
        <f>IF(ISERROR((AJ268/AB268-1)*100),"NA",IF(((AJ268/AB268-1)*100)&gt;100,"NM",IF(((AJ268/AB268-1)*100)&lt;-50,"NM",(AJ268/AB268-1)*100)))</f>
        <v>3.0470914127423754</v>
      </c>
      <c r="AL268" s="56">
        <f t="shared" si="1701"/>
        <v>107</v>
      </c>
      <c r="AM268" s="23">
        <f>IF(ISERROR((AL268/AD268-1)*100),"NA",IF(((AL268/AD268-1)*100)&gt;100,"NM",IF(((AL268/AD268-1)*100)&lt;-50,"NM",(AL268/AD268-1)*100)))</f>
        <v>-2.4612579762990028</v>
      </c>
      <c r="AN268" s="413">
        <f t="shared" ref="AN268:AP268" si="1702">AN267</f>
        <v>105.5</v>
      </c>
      <c r="AO268" s="23">
        <f>IF(ISERROR((AN268/AF268-1)*100),"NA",IF(((AN268/AF268-1)*100)&gt;100,"NM",IF(((AN268/AF268-1)*100)&lt;-50,"NM",(AN268/AF268-1)*100)))</f>
        <v>-9.3642611683848802</v>
      </c>
      <c r="AP268" s="413">
        <f t="shared" si="1702"/>
        <v>109.5</v>
      </c>
      <c r="AQ268" s="23">
        <f t="shared" si="1682"/>
        <v>-5.7659208261617962</v>
      </c>
      <c r="AR268" s="413">
        <f t="shared" ref="AR268:AT268" si="1703">AR267</f>
        <v>110.6</v>
      </c>
      <c r="AS268" s="23">
        <f t="shared" si="1683"/>
        <v>-0.8960573476702538</v>
      </c>
      <c r="AT268" s="413">
        <f t="shared" si="1703"/>
        <v>111.5</v>
      </c>
      <c r="AU268" s="23">
        <f t="shared" si="1684"/>
        <v>4.20560747663552</v>
      </c>
      <c r="AV268" s="413">
        <f t="shared" ref="AV268:AX268" si="1704">AV267</f>
        <v>124.3</v>
      </c>
      <c r="AW268" s="23">
        <f t="shared" si="1685"/>
        <v>17.819905213270147</v>
      </c>
      <c r="AX268" s="413">
        <f t="shared" si="1704"/>
        <v>122.1</v>
      </c>
      <c r="AY268" s="23">
        <f t="shared" si="1686"/>
        <v>11.506849315068489</v>
      </c>
      <c r="AZ268" s="413">
        <f t="shared" ref="AZ268" si="1705">AZ267</f>
        <v>118.4</v>
      </c>
      <c r="BA268" s="23">
        <f t="shared" si="1687"/>
        <v>7.0524412296564254</v>
      </c>
      <c r="BB268" s="413">
        <f t="shared" ref="BB268:BD268" si="1706">BB267</f>
        <v>117.5</v>
      </c>
      <c r="BC268" s="23">
        <f t="shared" si="1688"/>
        <v>5.3811659192825045</v>
      </c>
      <c r="BD268" s="413">
        <f t="shared" si="1706"/>
        <v>125</v>
      </c>
      <c r="BE268" s="23">
        <f t="shared" si="1689"/>
        <v>0.56315366049879412</v>
      </c>
      <c r="BF268" s="56">
        <f t="shared" ref="BF268" si="1707">BF267</f>
        <v>126.04177981321635</v>
      </c>
      <c r="BG268" s="23">
        <f t="shared" si="1691"/>
        <v>3.2283208953450826</v>
      </c>
      <c r="BH268" s="56">
        <f t="shared" ref="BH268" si="1708">BH267</f>
        <v>117.10914166666714</v>
      </c>
      <c r="BI268" s="23">
        <f t="shared" si="1693"/>
        <v>-1.090251970720324</v>
      </c>
      <c r="BJ268" s="56">
        <f t="shared" ref="BJ268" si="1709">BJ267</f>
        <v>102.49172370049828</v>
      </c>
      <c r="BK268" s="23">
        <f t="shared" si="1695"/>
        <v>-12.773001105958903</v>
      </c>
      <c r="BL268" s="56">
        <f t="shared" ref="BL268" si="1710">BL267</f>
        <v>107.42396622119904</v>
      </c>
      <c r="BM268" s="23">
        <f t="shared" si="1697"/>
        <v>-14.060827023040767</v>
      </c>
      <c r="BN268" s="5"/>
      <c r="BO268" s="137"/>
      <c r="BP268" s="5"/>
      <c r="BQ268" s="36">
        <f t="shared" ref="BQ268:CA268" si="1711">BQ267</f>
        <v>347.6</v>
      </c>
      <c r="BR268" s="5"/>
      <c r="BS268" s="36">
        <f t="shared" si="1711"/>
        <v>404.4</v>
      </c>
      <c r="BT268" s="5"/>
      <c r="BU268" s="36">
        <f t="shared" si="1711"/>
        <v>404.43599999999998</v>
      </c>
      <c r="BV268" s="23">
        <f>IF(ISERROR((BU268/BS268-1)*100),"NA",IF(((BU268/BS268-1)*100)&gt;100,"NM",IF(((BU268/BS268-1)*100)&lt;-50,"NM",(BU268/BS268-1)*100)))</f>
        <v>8.9020771513403929E-3</v>
      </c>
      <c r="BW268" s="36">
        <f t="shared" si="1711"/>
        <v>411.01300000000003</v>
      </c>
      <c r="BX268" s="23">
        <f>IF(ISERROR((BW268/BU268-1)*100),"NA",IF(((BW268/BU268-1)*100)&gt;100,"NM",IF(((BW268/BU268-1)*100)&lt;-50,"NM",(BW268/BU268-1)*100)))</f>
        <v>1.6262152726265855</v>
      </c>
      <c r="BY268" s="36">
        <f t="shared" si="1711"/>
        <v>429.59999999999997</v>
      </c>
      <c r="BZ268" s="23">
        <f>IF(ISERROR((BY268/BW268-1)*100),"NA",IF(((BY268/BW268-1)*100)&gt;100,"NM",IF(((BY268/BW268-1)*100)&lt;-50,"NM",(BY268/BW268-1)*100)))</f>
        <v>4.5222413889584923</v>
      </c>
      <c r="CA268" s="36">
        <f t="shared" si="1711"/>
        <v>445.1</v>
      </c>
      <c r="CB268" s="23">
        <f>IF(ISERROR((CA268/BY268-1)*100),"NA",IF(((CA268/BY268-1)*100)&gt;100,"NM",IF(((CA268/BY268-1)*100)&lt;-50,"NM",(CA268/BY268-1)*100)))</f>
        <v>3.6080074487895741</v>
      </c>
      <c r="CC268" s="36">
        <f t="shared" ref="CC268" si="1712">CC267</f>
        <v>440.3</v>
      </c>
      <c r="CD268" s="23">
        <f>IF(ISERROR((CC268/CA268-1)*100),"NA",IF(((CC268/CA268-1)*100)&gt;100,"NM",IF(((CC268/CA268-1)*100)&lt;-50,"NM",(CC268/CA268-1)*100)))</f>
        <v>-1.0784093462143374</v>
      </c>
      <c r="CE268" s="36">
        <f t="shared" ref="CE268" si="1713">CE267</f>
        <v>455.90000000000003</v>
      </c>
      <c r="CF268" s="23">
        <f>IF(ISERROR((CE268/CC268-1)*100),"NA",IF(((CE268/CC268-1)*100)&gt;100,"NM",IF(((CE268/CC268-1)*100)&lt;-50,"NM",(CE268/CC268-1)*100)))</f>
        <v>3.543038837156498</v>
      </c>
      <c r="CG268" s="36">
        <f t="shared" ref="CG268" si="1714">CG267</f>
        <v>483</v>
      </c>
      <c r="CH268" s="23">
        <f>IF(ISERROR((CG268/CE268-1)*100),"NA",IF(((CG268/CE268-1)*100)&gt;100,"NM",IF(((CG268/CE268-1)*100)&lt;-50,"NM",(CG268/CE268-1)*100)))</f>
        <v>5.9442860276376353</v>
      </c>
      <c r="CI268" s="36">
        <f t="shared" ref="CI268" si="1715">CI267</f>
        <v>453.06661140158087</v>
      </c>
      <c r="CJ268" s="23">
        <f>IF(ISERROR((CI268/CG268-1)*100),"NA",IF(((CI268/CG268-1)*100)&gt;100,"NM",IF(((CI268/CG268-1)*100)&lt;-50,"NM",(CI268/CG268-1)*100)))</f>
        <v>-6.1973889437720757</v>
      </c>
      <c r="CK268" s="36">
        <f>CK267</f>
        <v>465.98511043556346</v>
      </c>
      <c r="CL268" s="23">
        <f>IF(ISERROR((CK268/CI268-1)*100),"NA",IF(((CK268/CI268-1)*100)&gt;100,"NM",IF(((CK268/CI268-1)*100)&lt;-50,"NM",(CK268/CI268-1)*100)))</f>
        <v>2.8513465148134909</v>
      </c>
      <c r="CM268" s="36">
        <f>CM267</f>
        <v>486.54759443646441</v>
      </c>
      <c r="CN268" s="23">
        <f>IF(ISERROR((CM268/CK268-1)*100),"NA",IF(((CM268/CK268-1)*100)&gt;100,"NM",IF(((CM268/CK268-1)*100)&lt;-50,"NM",(CM268/CK268-1)*100)))</f>
        <v>4.4126912084553327</v>
      </c>
      <c r="CO268" s="36">
        <f>CO267</f>
        <v>502.82117183547712</v>
      </c>
      <c r="CP268" s="23">
        <f>IF(ISERROR((CO268/CM268-1)*100),"NA",IF(((CO268/CM268-1)*100)&gt;100,"NM",IF(((CO268/CM268-1)*100)&lt;-50,"NM",(CO268/CM268-1)*100)))</f>
        <v>3.3447041122177001</v>
      </c>
      <c r="CQ268" s="36">
        <f>CQ267</f>
        <v>520.52283236882158</v>
      </c>
      <c r="CR268" s="23">
        <f>IF(ISERROR((CQ268/CO268-1)*100),"NA",IF(((CQ268/CO268-1)*100)&gt;100,"NM",IF(((CQ268/CO268-1)*100)&lt;-50,"NM",(CQ268/CO268-1)*100)))</f>
        <v>3.5204684139944042</v>
      </c>
      <c r="CS268" s="23">
        <f>IF(ISERROR(((CQ268/CG268)^0.2-1)*100),"NA",IF((((CQ268/CG268)^0.2-1)*100)&gt;100,"NM",IF((((CQ268/CG268)^0.2-1)*100)&lt;-50,"NM",((CQ268/CG268)^0.2-1)*100)))</f>
        <v>1.5075932390525404</v>
      </c>
    </row>
    <row r="269" spans="1:97" ht="12.75" customHeight="1" x14ac:dyDescent="0.2">
      <c r="B269" s="35"/>
      <c r="C269" s="60"/>
      <c r="D269" s="35"/>
      <c r="E269" s="60"/>
      <c r="F269" s="35"/>
      <c r="G269" s="60"/>
      <c r="H269" s="35"/>
      <c r="I269" s="60"/>
      <c r="J269" s="35"/>
      <c r="L269" s="35"/>
      <c r="N269" s="35"/>
      <c r="P269" s="37"/>
      <c r="R269" s="37"/>
      <c r="T269" s="37"/>
      <c r="V269" s="37"/>
      <c r="X269" s="37"/>
      <c r="Z269" s="37"/>
      <c r="AB269" s="37"/>
      <c r="AD269" s="37"/>
      <c r="AF269" s="37"/>
      <c r="AH269" s="37"/>
      <c r="AJ269" s="37"/>
      <c r="AL269" s="37"/>
      <c r="AN269" s="411"/>
      <c r="AP269" s="411"/>
      <c r="AR269" s="411"/>
      <c r="AT269" s="411"/>
      <c r="AV269" s="411"/>
      <c r="AX269" s="411"/>
      <c r="AZ269" s="411"/>
      <c r="BB269" s="411"/>
      <c r="BD269" s="411"/>
      <c r="BF269" s="37"/>
      <c r="BH269" s="37"/>
      <c r="BJ269" s="37"/>
      <c r="BL269" s="37"/>
      <c r="BN269" s="5"/>
      <c r="BO269" s="138"/>
      <c r="BP269" s="5"/>
      <c r="BQ269" s="5"/>
      <c r="BR269" s="5"/>
      <c r="BS269" s="5"/>
      <c r="BT269" s="5"/>
      <c r="BU269" s="35"/>
      <c r="BW269" s="35"/>
      <c r="BY269" s="35"/>
      <c r="CA269" s="35"/>
      <c r="CC269" s="35"/>
      <c r="CE269" s="35"/>
      <c r="CG269" s="35"/>
      <c r="CI269" s="35"/>
      <c r="CK269" s="35"/>
      <c r="CM269" s="35"/>
      <c r="CO269" s="35"/>
      <c r="CQ269" s="35"/>
    </row>
    <row r="270" spans="1:97" ht="12.75" customHeight="1" x14ac:dyDescent="0.2">
      <c r="A270" s="11" t="s">
        <v>125</v>
      </c>
      <c r="B270" s="35"/>
      <c r="C270" s="60"/>
      <c r="D270" s="35"/>
      <c r="E270" s="60"/>
      <c r="F270" s="35"/>
      <c r="G270" s="60"/>
      <c r="H270" s="35"/>
      <c r="I270" s="60"/>
      <c r="J270" s="35"/>
      <c r="L270" s="35"/>
      <c r="N270" s="35"/>
      <c r="P270" s="37"/>
      <c r="R270" s="37"/>
      <c r="T270" s="37"/>
      <c r="V270" s="37"/>
      <c r="X270" s="37"/>
      <c r="Z270" s="37"/>
      <c r="AB270" s="37"/>
      <c r="AD270" s="37"/>
      <c r="AF270" s="37"/>
      <c r="AH270" s="37"/>
      <c r="AJ270" s="37"/>
      <c r="AL270" s="37"/>
      <c r="AN270" s="411"/>
      <c r="AP270" s="411"/>
      <c r="AR270" s="411"/>
      <c r="AT270" s="411"/>
      <c r="AV270" s="411"/>
      <c r="AX270" s="411"/>
      <c r="AZ270" s="411"/>
      <c r="BB270" s="411"/>
      <c r="BD270" s="411"/>
      <c r="BF270" s="37"/>
      <c r="BH270" s="37"/>
      <c r="BJ270" s="37"/>
      <c r="BL270" s="37"/>
      <c r="BN270" s="5"/>
      <c r="BO270" s="138"/>
      <c r="BP270" s="5"/>
      <c r="BQ270" s="5"/>
      <c r="BR270" s="5"/>
      <c r="BS270" s="5"/>
      <c r="BT270" s="5"/>
      <c r="BU270" s="35"/>
      <c r="BW270" s="35"/>
      <c r="BY270" s="35"/>
      <c r="CA270" s="35"/>
      <c r="CC270" s="35"/>
      <c r="CE270" s="35"/>
      <c r="CG270" s="35"/>
      <c r="CI270" s="35"/>
      <c r="CK270" s="35"/>
      <c r="CM270" s="35"/>
      <c r="CO270" s="35"/>
      <c r="CQ270" s="35"/>
    </row>
    <row r="271" spans="1:97" ht="12.75" customHeight="1" x14ac:dyDescent="0.2">
      <c r="A271" s="4" t="s">
        <v>126</v>
      </c>
      <c r="B271" s="35">
        <f t="shared" ref="B271:N271" si="1716">+B267/B252*100</f>
        <v>80.326925469702644</v>
      </c>
      <c r="C271" s="59"/>
      <c r="D271" s="35">
        <f t="shared" si="1716"/>
        <v>79.835636563977772</v>
      </c>
      <c r="E271" s="59"/>
      <c r="F271" s="35">
        <f t="shared" si="1716"/>
        <v>81.407211530613921</v>
      </c>
      <c r="G271" s="59"/>
      <c r="H271" s="35">
        <f t="shared" si="1716"/>
        <v>88.136532035449662</v>
      </c>
      <c r="I271" s="59"/>
      <c r="J271" s="35">
        <f t="shared" si="1716"/>
        <v>74.744915533170555</v>
      </c>
      <c r="K271" s="23">
        <f t="shared" ref="K271:Y271" si="1717">IF(ISERROR((J271/B271-1)*100),"NA",IF(((J271/B271-1)*100)&gt;100,"NM",IF(((J271/B271-1)*100)&lt;-50,"NM",(J271/B271-1)*100)))</f>
        <v>-6.9491143895921699</v>
      </c>
      <c r="L271" s="35">
        <f t="shared" si="1716"/>
        <v>75.967807582727289</v>
      </c>
      <c r="M271" s="23">
        <f t="shared" si="1717"/>
        <v>-4.8447399528792179</v>
      </c>
      <c r="N271" s="35">
        <f t="shared" si="1716"/>
        <v>72.589825309384608</v>
      </c>
      <c r="O271" s="23">
        <f t="shared" si="1717"/>
        <v>-10.831210227503563</v>
      </c>
      <c r="P271" s="37">
        <f>+P267/P252*100</f>
        <v>78.089315918390255</v>
      </c>
      <c r="Q271" s="23">
        <f t="shared" si="1717"/>
        <v>-11.399604551059806</v>
      </c>
      <c r="R271" s="37">
        <f>+R267/R252*100</f>
        <v>77.179681576952234</v>
      </c>
      <c r="S271" s="23">
        <f t="shared" si="1717"/>
        <v>3.2574336681150839</v>
      </c>
      <c r="T271" s="37">
        <f>+T267/T252*100</f>
        <v>72.390572390572387</v>
      </c>
      <c r="U271" s="23">
        <f t="shared" si="1717"/>
        <v>-4.7088830202969501</v>
      </c>
      <c r="V271" s="37">
        <f>+V267/V252*100</f>
        <v>66.271080574640834</v>
      </c>
      <c r="W271" s="23">
        <f t="shared" si="1717"/>
        <v>-8.7047250875900257</v>
      </c>
      <c r="X271" s="37">
        <f>+X267/X252*100</f>
        <v>68.342309994015565</v>
      </c>
      <c r="Y271" s="23">
        <f t="shared" si="1717"/>
        <v>-12.481868754697645</v>
      </c>
      <c r="Z271" s="37">
        <f>+Z267/Z252*100</f>
        <v>68.971962616822438</v>
      </c>
      <c r="AA271" s="23">
        <f>IF(ISERROR((Z271/R271-1)*100),"NA",IF(((Z271/R271-1)*100)&gt;100,"NM",IF(((Z271/R271-1)*100)&lt;-50,"NM",(Z271/R271-1)*100)))</f>
        <v>-10.63455924205422</v>
      </c>
      <c r="AB271" s="37">
        <f>+AB267/AB252*100</f>
        <v>66.360294117647058</v>
      </c>
      <c r="AC271" s="23">
        <f>IF(ISERROR((AB271/T271-1)*100),"NA",IF(((AB271/T271-1)*100)&gt;100,"NM",IF(((AB271/T271-1)*100)&lt;-50,"NM",(AB271/T271-1)*100)))</f>
        <v>-8.3301983584131314</v>
      </c>
      <c r="AD271" s="37">
        <f>+AD267/AD252*100</f>
        <v>65.181224004753417</v>
      </c>
      <c r="AE271" s="23">
        <f>IF(ISERROR((AD271/V271-1)*100),"NA",IF(((AD271/V271-1)*100)&gt;100,"NM",IF(((AD271/V271-1)*100)&lt;-50,"NM",(AD271/V271-1)*100)))</f>
        <v>-1.6445432312815811</v>
      </c>
      <c r="AF271" s="37">
        <f>+AF267/AF252*100</f>
        <v>71.236230110159113</v>
      </c>
      <c r="AG271" s="23">
        <f>IF(ISERROR((AF271/X271-1)*100),"NA",IF(((AF271/X271-1)*100)&gt;100,"NM",IF(((AF271/X271-1)*100)&lt;-50,"NM",(AF271/X271-1)*100)))</f>
        <v>4.2344487864061975</v>
      </c>
      <c r="AH271" s="37">
        <f>+AH267/AH252*100</f>
        <v>71.24463519313305</v>
      </c>
      <c r="AI271" s="23">
        <f>IF(ISERROR((AH271/Z271-1)*100),"NA",IF(((AH271/Z271-1)*100)&gt;100,"NM",IF(((AH271/Z271-1)*100)&lt;-50,"NM",(AH271/Z271-1)*100)))</f>
        <v>3.2950672854368035</v>
      </c>
      <c r="AJ271" s="37">
        <f>+AJ267/AJ252*100</f>
        <v>70.365699873896588</v>
      </c>
      <c r="AK271" s="23">
        <f>IF(ISERROR((AJ271/AB271-1)*100),"NA",IF(((AJ271/AB271-1)*100)&gt;100,"NM",IF(((AJ271/AB271-1)*100)&lt;-50,"NM",(AJ271/AB271-1)*100)))</f>
        <v>6.035846901384323</v>
      </c>
      <c r="AL271" s="37">
        <f>+AL267/AL252*100</f>
        <v>70.11795543905636</v>
      </c>
      <c r="AM271" s="23">
        <f>IF(ISERROR((AL271/AD271-1)*100),"NA",IF(((AL271/AD271-1)*100)&gt;100,"NM",IF(((AL271/AD271-1)*100)&lt;-50,"NM",(AL271/AD271-1)*100)))</f>
        <v>7.5738550628366985</v>
      </c>
      <c r="AN271" s="411">
        <f t="shared" ref="AN271:AP271" si="1718">+AN267/AN252*100</f>
        <v>71.33198106828938</v>
      </c>
      <c r="AO271" s="23">
        <f>IF(ISERROR((AN271/AF271-1)*100),"NA",IF(((AN271/AF271-1)*100)&gt;100,"NM",IF(((AN271/AF271-1)*100)&lt;-50,"NM",(AN271/AF271-1)*100)))</f>
        <v>0.13441328658492235</v>
      </c>
      <c r="AP271" s="411">
        <f t="shared" si="1718"/>
        <v>82.82904689863841</v>
      </c>
      <c r="AQ271" s="23">
        <f t="shared" ref="AQ271" si="1719">IF(ISERROR((AP271/AH271-1)*100),"NA",IF(((AP271/AH271-1)*100)&gt;100,"NM",IF(((AP271/AH271-1)*100)&lt;-50,"NM",(AP271/AH271-1)*100)))</f>
        <v>16.260047755317775</v>
      </c>
      <c r="AR271" s="411">
        <f t="shared" ref="AR271:AT271" si="1720">+AR267/AR252*100</f>
        <v>77.723120168657758</v>
      </c>
      <c r="AS271" s="23">
        <f t="shared" ref="AS271" si="1721">IF(ISERROR((AR271/AJ271-1)*100),"NA",IF(((AR271/AJ271-1)*100)&gt;100,"NM",IF(((AR271/AJ271-1)*100)&lt;-50,"NM",(AR271/AJ271-1)*100)))</f>
        <v>10.455975436820086</v>
      </c>
      <c r="AT271" s="411">
        <f t="shared" si="1720"/>
        <v>68.44689993861266</v>
      </c>
      <c r="AU271" s="23">
        <f t="shared" ref="AU271" si="1722">IF(ISERROR((AT271/AL271-1)*100),"NA",IF(((AT271/AL271-1)*100)&gt;100,"NM",IF(((AT271/AL271-1)*100)&lt;-50,"NM",(AT271/AL271-1)*100)))</f>
        <v>-2.3832062557729738</v>
      </c>
      <c r="AV271" s="411">
        <f t="shared" ref="AV271:AX271" si="1723">+AV267/AV252*100</f>
        <v>65.697674418604663</v>
      </c>
      <c r="AW271" s="23">
        <f t="shared" ref="AW271" si="1724">IF(ISERROR((AV271/AN271-1)*100),"NA",IF(((AV271/AN271-1)*100)&gt;100,"NM",IF(((AV271/AN271-1)*100)&lt;-50,"NM",(AV271/AN271-1)*100)))</f>
        <v>-7.8987104596053959</v>
      </c>
      <c r="AX271" s="411">
        <f t="shared" si="1723"/>
        <v>71.195335276967924</v>
      </c>
      <c r="AY271" s="23">
        <f t="shared" ref="AY271" si="1725">IF(ISERROR((AX271/AP271-1)*100),"NA",IF(((AX271/AP271-1)*100)&gt;100,"NM",IF(((AX271/AP271-1)*100)&lt;-50,"NM",(AX271/AP271-1)*100)))</f>
        <v>-14.045449099404916</v>
      </c>
      <c r="AZ271" s="411">
        <f t="shared" ref="AZ271" si="1726">+AZ267/AZ252*100</f>
        <v>58.296405711472175</v>
      </c>
      <c r="BA271" s="23">
        <f t="shared" ref="BA271" si="1727">IF(ISERROR((AZ271/AR271-1)*100),"NA",IF(((AZ271/AR271-1)*100)&gt;100,"NM",IF(((AZ271/AR271-1)*100)&lt;-50,"NM",(AZ271/AR271-1)*100)))</f>
        <v>-24.994769143377116</v>
      </c>
      <c r="BB271" s="411">
        <f t="shared" ref="BB271:BD271" si="1728">+BB267/BB252*100</f>
        <v>68.673290473407363</v>
      </c>
      <c r="BC271" s="23">
        <f t="shared" ref="BC271" si="1729">IF(ISERROR((BB271/AT271-1)*100),"NA",IF(((BB271/AT271-1)*100)&gt;100,"NM",IF(((BB271/AT271-1)*100)&lt;-50,"NM",(BB271/AT271-1)*100)))</f>
        <v>0.33075352572249361</v>
      </c>
      <c r="BD271" s="411">
        <f t="shared" si="1728"/>
        <v>67.204301075268816</v>
      </c>
      <c r="BE271" s="23">
        <f t="shared" ref="BE271" si="1730">IF(ISERROR((BD271/AV271-1)*100),"NA",IF(((BD271/AV271-1)*100)&gt;100,"NM",IF(((BD271/AV271-1)*100)&lt;-50,"NM",(BD271/AV271-1)*100)))</f>
        <v>2.2932724331525156</v>
      </c>
      <c r="BF271" s="114">
        <v>72</v>
      </c>
      <c r="BG271" s="23">
        <f t="shared" ref="BG271" si="1731">IF(ISERROR((BF271/AX271-1)*100),"NA",IF(((BF271/AX271-1)*100)&gt;100,"NM",IF(((BF271/AX271-1)*100)&lt;-50,"NM",(BF271/AX271-1)*100)))</f>
        <v>1.1302211302211429</v>
      </c>
      <c r="BH271" s="587">
        <v>66</v>
      </c>
      <c r="BI271" s="23">
        <f t="shared" ref="BI271" si="1732">IF(ISERROR((BH271/AZ271-1)*100),"NA",IF(((BH271/AZ271-1)*100)&gt;100,"NM",IF(((BH271/AZ271-1)*100)&lt;-50,"NM",(BH271/AZ271-1)*100)))</f>
        <v>13.214527027027035</v>
      </c>
      <c r="BJ271" s="114">
        <f>BH271</f>
        <v>66</v>
      </c>
      <c r="BK271" s="23">
        <f t="shared" ref="BK271" si="1733">IF(ISERROR((BJ271/BB271-1)*100),"NA",IF(((BJ271/BB271-1)*100)&gt;100,"NM",IF(((BJ271/BB271-1)*100)&lt;-50,"NM",(BJ271/BB271-1)*100)))</f>
        <v>-3.8927659574468088</v>
      </c>
      <c r="BL271" s="114">
        <f>BJ271</f>
        <v>66</v>
      </c>
      <c r="BM271" s="23">
        <f t="shared" ref="BM271" si="1734">IF(ISERROR((BL271/BD271-1)*100),"NA",IF(((BL271/BD271-1)*100)&gt;100,"NM",IF(((BL271/BD271-1)*100)&lt;-50,"NM",(BL271/BD271-1)*100)))</f>
        <v>-1.7919999999999936</v>
      </c>
      <c r="BN271" s="5"/>
      <c r="BO271" s="138"/>
      <c r="BP271" s="5"/>
      <c r="BQ271" s="35">
        <f>+BQ267/BQ252*100</f>
        <v>88.673469387755105</v>
      </c>
      <c r="BR271" s="5"/>
      <c r="BS271" s="35">
        <f>+BS267/BS252*100</f>
        <v>88.97689768976899</v>
      </c>
      <c r="BT271" s="5"/>
      <c r="BU271" s="35">
        <f>+BU267/BU252*100</f>
        <v>82.213801907580716</v>
      </c>
      <c r="BV271" s="23">
        <f>IF(ISERROR((BU271/BS271-1)*100),"NA",IF(((BU271/BS271-1)*100)&gt;100,"NM",IF(((BU271/BS271-1)*100)&lt;-50,"NM",(BU271/BS271-1)*100)))</f>
        <v>-7.6009570549074423</v>
      </c>
      <c r="BW271" s="35">
        <f>+BW267/BW252*100</f>
        <v>75.348867052870872</v>
      </c>
      <c r="BX271" s="23">
        <f>IF(ISERROR((BW271/BU271-1)*100),"NA",IF(((BW271/BU271-1)*100)&gt;100,"NM",IF(((BW271/BU271-1)*100)&lt;-50,"NM",(BW271/BU271-1)*100)))</f>
        <v>-8.3501002209178328</v>
      </c>
      <c r="BY271" s="35">
        <f>+BY267/BY252*100</f>
        <v>70.704410796576681</v>
      </c>
      <c r="BZ271" s="23">
        <f>IF(ISERROR((BY271/BW271-1)*100),"NA",IF(((BY271/BW271-1)*100)&gt;100,"NM",IF(((BY271/BW271-1)*100)&lt;-50,"NM",(BY271/BW271-1)*100)))</f>
        <v>-6.163936417299098</v>
      </c>
      <c r="CA271" s="35">
        <f>+CA267/CA252*100</f>
        <v>67.912725053402511</v>
      </c>
      <c r="CB271" s="23">
        <f>IF(ISERROR((CA271/BY271-1)*100),"NA",IF(((CA271/BY271-1)*100)&gt;100,"NM",IF(((CA271/BY271-1)*100)&lt;-50,"NM",(CA271/BY271-1)*100)))</f>
        <v>-3.9483897987724115</v>
      </c>
      <c r="CC271" s="37">
        <f>+CC267/CC252*100</f>
        <v>70.765027322404379</v>
      </c>
      <c r="CD271" s="23">
        <f>IF(ISERROR((CC271/CA271-1)*100),"NA",IF(((CC271/CA271-1)*100)&gt;100,"NM",IF(((CC271/CA271-1)*100)&lt;-50,"NM",(CC271/CA271-1)*100)))</f>
        <v>4.1999526108825513</v>
      </c>
      <c r="CE271" s="37">
        <f>+CE267/CE252*100</f>
        <v>72.757740185126096</v>
      </c>
      <c r="CF271" s="23">
        <f>IF(ISERROR((CE271/CC271-1)*100),"NA",IF(((CE271/CC271-1)*100)&gt;100,"NM",IF(((CE271/CC271-1)*100)&lt;-50,"NM",(CE271/CC271-1)*100)))</f>
        <v>2.8159571728036514</v>
      </c>
      <c r="CG271" s="37">
        <f>+CG267/CG252*100</f>
        <v>66.010660106601065</v>
      </c>
      <c r="CH271" s="23">
        <f>IF(ISERROR((CG271/CE271-1)*100),"NA",IF(((CG271/CE271-1)*100)&gt;100,"NM",IF(((CG271/CE271-1)*100)&lt;-50,"NM",(CG271/CE271-1)*100)))</f>
        <v>-9.273350246114898</v>
      </c>
      <c r="CI271" s="37">
        <f>+CI267/CI252*100</f>
        <v>67.566397520199089</v>
      </c>
      <c r="CJ271" s="23">
        <f>IF(ISERROR((CI271/CG271-1)*100),"NA",IF(((CI271/CG271-1)*100)&gt;100,"NM",IF(((CI271/CG271-1)*100)&lt;-50,"NM",(CI271/CG271-1)*100)))</f>
        <v>2.3567972371214774</v>
      </c>
      <c r="CK271" s="114">
        <f>CI271-0.5</f>
        <v>67.066397520199089</v>
      </c>
      <c r="CL271" s="23">
        <f>IF(ISERROR((CK271/CI271-1)*100),"NA",IF(((CK271/CI271-1)*100)&gt;100,"NM",IF(((CK271/CI271-1)*100)&lt;-50,"NM",(CK271/CI271-1)*100)))</f>
        <v>-0.74001281458068169</v>
      </c>
      <c r="CM271" s="114">
        <f>CK271</f>
        <v>67.066397520199089</v>
      </c>
      <c r="CN271" s="23">
        <f>IF(ISERROR((CM271/CK271-1)*100),"NA",IF(((CM271/CK271-1)*100)&gt;100,"NM",IF(((CM271/CK271-1)*100)&lt;-50,"NM",(CM271/CK271-1)*100)))</f>
        <v>0</v>
      </c>
      <c r="CO271" s="114">
        <f>CM271</f>
        <v>67.066397520199089</v>
      </c>
      <c r="CP271" s="23">
        <f>IF(ISERROR((CO271/CM271-1)*100),"NA",IF(((CO271/CM271-1)*100)&gt;100,"NM",IF(((CO271/CM271-1)*100)&lt;-50,"NM",(CO271/CM271-1)*100)))</f>
        <v>0</v>
      </c>
      <c r="CQ271" s="114">
        <f>CO271</f>
        <v>67.066397520199089</v>
      </c>
      <c r="CR271" s="23">
        <f>IF(ISERROR((CQ271/CO271-1)*100),"NA",IF(((CQ271/CO271-1)*100)&gt;100,"NM",IF(((CQ271/CO271-1)*100)&lt;-50,"NM",(CQ271/CO271-1)*100)))</f>
        <v>0</v>
      </c>
      <c r="CS271" s="23">
        <f>IF(ISERROR(((CQ271/CG271)^0.2-1)*100),"NA",IF((((CQ271/CG271)^0.2-1)*100)&gt;100,"NM",IF((((CQ271/CG271)^0.2-1)*100)&lt;-50,"NM",((CQ271/CG271)^0.2-1)*100)))</f>
        <v>0.31784186308734252</v>
      </c>
    </row>
    <row r="272" spans="1:97" ht="12.75" customHeight="1" x14ac:dyDescent="0.2">
      <c r="B272" s="35"/>
      <c r="C272" s="60"/>
      <c r="D272" s="35"/>
      <c r="E272" s="60"/>
      <c r="F272" s="35"/>
      <c r="G272" s="60"/>
      <c r="H272" s="35"/>
      <c r="I272" s="60"/>
      <c r="J272" s="35"/>
      <c r="L272" s="35"/>
      <c r="N272" s="35"/>
      <c r="P272" s="37"/>
      <c r="R272" s="37"/>
      <c r="T272" s="37"/>
      <c r="V272" s="37"/>
      <c r="X272" s="37"/>
      <c r="Z272" s="37"/>
      <c r="AB272" s="37"/>
      <c r="AD272" s="37"/>
      <c r="AF272" s="37"/>
      <c r="AH272" s="37"/>
      <c r="AJ272" s="37"/>
      <c r="AL272" s="37"/>
      <c r="AN272" s="411"/>
      <c r="AP272" s="411"/>
      <c r="AQ272" s="177"/>
      <c r="AR272" s="411"/>
      <c r="AS272" s="177"/>
      <c r="AT272" s="411"/>
      <c r="AU272" s="177"/>
      <c r="AV272" s="411"/>
      <c r="AX272" s="411"/>
      <c r="AZ272" s="411"/>
      <c r="BB272" s="411"/>
      <c r="BD272" s="411"/>
      <c r="BF272" s="37"/>
      <c r="BH272" s="37"/>
      <c r="BJ272" s="37"/>
      <c r="BL272" s="37"/>
      <c r="BN272" s="5"/>
      <c r="BO272" s="138"/>
      <c r="BP272" s="5"/>
      <c r="BQ272" s="5"/>
      <c r="BR272" s="5"/>
      <c r="BS272" s="5"/>
      <c r="BT272" s="5"/>
      <c r="BU272" s="35"/>
      <c r="BW272" s="35"/>
      <c r="BY272" s="35"/>
      <c r="CA272" s="35"/>
      <c r="CC272" s="35"/>
      <c r="CE272" s="35"/>
      <c r="CG272" s="35"/>
      <c r="CI272" s="35"/>
      <c r="CK272" s="35"/>
      <c r="CM272" s="35"/>
      <c r="CO272" s="35"/>
      <c r="CQ272" s="35"/>
    </row>
    <row r="273" spans="1:105" ht="12.75" customHeight="1" x14ac:dyDescent="0.2">
      <c r="A273" s="3" t="s">
        <v>128</v>
      </c>
      <c r="B273" s="72">
        <f>+B252-B268</f>
        <v>25.297999999999988</v>
      </c>
      <c r="C273" s="59"/>
      <c r="D273" s="72">
        <f>+D252-D268</f>
        <v>26.352000000000004</v>
      </c>
      <c r="E273" s="59"/>
      <c r="F273" s="72">
        <f>+F252-F268</f>
        <v>22.780999999999992</v>
      </c>
      <c r="G273" s="59"/>
      <c r="H273" s="72">
        <f>+H252-H268</f>
        <v>13.064999999999998</v>
      </c>
      <c r="I273" s="59"/>
      <c r="J273" s="72">
        <f>+J252-J268</f>
        <v>32.994</v>
      </c>
      <c r="K273" s="23">
        <f t="shared" ref="K273:Y274" si="1735">IF(ISERROR((J273/B273-1)*100),"NA",IF(((J273/B273-1)*100)&gt;100,"NM",IF(((J273/B273-1)*100)&lt;-50,"NM",(J273/B273-1)*100)))</f>
        <v>30.421377183967181</v>
      </c>
      <c r="L273" s="72">
        <f>+L252-L268</f>
        <v>31.294000000000011</v>
      </c>
      <c r="M273" s="23">
        <f t="shared" si="1735"/>
        <v>18.753794778384968</v>
      </c>
      <c r="N273" s="72">
        <f>+N252-N268</f>
        <v>38.959999999999994</v>
      </c>
      <c r="O273" s="23">
        <f t="shared" si="1735"/>
        <v>71.019709406961979</v>
      </c>
      <c r="P273" s="73">
        <f>+P252-P268</f>
        <v>31.219000000000008</v>
      </c>
      <c r="Q273" s="23" t="str">
        <f t="shared" si="1735"/>
        <v>NM</v>
      </c>
      <c r="R273" s="73">
        <f>+R252-R268</f>
        <v>30.100000000000009</v>
      </c>
      <c r="S273" s="23">
        <f t="shared" si="1735"/>
        <v>-8.7712917500151306</v>
      </c>
      <c r="T273" s="73">
        <f>+T252-T268</f>
        <v>41</v>
      </c>
      <c r="U273" s="23">
        <f t="shared" si="1735"/>
        <v>31.015530133571879</v>
      </c>
      <c r="V273" s="73">
        <f>+V252-V268</f>
        <v>54.000000000000028</v>
      </c>
      <c r="W273" s="23">
        <f t="shared" si="1735"/>
        <v>38.603696098562736</v>
      </c>
      <c r="X273" s="73">
        <f>+X252-X268</f>
        <v>52.899999999999991</v>
      </c>
      <c r="Y273" s="23">
        <f t="shared" si="1735"/>
        <v>69.448092507767626</v>
      </c>
      <c r="Z273" s="73">
        <f>+Z252-Z268</f>
        <v>49.8</v>
      </c>
      <c r="AA273" s="23">
        <f>IF(ISERROR((Z273/R273-1)*100),"NA",IF(((Z273/R273-1)*100)&gt;100,"NM",IF(((Z273/R273-1)*100)&lt;-50,"NM",(Z273/R273-1)*100)))</f>
        <v>65.448504983388659</v>
      </c>
      <c r="AB273" s="73">
        <f>+AB252-AB268</f>
        <v>54.899999999999991</v>
      </c>
      <c r="AC273" s="23">
        <f>IF(ISERROR((AB273/T273-1)*100),"NA",IF(((AB273/T273-1)*100)&gt;100,"NM",IF(((AB273/T273-1)*100)&lt;-50,"NM",(AB273/T273-1)*100)))</f>
        <v>33.902439024390233</v>
      </c>
      <c r="AD273" s="73">
        <f>+AD252-AD268</f>
        <v>58.600000000000009</v>
      </c>
      <c r="AE273" s="23">
        <f>IF(ISERROR((AD273/V273-1)*100),"NA",IF(((AD273/V273-1)*100)&gt;100,"NM",IF(((AD273/V273-1)*100)&lt;-50,"NM",(AD273/V273-1)*100)))</f>
        <v>8.51851851851848</v>
      </c>
      <c r="AF273" s="73">
        <f>+AF252-AF268</f>
        <v>47</v>
      </c>
      <c r="AG273" s="23">
        <f>IF(ISERROR((AF273/X273-1)*100),"NA",IF(((AF273/X273-1)*100)&gt;100,"NM",IF(((AF273/X273-1)*100)&lt;-50,"NM",(AF273/X273-1)*100)))</f>
        <v>-11.153119092627584</v>
      </c>
      <c r="AH273" s="73">
        <f>+AH252-AH268</f>
        <v>46.899999999999991</v>
      </c>
      <c r="AI273" s="23">
        <f>IF(ISERROR((AH273/Z273-1)*100),"NA",IF(((AH273/Z273-1)*100)&gt;100,"NM",IF(((AH273/Z273-1)*100)&lt;-50,"NM",(AH273/Z273-1)*100)))</f>
        <v>-5.8232931726907804</v>
      </c>
      <c r="AJ273" s="73">
        <f>+AJ252-AJ268</f>
        <v>47</v>
      </c>
      <c r="AK273" s="23">
        <f>IF(ISERROR((AJ273/AB273-1)*100),"NA",IF(((AJ273/AB273-1)*100)&gt;100,"NM",IF(((AJ273/AB273-1)*100)&lt;-50,"NM",(AJ273/AB273-1)*100)))</f>
        <v>-14.389799635701262</v>
      </c>
      <c r="AL273" s="73">
        <f>+AL252-AL268</f>
        <v>45.599999999999994</v>
      </c>
      <c r="AM273" s="23">
        <f>IF(ISERROR((AL273/AD273-1)*100),"NA",IF(((AL273/AD273-1)*100)&gt;100,"NM",IF(((AL273/AD273-1)*100)&lt;-50,"NM",(AL273/AD273-1)*100)))</f>
        <v>-22.184300341296947</v>
      </c>
      <c r="AN273" s="73">
        <f t="shared" ref="AN273:AP273" si="1736">+AN252-AN268</f>
        <v>42.400000000000006</v>
      </c>
      <c r="AO273" s="23">
        <f>IF(ISERROR((AN273/AF273-1)*100),"NA",IF(((AN273/AF273-1)*100)&gt;100,"NM",IF(((AN273/AF273-1)*100)&lt;-50,"NM",(AN273/AF273-1)*100)))</f>
        <v>-9.7872340425531839</v>
      </c>
      <c r="AP273" s="73">
        <f t="shared" si="1736"/>
        <v>22.700000000000017</v>
      </c>
      <c r="AQ273" s="23" t="str">
        <f t="shared" ref="AQ273:AQ274" si="1737">IF(ISERROR((AP273/AH273-1)*100),"NA",IF(((AP273/AH273-1)*100)&gt;100,"NM",IF(((AP273/AH273-1)*100)&lt;-50,"NM",(AP273/AH273-1)*100)))</f>
        <v>NM</v>
      </c>
      <c r="AR273" s="73">
        <f>+AR252-AR268</f>
        <v>31.700000000000017</v>
      </c>
      <c r="AS273" s="23">
        <f t="shared" ref="AS273:AS274" si="1738">IF(ISERROR((AR273/AJ273-1)*100),"NA",IF(((AR273/AJ273-1)*100)&gt;100,"NM",IF(((AR273/AJ273-1)*100)&lt;-50,"NM",(AR273/AJ273-1)*100)))</f>
        <v>-32.553191489361666</v>
      </c>
      <c r="AT273" s="73">
        <f>+AT252-AT268</f>
        <v>51.399999999999977</v>
      </c>
      <c r="AU273" s="23">
        <f t="shared" ref="AU273:AU274" si="1739">IF(ISERROR((AT273/AL273-1)*100),"NA",IF(((AT273/AL273-1)*100)&gt;100,"NM",IF(((AT273/AL273-1)*100)&lt;-50,"NM",(AT273/AL273-1)*100)))</f>
        <v>12.719298245613997</v>
      </c>
      <c r="AV273" s="73">
        <f>+AV252-AV268</f>
        <v>64.899999999999991</v>
      </c>
      <c r="AW273" s="23">
        <f t="shared" ref="AW273:AW274" si="1740">IF(ISERROR((AV273/AN273-1)*100),"NA",IF(((AV273/AN273-1)*100)&gt;100,"NM",IF(((AV273/AN273-1)*100)&lt;-50,"NM",(AV273/AN273-1)*100)))</f>
        <v>53.066037735849015</v>
      </c>
      <c r="AX273" s="73">
        <f>+AX252-AX268</f>
        <v>49.400000000000006</v>
      </c>
      <c r="AY273" s="23" t="str">
        <f t="shared" ref="AY273:AY274" si="1741">IF(ISERROR((AX273/AP273-1)*100),"NA",IF(((AX273/AP273-1)*100)&gt;100,"NM",IF(((AX273/AP273-1)*100)&lt;-50,"NM",(AX273/AP273-1)*100)))</f>
        <v>NM</v>
      </c>
      <c r="AZ273" s="73">
        <f>+AZ252-AZ268</f>
        <v>84.700000000000017</v>
      </c>
      <c r="BA273" s="23" t="str">
        <f t="shared" ref="BA273:BA274" si="1742">IF(ISERROR((AZ273/AR273-1)*100),"NA",IF(((AZ273/AR273-1)*100)&gt;100,"NM",IF(((AZ273/AR273-1)*100)&lt;-50,"NM",(AZ273/AR273-1)*100)))</f>
        <v>NM</v>
      </c>
      <c r="BB273" s="73">
        <f>+BB252-BB268</f>
        <v>53.599999999999994</v>
      </c>
      <c r="BC273" s="23">
        <f t="shared" ref="BC273:BC274" si="1743">IF(ISERROR((BB273/AT273-1)*100),"NA",IF(((BB273/AT273-1)*100)&gt;100,"NM",IF(((BB273/AT273-1)*100)&lt;-50,"NM",(BB273/AT273-1)*100)))</f>
        <v>4.2801556420233755</v>
      </c>
      <c r="BD273" s="73">
        <f>+BD252-BD268</f>
        <v>61</v>
      </c>
      <c r="BE273" s="23">
        <f t="shared" ref="BE273:BE274" si="1744">IF(ISERROR((BD273/AV273-1)*100),"NA",IF(((BD273/AV273-1)*100)&gt;100,"NM",IF(((BD273/AV273-1)*100)&lt;-50,"NM",(BD273/AV273-1)*100)))</f>
        <v>-6.0092449922958258</v>
      </c>
      <c r="BF273" s="73">
        <f t="shared" ref="BF273" si="1745">+BF252-BF268</f>
        <v>49.016247705139676</v>
      </c>
      <c r="BG273" s="23">
        <f t="shared" ref="BG273:BG274" si="1746">IF(ISERROR((BF273/AX273-1)*100),"NA",IF(((BF273/AX273-1)*100)&gt;100,"NM",IF(((BF273/AX273-1)*100)&lt;-50,"NM",(BF273/AX273-1)*100)))</f>
        <v>-0.77682650781443208</v>
      </c>
      <c r="BH273" s="73">
        <f t="shared" ref="BH273" si="1747">+BH252-BH268</f>
        <v>60.328951767677012</v>
      </c>
      <c r="BI273" s="23">
        <f t="shared" ref="BI273:BI274" si="1748">IF(ISERROR((BH273/AZ273-1)*100),"NA",IF(((BH273/AZ273-1)*100)&gt;100,"NM",IF(((BH273/AZ273-1)*100)&lt;-50,"NM",(BH273/AZ273-1)*100)))</f>
        <v>-28.773374536390794</v>
      </c>
      <c r="BJ273" s="73">
        <f t="shared" ref="BJ273" si="1749">+BJ252-BJ268</f>
        <v>52.798766754802131</v>
      </c>
      <c r="BK273" s="23">
        <f t="shared" ref="BK273:BK274" si="1750">IF(ISERROR((BJ273/BB273-1)*100),"NA",IF(((BJ273/BB273-1)*100)&gt;100,"NM",IF(((BJ273/BB273-1)*100)&lt;-50,"NM",(BJ273/BB273-1)*100)))</f>
        <v>-1.4948381440258673</v>
      </c>
      <c r="BL273" s="73">
        <f t="shared" ref="BL273" si="1751">+BL252-BL268</f>
        <v>55.339618962435878</v>
      </c>
      <c r="BM273" s="23">
        <f t="shared" ref="BM273:BM274" si="1752">IF(ISERROR((BL273/BD273-1)*100),"NA",IF(((BL273/BD273-1)*100)&gt;100,"NM",IF(((BL273/BD273-1)*100)&lt;-50,"NM",(BL273/BD273-1)*100)))</f>
        <v>-9.2793131763346253</v>
      </c>
      <c r="BN273" s="5"/>
      <c r="BO273" s="137"/>
      <c r="BP273" s="5"/>
      <c r="BQ273" s="73">
        <f>+BQ252-BQ268</f>
        <v>44.399999999999977</v>
      </c>
      <c r="BR273" s="5"/>
      <c r="BS273" s="73">
        <f>+BS252-BS268</f>
        <v>50.099999999999966</v>
      </c>
      <c r="BT273" s="5"/>
      <c r="BU273" s="73">
        <f t="shared" ref="BU273:BY273" si="1753">+BU252-BU268</f>
        <v>87.496000000000038</v>
      </c>
      <c r="BV273" s="23">
        <f>IF(ISERROR((BU273/BS273-1)*100),"NA",IF(((BU273/BS273-1)*100)&gt;100,"NM",IF(((BU273/BS273-1)*100)&lt;-50,"NM",(BU273/BS273-1)*100)))</f>
        <v>74.642714570858473</v>
      </c>
      <c r="BW273" s="73">
        <f t="shared" si="1753"/>
        <v>134.46699999999998</v>
      </c>
      <c r="BX273" s="23">
        <f>IF(ISERROR((BW273/BU273-1)*100),"NA",IF(((BW273/BU273-1)*100)&gt;100,"NM",IF(((BW273/BU273-1)*100)&lt;-50,"NM",(BW273/BU273-1)*100)))</f>
        <v>53.683596964432567</v>
      </c>
      <c r="BY273" s="73">
        <f t="shared" si="1753"/>
        <v>178.00000000000017</v>
      </c>
      <c r="BZ273" s="23">
        <f>IF(ISERROR((BY273/BW273-1)*100),"NA",IF(((BY273/BW273-1)*100)&gt;100,"NM",IF(((BY273/BW273-1)*100)&lt;-50,"NM",(BY273/BW273-1)*100)))</f>
        <v>32.374485933351814</v>
      </c>
      <c r="CA273" s="73">
        <f>+CA252-CA268</f>
        <v>210.29999999999995</v>
      </c>
      <c r="CB273" s="23">
        <f>IF(ISERROR((CA273/BY273-1)*100),"NA",IF(((CA273/BY273-1)*100)&gt;100,"NM",IF(((CA273/BY273-1)*100)&lt;-50,"NM",(CA273/BY273-1)*100)))</f>
        <v>18.146067415730194</v>
      </c>
      <c r="CC273" s="73">
        <f>+CC252-CC268</f>
        <v>181.89999999999992</v>
      </c>
      <c r="CD273" s="23">
        <f>IF(ISERROR((CC273/CA273-1)*100),"NA",IF(((CC273/CA273-1)*100)&gt;100,"NM",IF(((CC273/CA273-1)*100)&lt;-50,"NM",(CC273/CA273-1)*100)))</f>
        <v>-13.504517356157885</v>
      </c>
      <c r="CE273" s="73">
        <f>+CE252-CE268</f>
        <v>170.69999999999987</v>
      </c>
      <c r="CF273" s="23">
        <f>IF(ISERROR((CE273/CC273-1)*100),"NA",IF(((CE273/CC273-1)*100)&gt;100,"NM",IF(((CE273/CC273-1)*100)&lt;-50,"NM",(CE273/CC273-1)*100)))</f>
        <v>-6.1572292468389467</v>
      </c>
      <c r="CG273" s="73">
        <f>+CG252-CG268</f>
        <v>248.69999999999993</v>
      </c>
      <c r="CH273" s="23">
        <f>IF(ISERROR((CG273/CE273-1)*100),"NA",IF(((CG273/CE273-1)*100)&gt;100,"NM",IF(((CG273/CE273-1)*100)&lt;-50,"NM",(CG273/CE273-1)*100)))</f>
        <v>45.694200351493919</v>
      </c>
      <c r="CI273" s="73">
        <f>+CI252-CI268</f>
        <v>217.48358519005455</v>
      </c>
      <c r="CJ273" s="23">
        <f>IF(ISERROR((CI273/CG273-1)*100),"NA",IF(((CI273/CG273-1)*100)&gt;100,"NM",IF(((CI273/CG273-1)*100)&lt;-50,"NM",(CI273/CG273-1)*100)))</f>
        <v>-12.551835468413907</v>
      </c>
      <c r="CK273" s="72">
        <f>+CK252-CK268</f>
        <v>228.82649070227592</v>
      </c>
      <c r="CL273" s="23">
        <f>IF(ISERROR((CK273/CI273-1)*100),"NA",IF(((CK273/CI273-1)*100)&gt;100,"NM",IF(((CK273/CI273-1)*100)&lt;-50,"NM",(CK273/CI273-1)*100)))</f>
        <v>5.2155225886629575</v>
      </c>
      <c r="CM273" s="72">
        <f>+CM252-CM268</f>
        <v>238.92389714011205</v>
      </c>
      <c r="CN273" s="23">
        <f>IF(ISERROR((CM273/CK273-1)*100),"NA",IF(((CM273/CK273-1)*100)&gt;100,"NM",IF(((CM273/CK273-1)*100)&lt;-50,"NM",(CM273/CK273-1)*100)))</f>
        <v>4.4126912084553105</v>
      </c>
      <c r="CO273" s="72">
        <f>+CO252-CO268</f>
        <v>246.91519455282821</v>
      </c>
      <c r="CP273" s="23">
        <f>IF(ISERROR((CO273/CM273-1)*100),"NA",IF(((CO273/CM273-1)*100)&gt;100,"NM",IF(((CO273/CM273-1)*100)&lt;-50,"NM",(CO273/CM273-1)*100)))</f>
        <v>3.3447041122177223</v>
      </c>
      <c r="CQ273" s="72">
        <f>+CQ252-CQ268</f>
        <v>255.60776598641326</v>
      </c>
      <c r="CR273" s="23">
        <f>IF(ISERROR((CQ273/CO273-1)*100),"NA",IF(((CQ273/CO273-1)*100)&gt;100,"NM",IF(((CQ273/CO273-1)*100)&lt;-50,"NM",(CQ273/CO273-1)*100)))</f>
        <v>3.5204684139943598</v>
      </c>
      <c r="CS273" s="23">
        <f>IF(ISERROR(((CQ273/CG273)^0.2-1)*100),"NA",IF((((CQ273/CG273)^0.2-1)*100)&gt;100,"NM",IF((((CQ273/CG273)^0.2-1)*100)&lt;-50,"NM",((CQ273/CG273)^0.2-1)*100)))</f>
        <v>0.54943900170381088</v>
      </c>
    </row>
    <row r="274" spans="1:105" ht="12.75" customHeight="1" x14ac:dyDescent="0.2">
      <c r="A274" s="4" t="s">
        <v>129</v>
      </c>
      <c r="B274" s="35">
        <f t="shared" ref="B274:Z274" si="1754">B273/B252*100</f>
        <v>19.67307453029737</v>
      </c>
      <c r="C274" s="59"/>
      <c r="D274" s="35">
        <f t="shared" si="1754"/>
        <v>20.164363436022224</v>
      </c>
      <c r="E274" s="59"/>
      <c r="F274" s="35">
        <f t="shared" si="1754"/>
        <v>18.592788469386086</v>
      </c>
      <c r="G274" s="59"/>
      <c r="H274" s="35">
        <f t="shared" si="1754"/>
        <v>11.86346796455034</v>
      </c>
      <c r="I274" s="59"/>
      <c r="J274" s="35">
        <f t="shared" si="1754"/>
        <v>25.255084466829452</v>
      </c>
      <c r="K274" s="406">
        <f t="shared" si="1735"/>
        <v>28.373856500851204</v>
      </c>
      <c r="L274" s="407">
        <f t="shared" si="1754"/>
        <v>24.032192417272714</v>
      </c>
      <c r="M274" s="406">
        <f t="shared" si="1735"/>
        <v>19.181507978282532</v>
      </c>
      <c r="N274" s="407">
        <f t="shared" si="1754"/>
        <v>27.410174690615385</v>
      </c>
      <c r="O274" s="406">
        <f t="shared" si="1735"/>
        <v>47.423689220944709</v>
      </c>
      <c r="P274" s="407">
        <f t="shared" si="1754"/>
        <v>21.910684081609741</v>
      </c>
      <c r="Q274" s="406">
        <f t="shared" si="1735"/>
        <v>84.690380140797402</v>
      </c>
      <c r="R274" s="35">
        <f t="shared" si="1754"/>
        <v>22.82031842304777</v>
      </c>
      <c r="S274" s="176">
        <f t="shared" si="1735"/>
        <v>-9.6406964980836012</v>
      </c>
      <c r="T274" s="35">
        <f t="shared" si="1754"/>
        <v>27.609427609427613</v>
      </c>
      <c r="U274" s="23">
        <f t="shared" si="1735"/>
        <v>14.885180386554421</v>
      </c>
      <c r="V274" s="35">
        <f t="shared" si="1754"/>
        <v>33.728919425359166</v>
      </c>
      <c r="W274" s="176">
        <f t="shared" si="1735"/>
        <v>23.052551857347979</v>
      </c>
      <c r="X274" s="35">
        <f t="shared" si="1754"/>
        <v>31.657690005984435</v>
      </c>
      <c r="Y274" s="176">
        <f t="shared" si="1735"/>
        <v>44.485173936470716</v>
      </c>
      <c r="Z274" s="35">
        <f t="shared" si="1754"/>
        <v>31.028037383177569</v>
      </c>
      <c r="AA274" s="176">
        <f>IF(ISERROR((Z274/R274-1)*100),"NA",IF(((Z274/R274-1)*100)&gt;100,"NM",IF(((Z274/R274-1)*100)&lt;-50,"NM",(Z274/R274-1)*100)))</f>
        <v>35.96671531033622</v>
      </c>
      <c r="AB274" s="35">
        <f t="shared" ref="AB274:AD274" si="1755">AB273/AB252*100</f>
        <v>33.639705882352935</v>
      </c>
      <c r="AC274" s="207">
        <f>IF(ISERROR((AB274/T274-1)*100),"NA",IF(((AB274/T274-1)*100)&gt;100,"NM",IF(((AB274/T274-1)*100)&lt;-50,"NM",(AB274/T274-1)*100)))</f>
        <v>21.841373744619762</v>
      </c>
      <c r="AD274" s="35">
        <f t="shared" si="1755"/>
        <v>34.81877599524659</v>
      </c>
      <c r="AE274" s="176">
        <f>IF(ISERROR((AD274/V274-1)*100),"NA",IF(((AD274/V274-1)*100)&gt;100,"NM",IF(((AD274/V274-1)*100)&lt;-50,"NM",(AD274/V274-1)*100)))</f>
        <v>3.2312229044254792</v>
      </c>
      <c r="AF274" s="35">
        <f t="shared" ref="AF274:AH274" si="1756">AF273/AF252*100</f>
        <v>28.76376988984088</v>
      </c>
      <c r="AG274" s="23">
        <f>IF(ISERROR((AF274/X274-1)*100),"NA",IF(((AF274/X274-1)*100)&gt;100,"NM",IF(((AF274/X274-1)*100)&lt;-50,"NM",(AF274/X274-1)*100)))</f>
        <v>-9.141286416022453</v>
      </c>
      <c r="AH274" s="35">
        <f t="shared" si="1756"/>
        <v>28.75536480686695</v>
      </c>
      <c r="AI274" s="23">
        <f>IF(ISERROR((AH274/Z274-1)*100),"NA",IF(((AH274/Z274-1)*100)&gt;100,"NM",IF(((AH274/Z274-1)*100)&lt;-50,"NM",(AH274/Z274-1)*100)))</f>
        <v>-7.3245772790733854</v>
      </c>
      <c r="AJ274" s="35">
        <f t="shared" ref="AJ274:AL274" si="1757">AJ273/AJ252*100</f>
        <v>29.634300126103408</v>
      </c>
      <c r="AK274" s="23">
        <f>IF(ISERROR((AJ274/AB274-1)*100),"NA",IF(((AJ274/AB274-1)*100)&gt;100,"NM",IF(((AJ274/AB274-1)*100)&lt;-50,"NM",(AJ274/AB274-1)*100)))</f>
        <v>-11.906779953004055</v>
      </c>
      <c r="AL274" s="35">
        <f t="shared" si="1757"/>
        <v>29.882044560943644</v>
      </c>
      <c r="AM274" s="23">
        <f>IF(ISERROR((AL274/AD274-1)*100),"NA",IF(((AL274/AD274-1)*100)&gt;100,"NM",IF(((AL274/AD274-1)*100)&lt;-50,"NM",(AL274/AD274-1)*100)))</f>
        <v>-14.178360074969032</v>
      </c>
      <c r="AN274" s="409">
        <f t="shared" ref="AN274:AP274" si="1758">AN273/AN252*100</f>
        <v>28.66801893171062</v>
      </c>
      <c r="AO274" s="23">
        <f>IF(ISERROR((AN274/AF274-1)*100),"NA",IF(((AN274/AF274-1)*100)&gt;100,"NM",IF(((AN274/AF274-1)*100)&lt;-50,"NM",(AN274/AF274-1)*100)))</f>
        <v>-0.33288737358477816</v>
      </c>
      <c r="AP274" s="409">
        <f t="shared" si="1758"/>
        <v>17.170953101361583</v>
      </c>
      <c r="AQ274" s="23">
        <f t="shared" si="1737"/>
        <v>-40.286088468399264</v>
      </c>
      <c r="AR274" s="409">
        <f t="shared" ref="AR274:AT274" si="1759">AR273/AR252*100</f>
        <v>22.276879831342246</v>
      </c>
      <c r="AS274" s="23">
        <f t="shared" si="1738"/>
        <v>-24.827379973385533</v>
      </c>
      <c r="AT274" s="409">
        <f t="shared" si="1759"/>
        <v>31.553100061387347</v>
      </c>
      <c r="AU274" s="23">
        <f t="shared" si="1739"/>
        <v>5.5921725738532713</v>
      </c>
      <c r="AV274" s="409">
        <f t="shared" ref="AV274:AX274" si="1760">AV273/AV252*100</f>
        <v>34.302325581395351</v>
      </c>
      <c r="AW274" s="23">
        <f t="shared" si="1740"/>
        <v>19.653630978499326</v>
      </c>
      <c r="AX274" s="409">
        <f t="shared" si="1760"/>
        <v>28.804664723032076</v>
      </c>
      <c r="AY274" s="23">
        <f t="shared" si="1741"/>
        <v>67.75227649272415</v>
      </c>
      <c r="AZ274" s="409">
        <f t="shared" ref="AZ274" si="1761">AZ273/AZ252*100</f>
        <v>41.703594288527825</v>
      </c>
      <c r="BA274" s="23">
        <f t="shared" si="1742"/>
        <v>87.205724519164235</v>
      </c>
      <c r="BB274" s="409">
        <f t="shared" ref="BB274:BD274" si="1762">BB273/BB252*100</f>
        <v>31.326709526592634</v>
      </c>
      <c r="BC274" s="23">
        <f t="shared" si="1743"/>
        <v>-0.71749062486495818</v>
      </c>
      <c r="BD274" s="409">
        <f t="shared" si="1762"/>
        <v>32.795698924731184</v>
      </c>
      <c r="BE274" s="23">
        <f t="shared" si="1744"/>
        <v>-4.3921997448514656</v>
      </c>
      <c r="BF274" s="35">
        <f t="shared" ref="BF274" si="1763">BF273/BF252*100</f>
        <v>27.999999999999993</v>
      </c>
      <c r="BG274" s="23">
        <f t="shared" si="1746"/>
        <v>-2.7935222672065274</v>
      </c>
      <c r="BH274" s="35">
        <f t="shared" ref="BH274" si="1764">BH273/BH252*100</f>
        <v>34</v>
      </c>
      <c r="BI274" s="23">
        <f t="shared" si="1748"/>
        <v>-18.472255017709571</v>
      </c>
      <c r="BJ274" s="35">
        <f t="shared" ref="BJ274" si="1765">BJ273/BJ252*100</f>
        <v>33.999999999999993</v>
      </c>
      <c r="BK274" s="23">
        <f t="shared" si="1750"/>
        <v>8.5335820895522154</v>
      </c>
      <c r="BL274" s="35">
        <f t="shared" ref="BL274" si="1766">BL273/BL252*100</f>
        <v>34</v>
      </c>
      <c r="BM274" s="23">
        <f t="shared" si="1752"/>
        <v>3.6721311475409912</v>
      </c>
      <c r="BN274" s="5"/>
      <c r="BO274" s="138"/>
      <c r="BP274" s="5"/>
      <c r="BQ274" s="35">
        <f t="shared" ref="BQ274:CA274" si="1767">BQ273/BQ252*100</f>
        <v>11.326530612244893</v>
      </c>
      <c r="BR274" s="5"/>
      <c r="BS274" s="35">
        <f t="shared" si="1767"/>
        <v>11.023102310231017</v>
      </c>
      <c r="BT274" s="5"/>
      <c r="BU274" s="35">
        <f t="shared" si="1767"/>
        <v>17.786198092419284</v>
      </c>
      <c r="BV274" s="23">
        <f>IF(ISERROR((BU274/BS274-1)*100),"NA",IF(((BU274/BS274-1)*100)&gt;100,"NM",IF(((BU274/BS274-1)*100)&lt;-50,"NM",(BU274/BS274-1)*100)))</f>
        <v>61.353832994103151</v>
      </c>
      <c r="BW274" s="35">
        <f t="shared" si="1767"/>
        <v>24.651132947129131</v>
      </c>
      <c r="BX274" s="23">
        <f>IF(ISERROR((BW274/BU274-1)*100),"NA",IF(((BW274/BU274-1)*100)&gt;100,"NM",IF(((BW274/BU274-1)*100)&lt;-50,"NM",(BW274/BU274-1)*100)))</f>
        <v>38.596977381218835</v>
      </c>
      <c r="BY274" s="35">
        <f t="shared" si="1767"/>
        <v>29.295589203423329</v>
      </c>
      <c r="BZ274" s="23">
        <f>IF(ISERROR((BY274/BW274-1)*100),"NA",IF(((BY274/BW274-1)*100)&gt;100,"NM",IF(((BY274/BW274-1)*100)&lt;-50,"NM",(BY274/BW274-1)*100)))</f>
        <v>18.840741584800426</v>
      </c>
      <c r="CA274" s="35">
        <f t="shared" si="1767"/>
        <v>32.087274946597496</v>
      </c>
      <c r="CB274" s="23">
        <f>IF(ISERROR((CA274/BY274-1)*100),"NA",IF(((CA274/BY274-1)*100)&gt;100,"NM",IF(((CA274/BY274-1)*100)&lt;-50,"NM",(CA274/BY274-1)*100)))</f>
        <v>9.5293722334417019</v>
      </c>
      <c r="CC274" s="35">
        <f t="shared" ref="CC274" si="1768">CC273/CC252*100</f>
        <v>29.234972677595618</v>
      </c>
      <c r="CD274" s="23">
        <f>IF(ISERROR((CC274/CA274-1)*100),"NA",IF(((CC274/CA274-1)*100)&gt;100,"NM",IF(((CC274/CA274-1)*100)&lt;-50,"NM",(CC274/CA274-1)*100)))</f>
        <v>-8.8892006994951593</v>
      </c>
      <c r="CE274" s="35">
        <f t="shared" ref="CE274" si="1769">CE273/CE252*100</f>
        <v>27.242259814873908</v>
      </c>
      <c r="CF274" s="23">
        <f>IF(ISERROR((CE274/CC274-1)*100),"NA",IF(((CE274/CC274-1)*100)&gt;100,"NM",IF(((CE274/CC274-1)*100)&lt;-50,"NM",(CE274/CC274-1)*100)))</f>
        <v>-6.8161953995901525</v>
      </c>
      <c r="CG274" s="35">
        <f t="shared" ref="CG274" si="1770">CG273/CG252*100</f>
        <v>33.989339893398927</v>
      </c>
      <c r="CH274" s="23">
        <f>IF(ISERROR((CG274/CE274-1)*100),"NA",IF(((CG274/CE274-1)*100)&gt;100,"NM",IF(((CG274/CE274-1)*100)&lt;-50,"NM",(CG274/CE274-1)*100)))</f>
        <v>24.766961787954187</v>
      </c>
      <c r="CI274" s="35">
        <f t="shared" ref="CI274" si="1771">CI273/CI252*100</f>
        <v>32.433602479800911</v>
      </c>
      <c r="CJ274" s="23">
        <f>IF(ISERROR((CI274/CG274-1)*100),"NA",IF(((CI274/CG274-1)*100)&gt;100,"NM",IF(((CI274/CG274-1)*100)&lt;-50,"NM",(CI274/CG274-1)*100)))</f>
        <v>-4.5771333555676303</v>
      </c>
      <c r="CK274" s="35">
        <f>CK273/CK252*100</f>
        <v>32.933602479800918</v>
      </c>
      <c r="CL274" s="23">
        <f>IF(ISERROR((CK274/CI274-1)*100),"NA",IF(((CK274/CI274-1)*100)&gt;100,"NM",IF(((CK274/CI274-1)*100)&lt;-50,"NM",(CK274/CI274-1)*100)))</f>
        <v>1.5416110507964653</v>
      </c>
      <c r="CM274" s="35">
        <f>CM273/CM252*100</f>
        <v>32.933602479800911</v>
      </c>
      <c r="CN274" s="23">
        <f>IF(ISERROR((CM274/CK274-1)*100),"NA",IF(((CM274/CK274-1)*100)&gt;100,"NM",IF(((CM274/CK274-1)*100)&lt;-50,"NM",(CM274/CK274-1)*100)))</f>
        <v>-2.2204460492503131E-14</v>
      </c>
      <c r="CO274" s="35">
        <f>CO273/CO252*100</f>
        <v>32.933602479800918</v>
      </c>
      <c r="CP274" s="23">
        <f>IF(ISERROR((CO274/CM274-1)*100),"NA",IF(((CO274/CM274-1)*100)&gt;100,"NM",IF(((CO274/CM274-1)*100)&lt;-50,"NM",(CO274/CM274-1)*100)))</f>
        <v>2.2204460492503131E-14</v>
      </c>
      <c r="CQ274" s="35">
        <f>CQ273/CQ252*100</f>
        <v>32.933602479800911</v>
      </c>
      <c r="CR274" s="23">
        <f>IF(ISERROR((CQ274/CO274-1)*100),"NA",IF(((CQ274/CO274-1)*100)&gt;100,"NM",IF(((CQ274/CO274-1)*100)&lt;-50,"NM",(CQ274/CO274-1)*100)))</f>
        <v>-2.2204460492503131E-14</v>
      </c>
      <c r="CS274" s="207">
        <f>IF(ISERROR(((CQ274/CG274)^0.2-1)*100),"NA",IF((((CQ274/CG274)^0.2-1)*100)&gt;100,"NM",IF((((CQ274/CG274)^0.2-1)*100)&lt;-50,"NM",((CQ274/CG274)^0.2-1)*100)))</f>
        <v>-0.62908202896506671</v>
      </c>
    </row>
    <row r="275" spans="1:105" ht="12.75" customHeight="1" x14ac:dyDescent="0.2">
      <c r="B275" s="35"/>
      <c r="C275" s="60"/>
      <c r="D275" s="35"/>
      <c r="E275" s="60"/>
      <c r="F275" s="35"/>
      <c r="G275" s="60"/>
      <c r="H275" s="35"/>
      <c r="I275" s="60"/>
      <c r="J275" s="35"/>
      <c r="L275" s="35"/>
      <c r="N275" s="35"/>
      <c r="P275" s="35"/>
      <c r="R275" s="35"/>
      <c r="T275" s="35"/>
      <c r="V275" s="35"/>
      <c r="X275" s="35"/>
      <c r="Z275" s="35"/>
      <c r="AB275" s="35"/>
      <c r="AD275" s="35"/>
      <c r="AF275" s="35"/>
      <c r="AH275" s="35"/>
      <c r="AJ275" s="35"/>
      <c r="AK275" s="23"/>
      <c r="AL275" s="35"/>
      <c r="AM275" s="23"/>
      <c r="AN275" s="409"/>
      <c r="AO275" s="23"/>
      <c r="AP275" s="409"/>
      <c r="AQ275" s="23"/>
      <c r="AR275" s="409"/>
      <c r="AS275" s="23"/>
      <c r="AT275" s="409"/>
      <c r="AU275" s="23"/>
      <c r="AV275" s="409"/>
      <c r="AW275" s="23"/>
      <c r="AX275" s="409"/>
      <c r="AY275" s="23"/>
      <c r="AZ275" s="409"/>
      <c r="BA275" s="23"/>
      <c r="BB275" s="409"/>
      <c r="BC275" s="23"/>
      <c r="BD275" s="409"/>
      <c r="BE275" s="23"/>
      <c r="BF275" s="35"/>
      <c r="BG275" s="23"/>
      <c r="BH275" s="35"/>
      <c r="BI275" s="23"/>
      <c r="BJ275" s="35"/>
      <c r="BK275" s="23"/>
      <c r="BL275" s="35"/>
      <c r="BM275" s="23"/>
      <c r="BN275" s="5"/>
      <c r="BO275" s="138"/>
      <c r="BP275" s="5"/>
      <c r="BQ275" s="5"/>
      <c r="BR275" s="5"/>
      <c r="BS275" s="5"/>
      <c r="BT275" s="5"/>
      <c r="BU275" s="35"/>
      <c r="BW275" s="35"/>
      <c r="BY275" s="35"/>
      <c r="CA275" s="35"/>
      <c r="CC275" s="35"/>
      <c r="CE275" s="35"/>
      <c r="CG275" s="35"/>
      <c r="CI275" s="35"/>
      <c r="CK275" s="35"/>
      <c r="CM275" s="35"/>
      <c r="CO275" s="35"/>
      <c r="CQ275" s="35"/>
    </row>
    <row r="276" spans="1:105" ht="12.75" customHeight="1" x14ac:dyDescent="0.2">
      <c r="A276" s="12" t="s">
        <v>163</v>
      </c>
      <c r="B276" s="35"/>
      <c r="C276" s="60"/>
      <c r="D276" s="35"/>
      <c r="E276" s="60"/>
      <c r="F276" s="35"/>
      <c r="G276" s="60"/>
      <c r="H276" s="35"/>
      <c r="I276" s="60"/>
      <c r="J276" s="35"/>
      <c r="L276" s="35"/>
      <c r="N276" s="35"/>
      <c r="P276" s="35"/>
      <c r="R276" s="48"/>
      <c r="T276" s="35"/>
      <c r="V276" s="35"/>
      <c r="X276" s="35"/>
      <c r="Z276" s="35"/>
      <c r="AB276" s="35"/>
      <c r="AD276" s="35"/>
      <c r="AF276" s="35"/>
      <c r="AH276" s="35"/>
      <c r="AJ276" s="35"/>
      <c r="AL276" s="35"/>
      <c r="AN276" s="409"/>
      <c r="AP276" s="409"/>
      <c r="AR276" s="546">
        <v>-11.970588235294118</v>
      </c>
      <c r="AT276" s="546"/>
      <c r="AV276" s="546"/>
      <c r="AX276" s="546"/>
      <c r="AZ276" s="546"/>
      <c r="BB276" s="546">
        <v>0</v>
      </c>
      <c r="BD276" s="546">
        <v>0</v>
      </c>
      <c r="BF276" s="35"/>
      <c r="BH276" s="35"/>
      <c r="BJ276" s="35"/>
      <c r="BL276" s="35"/>
      <c r="BN276" s="5"/>
      <c r="BO276" s="138"/>
      <c r="BP276" s="5"/>
      <c r="BQ276" s="5"/>
      <c r="BR276" s="5"/>
      <c r="BS276" s="5"/>
      <c r="BT276" s="5"/>
      <c r="BU276" s="35"/>
      <c r="BW276" s="35"/>
      <c r="BY276" s="35"/>
      <c r="CA276" s="35"/>
      <c r="CC276" s="35"/>
      <c r="CE276" s="56">
        <f>AP276+AR276+AT276+AV276</f>
        <v>-11.970588235294118</v>
      </c>
      <c r="CG276" s="56">
        <f>AX276+AZ276+BB276+BD276</f>
        <v>0</v>
      </c>
      <c r="CI276" s="56">
        <f>BF276+BH276+BJ276+BL276</f>
        <v>0</v>
      </c>
      <c r="CK276" s="35"/>
      <c r="CM276" s="35"/>
      <c r="CO276" s="35"/>
      <c r="CQ276" s="35"/>
    </row>
    <row r="277" spans="1:105" ht="12.75" customHeight="1" x14ac:dyDescent="0.2">
      <c r="A277" s="12" t="s">
        <v>325</v>
      </c>
      <c r="B277" s="49">
        <v>0</v>
      </c>
      <c r="C277" s="59"/>
      <c r="D277" s="49">
        <v>0</v>
      </c>
      <c r="E277" s="59"/>
      <c r="F277" s="49">
        <v>0</v>
      </c>
      <c r="G277" s="59"/>
      <c r="H277" s="49">
        <v>0</v>
      </c>
      <c r="I277" s="59"/>
      <c r="J277" s="49">
        <v>0</v>
      </c>
      <c r="K277" s="23" t="str">
        <f t="shared" ref="K277:Y280" si="1772">IF(ISERROR((J277/B277-1)*100),"NA",IF(((J277/B277-1)*100)&gt;100,"NM",IF(((J277/B277-1)*100)&lt;-50,"NM",(J277/B277-1)*100)))</f>
        <v>NA</v>
      </c>
      <c r="L277" s="49">
        <v>2.2000000000000002</v>
      </c>
      <c r="M277" s="23" t="str">
        <f t="shared" si="1772"/>
        <v>NA</v>
      </c>
      <c r="N277" s="49">
        <v>0</v>
      </c>
      <c r="O277" s="23" t="str">
        <f t="shared" si="1772"/>
        <v>NA</v>
      </c>
      <c r="P277" s="48">
        <v>0</v>
      </c>
      <c r="Q277" s="23" t="str">
        <f t="shared" si="1772"/>
        <v>NA</v>
      </c>
      <c r="R277" s="48">
        <f>(13*0.5/4)</f>
        <v>1.625</v>
      </c>
      <c r="S277" s="23" t="str">
        <f t="shared" si="1772"/>
        <v>NA</v>
      </c>
      <c r="T277" s="48">
        <v>0</v>
      </c>
      <c r="U277" s="23" t="str">
        <f t="shared" si="1772"/>
        <v>NM</v>
      </c>
      <c r="V277" s="48">
        <v>11.5</v>
      </c>
      <c r="W277" s="23" t="str">
        <f t="shared" si="1772"/>
        <v>NA</v>
      </c>
      <c r="X277" s="48">
        <v>1.7</v>
      </c>
      <c r="Y277" s="23" t="str">
        <f t="shared" si="1772"/>
        <v>NA</v>
      </c>
      <c r="Z277" s="48">
        <v>0</v>
      </c>
      <c r="AA277" s="23" t="str">
        <f>IF(ISERROR((Z277/R277-1)*100),"NA",IF(((Z277/R277-1)*100)&gt;100,"NM",IF(((Z277/R277-1)*100)&lt;-50,"NM",(Z277/R277-1)*100)))</f>
        <v>NM</v>
      </c>
      <c r="AB277" s="48">
        <v>0</v>
      </c>
      <c r="AC277" s="23" t="str">
        <f>IF(ISERROR((AB277/T277-1)*100),"NA",IF(((AB277/T277-1)*100)&gt;100,"NM",IF(((AB277/T277-1)*100)&lt;-50,"NM",(AB277/T277-1)*100)))</f>
        <v>NA</v>
      </c>
      <c r="AD277" s="49">
        <v>4.87</v>
      </c>
      <c r="AE277" s="23" t="str">
        <f>IF(ISERROR((AD277/V277-1)*100),"NA",IF(((AD277/V277-1)*100)&gt;100,"NM",IF(((AD277/V277-1)*100)&lt;-50,"NM",(AD277/V277-1)*100)))</f>
        <v>NM</v>
      </c>
      <c r="AF277" s="49">
        <v>-6.7</v>
      </c>
      <c r="AG277" s="23" t="str">
        <f>IF(ISERROR((AF277/X277-1)*100),"NA",IF(((AF277/X277-1)*100)&gt;100,"NM",IF(((AF277/X277-1)*100)&lt;-50,"NM",(AF277/X277-1)*100)))</f>
        <v>NM</v>
      </c>
      <c r="AH277" s="49">
        <v>2.35</v>
      </c>
      <c r="AI277" s="23" t="str">
        <f>IF(ISERROR((AH277/Z277-1)*100),"NA",IF(((AH277/Z277-1)*100)&gt;100,"NM",IF(((AH277/Z277-1)*100)&lt;-50,"NM",(AH277/Z277-1)*100)))</f>
        <v>NA</v>
      </c>
      <c r="AJ277" s="49"/>
      <c r="AK277" s="23" t="str">
        <f>IF(ISERROR((AJ277/AB277-1)*100),"NA",IF(((AJ277/AB277-1)*100)&gt;100,"NM",IF(((AJ277/AB277-1)*100)&lt;-50,"NM",(AJ277/AB277-1)*100)))</f>
        <v>NA</v>
      </c>
      <c r="AL277" s="49"/>
      <c r="AM277" s="23" t="str">
        <f>IF(ISERROR((AL277/AD277-1)*100),"NA",IF(((AL277/AD277-1)*100)&gt;100,"NM",IF(((AL277/AD277-1)*100)&lt;-50,"NM",(AL277/AD277-1)*100)))</f>
        <v>NM</v>
      </c>
      <c r="AN277" s="158"/>
      <c r="AO277" s="23" t="str">
        <f>IF(ISERROR((AN277/AF277-1)*100),"NA",IF(((AN277/AF277-1)*100)&gt;100,"NM",IF(((AN277/AF277-1)*100)&lt;-50,"NM",(AN277/AF277-1)*100)))</f>
        <v>NM</v>
      </c>
      <c r="AP277" s="158"/>
      <c r="AQ277" s="23" t="str">
        <f t="shared" ref="AQ277:AQ280" si="1773">IF(ISERROR((AP277/AH277-1)*100),"NA",IF(((AP277/AH277-1)*100)&gt;100,"NM",IF(((AP277/AH277-1)*100)&lt;-50,"NM",(AP277/AH277-1)*100)))</f>
        <v>NM</v>
      </c>
      <c r="AR277" s="158"/>
      <c r="AS277" s="23" t="str">
        <f t="shared" ref="AS277:AS280" si="1774">IF(ISERROR((AR277/AJ277-1)*100),"NA",IF(((AR277/AJ277-1)*100)&gt;100,"NM",IF(((AR277/AJ277-1)*100)&lt;-50,"NM",(AR277/AJ277-1)*100)))</f>
        <v>NA</v>
      </c>
      <c r="AT277" s="158">
        <v>2.6</v>
      </c>
      <c r="AU277" s="23" t="str">
        <f t="shared" ref="AU277:AU280" si="1775">IF(ISERROR((AT277/AL277-1)*100),"NA",IF(((AT277/AL277-1)*100)&gt;100,"NM",IF(((AT277/AL277-1)*100)&lt;-50,"NM",(AT277/AL277-1)*100)))</f>
        <v>NA</v>
      </c>
      <c r="AV277" s="158">
        <v>0.2</v>
      </c>
      <c r="AW277" s="23" t="str">
        <f t="shared" ref="AW277:AW280" si="1776">IF(ISERROR((AV277/AN277-1)*100),"NA",IF(((AV277/AN277-1)*100)&gt;100,"NM",IF(((AV277/AN277-1)*100)&lt;-50,"NM",(AV277/AN277-1)*100)))</f>
        <v>NA</v>
      </c>
      <c r="AX277" s="158">
        <v>4</v>
      </c>
      <c r="AY277" s="23" t="str">
        <f t="shared" ref="AY277:AY280" si="1777">IF(ISERROR((AX277/AP277-1)*100),"NA",IF(((AX277/AP277-1)*100)&gt;100,"NM",IF(((AX277/AP277-1)*100)&lt;-50,"NM",(AX277/AP277-1)*100)))</f>
        <v>NA</v>
      </c>
      <c r="AZ277" s="158">
        <v>31</v>
      </c>
      <c r="BA277" s="23" t="str">
        <f t="shared" ref="BA277:BA280" si="1778">IF(ISERROR((AZ277/AR277-1)*100),"NA",IF(((AZ277/AR277-1)*100)&gt;100,"NM",IF(((AZ277/AR277-1)*100)&lt;-50,"NM",(AZ277/AR277-1)*100)))</f>
        <v>NA</v>
      </c>
      <c r="BB277" s="158">
        <v>1</v>
      </c>
      <c r="BC277" s="23" t="str">
        <f t="shared" ref="BC277:BC280" si="1779">IF(ISERROR((BB277/AT277-1)*100),"NA",IF(((BB277/AT277-1)*100)&gt;100,"NM",IF(((BB277/AT277-1)*100)&lt;-50,"NM",(BB277/AT277-1)*100)))</f>
        <v>NM</v>
      </c>
      <c r="BD277" s="158">
        <v>2</v>
      </c>
      <c r="BE277" s="23" t="str">
        <f t="shared" ref="BE277:BE280" si="1780">IF(ISERROR((BD277/AV277-1)*100),"NA",IF(((BD277/AV277-1)*100)&gt;100,"NM",IF(((BD277/AV277-1)*100)&lt;-50,"NM",(BD277/AV277-1)*100)))</f>
        <v>NM</v>
      </c>
      <c r="BF277" s="48">
        <v>0</v>
      </c>
      <c r="BG277" s="23" t="str">
        <f t="shared" ref="BG277:BG280" si="1781">IF(ISERROR((BF277/AX277-1)*100),"NA",IF(((BF277/AX277-1)*100)&gt;100,"NM",IF(((BF277/AX277-1)*100)&lt;-50,"NM",(BF277/AX277-1)*100)))</f>
        <v>NM</v>
      </c>
      <c r="BH277" s="48">
        <v>0</v>
      </c>
      <c r="BI277" s="23" t="str">
        <f t="shared" ref="BI277:BI280" si="1782">IF(ISERROR((BH277/AZ277-1)*100),"NA",IF(((BH277/AZ277-1)*100)&gt;100,"NM",IF(((BH277/AZ277-1)*100)&lt;-50,"NM",(BH277/AZ277-1)*100)))</f>
        <v>NM</v>
      </c>
      <c r="BJ277" s="48">
        <v>0</v>
      </c>
      <c r="BK277" s="23" t="str">
        <f t="shared" ref="BK277:BK280" si="1783">IF(ISERROR((BJ277/BB277-1)*100),"NA",IF(((BJ277/BB277-1)*100)&gt;100,"NM",IF(((BJ277/BB277-1)*100)&lt;-50,"NM",(BJ277/BB277-1)*100)))</f>
        <v>NM</v>
      </c>
      <c r="BL277" s="48">
        <v>0</v>
      </c>
      <c r="BM277" s="23" t="str">
        <f t="shared" ref="BM277:BM280" si="1784">IF(ISERROR((BL277/BD277-1)*100),"NA",IF(((BL277/BD277-1)*100)&gt;100,"NM",IF(((BL277/BD277-1)*100)&lt;-50,"NM",(BL277/BD277-1)*100)))</f>
        <v>NM</v>
      </c>
      <c r="BN277" s="5"/>
      <c r="BO277" s="137"/>
      <c r="BP277" s="5"/>
      <c r="BQ277" s="49">
        <v>0</v>
      </c>
      <c r="BR277" s="10"/>
      <c r="BS277" s="49">
        <v>0</v>
      </c>
      <c r="BT277" s="5"/>
      <c r="BU277" s="56">
        <f>B277+D277+F277+H277</f>
        <v>0</v>
      </c>
      <c r="BV277" s="23" t="str">
        <f>IF(ISERROR((BU277/BS277-1)*100),"NA",IF(((BU277/BS277-1)*100)&gt;100,"NM",IF(((BU277/BS277-1)*100)&lt;-50,"NM",(BU277/BS277-1)*100)))</f>
        <v>NA</v>
      </c>
      <c r="BW277" s="56">
        <f>J277+L277+N277+P277</f>
        <v>2.2000000000000002</v>
      </c>
      <c r="BX277" s="23" t="str">
        <f>IF(ISERROR((BW277/BU277-1)*100),"NA",IF(((BW277/BU277-1)*100)&gt;100,"NM",IF(((BW277/BU277-1)*100)&lt;-50,"NM",(BW277/BU277-1)*100)))</f>
        <v>NA</v>
      </c>
      <c r="BY277" s="56">
        <f>R277+T277+V277+X277</f>
        <v>14.824999999999999</v>
      </c>
      <c r="BZ277" s="23" t="str">
        <f>IF(ISERROR((BY277/BW277-1)*100),"NA",IF(((BY277/BW277-1)*100)&gt;100,"NM",IF(((BY277/BW277-1)*100)&lt;-50,"NM",(BY277/BW277-1)*100)))</f>
        <v>NM</v>
      </c>
      <c r="CA277" s="56">
        <f>Z277+AB277+AD277+AF277</f>
        <v>-1.83</v>
      </c>
      <c r="CB277" s="23" t="str">
        <f>IF(ISERROR((CA277/BY277-1)*100),"NA",IF(((CA277/BY277-1)*100)&gt;100,"NM",IF(((CA277/BY277-1)*100)&lt;-50,"NM",(CA277/BY277-1)*100)))</f>
        <v>NM</v>
      </c>
      <c r="CC277" s="56">
        <f>AH277+AJ277+AL277+AN277</f>
        <v>2.35</v>
      </c>
      <c r="CD277" s="23" t="str">
        <f>IF(ISERROR((CC277/CA277-1)*100),"NA",IF(((CC277/CA277-1)*100)&gt;100,"NM",IF(((CC277/CA277-1)*100)&lt;-50,"NM",(CC277/CA277-1)*100)))</f>
        <v>NM</v>
      </c>
      <c r="CE277" s="56">
        <f>AP277+AR277+AT277+AV277</f>
        <v>2.8000000000000003</v>
      </c>
      <c r="CF277" s="23">
        <f>IF(ISERROR((CE277/CC277-1)*100),"NA",IF(((CE277/CC277-1)*100)&gt;100,"NM",IF(((CE277/CC277-1)*100)&lt;-50,"NM",(CE277/CC277-1)*100)))</f>
        <v>19.148936170212782</v>
      </c>
      <c r="CG277" s="56">
        <f>AX277+AZ277+BB277+BD277</f>
        <v>38</v>
      </c>
      <c r="CH277" s="23" t="str">
        <f>IF(ISERROR((CG277/CE277-1)*100),"NA",IF(((CG277/CE277-1)*100)&gt;100,"NM",IF(((CG277/CE277-1)*100)&lt;-50,"NM",(CG277/CE277-1)*100)))</f>
        <v>NM</v>
      </c>
      <c r="CI277" s="56">
        <f>BF277+BH277+BJ277+BL277</f>
        <v>0</v>
      </c>
      <c r="CJ277" s="23" t="str">
        <f>IF(ISERROR((CI277/CG277-1)*100),"NA",IF(((CI277/CG277-1)*100)&gt;100,"NM",IF(((CI277/CG277-1)*100)&lt;-50,"NM",(CI277/CG277-1)*100)))</f>
        <v>NM</v>
      </c>
      <c r="CK277" s="48">
        <v>0</v>
      </c>
      <c r="CL277" s="23" t="str">
        <f>IF(ISERROR((CK277/CI277-1)*100),"NA",IF(((CK277/CI277-1)*100)&gt;100,"NM",IF(((CK277/CI277-1)*100)&lt;-50,"NM",(CK277/CI277-1)*100)))</f>
        <v>NA</v>
      </c>
      <c r="CM277" s="48">
        <v>0</v>
      </c>
      <c r="CN277" s="23" t="str">
        <f>IF(ISERROR((CM277/CK277-1)*100),"NA",IF(((CM277/CK277-1)*100)&gt;100,"NM",IF(((CM277/CK277-1)*100)&lt;-50,"NM",(CM277/CK277-1)*100)))</f>
        <v>NA</v>
      </c>
      <c r="CO277" s="48">
        <v>0</v>
      </c>
      <c r="CP277" s="23" t="str">
        <f>IF(ISERROR((CO277/CM277-1)*100),"NA",IF(((CO277/CM277-1)*100)&gt;100,"NM",IF(((CO277/CM277-1)*100)&lt;-50,"NM",(CO277/CM277-1)*100)))</f>
        <v>NA</v>
      </c>
      <c r="CQ277" s="48">
        <v>0</v>
      </c>
      <c r="CR277" s="23" t="str">
        <f>IF(ISERROR((CQ277/CO277-1)*100),"NA",IF(((CQ277/CO277-1)*100)&gt;100,"NM",IF(((CQ277/CO277-1)*100)&lt;-50,"NM",(CQ277/CO277-1)*100)))</f>
        <v>NA</v>
      </c>
      <c r="CS277" s="23" t="str">
        <f>IF(ISERROR(((CQ277/CG277)^0.2-1)*100),"NA",IF((((CQ277/CG277)^0.2-1)*100)&gt;100,"NM",IF((((CQ277/CG277)^0.2-1)*100)&lt;-50,"NM",((CQ277/CG277)^0.2-1)*100)))</f>
        <v>NM</v>
      </c>
    </row>
    <row r="278" spans="1:105" ht="12.75" customHeight="1" x14ac:dyDescent="0.2">
      <c r="A278" s="4" t="s">
        <v>12</v>
      </c>
      <c r="B278" s="56">
        <f>B276+B277</f>
        <v>0</v>
      </c>
      <c r="C278" s="59"/>
      <c r="D278" s="56">
        <f>D276+D277</f>
        <v>0</v>
      </c>
      <c r="E278" s="59"/>
      <c r="F278" s="56">
        <f>F276+F277</f>
        <v>0</v>
      </c>
      <c r="G278" s="59"/>
      <c r="H278" s="56">
        <f>H276+H277</f>
        <v>0</v>
      </c>
      <c r="I278" s="59"/>
      <c r="J278" s="56">
        <f>J276+J277</f>
        <v>0</v>
      </c>
      <c r="K278" s="23" t="str">
        <f t="shared" si="1772"/>
        <v>NA</v>
      </c>
      <c r="L278" s="56">
        <f>L276+L277</f>
        <v>2.2000000000000002</v>
      </c>
      <c r="M278" s="23" t="str">
        <f t="shared" si="1772"/>
        <v>NA</v>
      </c>
      <c r="N278" s="56">
        <f>N276+N277</f>
        <v>0</v>
      </c>
      <c r="O278" s="23" t="str">
        <f t="shared" si="1772"/>
        <v>NA</v>
      </c>
      <c r="P278" s="56">
        <f>P276+P277</f>
        <v>0</v>
      </c>
      <c r="Q278" s="23" t="str">
        <f t="shared" si="1772"/>
        <v>NA</v>
      </c>
      <c r="R278" s="56">
        <f>R276+R277</f>
        <v>1.625</v>
      </c>
      <c r="S278" s="23" t="str">
        <f t="shared" si="1772"/>
        <v>NA</v>
      </c>
      <c r="T278" s="56">
        <f>T276+T277</f>
        <v>0</v>
      </c>
      <c r="U278" s="23" t="str">
        <f t="shared" si="1772"/>
        <v>NM</v>
      </c>
      <c r="V278" s="56">
        <f>V276+V277</f>
        <v>11.5</v>
      </c>
      <c r="W278" s="23" t="str">
        <f t="shared" si="1772"/>
        <v>NA</v>
      </c>
      <c r="X278" s="56">
        <f>X276+X277</f>
        <v>1.7</v>
      </c>
      <c r="Y278" s="23" t="str">
        <f t="shared" si="1772"/>
        <v>NA</v>
      </c>
      <c r="Z278" s="56">
        <f>Z276+Z277</f>
        <v>0</v>
      </c>
      <c r="AA278" s="23" t="str">
        <f>IF(ISERROR((Z278/R278-1)*100),"NA",IF(((Z278/R278-1)*100)&gt;100,"NM",IF(((Z278/R278-1)*100)&lt;-50,"NM",(Z278/R278-1)*100)))</f>
        <v>NM</v>
      </c>
      <c r="AB278" s="56">
        <f>AB276+AB277</f>
        <v>0</v>
      </c>
      <c r="AC278" s="23" t="str">
        <f>IF(ISERROR((AB278/T278-1)*100),"NA",IF(((AB278/T278-1)*100)&gt;100,"NM",IF(((AB278/T278-1)*100)&lt;-50,"NM",(AB278/T278-1)*100)))</f>
        <v>NA</v>
      </c>
      <c r="AD278" s="56">
        <f>AD276+AD277</f>
        <v>4.87</v>
      </c>
      <c r="AE278" s="23" t="str">
        <f>IF(ISERROR((AD278/V278-1)*100),"NA",IF(((AD278/V278-1)*100)&gt;100,"NM",IF(((AD278/V278-1)*100)&lt;-50,"NM",(AD278/V278-1)*100)))</f>
        <v>NM</v>
      </c>
      <c r="AF278" s="56">
        <f>AF276+AF277</f>
        <v>-6.7</v>
      </c>
      <c r="AG278" s="23" t="str">
        <f>IF(ISERROR((AF278/X278-1)*100),"NA",IF(((AF278/X278-1)*100)&gt;100,"NM",IF(((AF278/X278-1)*100)&lt;-50,"NM",(AF278/X278-1)*100)))</f>
        <v>NM</v>
      </c>
      <c r="AH278" s="56">
        <f>AH276+AH277</f>
        <v>2.35</v>
      </c>
      <c r="AI278" s="23" t="str">
        <f>IF(ISERROR((AH278/Z278-1)*100),"NA",IF(((AH278/Z278-1)*100)&gt;100,"NM",IF(((AH278/Z278-1)*100)&lt;-50,"NM",(AH278/Z278-1)*100)))</f>
        <v>NA</v>
      </c>
      <c r="AJ278" s="56">
        <f>AJ276+AJ277</f>
        <v>0</v>
      </c>
      <c r="AK278" s="23" t="str">
        <f>IF(ISERROR((AJ278/AB278-1)*100),"NA",IF(((AJ278/AB278-1)*100)&gt;100,"NM",IF(((AJ278/AB278-1)*100)&lt;-50,"NM",(AJ278/AB278-1)*100)))</f>
        <v>NA</v>
      </c>
      <c r="AL278" s="56">
        <f>AL276+AL277</f>
        <v>0</v>
      </c>
      <c r="AM278" s="23" t="str">
        <f>IF(ISERROR((AL278/AD278-1)*100),"NA",IF(((AL278/AD278-1)*100)&gt;100,"NM",IF(((AL278/AD278-1)*100)&lt;-50,"NM",(AL278/AD278-1)*100)))</f>
        <v>NM</v>
      </c>
      <c r="AN278" s="413">
        <f>AN276+AN277</f>
        <v>0</v>
      </c>
      <c r="AO278" s="23" t="str">
        <f>IF(ISERROR((AN278/AF278-1)*100),"NA",IF(((AN278/AF278-1)*100)&gt;100,"NM",IF(((AN278/AF278-1)*100)&lt;-50,"NM",(AN278/AF278-1)*100)))</f>
        <v>NM</v>
      </c>
      <c r="AP278" s="413">
        <f>AP276+AP277</f>
        <v>0</v>
      </c>
      <c r="AQ278" s="23" t="str">
        <f t="shared" si="1773"/>
        <v>NM</v>
      </c>
      <c r="AR278" s="413">
        <f>AR276+AR277</f>
        <v>-11.970588235294118</v>
      </c>
      <c r="AS278" s="23" t="str">
        <f t="shared" si="1774"/>
        <v>NA</v>
      </c>
      <c r="AT278" s="413">
        <f>AT276+AT277</f>
        <v>2.6</v>
      </c>
      <c r="AU278" s="23" t="str">
        <f t="shared" si="1775"/>
        <v>NA</v>
      </c>
      <c r="AV278" s="413">
        <f t="shared" ref="AV278:AX278" si="1785">AV276+AV277</f>
        <v>0.2</v>
      </c>
      <c r="AW278" s="23" t="str">
        <f t="shared" si="1776"/>
        <v>NA</v>
      </c>
      <c r="AX278" s="413">
        <f t="shared" si="1785"/>
        <v>4</v>
      </c>
      <c r="AY278" s="23" t="str">
        <f t="shared" si="1777"/>
        <v>NA</v>
      </c>
      <c r="AZ278" s="413">
        <f t="shared" ref="AZ278" si="1786">AZ276+AZ277</f>
        <v>31</v>
      </c>
      <c r="BA278" s="23" t="str">
        <f t="shared" si="1778"/>
        <v>NM</v>
      </c>
      <c r="BB278" s="413">
        <f t="shared" ref="BB278:BD278" si="1787">BB276+BB277</f>
        <v>1</v>
      </c>
      <c r="BC278" s="23" t="str">
        <f t="shared" si="1779"/>
        <v>NM</v>
      </c>
      <c r="BD278" s="413">
        <f t="shared" si="1787"/>
        <v>2</v>
      </c>
      <c r="BE278" s="23" t="str">
        <f t="shared" si="1780"/>
        <v>NM</v>
      </c>
      <c r="BF278" s="56">
        <f t="shared" ref="BF278" si="1788">BF276+BF277</f>
        <v>0</v>
      </c>
      <c r="BG278" s="23" t="str">
        <f t="shared" si="1781"/>
        <v>NM</v>
      </c>
      <c r="BH278" s="56">
        <f t="shared" ref="BH278" si="1789">BH276+BH277</f>
        <v>0</v>
      </c>
      <c r="BI278" s="23" t="str">
        <f t="shared" si="1782"/>
        <v>NM</v>
      </c>
      <c r="BJ278" s="56">
        <f t="shared" ref="BJ278" si="1790">BJ276+BJ277</f>
        <v>0</v>
      </c>
      <c r="BK278" s="23" t="str">
        <f t="shared" si="1783"/>
        <v>NM</v>
      </c>
      <c r="BL278" s="56">
        <f t="shared" ref="BL278" si="1791">BL276+BL277</f>
        <v>0</v>
      </c>
      <c r="BM278" s="23" t="str">
        <f t="shared" si="1784"/>
        <v>NM</v>
      </c>
      <c r="BN278" s="5"/>
      <c r="BO278" s="137"/>
      <c r="BP278" s="5"/>
      <c r="BQ278" s="56">
        <f>BQ277</f>
        <v>0</v>
      </c>
      <c r="BR278" s="10"/>
      <c r="BS278" s="56">
        <f>BS277</f>
        <v>0</v>
      </c>
      <c r="BT278" s="5"/>
      <c r="BU278" s="56">
        <f>BU276+BU277</f>
        <v>0</v>
      </c>
      <c r="BV278" s="23" t="str">
        <f>IF(ISERROR((BU278/BS278-1)*100),"NA",IF(((BU278/BS278-1)*100)&gt;100,"NM",IF(((BU278/BS278-1)*100)&lt;-50,"NM",(BU278/BS278-1)*100)))</f>
        <v>NA</v>
      </c>
      <c r="BW278" s="56">
        <f>BW276+BW277</f>
        <v>2.2000000000000002</v>
      </c>
      <c r="BX278" s="23" t="str">
        <f>IF(ISERROR((BW278/BU278-1)*100),"NA",IF(((BW278/BU278-1)*100)&gt;100,"NM",IF(((BW278/BU278-1)*100)&lt;-50,"NM",(BW278/BU278-1)*100)))</f>
        <v>NA</v>
      </c>
      <c r="BY278" s="56">
        <f>BY276+BY277</f>
        <v>14.824999999999999</v>
      </c>
      <c r="BZ278" s="23" t="str">
        <f>IF(ISERROR((BY278/BW278-1)*100),"NA",IF(((BY278/BW278-1)*100)&gt;100,"NM",IF(((BY278/BW278-1)*100)&lt;-50,"NM",(BY278/BW278-1)*100)))</f>
        <v>NM</v>
      </c>
      <c r="CA278" s="56">
        <f>CA276+CA277</f>
        <v>-1.83</v>
      </c>
      <c r="CB278" s="23" t="str">
        <f>IF(ISERROR((CA278/BY278-1)*100),"NA",IF(((CA278/BY278-1)*100)&gt;100,"NM",IF(((CA278/BY278-1)*100)&lt;-50,"NM",(CA278/BY278-1)*100)))</f>
        <v>NM</v>
      </c>
      <c r="CC278" s="56">
        <f>CC276+CC277</f>
        <v>2.35</v>
      </c>
      <c r="CD278" s="23" t="str">
        <f>IF(ISERROR((CC278/CA278-1)*100),"NA",IF(((CC278/CA278-1)*100)&gt;100,"NM",IF(((CC278/CA278-1)*100)&lt;-50,"NM",(CC278/CA278-1)*100)))</f>
        <v>NM</v>
      </c>
      <c r="CE278" s="56">
        <f>CE276+CE277</f>
        <v>-9.170588235294117</v>
      </c>
      <c r="CF278" s="23" t="str">
        <f>IF(ISERROR((CE278/CC278-1)*100),"NA",IF(((CE278/CC278-1)*100)&gt;100,"NM",IF(((CE278/CC278-1)*100)&lt;-50,"NM",(CE278/CC278-1)*100)))</f>
        <v>NM</v>
      </c>
      <c r="CG278" s="56">
        <f>CG276+CG277</f>
        <v>38</v>
      </c>
      <c r="CH278" s="23" t="str">
        <f>IF(ISERROR((CG278/CE278-1)*100),"NA",IF(((CG278/CE278-1)*100)&gt;100,"NM",IF(((CG278/CE278-1)*100)&lt;-50,"NM",(CG278/CE278-1)*100)))</f>
        <v>NM</v>
      </c>
      <c r="CI278" s="56">
        <f>CI276+CI277</f>
        <v>0</v>
      </c>
      <c r="CJ278" s="23" t="str">
        <f>IF(ISERROR((CI278/CG278-1)*100),"NA",IF(((CI278/CG278-1)*100)&gt;100,"NM",IF(((CI278/CG278-1)*100)&lt;-50,"NM",(CI278/CG278-1)*100)))</f>
        <v>NM</v>
      </c>
      <c r="CK278" s="56">
        <f>CK276+CK277</f>
        <v>0</v>
      </c>
      <c r="CL278" s="23" t="str">
        <f>IF(ISERROR((CK278/CI278-1)*100),"NA",IF(((CK278/CI278-1)*100)&gt;100,"NM",IF(((CK278/CI278-1)*100)&lt;-50,"NM",(CK278/CI278-1)*100)))</f>
        <v>NA</v>
      </c>
      <c r="CM278" s="56">
        <f>CM276+CM277</f>
        <v>0</v>
      </c>
      <c r="CN278" s="23" t="str">
        <f>IF(ISERROR((CM278/CK278-1)*100),"NA",IF(((CM278/CK278-1)*100)&gt;100,"NM",IF(((CM278/CK278-1)*100)&lt;-50,"NM",(CM278/CK278-1)*100)))</f>
        <v>NA</v>
      </c>
      <c r="CO278" s="56">
        <f>CO276+CO277</f>
        <v>0</v>
      </c>
      <c r="CP278" s="23" t="str">
        <f>IF(ISERROR((CO278/CM278-1)*100),"NA",IF(((CO278/CM278-1)*100)&gt;100,"NM",IF(((CO278/CM278-1)*100)&lt;-50,"NM",(CO278/CM278-1)*100)))</f>
        <v>NA</v>
      </c>
      <c r="CQ278" s="56">
        <f>CQ276+CQ277</f>
        <v>0</v>
      </c>
      <c r="CR278" s="23" t="str">
        <f>IF(ISERROR((CQ278/CO278-1)*100),"NA",IF(((CQ278/CO278-1)*100)&gt;100,"NM",IF(((CQ278/CO278-1)*100)&lt;-50,"NM",(CQ278/CO278-1)*100)))</f>
        <v>NA</v>
      </c>
      <c r="CS278" s="23" t="str">
        <f>IF(ISERROR(((CQ278/CG278)^0.2-1)*100),"NA",IF((((CQ278/CG278)^0.2-1)*100)&gt;100,"NM",IF((((CQ278/CG278)^0.2-1)*100)&lt;-50,"NM",((CQ278/CG278)^0.2-1)*100)))</f>
        <v>NM</v>
      </c>
    </row>
    <row r="279" spans="1:105" ht="12.75" customHeight="1" x14ac:dyDescent="0.2">
      <c r="A279" s="3" t="s">
        <v>130</v>
      </c>
      <c r="B279" s="72">
        <f t="shared" ref="B279:Z279" si="1792">B273-B278</f>
        <v>25.297999999999988</v>
      </c>
      <c r="C279" s="59"/>
      <c r="D279" s="72">
        <f t="shared" si="1792"/>
        <v>26.352000000000004</v>
      </c>
      <c r="E279" s="59"/>
      <c r="F279" s="72">
        <f t="shared" si="1792"/>
        <v>22.780999999999992</v>
      </c>
      <c r="G279" s="59"/>
      <c r="H279" s="72">
        <f t="shared" si="1792"/>
        <v>13.064999999999998</v>
      </c>
      <c r="I279" s="59"/>
      <c r="J279" s="72">
        <f t="shared" si="1792"/>
        <v>32.994</v>
      </c>
      <c r="K279" s="23">
        <f t="shared" si="1772"/>
        <v>30.421377183967181</v>
      </c>
      <c r="L279" s="72">
        <f t="shared" si="1792"/>
        <v>29.094000000000012</v>
      </c>
      <c r="M279" s="23">
        <f t="shared" si="1772"/>
        <v>10.405282331511877</v>
      </c>
      <c r="N279" s="72">
        <f t="shared" si="1792"/>
        <v>38.959999999999994</v>
      </c>
      <c r="O279" s="23">
        <f t="shared" si="1772"/>
        <v>71.019709406961979</v>
      </c>
      <c r="P279" s="72">
        <f t="shared" si="1792"/>
        <v>31.219000000000008</v>
      </c>
      <c r="Q279" s="23" t="str">
        <f t="shared" si="1772"/>
        <v>NM</v>
      </c>
      <c r="R279" s="72">
        <f t="shared" si="1792"/>
        <v>28.475000000000009</v>
      </c>
      <c r="S279" s="23">
        <f t="shared" si="1772"/>
        <v>-13.696429653876441</v>
      </c>
      <c r="T279" s="72">
        <f t="shared" si="1792"/>
        <v>41</v>
      </c>
      <c r="U279" s="23">
        <f t="shared" si="1772"/>
        <v>40.922526981508156</v>
      </c>
      <c r="V279" s="72">
        <f t="shared" si="1792"/>
        <v>42.500000000000028</v>
      </c>
      <c r="W279" s="23">
        <f t="shared" si="1772"/>
        <v>9.0862422997947547</v>
      </c>
      <c r="X279" s="72">
        <f t="shared" si="1792"/>
        <v>51.199999999999989</v>
      </c>
      <c r="Y279" s="23">
        <f t="shared" si="1772"/>
        <v>64.002690669143703</v>
      </c>
      <c r="Z279" s="72">
        <f t="shared" si="1792"/>
        <v>49.8</v>
      </c>
      <c r="AA279" s="23">
        <f>IF(ISERROR((Z279/R279-1)*100),"NA",IF(((Z279/R279-1)*100)&gt;100,"NM",IF(((Z279/R279-1)*100)&lt;-50,"NM",(Z279/R279-1)*100)))</f>
        <v>74.890254609306339</v>
      </c>
      <c r="AB279" s="72">
        <f t="shared" ref="AB279:AD279" si="1793">AB273-AB278</f>
        <v>54.899999999999991</v>
      </c>
      <c r="AC279" s="23">
        <f>IF(ISERROR((AB279/T279-1)*100),"NA",IF(((AB279/T279-1)*100)&gt;100,"NM",IF(((AB279/T279-1)*100)&lt;-50,"NM",(AB279/T279-1)*100)))</f>
        <v>33.902439024390233</v>
      </c>
      <c r="AD279" s="72">
        <f t="shared" si="1793"/>
        <v>53.730000000000011</v>
      </c>
      <c r="AE279" s="23">
        <f>IF(ISERROR((AD279/V279-1)*100),"NA",IF(((AD279/V279-1)*100)&gt;100,"NM",IF(((AD279/V279-1)*100)&lt;-50,"NM",(AD279/V279-1)*100)))</f>
        <v>26.423529411764648</v>
      </c>
      <c r="AF279" s="72">
        <f>AF273-AF278</f>
        <v>53.7</v>
      </c>
      <c r="AG279" s="23">
        <f>IF(ISERROR((AF279/X279-1)*100),"NA",IF(((AF279/X279-1)*100)&gt;100,"NM",IF(((AF279/X279-1)*100)&lt;-50,"NM",(AF279/X279-1)*100)))</f>
        <v>4.8828125000000222</v>
      </c>
      <c r="AH279" s="72">
        <f>AH273-AH278</f>
        <v>44.54999999999999</v>
      </c>
      <c r="AI279" s="23">
        <f>IF(ISERROR((AH279/Z279-1)*100),"NA",IF(((AH279/Z279-1)*100)&gt;100,"NM",IF(((AH279/Z279-1)*100)&lt;-50,"NM",(AH279/Z279-1)*100)))</f>
        <v>-10.542168674698814</v>
      </c>
      <c r="AJ279" s="72">
        <f>AJ273-AJ278</f>
        <v>47</v>
      </c>
      <c r="AK279" s="23">
        <f>IF(ISERROR((AJ279/AB279-1)*100),"NA",IF(((AJ279/AB279-1)*100)&gt;100,"NM",IF(((AJ279/AB279-1)*100)&lt;-50,"NM",(AJ279/AB279-1)*100)))</f>
        <v>-14.389799635701262</v>
      </c>
      <c r="AL279" s="72">
        <f>AL273-AL278</f>
        <v>45.599999999999994</v>
      </c>
      <c r="AM279" s="23">
        <f>IF(ISERROR((AL279/AD279-1)*100),"NA",IF(((AL279/AD279-1)*100)&gt;100,"NM",IF(((AL279/AD279-1)*100)&lt;-50,"NM",(AL279/AD279-1)*100)))</f>
        <v>-15.131211613623707</v>
      </c>
      <c r="AN279" s="72">
        <f t="shared" ref="AN279:AP279" si="1794">AN273-AN278</f>
        <v>42.400000000000006</v>
      </c>
      <c r="AO279" s="23">
        <f>IF(ISERROR((AN279/AF279-1)*100),"NA",IF(((AN279/AF279-1)*100)&gt;100,"NM",IF(((AN279/AF279-1)*100)&lt;-50,"NM",(AN279/AF279-1)*100)))</f>
        <v>-21.042830540037237</v>
      </c>
      <c r="AP279" s="72">
        <f t="shared" si="1794"/>
        <v>22.700000000000017</v>
      </c>
      <c r="AQ279" s="23">
        <f t="shared" si="1773"/>
        <v>-49.046015712682333</v>
      </c>
      <c r="AR279" s="72">
        <f t="shared" ref="AR279:AT279" si="1795">AR273-AR278</f>
        <v>43.670588235294133</v>
      </c>
      <c r="AS279" s="23">
        <f t="shared" si="1774"/>
        <v>-7.0838548185231165</v>
      </c>
      <c r="AT279" s="72">
        <f t="shared" si="1795"/>
        <v>48.799999999999976</v>
      </c>
      <c r="AU279" s="23">
        <f t="shared" si="1775"/>
        <v>7.017543859649078</v>
      </c>
      <c r="AV279" s="72">
        <f t="shared" ref="AV279:AX279" si="1796">AV273-AV278</f>
        <v>64.699999999999989</v>
      </c>
      <c r="AW279" s="23">
        <f t="shared" si="1776"/>
        <v>52.594339622641463</v>
      </c>
      <c r="AX279" s="72">
        <f t="shared" si="1796"/>
        <v>45.400000000000006</v>
      </c>
      <c r="AY279" s="23">
        <f t="shared" si="1777"/>
        <v>99.999999999999872</v>
      </c>
      <c r="AZ279" s="72">
        <f t="shared" ref="AZ279" si="1797">AZ273-AZ278</f>
        <v>53.700000000000017</v>
      </c>
      <c r="BA279" s="23">
        <f t="shared" si="1778"/>
        <v>22.966056034482762</v>
      </c>
      <c r="BB279" s="72">
        <f t="shared" ref="BB279:BD279" si="1798">BB273-BB278</f>
        <v>52.599999999999994</v>
      </c>
      <c r="BC279" s="23">
        <f t="shared" si="1779"/>
        <v>7.7868852459016757</v>
      </c>
      <c r="BD279" s="72">
        <f t="shared" si="1798"/>
        <v>59</v>
      </c>
      <c r="BE279" s="23">
        <f t="shared" si="1780"/>
        <v>-8.8098918083461939</v>
      </c>
      <c r="BF279" s="72">
        <f t="shared" ref="BF279" si="1799">BF273-BF278</f>
        <v>49.016247705139676</v>
      </c>
      <c r="BG279" s="23">
        <f t="shared" si="1781"/>
        <v>7.9653033152856212</v>
      </c>
      <c r="BH279" s="72">
        <f t="shared" ref="BH279" si="1800">BH273-BH278</f>
        <v>60.328951767677012</v>
      </c>
      <c r="BI279" s="23">
        <f t="shared" si="1782"/>
        <v>12.344416699584727</v>
      </c>
      <c r="BJ279" s="72">
        <f t="shared" ref="BJ279" si="1801">BJ273-BJ278</f>
        <v>52.798766754802131</v>
      </c>
      <c r="BK279" s="23">
        <f t="shared" si="1783"/>
        <v>0.37788356426262659</v>
      </c>
      <c r="BL279" s="72">
        <f t="shared" ref="BL279" si="1802">BL273-BL278</f>
        <v>55.339618962435878</v>
      </c>
      <c r="BM279" s="23">
        <f t="shared" si="1784"/>
        <v>-6.2040356568883404</v>
      </c>
      <c r="BN279" s="5"/>
      <c r="BO279" s="137"/>
      <c r="BP279" s="5"/>
      <c r="BQ279" s="72">
        <f t="shared" ref="BQ279:CA279" si="1803">BQ273-BQ278</f>
        <v>44.399999999999977</v>
      </c>
      <c r="BR279" s="5"/>
      <c r="BS279" s="72">
        <f t="shared" si="1803"/>
        <v>50.099999999999966</v>
      </c>
      <c r="BT279" s="5"/>
      <c r="BU279" s="72">
        <f t="shared" si="1803"/>
        <v>87.496000000000038</v>
      </c>
      <c r="BV279" s="23">
        <f>IF(ISERROR((BU279/BS279-1)*100),"NA",IF(((BU279/BS279-1)*100)&gt;100,"NM",IF(((BU279/BS279-1)*100)&lt;-50,"NM",(BU279/BS279-1)*100)))</f>
        <v>74.642714570858473</v>
      </c>
      <c r="BW279" s="72">
        <f t="shared" si="1803"/>
        <v>132.267</v>
      </c>
      <c r="BX279" s="23">
        <f>IF(ISERROR((BW279/BU279-1)*100),"NA",IF(((BW279/BU279-1)*100)&gt;100,"NM",IF(((BW279/BU279-1)*100)&lt;-50,"NM",(BW279/BU279-1)*100)))</f>
        <v>51.169196306116781</v>
      </c>
      <c r="BY279" s="72">
        <f t="shared" si="1803"/>
        <v>163.17500000000018</v>
      </c>
      <c r="BZ279" s="23">
        <f>IF(ISERROR((BY279/BW279-1)*100),"NA",IF(((BY279/BW279-1)*100)&gt;100,"NM",IF(((BY279/BW279-1)*100)&lt;-50,"NM",(BY279/BW279-1)*100)))</f>
        <v>23.367884657548888</v>
      </c>
      <c r="CA279" s="72">
        <f t="shared" si="1803"/>
        <v>212.12999999999997</v>
      </c>
      <c r="CB279" s="23">
        <f>IF(ISERROR((CA279/BY279-1)*100),"NA",IF(((CA279/BY279-1)*100)&gt;100,"NM",IF(((CA279/BY279-1)*100)&lt;-50,"NM",(CA279/BY279-1)*100)))</f>
        <v>30.001532097441231</v>
      </c>
      <c r="CC279" s="72">
        <f t="shared" ref="CC279" si="1804">CC273-CC278</f>
        <v>179.54999999999993</v>
      </c>
      <c r="CD279" s="23">
        <f>IF(ISERROR((CC279/CA279-1)*100),"NA",IF(((CC279/CA279-1)*100)&gt;100,"NM",IF(((CC279/CA279-1)*100)&lt;-50,"NM",(CC279/CA279-1)*100)))</f>
        <v>-15.358506576156151</v>
      </c>
      <c r="CE279" s="72">
        <f t="shared" ref="CE279" si="1805">CE273-CE278</f>
        <v>179.87058823529398</v>
      </c>
      <c r="CF279" s="23">
        <f>IF(ISERROR((CE279/CC279-1)*100),"NA",IF(((CE279/CC279-1)*100)&gt;100,"NM",IF(((CE279/CC279-1)*100)&lt;-50,"NM",(CE279/CC279-1)*100)))</f>
        <v>0.17855095254473152</v>
      </c>
      <c r="CG279" s="72">
        <f t="shared" ref="CG279" si="1806">CG273-CG278</f>
        <v>210.69999999999993</v>
      </c>
      <c r="CH279" s="23">
        <f>IF(ISERROR((CG279/CE279-1)*100),"NA",IF(((CG279/CE279-1)*100)&gt;100,"NM",IF(((CG279/CE279-1)*100)&lt;-50,"NM",(CG279/CE279-1)*100)))</f>
        <v>17.139773693505191</v>
      </c>
      <c r="CI279" s="72">
        <f t="shared" ref="CI279" si="1807">CI273-CI278</f>
        <v>217.48358519005455</v>
      </c>
      <c r="CJ279" s="23">
        <f>IF(ISERROR((CI279/CG279-1)*100),"NA",IF(((CI279/CG279-1)*100)&gt;100,"NM",IF(((CI279/CG279-1)*100)&lt;-50,"NM",(CI279/CG279-1)*100)))</f>
        <v>3.2195468391336579</v>
      </c>
      <c r="CK279" s="72">
        <f>CK273-CK278</f>
        <v>228.82649070227592</v>
      </c>
      <c r="CL279" s="23">
        <f>IF(ISERROR((CK279/CI279-1)*100),"NA",IF(((CK279/CI279-1)*100)&gt;100,"NM",IF(((CK279/CI279-1)*100)&lt;-50,"NM",(CK279/CI279-1)*100)))</f>
        <v>5.2155225886629575</v>
      </c>
      <c r="CM279" s="72">
        <f>CM273-CM278</f>
        <v>238.92389714011205</v>
      </c>
      <c r="CN279" s="23">
        <f>IF(ISERROR((CM279/CK279-1)*100),"NA",IF(((CM279/CK279-1)*100)&gt;100,"NM",IF(((CM279/CK279-1)*100)&lt;-50,"NM",(CM279/CK279-1)*100)))</f>
        <v>4.4126912084553105</v>
      </c>
      <c r="CO279" s="72">
        <f>CO273-CO278</f>
        <v>246.91519455282821</v>
      </c>
      <c r="CP279" s="23">
        <f>IF(ISERROR((CO279/CM279-1)*100),"NA",IF(((CO279/CM279-1)*100)&gt;100,"NM",IF(((CO279/CM279-1)*100)&lt;-50,"NM",(CO279/CM279-1)*100)))</f>
        <v>3.3447041122177223</v>
      </c>
      <c r="CQ279" s="72">
        <f>CQ273-CQ278</f>
        <v>255.60776598641326</v>
      </c>
      <c r="CR279" s="23">
        <f>IF(ISERROR((CQ279/CO279-1)*100),"NA",IF(((CQ279/CO279-1)*100)&gt;100,"NM",IF(((CQ279/CO279-1)*100)&lt;-50,"NM",(CQ279/CO279-1)*100)))</f>
        <v>3.5204684139943598</v>
      </c>
      <c r="CS279" s="23">
        <f>IF(ISERROR(((CQ279/CG279)^0.2-1)*100),"NA",IF((((CQ279/CG279)^0.2-1)*100)&gt;100,"NM",IF((((CQ279/CG279)^0.2-1)*100)&lt;-50,"NM",((CQ279/CG279)^0.2-1)*100)))</f>
        <v>3.9398059780662686</v>
      </c>
    </row>
    <row r="280" spans="1:105" ht="12.75" customHeight="1" x14ac:dyDescent="0.2">
      <c r="A280" s="4" t="s">
        <v>131</v>
      </c>
      <c r="B280" s="35">
        <f t="shared" ref="B280:Z280" si="1808">B279/B252*100</f>
        <v>19.67307453029737</v>
      </c>
      <c r="C280" s="59"/>
      <c r="D280" s="35">
        <f t="shared" si="1808"/>
        <v>20.164363436022224</v>
      </c>
      <c r="E280" s="59"/>
      <c r="F280" s="35">
        <f t="shared" si="1808"/>
        <v>18.592788469386086</v>
      </c>
      <c r="G280" s="59"/>
      <c r="H280" s="35">
        <f t="shared" si="1808"/>
        <v>11.86346796455034</v>
      </c>
      <c r="I280" s="59"/>
      <c r="J280" s="35">
        <f t="shared" si="1808"/>
        <v>25.255084466829452</v>
      </c>
      <c r="K280" s="23">
        <f t="shared" si="1772"/>
        <v>28.373856500851204</v>
      </c>
      <c r="L280" s="35">
        <f t="shared" si="1808"/>
        <v>22.342704869563889</v>
      </c>
      <c r="M280" s="23">
        <f t="shared" si="1772"/>
        <v>10.802926858827643</v>
      </c>
      <c r="N280" s="35">
        <f t="shared" si="1808"/>
        <v>27.410174690615385</v>
      </c>
      <c r="O280" s="23">
        <f t="shared" si="1772"/>
        <v>47.423689220944709</v>
      </c>
      <c r="P280" s="35">
        <f t="shared" si="1808"/>
        <v>21.910684081609741</v>
      </c>
      <c r="Q280" s="23">
        <f t="shared" si="1772"/>
        <v>84.690380140797402</v>
      </c>
      <c r="R280" s="35">
        <f t="shared" si="1808"/>
        <v>21.588324488248677</v>
      </c>
      <c r="S280" s="23">
        <f t="shared" si="1772"/>
        <v>-14.518898099100685</v>
      </c>
      <c r="T280" s="35">
        <f t="shared" si="1808"/>
        <v>27.609427609427613</v>
      </c>
      <c r="U280" s="23">
        <f t="shared" si="1772"/>
        <v>23.572449130983507</v>
      </c>
      <c r="V280" s="35">
        <f t="shared" si="1808"/>
        <v>26.545908806995644</v>
      </c>
      <c r="W280" s="23">
        <f t="shared" si="1772"/>
        <v>-3.1530841863464887</v>
      </c>
      <c r="X280" s="35">
        <f t="shared" si="1808"/>
        <v>30.640335128665463</v>
      </c>
      <c r="Y280" s="23">
        <f t="shared" si="1772"/>
        <v>39.841983091631384</v>
      </c>
      <c r="Z280" s="35">
        <f t="shared" si="1808"/>
        <v>31.028037383177569</v>
      </c>
      <c r="AA280" s="23">
        <f>IF(ISERROR((Z280/R280-1)*100),"NA",IF(((Z280/R280-1)*100)&gt;100,"NM",IF(((Z280/R280-1)*100)&lt;-50,"NM",(Z280/R280-1)*100)))</f>
        <v>43.726009862725924</v>
      </c>
      <c r="AB280" s="35">
        <f t="shared" ref="AB280:AD280" si="1809">AB279/AB252*100</f>
        <v>33.639705882352935</v>
      </c>
      <c r="AC280" s="23">
        <f>IF(ISERROR((AB280/T280-1)*100),"NA",IF(((AB280/T280-1)*100)&gt;100,"NM",IF(((AB280/T280-1)*100)&lt;-50,"NM",(AB280/T280-1)*100)))</f>
        <v>21.841373744619762</v>
      </c>
      <c r="AD280" s="35">
        <f t="shared" si="1809"/>
        <v>31.925133689839573</v>
      </c>
      <c r="AE280" s="23">
        <f>IF(ISERROR((AD280/V280-1)*100),"NA",IF(((AD280/V280-1)*100)&gt;100,"NM",IF(((AD280/V280-1)*100)&lt;-50,"NM",(AD280/V280-1)*100)))</f>
        <v>20.263856558666184</v>
      </c>
      <c r="AF280" s="35">
        <f>AF279/AF252*100</f>
        <v>32.864137086903305</v>
      </c>
      <c r="AG280" s="23">
        <f>IF(ISERROR((AF280/X280-1)*100),"NA",IF(((AF280/X280-1)*100)&gt;100,"NM",IF(((AF280/X280-1)*100)&lt;-50,"NM",(AF280/X280-1)*100)))</f>
        <v>7.2577599066707688</v>
      </c>
      <c r="AH280" s="35">
        <f>AH279/AH252*100</f>
        <v>27.314530962599626</v>
      </c>
      <c r="AI280" s="23">
        <f>IF(ISERROR((AH280/Z280-1)*100),"NA",IF(((AH280/Z280-1)*100)&gt;100,"NM",IF(((AH280/Z280-1)*100)&lt;-50,"NM",(AH280/Z280-1)*100)))</f>
        <v>-11.968228524151803</v>
      </c>
      <c r="AJ280" s="35">
        <f>AJ279/AJ252*100</f>
        <v>29.634300126103408</v>
      </c>
      <c r="AK280" s="23">
        <f>IF(ISERROR((AJ280/AB280-1)*100),"NA",IF(((AJ280/AB280-1)*100)&gt;100,"NM",IF(((AJ280/AB280-1)*100)&lt;-50,"NM",(AJ280/AB280-1)*100)))</f>
        <v>-11.906779953004055</v>
      </c>
      <c r="AL280" s="35">
        <f>AL279/AL252*100</f>
        <v>29.882044560943644</v>
      </c>
      <c r="AM280" s="23">
        <f>IF(ISERROR((AL280/AD280-1)*100),"NA",IF(((AL280/AD280-1)*100)&gt;100,"NM",IF(((AL280/AD280-1)*100)&lt;-50,"NM",(AL280/AD280-1)*100)))</f>
        <v>-6.3996259146321339</v>
      </c>
      <c r="AN280" s="409">
        <f t="shared" ref="AN280:AP280" si="1810">AN279/AN252*100</f>
        <v>28.66801893171062</v>
      </c>
      <c r="AO280" s="23">
        <f>IF(ISERROR((AN280/AF280-1)*100),"NA",IF(((AN280/AF280-1)*100)&gt;100,"NM",IF(((AN280/AF280-1)*100)&lt;-50,"NM",(AN280/AF280-1)*100)))</f>
        <v>-12.768076472225044</v>
      </c>
      <c r="AP280" s="409">
        <f t="shared" si="1810"/>
        <v>17.170953101361583</v>
      </c>
      <c r="AQ280" s="23">
        <f t="shared" si="1773"/>
        <v>-37.136196389852415</v>
      </c>
      <c r="AR280" s="409">
        <f t="shared" ref="AR280:AT280" si="1811">AR279/AR252*100</f>
        <v>30.689099251787866</v>
      </c>
      <c r="AS280" s="23">
        <f t="shared" si="1774"/>
        <v>3.559385985820307</v>
      </c>
      <c r="AT280" s="409">
        <f t="shared" si="1811"/>
        <v>29.957028852056467</v>
      </c>
      <c r="AU280" s="23">
        <f t="shared" si="1775"/>
        <v>0.25093427245213018</v>
      </c>
      <c r="AV280" s="409">
        <f t="shared" ref="AV280:AX280" si="1812">AV279/AV252*100</f>
        <v>34.196617336152215</v>
      </c>
      <c r="AW280" s="23">
        <f t="shared" si="1776"/>
        <v>19.284898679644158</v>
      </c>
      <c r="AX280" s="409">
        <f t="shared" si="1812"/>
        <v>26.47230320699709</v>
      </c>
      <c r="AY280" s="23">
        <f t="shared" si="1777"/>
        <v>54.169096209912482</v>
      </c>
      <c r="AZ280" s="409">
        <f t="shared" ref="AZ280" si="1813">AZ279/AZ252*100</f>
        <v>26.440177252584938</v>
      </c>
      <c r="BA280" s="23">
        <f t="shared" si="1778"/>
        <v>-13.845052812866109</v>
      </c>
      <c r="BB280" s="409">
        <f t="shared" ref="BB280:BD280" si="1814">BB279/BB252*100</f>
        <v>30.742255990648744</v>
      </c>
      <c r="BC280" s="23">
        <f t="shared" si="1779"/>
        <v>2.6211782966533148</v>
      </c>
      <c r="BD280" s="409">
        <f t="shared" si="1814"/>
        <v>31.72043010752688</v>
      </c>
      <c r="BE280" s="23">
        <f t="shared" si="1780"/>
        <v>-7.2410297319306594</v>
      </c>
      <c r="BF280" s="35">
        <f t="shared" ref="BF280" si="1815">BF279/BF252*100</f>
        <v>27.999999999999993</v>
      </c>
      <c r="BG280" s="23">
        <f t="shared" si="1781"/>
        <v>5.770925110132108</v>
      </c>
      <c r="BH280" s="35">
        <f t="shared" ref="BH280" si="1816">BH279/BH252*100</f>
        <v>34</v>
      </c>
      <c r="BI280" s="23">
        <f t="shared" si="1782"/>
        <v>28.592178770949705</v>
      </c>
      <c r="BJ280" s="35">
        <f t="shared" ref="BJ280" si="1817">BJ279/BJ252*100</f>
        <v>33.999999999999993</v>
      </c>
      <c r="BK280" s="23">
        <f t="shared" si="1783"/>
        <v>10.596958174904913</v>
      </c>
      <c r="BL280" s="35">
        <f t="shared" ref="BL280" si="1818">BL279/BL252*100</f>
        <v>34</v>
      </c>
      <c r="BM280" s="23">
        <f t="shared" si="1784"/>
        <v>7.1864406779660994</v>
      </c>
      <c r="BN280" s="5"/>
      <c r="BO280" s="138"/>
      <c r="BP280" s="5"/>
      <c r="BQ280" s="35">
        <f t="shared" ref="BQ280:CA280" si="1819">BQ279/BQ252*100</f>
        <v>11.326530612244893</v>
      </c>
      <c r="BR280" s="5"/>
      <c r="BS280" s="35">
        <f t="shared" si="1819"/>
        <v>11.023102310231017</v>
      </c>
      <c r="BT280" s="5"/>
      <c r="BU280" s="35">
        <f t="shared" si="1819"/>
        <v>17.786198092419284</v>
      </c>
      <c r="BV280" s="23">
        <f>IF(ISERROR((BU280/BS280-1)*100),"NA",IF(((BU280/BS280-1)*100)&gt;100,"NM",IF(((BU280/BS280-1)*100)&lt;-50,"NM",(BU280/BS280-1)*100)))</f>
        <v>61.353832994103151</v>
      </c>
      <c r="BW280" s="35">
        <f>BW279/BW252*100</f>
        <v>24.247818435139692</v>
      </c>
      <c r="BX280" s="23">
        <f>IF(ISERROR((BW280/BU280-1)*100),"NA",IF(((BW280/BU280-1)*100)&gt;100,"NM",IF(((BW280/BU280-1)*100)&lt;-50,"NM",(BW280/BU280-1)*100)))</f>
        <v>36.329407269305293</v>
      </c>
      <c r="BY280" s="35">
        <f t="shared" si="1819"/>
        <v>26.855661619486526</v>
      </c>
      <c r="BZ280" s="23">
        <f>IF(ISERROR((BY280/BW280-1)*100),"NA",IF(((BY280/BW280-1)*100)&gt;100,"NM",IF(((BY280/BW280-1)*100)&lt;-50,"NM",(BY280/BW280-1)*100)))</f>
        <v>10.754960044436723</v>
      </c>
      <c r="CA280" s="35">
        <f t="shared" si="1819"/>
        <v>32.366493744278301</v>
      </c>
      <c r="CB280" s="23">
        <f>IF(ISERROR((CA280/BY280-1)*100),"NA",IF(((CA280/BY280-1)*100)&gt;100,"NM",IF(((CA280/BY280-1)*100)&lt;-50,"NM",(CA280/BY280-1)*100)))</f>
        <v>20.52018752274234</v>
      </c>
      <c r="CC280" s="35">
        <f t="shared" ref="CC280" si="1820">CC279/CC252*100</f>
        <v>28.857280617164889</v>
      </c>
      <c r="CD280" s="23">
        <f>IF(ISERROR((CC280/CA280-1)*100),"NA",IF(((CC280/CA280-1)*100)&gt;100,"NM",IF(((CC280/CA280-1)*100)&lt;-50,"NM",(CC280/CA280-1)*100)))</f>
        <v>-10.842117020271203</v>
      </c>
      <c r="CE280" s="35">
        <f t="shared" ref="CE280" si="1821">CE279/CE252*100</f>
        <v>28.705807251084263</v>
      </c>
      <c r="CF280" s="23">
        <f>IF(ISERROR((CE280/CC280-1)*100),"NA",IF(((CE280/CC280-1)*100)&gt;100,"NM",IF(((CE280/CC280-1)*100)&lt;-50,"NM",(CE280/CC280-1)*100)))</f>
        <v>-0.52490519841473793</v>
      </c>
      <c r="CG280" s="35">
        <f t="shared" ref="CG280" si="1822">CG279/CG252*100</f>
        <v>28.795954626212922</v>
      </c>
      <c r="CH280" s="23">
        <f>IF(ISERROR((CG280/CE280-1)*100),"NA",IF(((CG280/CE280-1)*100)&gt;100,"NM",IF(((CG280/CE280-1)*100)&lt;-50,"NM",(CG280/CE280-1)*100)))</f>
        <v>0.31403880873357437</v>
      </c>
      <c r="CI280" s="35">
        <f t="shared" ref="CI280" si="1823">CI279/CI252*100</f>
        <v>32.433602479800911</v>
      </c>
      <c r="CJ280" s="23">
        <f>IF(ISERROR((CI280/CG280-1)*100),"NA",IF(((CI280/CG280-1)*100)&gt;100,"NM",IF(((CI280/CG280-1)*100)&lt;-50,"NM",(CI280/CG280-1)*100)))</f>
        <v>12.632496129427295</v>
      </c>
      <c r="CK280" s="35">
        <f>CK279/CK252*100</f>
        <v>32.933602479800918</v>
      </c>
      <c r="CL280" s="23">
        <f>IF(ISERROR((CK280/CI280-1)*100),"NA",IF(((CK280/CI280-1)*100)&gt;100,"NM",IF(((CK280/CI280-1)*100)&lt;-50,"NM",(CK280/CI280-1)*100)))</f>
        <v>1.5416110507964653</v>
      </c>
      <c r="CM280" s="35">
        <f>CM279/CM252*100</f>
        <v>32.933602479800911</v>
      </c>
      <c r="CN280" s="23">
        <f>IF(ISERROR((CM280/CK280-1)*100),"NA",IF(((CM280/CK280-1)*100)&gt;100,"NM",IF(((CM280/CK280-1)*100)&lt;-50,"NM",(CM280/CK280-1)*100)))</f>
        <v>-2.2204460492503131E-14</v>
      </c>
      <c r="CO280" s="35">
        <f>CO279/CO252*100</f>
        <v>32.933602479800918</v>
      </c>
      <c r="CP280" s="23">
        <f>IF(ISERROR((CO280/CM280-1)*100),"NA",IF(((CO280/CM280-1)*100)&gt;100,"NM",IF(((CO280/CM280-1)*100)&lt;-50,"NM",(CO280/CM280-1)*100)))</f>
        <v>2.2204460492503131E-14</v>
      </c>
      <c r="CQ280" s="35">
        <f>CQ279/CQ252*100</f>
        <v>32.933602479800911</v>
      </c>
      <c r="CR280" s="23">
        <f>IF(ISERROR((CQ280/CO280-1)*100),"NA",IF(((CQ280/CO280-1)*100)&gt;100,"NM",IF(((CQ280/CO280-1)*100)&lt;-50,"NM",(CQ280/CO280-1)*100)))</f>
        <v>-2.2204460492503131E-14</v>
      </c>
      <c r="CS280" s="23">
        <f>IF(ISERROR(((CQ280/CG280)^0.2-1)*100),"NA",IF((((CQ280/CG280)^0.2-1)*100)&gt;100,"NM",IF((((CQ280/CG280)^0.2-1)*100)&lt;-50,"NM",((CQ280/CG280)^0.2-1)*100)))</f>
        <v>2.7215470948245724</v>
      </c>
    </row>
    <row r="281" spans="1:105" ht="12.75" customHeight="1" x14ac:dyDescent="0.2">
      <c r="B281" s="35"/>
      <c r="C281" s="59"/>
      <c r="D281" s="35"/>
      <c r="E281" s="59"/>
      <c r="F281" s="35"/>
      <c r="G281" s="59"/>
      <c r="H281" s="35"/>
      <c r="I281" s="59"/>
      <c r="J281" s="35"/>
      <c r="K281" s="23"/>
      <c r="L281" s="35"/>
      <c r="M281" s="23"/>
      <c r="N281" s="35"/>
      <c r="O281" s="23"/>
      <c r="P281" s="35"/>
      <c r="Q281" s="23"/>
      <c r="R281" s="35"/>
      <c r="S281" s="23"/>
      <c r="T281" s="35"/>
      <c r="U281" s="23"/>
      <c r="V281" s="35"/>
      <c r="W281" s="23"/>
      <c r="X281" s="35"/>
      <c r="Y281" s="23"/>
      <c r="Z281" s="35"/>
      <c r="AA281" s="23"/>
      <c r="AB281" s="35"/>
      <c r="AC281" s="23"/>
      <c r="AD281" s="35"/>
      <c r="AE281" s="23"/>
      <c r="AF281" s="35"/>
      <c r="AG281" s="23"/>
      <c r="AH281" s="35"/>
      <c r="AI281" s="23"/>
      <c r="AJ281" s="35"/>
      <c r="AK281" s="23"/>
      <c r="AL281" s="35"/>
      <c r="AM281" s="23"/>
      <c r="AN281" s="409"/>
      <c r="AO281" s="23"/>
      <c r="AP281" s="409"/>
      <c r="AQ281" s="23"/>
      <c r="AR281" s="457"/>
      <c r="AS281" s="23"/>
      <c r="AT281" s="457"/>
      <c r="AU281" s="23"/>
      <c r="AV281" s="457"/>
      <c r="AW281" s="23"/>
      <c r="AX281" s="457"/>
      <c r="AY281" s="23"/>
      <c r="AZ281" s="457"/>
      <c r="BA281" s="23"/>
      <c r="BB281" s="457"/>
      <c r="BC281" s="23"/>
      <c r="BD281" s="457"/>
      <c r="BE281" s="23"/>
      <c r="BF281" s="35"/>
      <c r="BG281" s="23"/>
      <c r="BH281" s="35"/>
      <c r="BI281" s="23"/>
      <c r="BJ281" s="35"/>
      <c r="BK281" s="23"/>
      <c r="BL281" s="35"/>
      <c r="BM281" s="23"/>
      <c r="BN281" s="5"/>
      <c r="BO281" s="138"/>
      <c r="BP281" s="5"/>
      <c r="BQ281" s="35"/>
      <c r="BR281" s="5"/>
      <c r="BS281" s="35"/>
      <c r="BT281" s="5"/>
      <c r="BU281" s="35"/>
      <c r="BV281" s="23"/>
      <c r="BW281" s="35"/>
      <c r="BX281" s="23"/>
      <c r="BY281" s="35"/>
      <c r="BZ281" s="23"/>
      <c r="CA281" s="35"/>
      <c r="CB281" s="23"/>
      <c r="CC281" s="35"/>
      <c r="CD281" s="23"/>
      <c r="CE281" s="35"/>
      <c r="CF281" s="23"/>
      <c r="CG281" s="35"/>
      <c r="CH281" s="23"/>
      <c r="CI281" s="35"/>
      <c r="CJ281" s="23"/>
      <c r="CK281" s="35"/>
      <c r="CL281" s="23"/>
      <c r="CM281" s="35"/>
      <c r="CN281" s="23"/>
      <c r="CO281" s="35"/>
      <c r="CP281" s="23"/>
      <c r="CQ281" s="35"/>
      <c r="CR281" s="23"/>
      <c r="CS281" s="23"/>
    </row>
    <row r="282" spans="1:105" ht="12.75" customHeight="1" x14ac:dyDescent="0.2">
      <c r="A282" s="3" t="s">
        <v>506</v>
      </c>
      <c r="B282" s="115"/>
      <c r="C282" s="59"/>
      <c r="D282" s="115"/>
      <c r="E282" s="59"/>
      <c r="F282" s="115"/>
      <c r="G282" s="59"/>
      <c r="H282" s="115"/>
      <c r="I282" s="59"/>
      <c r="J282" s="115"/>
      <c r="K282" s="23"/>
      <c r="L282" s="115"/>
      <c r="M282" s="23"/>
      <c r="N282" s="115"/>
      <c r="O282" s="23"/>
      <c r="P282" s="115"/>
      <c r="Q282" s="23"/>
      <c r="R282" s="526"/>
      <c r="S282" s="23"/>
      <c r="T282" s="526"/>
      <c r="U282" s="23"/>
      <c r="V282" s="526"/>
      <c r="W282" s="23" t="str">
        <f t="shared" ref="W282:W285" si="1824">IF(ISERROR((V282/N282-1)*100),"NA",IF(((V282/N282-1)*100)&gt;100,"NM",IF(((V282/N282-1)*100)&lt;-50,"NM",(V282/N282-1)*100)))</f>
        <v>NA</v>
      </c>
      <c r="X282" s="526">
        <v>35.4</v>
      </c>
      <c r="Y282" s="23" t="str">
        <f t="shared" ref="Y282:Y285" si="1825">IF(ISERROR((X282/P282-1)*100),"NA",IF(((X282/P282-1)*100)&gt;100,"NM",IF(((X282/P282-1)*100)&lt;-50,"NM",(X282/P282-1)*100)))</f>
        <v>NA</v>
      </c>
      <c r="Z282" s="526">
        <v>40.299999999999997</v>
      </c>
      <c r="AA282" s="23" t="str">
        <f t="shared" ref="AA282:AA285" si="1826">IF(ISERROR((Z282/R282-1)*100),"NA",IF(((Z282/R282-1)*100)&gt;100,"NM",IF(((Z282/R282-1)*100)&lt;-50,"NM",(Z282/R282-1)*100)))</f>
        <v>NA</v>
      </c>
      <c r="AB282" s="526">
        <v>42.7</v>
      </c>
      <c r="AC282" s="23" t="str">
        <f t="shared" ref="AC282:AC285" si="1827">IF(ISERROR((AB282/T282-1)*100),"NA",IF(((AB282/T282-1)*100)&gt;100,"NM",IF(((AB282/T282-1)*100)&lt;-50,"NM",(AB282/T282-1)*100)))</f>
        <v>NA</v>
      </c>
      <c r="AD282" s="526">
        <v>45.4</v>
      </c>
      <c r="AE282" s="23" t="str">
        <f t="shared" ref="AE282:AE285" si="1828">IF(ISERROR((AD282/V282-1)*100),"NA",IF(((AD282/V282-1)*100)&gt;100,"NM",IF(((AD282/V282-1)*100)&lt;-50,"NM",(AD282/V282-1)*100)))</f>
        <v>NA</v>
      </c>
      <c r="AF282" s="526">
        <v>44.2</v>
      </c>
      <c r="AG282" s="23">
        <f t="shared" ref="AG282:AG285" si="1829">IF(ISERROR((AF282/X282-1)*100),"NA",IF(((AF282/X282-1)*100)&gt;100,"NM",IF(((AF282/X282-1)*100)&lt;-50,"NM",(AF282/X282-1)*100)))</f>
        <v>24.858757062146907</v>
      </c>
      <c r="AH282" s="526">
        <v>43.9</v>
      </c>
      <c r="AI282" s="23">
        <f t="shared" ref="AI282:AI285" si="1830">IF(ISERROR((AH282/Z282-1)*100),"NA",IF(((AH282/Z282-1)*100)&gt;100,"NM",IF(((AH282/Z282-1)*100)&lt;-50,"NM",(AH282/Z282-1)*100)))</f>
        <v>8.9330024813895736</v>
      </c>
      <c r="AJ282" s="526">
        <v>42.3</v>
      </c>
      <c r="AK282" s="23">
        <f t="shared" ref="AK282:AK285" si="1831">IF(ISERROR((AJ282/AB282-1)*100),"NA",IF(((AJ282/AB282-1)*100)&gt;100,"NM",IF(((AJ282/AB282-1)*100)&lt;-50,"NM",(AJ282/AB282-1)*100)))</f>
        <v>-0.93676814988291612</v>
      </c>
      <c r="AL282" s="526">
        <v>38.9</v>
      </c>
      <c r="AM282" s="23">
        <f t="shared" ref="AM282:AM285" si="1832">IF(ISERROR((AL282/AD282-1)*100),"NA",IF(((AL282/AD282-1)*100)&gt;100,"NM",IF(((AL282/AD282-1)*100)&lt;-50,"NM",(AL282/AD282-1)*100)))</f>
        <v>-14.317180616740089</v>
      </c>
      <c r="AN282" s="526">
        <v>37.6</v>
      </c>
      <c r="AO282" s="23">
        <f t="shared" ref="AO282:AO285" si="1833">IF(ISERROR((AN282/AF282-1)*100),"NA",IF(((AN282/AF282-1)*100)&gt;100,"NM",IF(((AN282/AF282-1)*100)&lt;-50,"NM",(AN282/AF282-1)*100)))</f>
        <v>-14.932126696832581</v>
      </c>
      <c r="AP282" s="526">
        <v>32.299999999999997</v>
      </c>
      <c r="AQ282" s="23">
        <f t="shared" ref="AQ282:AQ285" si="1834">IF(ISERROR((AP282/AH282-1)*100),"NA",IF(((AP282/AH282-1)*100)&gt;100,"NM",IF(((AP282/AH282-1)*100)&lt;-50,"NM",(AP282/AH282-1)*100)))</f>
        <v>-26.423690205011397</v>
      </c>
      <c r="AR282" s="530">
        <v>29.8</v>
      </c>
      <c r="AS282" s="23">
        <f t="shared" ref="AS282:AS283" si="1835">IF(ISERROR((AR282/AJ282-1)*100),"NA",IF(((AR282/AJ282-1)*100)&gt;100,"NM",IF(((AR282/AJ282-1)*100)&lt;-50,"NM",(AR282/AJ282-1)*100)))</f>
        <v>-29.550827423167846</v>
      </c>
      <c r="AT282" s="530">
        <v>32.1</v>
      </c>
      <c r="AU282" s="23">
        <f t="shared" ref="AU282:AU283" si="1836">IF(ISERROR((AT282/AL282-1)*100),"NA",IF(((AT282/AL282-1)*100)&gt;100,"NM",IF(((AT282/AL282-1)*100)&lt;-50,"NM",(AT282/AL282-1)*100)))</f>
        <v>-17.480719794344466</v>
      </c>
      <c r="AV282" s="530">
        <v>38.5</v>
      </c>
      <c r="AW282" s="23"/>
      <c r="AX282" s="530">
        <v>44.8</v>
      </c>
      <c r="AY282" s="23"/>
      <c r="AZ282" s="530">
        <v>56.1</v>
      </c>
      <c r="BA282" s="23"/>
      <c r="BB282" s="530">
        <v>56.1</v>
      </c>
      <c r="BC282" s="23"/>
      <c r="BD282" s="530">
        <v>54.9</v>
      </c>
      <c r="BE282" s="23"/>
      <c r="BF282" s="409">
        <f t="shared" ref="BF282:BJ282" si="1837">((BF279+BD279+BB279+AZ279)*0.68)/AVERAGE(BF285,BD285,BB285,AZ285)*100</f>
        <v>48.387822429017412</v>
      </c>
      <c r="BG282" s="23"/>
      <c r="BH282" s="409">
        <f t="shared" si="1837"/>
        <v>50.210470585387476</v>
      </c>
      <c r="BI282" s="23"/>
      <c r="BJ282" s="409">
        <f t="shared" si="1837"/>
        <v>50.780048969111135</v>
      </c>
      <c r="BK282" s="23"/>
      <c r="BL282" s="409">
        <f t="shared" ref="BL282" si="1838">((BL279+BJ279+BH279+BF279)*0.68)/AVERAGE(BL285,BJ285,BH285,BF285)*100</f>
        <v>50.489046907907898</v>
      </c>
      <c r="BM282" s="23"/>
      <c r="BN282" s="35"/>
      <c r="BO282" s="138"/>
      <c r="BP282" s="35"/>
      <c r="BQ282" s="113"/>
      <c r="BR282" s="113"/>
      <c r="BS282" s="113"/>
      <c r="BT282" s="35"/>
      <c r="BU282" s="115"/>
      <c r="BV282" s="23"/>
      <c r="BW282" s="115"/>
      <c r="BX282" s="23"/>
      <c r="BY282" s="533">
        <f>X282</f>
        <v>35.4</v>
      </c>
      <c r="BZ282" s="23" t="str">
        <f t="shared" ref="BZ282:BZ285" si="1839">IF(ISERROR((BY282/BW282-1)*100),"NA",IF(((BY282/BW282-1)*100)&gt;100,"NM",IF(((BY282/BW282-1)*100)&lt;-50,"NM",(BY282/BW282-1)*100)))</f>
        <v>NA</v>
      </c>
      <c r="CA282" s="533">
        <f>AF282</f>
        <v>44.2</v>
      </c>
      <c r="CB282" s="23">
        <f t="shared" ref="CB282:CB285" si="1840">IF(ISERROR((CA282/BY282-1)*100),"NA",IF(((CA282/BY282-1)*100)&gt;100,"NM",IF(((CA282/BY282-1)*100)&lt;-50,"NM",(CA282/BY282-1)*100)))</f>
        <v>24.858757062146907</v>
      </c>
      <c r="CC282" s="533">
        <f>AN282</f>
        <v>37.6</v>
      </c>
      <c r="CD282" s="23">
        <f t="shared" ref="CD282:CD285" si="1841">IF(ISERROR((CC282/CA282-1)*100),"NA",IF(((CC282/CA282-1)*100)&gt;100,"NM",IF(((CC282/CA282-1)*100)&lt;-50,"NM",(CC282/CA282-1)*100)))</f>
        <v>-14.932126696832581</v>
      </c>
      <c r="CE282" s="533">
        <f>AV282</f>
        <v>38.5</v>
      </c>
      <c r="CF282" s="23"/>
      <c r="CG282" s="533">
        <f>BD282</f>
        <v>54.9</v>
      </c>
      <c r="CH282" s="23"/>
      <c r="CI282" s="533">
        <f>BL282</f>
        <v>50.489046907907898</v>
      </c>
      <c r="CJ282" s="23"/>
      <c r="CK282" s="409">
        <f>CK279*0.68/CK285*100</f>
        <v>52.075277664441231</v>
      </c>
      <c r="CL282" s="23"/>
      <c r="CM282" s="409">
        <f>CM279*0.68/CM285*100</f>
        <v>53.307057709528159</v>
      </c>
      <c r="CN282" s="23"/>
      <c r="CO282" s="409">
        <f>CO279*0.68/CO285*100</f>
        <v>54.009824569451979</v>
      </c>
      <c r="CP282" s="23"/>
      <c r="CQ282" s="409">
        <f>CQ279*0.68/CQ285*100</f>
        <v>54.814924886150294</v>
      </c>
      <c r="CR282" s="23"/>
      <c r="CS282" s="23">
        <f>IF(ISERROR(((CQ282/CG282)^0.2-1)*100),"NA",IF((((CQ282/CG282)^0.2-1)*100)&gt;100,"NM",IF((((CQ282/CG282)^0.2-1)*100)&lt;-50,"NM",((CQ282/CG282)^0.2-1)*100)))</f>
        <v>-3.101198440014219E-2</v>
      </c>
    </row>
    <row r="283" spans="1:105" ht="12.75" customHeight="1" x14ac:dyDescent="0.2">
      <c r="A283" s="408" t="s">
        <v>503</v>
      </c>
      <c r="B283" s="115"/>
      <c r="C283" s="59"/>
      <c r="D283" s="115"/>
      <c r="E283" s="59"/>
      <c r="F283" s="115"/>
      <c r="G283" s="59"/>
      <c r="H283" s="115"/>
      <c r="I283" s="59"/>
      <c r="J283" s="115"/>
      <c r="K283" s="23"/>
      <c r="L283" s="115"/>
      <c r="M283" s="23"/>
      <c r="N283" s="115"/>
      <c r="O283" s="23"/>
      <c r="P283" s="115"/>
      <c r="Q283" s="23"/>
      <c r="R283" s="115"/>
      <c r="S283" s="23"/>
      <c r="T283" s="529"/>
      <c r="U283" s="23"/>
      <c r="V283" s="529"/>
      <c r="W283" s="23" t="str">
        <f t="shared" si="1824"/>
        <v>NA</v>
      </c>
      <c r="X283" s="48">
        <v>303</v>
      </c>
      <c r="Y283" s="23" t="str">
        <f t="shared" si="1825"/>
        <v>NA</v>
      </c>
      <c r="Z283" s="529">
        <f t="shared" ref="Z283" si="1842">X284</f>
        <v>302</v>
      </c>
      <c r="AA283" s="23" t="str">
        <f t="shared" si="1826"/>
        <v>NA</v>
      </c>
      <c r="AB283" s="529">
        <f t="shared" ref="AB283" si="1843">Z284</f>
        <v>296</v>
      </c>
      <c r="AC283" s="23" t="str">
        <f t="shared" si="1827"/>
        <v>NA</v>
      </c>
      <c r="AD283" s="529">
        <f t="shared" ref="AD283" si="1844">AB284</f>
        <v>326</v>
      </c>
      <c r="AE283" s="23" t="str">
        <f t="shared" si="1828"/>
        <v>NA</v>
      </c>
      <c r="AF283" s="529">
        <f t="shared" ref="AF283" si="1845">AD284</f>
        <v>314</v>
      </c>
      <c r="AG283" s="23">
        <f t="shared" si="1829"/>
        <v>3.630363036303641</v>
      </c>
      <c r="AH283" s="529">
        <f t="shared" ref="AH283" si="1846">AF284</f>
        <v>306</v>
      </c>
      <c r="AI283" s="23">
        <f t="shared" si="1830"/>
        <v>1.3245033112582849</v>
      </c>
      <c r="AJ283" s="529">
        <f t="shared" ref="AJ283" si="1847">AH284</f>
        <v>296</v>
      </c>
      <c r="AK283" s="23">
        <f t="shared" si="1831"/>
        <v>0</v>
      </c>
      <c r="AL283" s="529">
        <f t="shared" ref="AL283" si="1848">AJ284</f>
        <v>350</v>
      </c>
      <c r="AM283" s="23">
        <f t="shared" si="1832"/>
        <v>7.361963190184051</v>
      </c>
      <c r="AN283" s="529">
        <f t="shared" ref="AN283" si="1849">AL284</f>
        <v>357</v>
      </c>
      <c r="AO283" s="23">
        <f t="shared" si="1833"/>
        <v>13.694267515923574</v>
      </c>
      <c r="AP283" s="529">
        <f t="shared" ref="AP283" si="1850">AN284</f>
        <v>317</v>
      </c>
      <c r="AQ283" s="23">
        <f t="shared" si="1834"/>
        <v>3.5947712418300748</v>
      </c>
      <c r="AR283" s="527">
        <f t="shared" ref="AR283:AT283" si="1851">AP284</f>
        <v>303</v>
      </c>
      <c r="AS283" s="23">
        <f t="shared" si="1835"/>
        <v>2.3648648648648685</v>
      </c>
      <c r="AT283" s="527">
        <f t="shared" si="1851"/>
        <v>291</v>
      </c>
      <c r="AU283" s="23">
        <f t="shared" si="1836"/>
        <v>-16.857142857142861</v>
      </c>
      <c r="AV283" s="527">
        <f t="shared" ref="AV283:AX283" si="1852">AT284</f>
        <v>289</v>
      </c>
      <c r="AW283" s="23"/>
      <c r="AX283" s="527">
        <f t="shared" si="1852"/>
        <v>295</v>
      </c>
      <c r="AY283" s="23"/>
      <c r="AZ283" s="527">
        <f t="shared" ref="AZ283" si="1853">AX284</f>
        <v>309</v>
      </c>
      <c r="BA283" s="23"/>
      <c r="BB283" s="527">
        <f t="shared" ref="BB283:BD283" si="1854">AZ284</f>
        <v>319</v>
      </c>
      <c r="BC283" s="23"/>
      <c r="BD283" s="527">
        <f t="shared" si="1854"/>
        <v>311</v>
      </c>
      <c r="BE283" s="23"/>
      <c r="BF283" s="529">
        <f t="shared" ref="BF283:BJ283" si="1855">BD284</f>
        <v>290</v>
      </c>
      <c r="BG283" s="23"/>
      <c r="BH283" s="529">
        <f t="shared" si="1855"/>
        <v>291.45</v>
      </c>
      <c r="BI283" s="23"/>
      <c r="BJ283" s="529">
        <f t="shared" si="1855"/>
        <v>292.90724999999998</v>
      </c>
      <c r="BK283" s="23"/>
      <c r="BL283" s="529">
        <f t="shared" ref="BL283" si="1856">BJ284</f>
        <v>294.37178624999996</v>
      </c>
      <c r="BM283" s="23"/>
      <c r="BN283" s="35"/>
      <c r="BO283" s="138"/>
      <c r="BP283" s="35"/>
      <c r="BQ283" s="113"/>
      <c r="BR283" s="113"/>
      <c r="BS283" s="113"/>
      <c r="BT283" s="35"/>
      <c r="BU283" s="115"/>
      <c r="BV283" s="23"/>
      <c r="BW283" s="115"/>
      <c r="BX283" s="23"/>
      <c r="BY283" s="527">
        <f>X283</f>
        <v>303</v>
      </c>
      <c r="BZ283" s="23" t="str">
        <f t="shared" si="1839"/>
        <v>NA</v>
      </c>
      <c r="CA283" s="527">
        <f>AF283</f>
        <v>314</v>
      </c>
      <c r="CB283" s="23">
        <f t="shared" si="1840"/>
        <v>3.630363036303641</v>
      </c>
      <c r="CC283" s="527">
        <f>AN283</f>
        <v>357</v>
      </c>
      <c r="CD283" s="23">
        <f t="shared" si="1841"/>
        <v>13.694267515923574</v>
      </c>
      <c r="CE283" s="527">
        <f>AV283</f>
        <v>289</v>
      </c>
      <c r="CF283" s="23"/>
      <c r="CG283" s="527">
        <f>BD283</f>
        <v>311</v>
      </c>
      <c r="CH283" s="23"/>
      <c r="CI283" s="527">
        <f>BL283</f>
        <v>294.37178624999996</v>
      </c>
      <c r="CJ283" s="23"/>
      <c r="CK283" s="410">
        <f>CI284</f>
        <v>295.84364518124994</v>
      </c>
      <c r="CL283" s="23"/>
      <c r="CM283" s="410">
        <f>CK284</f>
        <v>301.76051808487495</v>
      </c>
      <c r="CN283" s="23"/>
      <c r="CO283" s="410">
        <f>CM284</f>
        <v>307.79572844657247</v>
      </c>
      <c r="CP283" s="23"/>
      <c r="CQ283" s="410">
        <f>CO284</f>
        <v>313.95164301550392</v>
      </c>
      <c r="CR283" s="23"/>
      <c r="CS283" s="23">
        <f>IF(ISERROR(((CQ283/CG283)^0.2-1)*100),"NA",IF((((CQ283/CG283)^0.2-1)*100)&gt;100,"NM",IF((((CQ283/CG283)^0.2-1)*100)&lt;-50,"NM",((CQ283/CG283)^0.2-1)*100)))</f>
        <v>0.18909974316434486</v>
      </c>
    </row>
    <row r="284" spans="1:105" ht="12.75" customHeight="1" x14ac:dyDescent="0.2">
      <c r="A284" s="408" t="s">
        <v>504</v>
      </c>
      <c r="B284" s="115"/>
      <c r="C284" s="59"/>
      <c r="D284" s="115"/>
      <c r="E284" s="59"/>
      <c r="F284" s="115"/>
      <c r="G284" s="59"/>
      <c r="H284" s="115"/>
      <c r="I284" s="59"/>
      <c r="J284" s="115"/>
      <c r="K284" s="23"/>
      <c r="L284" s="115"/>
      <c r="M284" s="23"/>
      <c r="N284" s="115"/>
      <c r="O284" s="23"/>
      <c r="P284" s="115"/>
      <c r="Q284" s="23"/>
      <c r="R284" s="528"/>
      <c r="S284" s="23"/>
      <c r="T284" s="528"/>
      <c r="U284" s="23"/>
      <c r="V284" s="528"/>
      <c r="W284" s="23" t="str">
        <f t="shared" si="1824"/>
        <v>NA</v>
      </c>
      <c r="X284" s="528">
        <v>302</v>
      </c>
      <c r="Y284" s="23" t="str">
        <f t="shared" si="1825"/>
        <v>NA</v>
      </c>
      <c r="Z284" s="528">
        <v>296</v>
      </c>
      <c r="AA284" s="23" t="str">
        <f t="shared" si="1826"/>
        <v>NA</v>
      </c>
      <c r="AB284" s="528">
        <v>326</v>
      </c>
      <c r="AC284" s="23" t="str">
        <f t="shared" si="1827"/>
        <v>NA</v>
      </c>
      <c r="AD284" s="528">
        <v>314</v>
      </c>
      <c r="AE284" s="23" t="str">
        <f t="shared" si="1828"/>
        <v>NA</v>
      </c>
      <c r="AF284" s="528">
        <v>306</v>
      </c>
      <c r="AG284" s="23">
        <f t="shared" si="1829"/>
        <v>1.3245033112582849</v>
      </c>
      <c r="AH284" s="528">
        <v>296</v>
      </c>
      <c r="AI284" s="23">
        <f t="shared" si="1830"/>
        <v>0</v>
      </c>
      <c r="AJ284" s="528">
        <v>350</v>
      </c>
      <c r="AK284" s="23">
        <f t="shared" si="1831"/>
        <v>7.361963190184051</v>
      </c>
      <c r="AL284" s="528">
        <v>357</v>
      </c>
      <c r="AM284" s="23">
        <f t="shared" si="1832"/>
        <v>13.694267515923574</v>
      </c>
      <c r="AN284" s="528">
        <v>317</v>
      </c>
      <c r="AO284" s="23">
        <f t="shared" si="1833"/>
        <v>3.5947712418300748</v>
      </c>
      <c r="AP284" s="528">
        <v>303</v>
      </c>
      <c r="AQ284" s="23">
        <f t="shared" si="1834"/>
        <v>2.3648648648648685</v>
      </c>
      <c r="AR284" s="528">
        <v>291</v>
      </c>
      <c r="AS284" s="528">
        <f t="shared" ref="AS284:AU285" si="1857">AQ284*1.02</f>
        <v>2.4121621621621658</v>
      </c>
      <c r="AT284" s="528">
        <v>289</v>
      </c>
      <c r="AU284" s="528">
        <f t="shared" si="1857"/>
        <v>2.460405405405409</v>
      </c>
      <c r="AV284" s="528">
        <v>295</v>
      </c>
      <c r="AW284" s="23"/>
      <c r="AX284" s="528">
        <v>309</v>
      </c>
      <c r="AY284" s="23"/>
      <c r="AZ284" s="528">
        <v>319</v>
      </c>
      <c r="BA284" s="23"/>
      <c r="BB284" s="528">
        <v>311</v>
      </c>
      <c r="BC284" s="23"/>
      <c r="BD284" s="528">
        <v>290</v>
      </c>
      <c r="BE284" s="23"/>
      <c r="BF284" s="528">
        <f>BD284*(1+0.02/4)</f>
        <v>291.45</v>
      </c>
      <c r="BG284" s="23"/>
      <c r="BH284" s="528">
        <f>BF284*(1+0.02/4)</f>
        <v>292.90724999999998</v>
      </c>
      <c r="BI284" s="23"/>
      <c r="BJ284" s="528">
        <f>BH284*(1+0.02/4)</f>
        <v>294.37178624999996</v>
      </c>
      <c r="BK284" s="23"/>
      <c r="BL284" s="528">
        <f>BJ284*(1+0.02/4)</f>
        <v>295.84364518124994</v>
      </c>
      <c r="BM284" s="23"/>
      <c r="BN284" s="35"/>
      <c r="BO284" s="138"/>
      <c r="BP284" s="35"/>
      <c r="BQ284" s="113"/>
      <c r="BR284" s="113"/>
      <c r="BS284" s="113"/>
      <c r="BT284" s="35"/>
      <c r="BU284" s="115"/>
      <c r="BV284" s="23"/>
      <c r="BW284" s="115"/>
      <c r="BX284" s="23"/>
      <c r="BY284" s="527">
        <f>X284</f>
        <v>302</v>
      </c>
      <c r="BZ284" s="23" t="str">
        <f t="shared" si="1839"/>
        <v>NA</v>
      </c>
      <c r="CA284" s="527">
        <f>AF284</f>
        <v>306</v>
      </c>
      <c r="CB284" s="23">
        <f t="shared" si="1840"/>
        <v>1.3245033112582849</v>
      </c>
      <c r="CC284" s="527">
        <f>AN284</f>
        <v>317</v>
      </c>
      <c r="CD284" s="23">
        <f t="shared" si="1841"/>
        <v>3.5947712418300748</v>
      </c>
      <c r="CE284" s="527">
        <f>AV284</f>
        <v>295</v>
      </c>
      <c r="CF284" s="23"/>
      <c r="CG284" s="527">
        <f>BD284</f>
        <v>290</v>
      </c>
      <c r="CH284" s="23"/>
      <c r="CI284" s="527">
        <f>BL284</f>
        <v>295.84364518124994</v>
      </c>
      <c r="CJ284" s="23"/>
      <c r="CK284" s="538">
        <f>CK283*1.02</f>
        <v>301.76051808487495</v>
      </c>
      <c r="CL284" s="23"/>
      <c r="CM284" s="538">
        <f>CM283*1.02</f>
        <v>307.79572844657247</v>
      </c>
      <c r="CN284" s="23"/>
      <c r="CO284" s="538">
        <f>CO283*1.02</f>
        <v>313.95164301550392</v>
      </c>
      <c r="CP284" s="23"/>
      <c r="CQ284" s="538">
        <f>CQ283*1.02</f>
        <v>320.23067587581403</v>
      </c>
      <c r="CR284" s="23"/>
      <c r="CS284" s="23">
        <f>IF(ISERROR(((CQ284/CG284)^0.2-1)*100),"NA",IF((((CQ284/CG284)^0.2-1)*100)&gt;100,"NM",IF((((CQ284/CG284)^0.2-1)*100)&lt;-50,"NM",((CQ284/CG284)^0.2-1)*100)))</f>
        <v>2.0030098348652325</v>
      </c>
    </row>
    <row r="285" spans="1:105" ht="12.75" customHeight="1" x14ac:dyDescent="0.2">
      <c r="A285" s="408" t="s">
        <v>505</v>
      </c>
      <c r="B285" s="115"/>
      <c r="C285" s="59"/>
      <c r="D285" s="115"/>
      <c r="E285" s="59"/>
      <c r="F285" s="115"/>
      <c r="G285" s="59"/>
      <c r="H285" s="115"/>
      <c r="I285" s="59"/>
      <c r="J285" s="115"/>
      <c r="K285" s="23"/>
      <c r="L285" s="115"/>
      <c r="M285" s="23"/>
      <c r="N285" s="115"/>
      <c r="O285" s="23"/>
      <c r="P285" s="115"/>
      <c r="Q285" s="23"/>
      <c r="R285" s="528"/>
      <c r="S285" s="23"/>
      <c r="T285" s="528"/>
      <c r="U285" s="23"/>
      <c r="V285" s="528"/>
      <c r="W285" s="23" t="str">
        <f t="shared" si="1824"/>
        <v>NA</v>
      </c>
      <c r="X285" s="528">
        <v>303</v>
      </c>
      <c r="Y285" s="23" t="str">
        <f t="shared" si="1825"/>
        <v>NA</v>
      </c>
      <c r="Z285" s="528">
        <v>298</v>
      </c>
      <c r="AA285" s="23" t="str">
        <f t="shared" si="1826"/>
        <v>NA</v>
      </c>
      <c r="AB285" s="528">
        <v>302</v>
      </c>
      <c r="AC285" s="23" t="str">
        <f t="shared" si="1827"/>
        <v>NA</v>
      </c>
      <c r="AD285" s="528">
        <v>307</v>
      </c>
      <c r="AE285" s="23" t="str">
        <f t="shared" si="1828"/>
        <v>NA</v>
      </c>
      <c r="AF285" s="528">
        <v>310</v>
      </c>
      <c r="AG285" s="23">
        <f t="shared" si="1829"/>
        <v>2.3102310231023049</v>
      </c>
      <c r="AH285" s="528">
        <v>310</v>
      </c>
      <c r="AI285" s="23">
        <f t="shared" si="1830"/>
        <v>4.0268456375838868</v>
      </c>
      <c r="AJ285" s="528">
        <v>314</v>
      </c>
      <c r="AK285" s="23">
        <f t="shared" si="1831"/>
        <v>3.9735099337748325</v>
      </c>
      <c r="AL285" s="528">
        <v>322</v>
      </c>
      <c r="AM285" s="23">
        <f t="shared" si="1832"/>
        <v>4.8859934853420217</v>
      </c>
      <c r="AN285" s="528">
        <v>329</v>
      </c>
      <c r="AO285" s="23">
        <f t="shared" si="1833"/>
        <v>6.1290322580645151</v>
      </c>
      <c r="AP285" s="528">
        <v>331</v>
      </c>
      <c r="AQ285" s="23">
        <f t="shared" si="1834"/>
        <v>6.7741935483870863</v>
      </c>
      <c r="AR285" s="528">
        <v>325</v>
      </c>
      <c r="AS285" s="528">
        <f t="shared" si="1857"/>
        <v>6.9096774193548285</v>
      </c>
      <c r="AT285" s="528">
        <v>309</v>
      </c>
      <c r="AU285" s="528">
        <f t="shared" si="1857"/>
        <v>7.0478709677419253</v>
      </c>
      <c r="AV285" s="528">
        <v>297</v>
      </c>
      <c r="AW285" s="23"/>
      <c r="AX285" s="528">
        <v>295</v>
      </c>
      <c r="AY285" s="23"/>
      <c r="AZ285" s="528">
        <v>300</v>
      </c>
      <c r="BA285" s="23"/>
      <c r="BB285" s="528">
        <v>306</v>
      </c>
      <c r="BC285" s="23"/>
      <c r="BD285" s="528">
        <v>308</v>
      </c>
      <c r="BE285" s="23"/>
      <c r="BF285" s="550">
        <f t="shared" ref="BF285" si="1858">AVERAGE(BF284,BF283)</f>
        <v>290.72500000000002</v>
      </c>
      <c r="BG285" s="23"/>
      <c r="BH285" s="550">
        <f t="shared" ref="BH285" si="1859">AVERAGE(BH284,BH283)</f>
        <v>292.17862500000001</v>
      </c>
      <c r="BI285" s="23"/>
      <c r="BJ285" s="550">
        <f t="shared" ref="BJ285" si="1860">AVERAGE(BJ284,BJ283)</f>
        <v>293.639518125</v>
      </c>
      <c r="BK285" s="23"/>
      <c r="BL285" s="550">
        <f t="shared" ref="BL285" si="1861">AVERAGE(BL284,BL283)</f>
        <v>295.10771571562498</v>
      </c>
      <c r="BM285" s="23"/>
      <c r="BN285" s="35"/>
      <c r="BO285" s="138"/>
      <c r="BP285" s="35"/>
      <c r="BQ285" s="113"/>
      <c r="BR285" s="113"/>
      <c r="BS285" s="113"/>
      <c r="BT285" s="35"/>
      <c r="BU285" s="115"/>
      <c r="BV285" s="23"/>
      <c r="BW285" s="115"/>
      <c r="BX285" s="23"/>
      <c r="BY285" s="527">
        <f>X285</f>
        <v>303</v>
      </c>
      <c r="BZ285" s="23" t="str">
        <f t="shared" si="1839"/>
        <v>NA</v>
      </c>
      <c r="CA285" s="527">
        <f>AF285</f>
        <v>310</v>
      </c>
      <c r="CB285" s="23">
        <f t="shared" si="1840"/>
        <v>2.3102310231023049</v>
      </c>
      <c r="CC285" s="527">
        <f>AN285</f>
        <v>329</v>
      </c>
      <c r="CD285" s="23">
        <f t="shared" si="1841"/>
        <v>6.1290322580645151</v>
      </c>
      <c r="CE285" s="527">
        <f>AV285</f>
        <v>297</v>
      </c>
      <c r="CF285" s="23"/>
      <c r="CG285" s="527">
        <f>BD285</f>
        <v>308</v>
      </c>
      <c r="CH285" s="23"/>
      <c r="CI285" s="527">
        <f>BL285</f>
        <v>295.10771571562498</v>
      </c>
      <c r="CJ285" s="23"/>
      <c r="CK285" s="410">
        <f>AVERAGE(CK284,CK283)</f>
        <v>298.80208163306247</v>
      </c>
      <c r="CL285" s="23"/>
      <c r="CM285" s="410">
        <f>AVERAGE(CM284,CM283)</f>
        <v>304.77812326572371</v>
      </c>
      <c r="CN285" s="23"/>
      <c r="CO285" s="410">
        <f>AVERAGE(CO284,CO283)</f>
        <v>310.87368573103822</v>
      </c>
      <c r="CP285" s="23"/>
      <c r="CQ285" s="410">
        <f>AVERAGE(CQ284,CQ283)</f>
        <v>317.09115944565895</v>
      </c>
      <c r="CR285" s="23"/>
      <c r="CS285" s="23">
        <f>IF(ISERROR(((CQ285/CG285)^0.2-1)*100),"NA",IF((((CQ285/CG285)^0.2-1)*100)&gt;100,"NM",IF((((CQ285/CG285)^0.2-1)*100)&lt;-50,"NM",((CQ285/CG285)^0.2-1)*100)))</f>
        <v>0.58348606291647176</v>
      </c>
    </row>
    <row r="286" spans="1:105" ht="12.75" customHeight="1" x14ac:dyDescent="0.2">
      <c r="B286" s="35"/>
      <c r="C286" s="59"/>
      <c r="D286" s="35"/>
      <c r="E286" s="59"/>
      <c r="F286" s="35"/>
      <c r="G286" s="59"/>
      <c r="H286" s="35"/>
      <c r="I286" s="59"/>
      <c r="J286" s="35"/>
      <c r="K286" s="23"/>
      <c r="L286" s="35"/>
      <c r="M286" s="23"/>
      <c r="N286" s="35"/>
      <c r="O286" s="23"/>
      <c r="P286" s="35"/>
      <c r="Q286" s="23"/>
      <c r="R286" s="35"/>
      <c r="S286" s="23"/>
      <c r="T286" s="35"/>
      <c r="U286" s="23"/>
      <c r="V286" s="35"/>
      <c r="W286" s="23"/>
      <c r="X286" s="35"/>
      <c r="Y286" s="23"/>
      <c r="Z286" s="35"/>
      <c r="AA286" s="23"/>
      <c r="AB286" s="35"/>
      <c r="AC286" s="23"/>
      <c r="AD286" s="35"/>
      <c r="AE286" s="23"/>
      <c r="AF286" s="35"/>
      <c r="AG286" s="23"/>
      <c r="AH286" s="35"/>
      <c r="AI286" s="23"/>
      <c r="AJ286" s="35"/>
      <c r="AK286" s="23"/>
      <c r="AL286" s="35"/>
      <c r="AM286" s="23"/>
      <c r="AN286" s="409"/>
      <c r="AO286" s="23"/>
      <c r="AP286" s="409"/>
      <c r="AQ286" s="23"/>
      <c r="AR286" s="409"/>
      <c r="AS286" s="23"/>
      <c r="AT286" s="409"/>
      <c r="AU286" s="23"/>
      <c r="AV286" s="409"/>
      <c r="AW286" s="23"/>
      <c r="AX286" s="409"/>
      <c r="AY286" s="23"/>
      <c r="AZ286" s="409"/>
      <c r="BA286" s="23"/>
      <c r="BB286" s="409"/>
      <c r="BC286" s="23"/>
      <c r="BD286" s="409"/>
      <c r="BE286" s="23"/>
      <c r="BF286" s="35"/>
      <c r="BG286" s="23"/>
      <c r="BH286" s="35"/>
      <c r="BI286" s="23"/>
      <c r="BJ286" s="35"/>
      <c r="BK286" s="23"/>
      <c r="BL286" s="35"/>
      <c r="BM286" s="23"/>
      <c r="BN286" s="5"/>
      <c r="BO286" s="138"/>
      <c r="BP286" s="5"/>
      <c r="BQ286" s="35"/>
      <c r="BR286" s="5"/>
      <c r="BS286" s="35"/>
      <c r="BT286" s="5"/>
      <c r="BU286" s="35"/>
      <c r="BV286" s="23"/>
      <c r="BW286" s="35"/>
      <c r="BX286" s="23"/>
      <c r="BY286" s="35"/>
      <c r="BZ286" s="23"/>
      <c r="CA286" s="35"/>
      <c r="CB286" s="23"/>
      <c r="CC286" s="35"/>
      <c r="CD286" s="23"/>
      <c r="CE286" s="35"/>
      <c r="CF286" s="23"/>
      <c r="CG286" s="35"/>
      <c r="CH286" s="23"/>
      <c r="CI286" s="35"/>
      <c r="CJ286" s="23"/>
      <c r="CK286" s="35"/>
      <c r="CL286" s="23"/>
      <c r="CM286" s="35"/>
      <c r="CN286" s="23"/>
      <c r="CO286" s="35"/>
      <c r="CP286" s="23"/>
      <c r="CQ286" s="35"/>
      <c r="CR286" s="23"/>
      <c r="CS286" s="23"/>
    </row>
    <row r="287" spans="1:105" s="129" customFormat="1" ht="12.75" customHeight="1" x14ac:dyDescent="0.2">
      <c r="A287" s="126" t="s">
        <v>146</v>
      </c>
      <c r="B287" s="127"/>
      <c r="C287" s="128"/>
      <c r="D287" s="127"/>
      <c r="E287" s="128"/>
      <c r="F287" s="127"/>
      <c r="G287" s="128"/>
      <c r="H287" s="127"/>
      <c r="I287" s="128"/>
      <c r="K287" s="130"/>
      <c r="M287" s="130"/>
      <c r="O287" s="130"/>
      <c r="Q287" s="130"/>
      <c r="S287" s="130"/>
      <c r="U287" s="130"/>
      <c r="W287" s="130"/>
      <c r="Y287" s="130"/>
      <c r="AA287" s="130"/>
      <c r="AC287" s="130"/>
      <c r="AE287" s="130"/>
      <c r="AG287" s="130"/>
      <c r="AI287" s="130"/>
      <c r="AK287" s="130"/>
      <c r="AM287" s="130"/>
      <c r="AO287" s="130"/>
      <c r="AQ287" s="130"/>
      <c r="AS287" s="130"/>
      <c r="AU287" s="130"/>
      <c r="AW287" s="130"/>
      <c r="AY287" s="130"/>
      <c r="BA287" s="130"/>
      <c r="BC287" s="130"/>
      <c r="BE287" s="130"/>
      <c r="BG287" s="130"/>
      <c r="BI287" s="130"/>
      <c r="BK287" s="130"/>
      <c r="BM287" s="130"/>
      <c r="BO287" s="135"/>
      <c r="BV287" s="130"/>
      <c r="BX287" s="130"/>
      <c r="BZ287" s="130"/>
      <c r="CB287" s="130"/>
      <c r="CD287" s="130"/>
      <c r="CF287" s="130"/>
      <c r="CH287" s="130"/>
      <c r="CJ287" s="130"/>
      <c r="CL287" s="130"/>
      <c r="CN287" s="130"/>
      <c r="CP287" s="130"/>
      <c r="CR287" s="130"/>
      <c r="CS287" s="130"/>
      <c r="CV287"/>
      <c r="CW287"/>
      <c r="CX287"/>
      <c r="CY287"/>
      <c r="CZ287"/>
      <c r="DA287"/>
    </row>
    <row r="288" spans="1:105" ht="12.75" customHeight="1" x14ac:dyDescent="0.2">
      <c r="J288" s="5"/>
      <c r="L288" s="5"/>
      <c r="N288" s="5"/>
      <c r="P288" s="5"/>
      <c r="R288" s="5"/>
      <c r="T288" s="5"/>
      <c r="V288" s="5"/>
      <c r="X288" s="5"/>
      <c r="Z288" s="5"/>
      <c r="AB288" s="5"/>
      <c r="AD288" s="5"/>
      <c r="AF288" s="5"/>
      <c r="AH288" s="5"/>
      <c r="AJ288" s="5"/>
      <c r="AL288" s="5"/>
      <c r="AN288" s="475"/>
      <c r="AP288" s="475"/>
      <c r="AR288" s="475"/>
      <c r="AT288" s="475"/>
      <c r="AV288" s="475"/>
      <c r="AX288" s="475"/>
      <c r="AZ288" s="475"/>
      <c r="BB288" s="475"/>
      <c r="BD288" s="475"/>
      <c r="BF288" s="5"/>
      <c r="BH288" s="5"/>
      <c r="BJ288" s="5"/>
      <c r="BL288" s="5"/>
      <c r="BN288" s="10"/>
      <c r="BO288" s="136"/>
      <c r="BP288" s="10"/>
      <c r="BQ288" s="10"/>
      <c r="BR288" s="10"/>
      <c r="BS288" s="10"/>
      <c r="BT288" s="10"/>
      <c r="BU288" s="10"/>
      <c r="BW288" s="5"/>
    </row>
    <row r="289" spans="1:97" ht="12.75" customHeight="1" x14ac:dyDescent="0.2">
      <c r="A289" s="3" t="s">
        <v>188</v>
      </c>
      <c r="J289" s="5"/>
      <c r="K289" s="177"/>
      <c r="L289" s="10"/>
      <c r="M289" s="177"/>
      <c r="N289" s="10"/>
      <c r="O289" s="177"/>
      <c r="P289" s="10"/>
      <c r="Q289" s="177"/>
      <c r="R289" s="10"/>
      <c r="S289" s="177"/>
      <c r="T289" s="10"/>
      <c r="U289" s="177"/>
      <c r="V289" s="10"/>
      <c r="W289" s="177"/>
      <c r="X289" s="10"/>
      <c r="Y289" s="177"/>
      <c r="Z289" s="10"/>
      <c r="AA289" s="177"/>
      <c r="AB289" s="10"/>
      <c r="AC289" s="177"/>
      <c r="AD289" s="10"/>
      <c r="AE289" s="177"/>
      <c r="AF289" s="10"/>
      <c r="AG289" s="177"/>
      <c r="AH289" s="10"/>
      <c r="AI289" s="177"/>
      <c r="AJ289" s="10"/>
      <c r="AK289" s="177"/>
      <c r="AL289" s="10"/>
      <c r="AM289" s="177"/>
      <c r="AN289" s="506"/>
      <c r="AO289" s="177"/>
      <c r="AP289" s="506"/>
      <c r="AQ289" s="177"/>
      <c r="AR289" s="506"/>
      <c r="AS289" s="177"/>
      <c r="AT289" s="506"/>
      <c r="AU289" s="177"/>
      <c r="AV289" s="506"/>
      <c r="AW289" s="177"/>
      <c r="AX289" s="506"/>
      <c r="AY289" s="177"/>
      <c r="AZ289" s="506"/>
      <c r="BA289" s="177"/>
      <c r="BB289" s="506"/>
      <c r="BC289" s="177"/>
      <c r="BD289" s="506"/>
      <c r="BE289" s="177"/>
      <c r="BF289" s="10"/>
      <c r="BG289" s="177"/>
      <c r="BH289" s="10"/>
      <c r="BI289" s="177"/>
      <c r="BJ289" s="10"/>
      <c r="BK289" s="177"/>
      <c r="BL289" s="10"/>
      <c r="BM289" s="177"/>
      <c r="BN289" s="10"/>
      <c r="BO289" s="136"/>
      <c r="BP289" s="10"/>
      <c r="BQ289" s="32"/>
      <c r="BR289" s="32"/>
      <c r="BS289" s="32"/>
      <c r="BT289" s="32"/>
      <c r="BU289" s="119"/>
      <c r="BV289" s="177"/>
      <c r="BW289" s="10"/>
      <c r="BX289" s="177"/>
      <c r="BY289" s="13"/>
      <c r="BZ289" s="177"/>
      <c r="CA289" s="13"/>
      <c r="CB289" s="177"/>
      <c r="CC289" s="13"/>
      <c r="CD289" s="177"/>
      <c r="CE289" s="13"/>
      <c r="CF289" s="177"/>
      <c r="CG289" s="13"/>
      <c r="CH289" s="177"/>
      <c r="CI289" s="13"/>
      <c r="CJ289" s="177"/>
      <c r="CK289" s="13"/>
      <c r="CL289" s="177"/>
      <c r="CM289" s="13"/>
      <c r="CN289" s="177"/>
      <c r="CO289" s="13"/>
      <c r="CP289" s="177"/>
      <c r="CQ289" s="13"/>
      <c r="CR289" s="177"/>
      <c r="CS289" s="177"/>
    </row>
    <row r="290" spans="1:97" ht="12.75" customHeight="1" x14ac:dyDescent="0.2">
      <c r="A290" s="4" t="s">
        <v>154</v>
      </c>
      <c r="B290" s="49">
        <v>26.414000000000001</v>
      </c>
      <c r="C290" s="59"/>
      <c r="D290" s="49">
        <v>21.954000000000001</v>
      </c>
      <c r="E290" s="59"/>
      <c r="F290" s="49">
        <v>21.425999999999998</v>
      </c>
      <c r="G290" s="59"/>
      <c r="H290" s="49">
        <v>26.995999999999999</v>
      </c>
      <c r="I290" s="59"/>
      <c r="J290" s="49">
        <v>28.216999999999999</v>
      </c>
      <c r="K290" s="177">
        <f t="shared" ref="K290:Y294" si="1862">IF(ISERROR((J290/B290-1)*100),"NA",IF(((J290/B290-1)*100)&gt;100,"NM",IF(((J290/B290-1)*100)&lt;-50,"NM",(J290/B290-1)*100)))</f>
        <v>6.8259256454910266</v>
      </c>
      <c r="L290" s="49">
        <v>31.565999999999999</v>
      </c>
      <c r="M290" s="177">
        <f t="shared" si="1862"/>
        <v>43.782454222465141</v>
      </c>
      <c r="N290" s="49">
        <v>25.053000000000001</v>
      </c>
      <c r="O290" s="177">
        <f t="shared" si="1862"/>
        <v>16.928031363763662</v>
      </c>
      <c r="P290" s="49">
        <v>13.141999999999999</v>
      </c>
      <c r="Q290" s="177" t="str">
        <f t="shared" si="1862"/>
        <v>NM</v>
      </c>
      <c r="R290" s="49">
        <f>0.5+4</f>
        <v>4.5</v>
      </c>
      <c r="S290" s="177" t="str">
        <f t="shared" si="1862"/>
        <v>NM</v>
      </c>
      <c r="T290" s="49">
        <f>0+3.9</f>
        <v>3.9</v>
      </c>
      <c r="U290" s="23" t="str">
        <f t="shared" si="1862"/>
        <v>NM</v>
      </c>
      <c r="V290" s="49">
        <f>0.1+2.8</f>
        <v>2.9</v>
      </c>
      <c r="W290" s="177" t="str">
        <f t="shared" si="1862"/>
        <v>NM</v>
      </c>
      <c r="X290" s="49">
        <f>0+2</f>
        <v>2</v>
      </c>
      <c r="Y290" s="177" t="str">
        <f t="shared" si="1862"/>
        <v>NM</v>
      </c>
      <c r="Z290" s="49">
        <f>0+2.8</f>
        <v>2.8</v>
      </c>
      <c r="AA290" s="177">
        <f>IF(ISERROR((Z290/R290-1)*100),"NA",IF(((Z290/R290-1)*100)&gt;100,"NM",IF(((Z290/R290-1)*100)&lt;-50,"NM",(Z290/R290-1)*100)))</f>
        <v>-37.777777777777779</v>
      </c>
      <c r="AB290" s="49">
        <v>2.1</v>
      </c>
      <c r="AC290" s="177">
        <f>IF(ISERROR((AB290/T290-1)*100),"NA",IF(((AB290/T290-1)*100)&gt;100,"NM",IF(((AB290/T290-1)*100)&lt;-50,"NM",(AB290/T290-1)*100)))</f>
        <v>-46.153846153846146</v>
      </c>
      <c r="AD290" s="49">
        <v>2.6</v>
      </c>
      <c r="AE290" s="177">
        <f>IF(ISERROR((AD290/V290-1)*100),"NA",IF(((AD290/V290-1)*100)&gt;100,"NM",IF(((AD290/V290-1)*100)&lt;-50,"NM",(AD290/V290-1)*100)))</f>
        <v>-10.344827586206895</v>
      </c>
      <c r="AF290" s="49">
        <f>0.1+2.3</f>
        <v>2.4</v>
      </c>
      <c r="AG290" s="177">
        <f>IF(ISERROR((AF290/X290-1)*100),"NA",IF(((AF290/X290-1)*100)&gt;100,"NM",IF(((AF290/X290-1)*100)&lt;-50,"NM",(AF290/X290-1)*100)))</f>
        <v>19.999999999999996</v>
      </c>
      <c r="AH290" s="49">
        <v>1.6</v>
      </c>
      <c r="AI290" s="177">
        <f>IF(ISERROR((AH290/Z290-1)*100),"NA",IF(((AH290/Z290-1)*100)&gt;100,"NM",IF(((AH290/Z290-1)*100)&lt;-50,"NM",(AH290/Z290-1)*100)))</f>
        <v>-42.857142857142847</v>
      </c>
      <c r="AJ290" s="49">
        <v>1</v>
      </c>
      <c r="AK290" s="177" t="str">
        <f>IF(ISERROR((AJ290/AB290-1)*100),"NA",IF(((AJ290/AB290-1)*100)&gt;100,"NM",IF(((AJ290/AB290-1)*100)&lt;-50,"NM",(AJ290/AB290-1)*100)))</f>
        <v>NM</v>
      </c>
      <c r="AL290" s="49">
        <f>0.1+1.4</f>
        <v>1.5</v>
      </c>
      <c r="AM290" s="177">
        <f>IF(ISERROR((AL290/AD290-1)*100),"NA",IF(((AL290/AD290-1)*100)&gt;100,"NM",IF(((AL290/AD290-1)*100)&lt;-50,"NM",(AL290/AD290-1)*100)))</f>
        <v>-42.307692307692314</v>
      </c>
      <c r="AN290" s="158">
        <f>0+1.1</f>
        <v>1.1000000000000001</v>
      </c>
      <c r="AO290" s="177" t="str">
        <f>IF(ISERROR((AN290/AF290-1)*100),"NA",IF(((AN290/AF290-1)*100)&gt;100,"NM",IF(((AN290/AF290-1)*100)&lt;-50,"NM",(AN290/AF290-1)*100)))</f>
        <v>NM</v>
      </c>
      <c r="AP290" s="158">
        <f>0.1+1.8</f>
        <v>1.9000000000000001</v>
      </c>
      <c r="AQ290" s="177">
        <f>IF(ISERROR((AP290/AH290-1)*100),"NA",IF(((AP290/AH290-1)*100)&gt;100,"NM",IF(((AP290/AH290-1)*100)&lt;-50,"NM",(AP290/AH290-1)*100)))</f>
        <v>18.75</v>
      </c>
      <c r="AR290" s="158">
        <f>0+1.3</f>
        <v>1.3</v>
      </c>
      <c r="AS290" s="177">
        <f>IF(ISERROR((AR290/AJ290-1)*100),"NA",IF(((AR290/AJ290-1)*100)&gt;100,"NM",IF(((AR290/AJ290-1)*100)&lt;-50,"NM",(AR290/AJ290-1)*100)))</f>
        <v>30.000000000000004</v>
      </c>
      <c r="AT290" s="158">
        <v>0.9</v>
      </c>
      <c r="AU290" s="177">
        <f>IF(ISERROR((AT290/AL290-1)*100),"NA",IF(((AT290/AL290-1)*100)&gt;100,"NM",IF(((AT290/AL290-1)*100)&lt;-50,"NM",(AT290/AL290-1)*100)))</f>
        <v>-40</v>
      </c>
      <c r="AV290" s="158">
        <f>0+1</f>
        <v>1</v>
      </c>
      <c r="AW290" s="177">
        <f t="shared" ref="AW290:AW294" si="1863">IF(ISERROR((AV290/AN290-1)*100),"NA",IF(((AV290/AN290-1)*100)&gt;100,"NM",IF(((AV290/AN290-1)*100)&lt;-50,"NM",(AV290/AN290-1)*100)))</f>
        <v>-9.0909090909090935</v>
      </c>
      <c r="AX290" s="158">
        <f>1.1+0.1</f>
        <v>1.2000000000000002</v>
      </c>
      <c r="AY290" s="177">
        <f t="shared" ref="AY290:AY294" si="1864">IF(ISERROR((AX290/AP290-1)*100),"NA",IF(((AX290/AP290-1)*100)&gt;100,"NM",IF(((AX290/AP290-1)*100)&lt;-50,"NM",(AX290/AP290-1)*100)))</f>
        <v>-36.84210526315789</v>
      </c>
      <c r="AZ290" s="158">
        <f>0.7+0.1</f>
        <v>0.79999999999999993</v>
      </c>
      <c r="BA290" s="177">
        <f t="shared" ref="BA290:BA294" si="1865">IF(ISERROR((AZ290/AR290-1)*100),"NA",IF(((AZ290/AR290-1)*100)&gt;100,"NM",IF(((AZ290/AR290-1)*100)&lt;-50,"NM",(AZ290/AR290-1)*100)))</f>
        <v>-38.461538461538467</v>
      </c>
      <c r="BB290" s="158">
        <f>0.7+0.1</f>
        <v>0.79999999999999993</v>
      </c>
      <c r="BC290" s="177">
        <f t="shared" ref="BC290:BC294" si="1866">IF(ISERROR((BB290/AT290-1)*100),"NA",IF(((BB290/AT290-1)*100)&gt;100,"NM",IF(((BB290/AT290-1)*100)&lt;-50,"NM",(BB290/AT290-1)*100)))</f>
        <v>-11.111111111111116</v>
      </c>
      <c r="BD290" s="158">
        <v>1</v>
      </c>
      <c r="BE290" s="177">
        <f t="shared" ref="BE290:BE294" si="1867">IF(ISERROR((BD290/AV290-1)*100),"NA",IF(((BD290/AV290-1)*100)&gt;100,"NM",IF(((BD290/AV290-1)*100)&lt;-50,"NM",(BD290/AV290-1)*100)))</f>
        <v>0</v>
      </c>
      <c r="BF290" s="49">
        <f t="shared" ref="BF290:BJ290" si="1868">AX290</f>
        <v>1.2000000000000002</v>
      </c>
      <c r="BG290" s="177">
        <f t="shared" ref="BG290:BG294" si="1869">IF(ISERROR((BF290/AX290-1)*100),"NA",IF(((BF290/AX290-1)*100)&gt;100,"NM",IF(((BF290/AX290-1)*100)&lt;-50,"NM",(BF290/AX290-1)*100)))</f>
        <v>0</v>
      </c>
      <c r="BH290" s="49">
        <f t="shared" si="1868"/>
        <v>0.79999999999999993</v>
      </c>
      <c r="BI290" s="177">
        <f t="shared" ref="BI290:BI294" si="1870">IF(ISERROR((BH290/AZ290-1)*100),"NA",IF(((BH290/AZ290-1)*100)&gt;100,"NM",IF(((BH290/AZ290-1)*100)&lt;-50,"NM",(BH290/AZ290-1)*100)))</f>
        <v>0</v>
      </c>
      <c r="BJ290" s="49">
        <f t="shared" si="1868"/>
        <v>0.79999999999999993</v>
      </c>
      <c r="BK290" s="177">
        <f t="shared" ref="BK290:BK294" si="1871">IF(ISERROR((BJ290/BB290-1)*100),"NA",IF(((BJ290/BB290-1)*100)&gt;100,"NM",IF(((BJ290/BB290-1)*100)&lt;-50,"NM",(BJ290/BB290-1)*100)))</f>
        <v>0</v>
      </c>
      <c r="BL290" s="49">
        <f t="shared" ref="BL290" si="1872">BD290</f>
        <v>1</v>
      </c>
      <c r="BM290" s="177">
        <f t="shared" ref="BM290:BM294" si="1873">IF(ISERROR((BL290/BD290-1)*100),"NA",IF(((BL290/BD290-1)*100)&gt;100,"NM",IF(((BL290/BD290-1)*100)&lt;-50,"NM",(BL290/BD290-1)*100)))</f>
        <v>0</v>
      </c>
      <c r="BN290" s="10"/>
      <c r="BO290" s="137"/>
      <c r="BP290" s="10"/>
      <c r="BQ290" s="49">
        <f>50.2+25.8</f>
        <v>76</v>
      </c>
      <c r="BR290" s="119"/>
      <c r="BS290" s="49">
        <f>27.2+36.6</f>
        <v>63.8</v>
      </c>
      <c r="BT290" s="32"/>
      <c r="BU290" s="56">
        <f>B290+D290+F290+H290</f>
        <v>96.789999999999992</v>
      </c>
      <c r="BV290" s="23">
        <f>IF(ISERROR((BU290/BS290-1)*100),"NA",IF(((BU290/BS290-1)*100)&gt;100,"NM",IF(((BU290/BS290-1)*100)&lt;-50,"NM",(BU290/BS290-1)*100)))</f>
        <v>51.708463949843249</v>
      </c>
      <c r="BW290" s="56">
        <f>J290+L290+N290+P290</f>
        <v>97.977999999999994</v>
      </c>
      <c r="BX290" s="23">
        <f>IF(ISERROR((BW290/BU290-1)*100),"NA",IF(((BW290/BU290-1)*100)&gt;100,"NM",IF(((BW290/BU290-1)*100)&lt;-50,"NM",(BW290/BU290-1)*100)))</f>
        <v>1.2273995247442882</v>
      </c>
      <c r="BY290" s="56">
        <f>R290+T290+V290+X290</f>
        <v>13.3</v>
      </c>
      <c r="BZ290" s="23" t="str">
        <f>IF(ISERROR((BY290/BW290-1)*100),"NA",IF(((BY290/BW290-1)*100)&gt;100,"NM",IF(((BY290/BW290-1)*100)&lt;-50,"NM",(BY290/BW290-1)*100)))</f>
        <v>NM</v>
      </c>
      <c r="CA290" s="56">
        <f>Z290+AB290+AD290+AF290</f>
        <v>9.9</v>
      </c>
      <c r="CB290" s="23">
        <f>IF(ISERROR((CA290/BY290-1)*100),"NA",IF(((CA290/BY290-1)*100)&gt;100,"NM",IF(((CA290/BY290-1)*100)&lt;-50,"NM",(CA290/BY290-1)*100)))</f>
        <v>-25.563909774436087</v>
      </c>
      <c r="CC290" s="56">
        <f>AH290+AJ290+AL290+AN290</f>
        <v>5.1999999999999993</v>
      </c>
      <c r="CD290" s="23">
        <f>IF(ISERROR((CC290/CA290-1)*100),"NA",IF(((CC290/CA290-1)*100)&gt;100,"NM",IF(((CC290/CA290-1)*100)&lt;-50,"NM",(CC290/CA290-1)*100)))</f>
        <v>-47.474747474747481</v>
      </c>
      <c r="CE290" s="56">
        <f>AP290+AR290+AT290+AV290</f>
        <v>5.1000000000000005</v>
      </c>
      <c r="CF290" s="23">
        <f>IF(ISERROR((CE290/CC290-1)*100),"NA",IF(((CE290/CC290-1)*100)&gt;100,"NM",IF(((CE290/CC290-1)*100)&lt;-50,"NM",(CE290/CC290-1)*100)))</f>
        <v>-1.923076923076894</v>
      </c>
      <c r="CG290" s="56">
        <f>AX290+AZ290+BB290+BD290</f>
        <v>3.8</v>
      </c>
      <c r="CH290" s="23">
        <f>IF(ISERROR((CG290/CE290-1)*100),"NA",IF(((CG290/CE290-1)*100)&gt;100,"NM",IF(((CG290/CE290-1)*100)&lt;-50,"NM",(CG290/CE290-1)*100)))</f>
        <v>-25.490196078431381</v>
      </c>
      <c r="CI290" s="56">
        <f>BF290+BH290+BJ290+BL290</f>
        <v>3.8</v>
      </c>
      <c r="CJ290" s="23">
        <f>IF(ISERROR((CI290/CG290-1)*100),"NA",IF(((CI290/CG290-1)*100)&gt;100,"NM",IF(((CI290/CG290-1)*100)&lt;-50,"NM",(CI290/CG290-1)*100)))</f>
        <v>0</v>
      </c>
      <c r="CK290" s="56"/>
      <c r="CL290" s="23" t="str">
        <f>IF(ISERROR((CK290/CI290-1)*100),"NA",IF(((CK290/CI290-1)*100)&gt;100,"NM",IF(((CK290/CI290-1)*100)&lt;-50,"NM",(CK290/CI290-1)*100)))</f>
        <v>NM</v>
      </c>
      <c r="CM290" s="56"/>
      <c r="CN290" s="23" t="str">
        <f>IF(ISERROR((CM290/CK290-1)*100),"NA",IF(((CM290/CK290-1)*100)&gt;100,"NM",IF(((CM290/CK290-1)*100)&lt;-50,"NM",(CM290/CK290-1)*100)))</f>
        <v>NA</v>
      </c>
      <c r="CO290" s="56"/>
      <c r="CP290" s="23" t="str">
        <f>IF(ISERROR((CO290/CM290-1)*100),"NA",IF(((CO290/CM290-1)*100)&gt;100,"NM",IF(((CO290/CM290-1)*100)&lt;-50,"NM",(CO290/CM290-1)*100)))</f>
        <v>NA</v>
      </c>
      <c r="CQ290" s="56"/>
      <c r="CR290" s="23" t="str">
        <f>IF(ISERROR((CQ290/CO290-1)*100),"NA",IF(((CQ290/CO290-1)*100)&gt;100,"NM",IF(((CQ290/CO290-1)*100)&lt;-50,"NM",(CQ290/CO290-1)*100)))</f>
        <v>NA</v>
      </c>
      <c r="CS290" s="177" t="str">
        <f>IF(ISERROR(((CQ290/CG290)^0.2-1)*100),"NA",IF((((CQ290/CG290)^0.2-1)*100)&gt;100,"NM",IF((((CQ290/CG290)^0.2-1)*100)&lt;-50,"NM",((CQ290/CG290)^0.2-1)*100)))</f>
        <v>NM</v>
      </c>
    </row>
    <row r="291" spans="1:97" ht="12.75" customHeight="1" x14ac:dyDescent="0.2">
      <c r="A291" s="4" t="s">
        <v>155</v>
      </c>
      <c r="B291" s="49">
        <v>5.54</v>
      </c>
      <c r="C291" s="59"/>
      <c r="D291" s="49">
        <v>6.8730000000000002</v>
      </c>
      <c r="E291" s="59"/>
      <c r="F291" s="49">
        <v>6.3250000000000002</v>
      </c>
      <c r="G291" s="59"/>
      <c r="H291" s="49">
        <v>9.5990000000000002</v>
      </c>
      <c r="I291" s="59"/>
      <c r="J291" s="49">
        <v>5.1319999999999997</v>
      </c>
      <c r="K291" s="177">
        <f t="shared" si="1862"/>
        <v>-7.364620938628164</v>
      </c>
      <c r="L291" s="49">
        <v>8.4870000000000001</v>
      </c>
      <c r="M291" s="177">
        <f t="shared" si="1862"/>
        <v>23.483195111305101</v>
      </c>
      <c r="N291" s="49">
        <v>8.1219999999999999</v>
      </c>
      <c r="O291" s="177">
        <f t="shared" si="1862"/>
        <v>28.411067193675876</v>
      </c>
      <c r="P291" s="49">
        <v>11.792999999999999</v>
      </c>
      <c r="Q291" s="177">
        <f t="shared" si="1862"/>
        <v>22.856547557037189</v>
      </c>
      <c r="R291" s="49">
        <v>6.8</v>
      </c>
      <c r="S291" s="177">
        <f t="shared" si="1862"/>
        <v>32.501948558067028</v>
      </c>
      <c r="T291" s="49">
        <v>6.6</v>
      </c>
      <c r="U291" s="23">
        <f t="shared" si="1862"/>
        <v>-22.234004948745145</v>
      </c>
      <c r="V291" s="49">
        <v>5.8</v>
      </c>
      <c r="W291" s="177">
        <f t="shared" si="1862"/>
        <v>-28.589017483378477</v>
      </c>
      <c r="X291" s="49">
        <v>8.4</v>
      </c>
      <c r="Y291" s="177">
        <f t="shared" si="1862"/>
        <v>-28.771305011447456</v>
      </c>
      <c r="Z291" s="49">
        <v>7.9</v>
      </c>
      <c r="AA291" s="177">
        <f>IF(ISERROR((Z291/R291-1)*100),"NA",IF(((Z291/R291-1)*100)&gt;100,"NM",IF(((Z291/R291-1)*100)&lt;-50,"NM",(Z291/R291-1)*100)))</f>
        <v>16.176470588235304</v>
      </c>
      <c r="AB291" s="49">
        <v>13.3</v>
      </c>
      <c r="AC291" s="177" t="str">
        <f>IF(ISERROR((AB291/T291-1)*100),"NA",IF(((AB291/T291-1)*100)&gt;100,"NM",IF(((AB291/T291-1)*100)&lt;-50,"NM",(AB291/T291-1)*100)))</f>
        <v>NM</v>
      </c>
      <c r="AD291" s="49">
        <v>16</v>
      </c>
      <c r="AE291" s="177" t="str">
        <f>IF(ISERROR((AD291/V291-1)*100),"NA",IF(((AD291/V291-1)*100)&gt;100,"NM",IF(((AD291/V291-1)*100)&lt;-50,"NM",(AD291/V291-1)*100)))</f>
        <v>NM</v>
      </c>
      <c r="AF291" s="49">
        <v>12.6</v>
      </c>
      <c r="AG291" s="224">
        <f>IF(ISERROR((AF291/X291-1)*100),"NA",IF(((AF291/X291-1)*100)&gt;100,"NM",IF(((AF291/X291-1)*100)&lt;-50,"NM",(AF291/X291-1)*100)))</f>
        <v>50</v>
      </c>
      <c r="AH291" s="49">
        <v>14.4</v>
      </c>
      <c r="AI291" s="224">
        <f>IF(ISERROR((AH291/Z291-1)*100),"NA",IF(((AH291/Z291-1)*100)&gt;100,"NM",IF(((AH291/Z291-1)*100)&lt;-50,"NM",(AH291/Z291-1)*100)))</f>
        <v>82.278481012658219</v>
      </c>
      <c r="AJ291" s="49">
        <v>15.5</v>
      </c>
      <c r="AK291" s="224">
        <f>IF(ISERROR((AJ291/AB291-1)*100),"NA",IF(((AJ291/AB291-1)*100)&gt;100,"NM",IF(((AJ291/AB291-1)*100)&lt;-50,"NM",(AJ291/AB291-1)*100)))</f>
        <v>16.541353383458635</v>
      </c>
      <c r="AL291" s="49">
        <v>18.2</v>
      </c>
      <c r="AM291" s="224">
        <f>IF(ISERROR((AL291/AD291-1)*100),"NA",IF(((AL291/AD291-1)*100)&gt;100,"NM",IF(((AL291/AD291-1)*100)&lt;-50,"NM",(AL291/AD291-1)*100)))</f>
        <v>13.749999999999996</v>
      </c>
      <c r="AN291" s="158">
        <v>23.7</v>
      </c>
      <c r="AO291" s="224">
        <f>IF(ISERROR((AN291/AF291-1)*100),"NA",IF(((AN291/AF291-1)*100)&gt;100,"NM",IF(((AN291/AF291-1)*100)&lt;-50,"NM",(AN291/AF291-1)*100)))</f>
        <v>88.095238095238088</v>
      </c>
      <c r="AP291" s="158">
        <v>17.3</v>
      </c>
      <c r="AQ291" s="224">
        <f>IF(ISERROR((AP291/AH291-1)*100),"NA",IF(((AP291/AH291-1)*100)&gt;100,"NM",IF(((AP291/AH291-1)*100)&lt;-50,"NM",(AP291/AH291-1)*100)))</f>
        <v>20.138888888888886</v>
      </c>
      <c r="AR291" s="158">
        <v>23.1</v>
      </c>
      <c r="AS291" s="224">
        <f>IF(ISERROR((AR291/AJ291-1)*100),"NA",IF(((AR291/AJ291-1)*100)&gt;100,"NM",IF(((AR291/AJ291-1)*100)&lt;-50,"NM",(AR291/AJ291-1)*100)))</f>
        <v>49.032258064516142</v>
      </c>
      <c r="AT291" s="158">
        <v>19.7</v>
      </c>
      <c r="AU291" s="224">
        <f>IF(ISERROR((AT291/AL291-1)*100),"NA",IF(((AT291/AL291-1)*100)&gt;100,"NM",IF(((AT291/AL291-1)*100)&lt;-50,"NM",(AT291/AL291-1)*100)))</f>
        <v>8.2417582417582338</v>
      </c>
      <c r="AV291" s="158">
        <v>19.8</v>
      </c>
      <c r="AW291" s="177">
        <f t="shared" si="1863"/>
        <v>-16.455696202531644</v>
      </c>
      <c r="AX291" s="158">
        <v>20.7</v>
      </c>
      <c r="AY291" s="177">
        <f t="shared" si="1864"/>
        <v>19.653179190751445</v>
      </c>
      <c r="AZ291" s="158">
        <v>16.899999999999999</v>
      </c>
      <c r="BA291" s="177">
        <f t="shared" si="1865"/>
        <v>-26.839826839826852</v>
      </c>
      <c r="BB291" s="158">
        <v>16.3</v>
      </c>
      <c r="BC291" s="177">
        <f t="shared" si="1866"/>
        <v>-17.25888324873096</v>
      </c>
      <c r="BD291" s="158">
        <v>19</v>
      </c>
      <c r="BE291" s="177">
        <f t="shared" si="1867"/>
        <v>-4.0404040404040442</v>
      </c>
      <c r="BF291" s="49">
        <f t="shared" ref="BF291:BJ291" si="1874">AX291*1.06</f>
        <v>21.942</v>
      </c>
      <c r="BG291" s="177">
        <f t="shared" si="1869"/>
        <v>6.0000000000000053</v>
      </c>
      <c r="BH291" s="49">
        <f t="shared" si="1874"/>
        <v>17.913999999999998</v>
      </c>
      <c r="BI291" s="177">
        <f t="shared" si="1870"/>
        <v>6.0000000000000053</v>
      </c>
      <c r="BJ291" s="49">
        <f t="shared" si="1874"/>
        <v>17.278000000000002</v>
      </c>
      <c r="BK291" s="177">
        <f t="shared" si="1871"/>
        <v>6.0000000000000053</v>
      </c>
      <c r="BL291" s="49">
        <f t="shared" ref="BL291" si="1875">BD291*1.06</f>
        <v>20.14</v>
      </c>
      <c r="BM291" s="177">
        <f t="shared" si="1873"/>
        <v>6.0000000000000053</v>
      </c>
      <c r="BN291" s="10"/>
      <c r="BO291" s="137"/>
      <c r="BP291" s="10"/>
      <c r="BQ291" s="49">
        <v>8.5</v>
      </c>
      <c r="BR291" s="119"/>
      <c r="BS291" s="49">
        <v>20.7</v>
      </c>
      <c r="BT291" s="32"/>
      <c r="BU291" s="56">
        <f>B291+D291+F291+H291</f>
        <v>28.337</v>
      </c>
      <c r="BV291" s="23">
        <f>IF(ISERROR((BU291/BS291-1)*100),"NA",IF(((BU291/BS291-1)*100)&gt;100,"NM",IF(((BU291/BS291-1)*100)&lt;-50,"NM",(BU291/BS291-1)*100)))</f>
        <v>36.893719806763279</v>
      </c>
      <c r="BW291" s="56">
        <f>J291+L291+N291+P291</f>
        <v>33.533999999999999</v>
      </c>
      <c r="BX291" s="23">
        <f>IF(ISERROR((BW291/BU291-1)*100),"NA",IF(((BW291/BU291-1)*100)&gt;100,"NM",IF(((BW291/BU291-1)*100)&lt;-50,"NM",(BW291/BU291-1)*100)))</f>
        <v>18.339979532060546</v>
      </c>
      <c r="BY291" s="56">
        <f>R291+T291+V291+X291</f>
        <v>27.6</v>
      </c>
      <c r="BZ291" s="23">
        <f>IF(ISERROR((BY291/BW291-1)*100),"NA",IF(((BY291/BW291-1)*100)&gt;100,"NM",IF(((BY291/BW291-1)*100)&lt;-50,"NM",(BY291/BW291-1)*100)))</f>
        <v>-17.695473251028805</v>
      </c>
      <c r="CA291" s="56">
        <f>Z291+AB291+AD291+AF291</f>
        <v>49.800000000000004</v>
      </c>
      <c r="CB291" s="23">
        <f>IF(ISERROR((CA291/BY291-1)*100),"NA",IF(((CA291/BY291-1)*100)&gt;100,"NM",IF(((CA291/BY291-1)*100)&lt;-50,"NM",(CA291/BY291-1)*100)))</f>
        <v>80.434782608695656</v>
      </c>
      <c r="CC291" s="56">
        <f>AH291+AJ291+AL291+AN291</f>
        <v>71.8</v>
      </c>
      <c r="CD291" s="23">
        <f>IF(ISERROR((CC291/CA291-1)*100),"NA",IF(((CC291/CA291-1)*100)&gt;100,"NM",IF(((CC291/CA291-1)*100)&lt;-50,"NM",(CC291/CA291-1)*100)))</f>
        <v>44.176706827309211</v>
      </c>
      <c r="CE291" s="56">
        <f>AP291+AR291+AT291+AV291</f>
        <v>79.900000000000006</v>
      </c>
      <c r="CF291" s="23">
        <f>IF(ISERROR((CE291/CC291-1)*100),"NA",IF(((CE291/CC291-1)*100)&gt;100,"NM",IF(((CE291/CC291-1)*100)&lt;-50,"NM",(CE291/CC291-1)*100)))</f>
        <v>11.281337047353768</v>
      </c>
      <c r="CG291" s="56">
        <f>AX291+AZ291+BB291+BD291</f>
        <v>72.899999999999991</v>
      </c>
      <c r="CH291" s="23">
        <f>IF(ISERROR((CG291/CE291-1)*100),"NA",IF(((CG291/CE291-1)*100)&gt;100,"NM",IF(((CG291/CE291-1)*100)&lt;-50,"NM",(CG291/CE291-1)*100)))</f>
        <v>-8.7609511889862546</v>
      </c>
      <c r="CI291" s="56">
        <f>BF291+BH291+BJ291+BL291</f>
        <v>77.274000000000001</v>
      </c>
      <c r="CJ291" s="23">
        <f>IF(ISERROR((CI291/CG291-1)*100),"NA",IF(((CI291/CG291-1)*100)&gt;100,"NM",IF(((CI291/CG291-1)*100)&lt;-50,"NM",(CI291/CG291-1)*100)))</f>
        <v>6.0000000000000053</v>
      </c>
      <c r="CK291" s="56"/>
      <c r="CL291" s="23" t="str">
        <f>IF(ISERROR((CK291/CI291-1)*100),"NA",IF(((CK291/CI291-1)*100)&gt;100,"NM",IF(((CK291/CI291-1)*100)&lt;-50,"NM",(CK291/CI291-1)*100)))</f>
        <v>NM</v>
      </c>
      <c r="CM291" s="56"/>
      <c r="CN291" s="23" t="str">
        <f>IF(ISERROR((CM291/CK291-1)*100),"NA",IF(((CM291/CK291-1)*100)&gt;100,"NM",IF(((CM291/CK291-1)*100)&lt;-50,"NM",(CM291/CK291-1)*100)))</f>
        <v>NA</v>
      </c>
      <c r="CO291" s="56"/>
      <c r="CP291" s="23" t="str">
        <f>IF(ISERROR((CO291/CM291-1)*100),"NA",IF(((CO291/CM291-1)*100)&gt;100,"NM",IF(((CO291/CM291-1)*100)&lt;-50,"NM",(CO291/CM291-1)*100)))</f>
        <v>NA</v>
      </c>
      <c r="CQ291" s="56"/>
      <c r="CR291" s="23" t="str">
        <f>IF(ISERROR((CQ291/CO291-1)*100),"NA",IF(((CQ291/CO291-1)*100)&gt;100,"NM",IF(((CQ291/CO291-1)*100)&lt;-50,"NM",(CQ291/CO291-1)*100)))</f>
        <v>NA</v>
      </c>
      <c r="CS291" s="177" t="str">
        <f>IF(ISERROR(((CQ291/CG291)^0.2-1)*100),"NA",IF((((CQ291/CG291)^0.2-1)*100)&gt;100,"NM",IF((((CQ291/CG291)^0.2-1)*100)&lt;-50,"NM",((CQ291/CG291)^0.2-1)*100)))</f>
        <v>NM</v>
      </c>
    </row>
    <row r="292" spans="1:97" ht="12.75" customHeight="1" x14ac:dyDescent="0.2">
      <c r="A292" s="408" t="s">
        <v>542</v>
      </c>
      <c r="B292" s="49">
        <v>4.1040000000000001</v>
      </c>
      <c r="C292" s="59"/>
      <c r="D292" s="49">
        <v>3.3690000000000002</v>
      </c>
      <c r="E292" s="59"/>
      <c r="F292" s="49">
        <v>3.0880000000000001</v>
      </c>
      <c r="G292" s="59"/>
      <c r="H292" s="49">
        <v>1.77</v>
      </c>
      <c r="I292" s="59"/>
      <c r="J292" s="49">
        <v>1.1870000000000001</v>
      </c>
      <c r="K292" s="177" t="str">
        <f t="shared" si="1862"/>
        <v>NM</v>
      </c>
      <c r="L292" s="49">
        <v>1.222</v>
      </c>
      <c r="M292" s="177" t="str">
        <f t="shared" si="1862"/>
        <v>NM</v>
      </c>
      <c r="N292" s="49">
        <v>2.3069999999999999</v>
      </c>
      <c r="O292" s="177">
        <f t="shared" si="1862"/>
        <v>-25.291450777202073</v>
      </c>
      <c r="P292" s="49">
        <v>1.5449999999999999</v>
      </c>
      <c r="Q292" s="177">
        <f t="shared" si="1862"/>
        <v>-12.711864406779661</v>
      </c>
      <c r="R292" s="49">
        <v>2.7</v>
      </c>
      <c r="S292" s="177" t="str">
        <f t="shared" si="1862"/>
        <v>NM</v>
      </c>
      <c r="T292" s="49">
        <v>2.4</v>
      </c>
      <c r="U292" s="23">
        <f t="shared" si="1862"/>
        <v>96.399345335515548</v>
      </c>
      <c r="V292" s="49">
        <v>2.8</v>
      </c>
      <c r="W292" s="177">
        <f t="shared" si="1862"/>
        <v>21.369744256610311</v>
      </c>
      <c r="X292" s="49">
        <v>0.7</v>
      </c>
      <c r="Y292" s="177" t="str">
        <f t="shared" si="1862"/>
        <v>NM</v>
      </c>
      <c r="Z292" s="49">
        <v>0.9</v>
      </c>
      <c r="AA292" s="177" t="str">
        <f>IF(ISERROR((Z292/R292-1)*100),"NA",IF(((Z292/R292-1)*100)&gt;100,"NM",IF(((Z292/R292-1)*100)&lt;-50,"NM",(Z292/R292-1)*100)))</f>
        <v>NM</v>
      </c>
      <c r="AB292" s="49">
        <v>1.5</v>
      </c>
      <c r="AC292" s="177">
        <f>IF(ISERROR((AB292/T292-1)*100),"NA",IF(((AB292/T292-1)*100)&gt;100,"NM",IF(((AB292/T292-1)*100)&lt;-50,"NM",(AB292/T292-1)*100)))</f>
        <v>-37.5</v>
      </c>
      <c r="AD292" s="49">
        <v>1.4</v>
      </c>
      <c r="AE292" s="177">
        <f>IF(ISERROR((AD292/V292-1)*100),"NA",IF(((AD292/V292-1)*100)&gt;100,"NM",IF(((AD292/V292-1)*100)&lt;-50,"NM",(AD292/V292-1)*100)))</f>
        <v>-50</v>
      </c>
      <c r="AF292" s="49">
        <v>3.4</v>
      </c>
      <c r="AG292" s="224" t="str">
        <f>IF(ISERROR((AF292/X292-1)*100),"NA",IF(((AF292/X292-1)*100)&gt;100,"NM",IF(((AF292/X292-1)*100)&lt;-50,"NM",(AF292/X292-1)*100)))</f>
        <v>NM</v>
      </c>
      <c r="AH292" s="49">
        <v>1</v>
      </c>
      <c r="AI292" s="224">
        <f>IF(ISERROR((AH292/Z292-1)*100),"NA",IF(((AH292/Z292-1)*100)&gt;100,"NM",IF(((AH292/Z292-1)*100)&lt;-50,"NM",(AH292/Z292-1)*100)))</f>
        <v>11.111111111111116</v>
      </c>
      <c r="AJ292" s="49">
        <v>1.7</v>
      </c>
      <c r="AK292" s="224">
        <f>IF(ISERROR((AJ292/AB292-1)*100),"NA",IF(((AJ292/AB292-1)*100)&gt;100,"NM",IF(((AJ292/AB292-1)*100)&lt;-50,"NM",(AJ292/AB292-1)*100)))</f>
        <v>13.33333333333333</v>
      </c>
      <c r="AL292" s="49">
        <v>1</v>
      </c>
      <c r="AM292" s="224">
        <f>IF(ISERROR((AL292/AD292-1)*100),"NA",IF(((AL292/AD292-1)*100)&gt;100,"NM",IF(((AL292/AD292-1)*100)&lt;-50,"NM",(AL292/AD292-1)*100)))</f>
        <v>-28.571428571428569</v>
      </c>
      <c r="AN292" s="158">
        <v>1.8</v>
      </c>
      <c r="AO292" s="224">
        <f>IF(ISERROR((AN292/AF292-1)*100),"NA",IF(((AN292/AF292-1)*100)&gt;100,"NM",IF(((AN292/AF292-1)*100)&lt;-50,"NM",(AN292/AF292-1)*100)))</f>
        <v>-47.058823529411761</v>
      </c>
      <c r="AP292" s="158">
        <v>0.8</v>
      </c>
      <c r="AQ292" s="224">
        <f>IF(ISERROR((AP292/AH292-1)*100),"NA",IF(((AP292/AH292-1)*100)&gt;100,"NM",IF(((AP292/AH292-1)*100)&lt;-50,"NM",(AP292/AH292-1)*100)))</f>
        <v>-19.999999999999996</v>
      </c>
      <c r="AR292" s="158">
        <v>1</v>
      </c>
      <c r="AS292" s="224">
        <f>IF(ISERROR((AR292/AJ292-1)*100),"NA",IF(((AR292/AJ292-1)*100)&gt;100,"NM",IF(((AR292/AJ292-1)*100)&lt;-50,"NM",(AR292/AJ292-1)*100)))</f>
        <v>-41.17647058823529</v>
      </c>
      <c r="AT292" s="158">
        <v>0.7</v>
      </c>
      <c r="AU292" s="224">
        <f>IF(ISERROR((AT292/AL292-1)*100),"NA",IF(((AT292/AL292-1)*100)&gt;100,"NM",IF(((AT292/AL292-1)*100)&lt;-50,"NM",(AT292/AL292-1)*100)))</f>
        <v>-30.000000000000004</v>
      </c>
      <c r="AV292" s="158">
        <v>1.2</v>
      </c>
      <c r="AW292" s="177">
        <f t="shared" si="1863"/>
        <v>-33.333333333333336</v>
      </c>
      <c r="AX292" s="158">
        <v>1.2</v>
      </c>
      <c r="AY292" s="177">
        <f t="shared" si="1864"/>
        <v>49.999999999999979</v>
      </c>
      <c r="AZ292" s="158">
        <v>0.8</v>
      </c>
      <c r="BA292" s="177">
        <f t="shared" si="1865"/>
        <v>-19.999999999999996</v>
      </c>
      <c r="BB292" s="158">
        <v>0.7</v>
      </c>
      <c r="BC292" s="177">
        <f t="shared" si="1866"/>
        <v>0</v>
      </c>
      <c r="BD292" s="158">
        <v>1</v>
      </c>
      <c r="BE292" s="177">
        <f t="shared" si="1867"/>
        <v>-16.666666666666664</v>
      </c>
      <c r="BF292" s="49">
        <f t="shared" ref="BF292:BJ292" si="1876">AX292</f>
        <v>1.2</v>
      </c>
      <c r="BG292" s="177">
        <f t="shared" si="1869"/>
        <v>0</v>
      </c>
      <c r="BH292" s="49">
        <f t="shared" si="1876"/>
        <v>0.8</v>
      </c>
      <c r="BI292" s="177">
        <f t="shared" si="1870"/>
        <v>0</v>
      </c>
      <c r="BJ292" s="49">
        <f t="shared" si="1876"/>
        <v>0.7</v>
      </c>
      <c r="BK292" s="177">
        <f t="shared" si="1871"/>
        <v>0</v>
      </c>
      <c r="BL292" s="49">
        <f t="shared" ref="BL292" si="1877">BD292</f>
        <v>1</v>
      </c>
      <c r="BM292" s="177">
        <f t="shared" si="1873"/>
        <v>0</v>
      </c>
      <c r="BN292" s="10"/>
      <c r="BO292" s="137"/>
      <c r="BP292" s="10"/>
      <c r="BQ292" s="49">
        <v>14.3</v>
      </c>
      <c r="BR292" s="119"/>
      <c r="BS292" s="49">
        <v>11.5</v>
      </c>
      <c r="BT292" s="32"/>
      <c r="BU292" s="56">
        <f>B292+D292+F292+H292</f>
        <v>12.331</v>
      </c>
      <c r="BV292" s="23">
        <f>IF(ISERROR((BU292/BS292-1)*100),"NA",IF(((BU292/BS292-1)*100)&gt;100,"NM",IF(((BU292/BS292-1)*100)&lt;-50,"NM",(BU292/BS292-1)*100)))</f>
        <v>7.2260869565217378</v>
      </c>
      <c r="BW292" s="56">
        <f>J292+L292+N292+P292</f>
        <v>6.2609999999999992</v>
      </c>
      <c r="BX292" s="23">
        <f>IF(ISERROR((BW292/BU292-1)*100),"NA",IF(((BW292/BU292-1)*100)&gt;100,"NM",IF(((BW292/BU292-1)*100)&lt;-50,"NM",(BW292/BU292-1)*100)))</f>
        <v>-49.225529154164306</v>
      </c>
      <c r="BY292" s="56">
        <f>R292+T292+V292+X292</f>
        <v>8.6</v>
      </c>
      <c r="BZ292" s="23">
        <f>IF(ISERROR((BY292/BW292-1)*100),"NA",IF(((BY292/BW292-1)*100)&gt;100,"NM",IF(((BY292/BW292-1)*100)&lt;-50,"NM",(BY292/BW292-1)*100)))</f>
        <v>37.358249480913599</v>
      </c>
      <c r="CA292" s="56">
        <f>Z292+AB292+AD292+AF292</f>
        <v>7.1999999999999993</v>
      </c>
      <c r="CB292" s="23">
        <f>IF(ISERROR((CA292/BY292-1)*100),"NA",IF(((CA292/BY292-1)*100)&gt;100,"NM",IF(((CA292/BY292-1)*100)&lt;-50,"NM",(CA292/BY292-1)*100)))</f>
        <v>-16.279069767441868</v>
      </c>
      <c r="CC292" s="56">
        <f>AH292+AJ292+AL292+AN292</f>
        <v>5.5</v>
      </c>
      <c r="CD292" s="23">
        <f>IF(ISERROR((CC292/CA292-1)*100),"NA",IF(((CC292/CA292-1)*100)&gt;100,"NM",IF(((CC292/CA292-1)*100)&lt;-50,"NM",(CC292/CA292-1)*100)))</f>
        <v>-23.611111111111104</v>
      </c>
      <c r="CE292" s="56">
        <f>AP292+AR292+AT292+AV292</f>
        <v>3.7</v>
      </c>
      <c r="CF292" s="23">
        <f>IF(ISERROR((CE292/CC292-1)*100),"NA",IF(((CE292/CC292-1)*100)&gt;100,"NM",IF(((CE292/CC292-1)*100)&lt;-50,"NM",(CE292/CC292-1)*100)))</f>
        <v>-32.727272727272727</v>
      </c>
      <c r="CG292" s="56">
        <f>AX292+AZ292+BB292+BD292</f>
        <v>3.7</v>
      </c>
      <c r="CH292" s="23">
        <f>IF(ISERROR((CG292/CE292-1)*100),"NA",IF(((CG292/CE292-1)*100)&gt;100,"NM",IF(((CG292/CE292-1)*100)&lt;-50,"NM",(CG292/CE292-1)*100)))</f>
        <v>0</v>
      </c>
      <c r="CI292" s="56">
        <f>BF292+BH292+BJ292+BL292</f>
        <v>3.7</v>
      </c>
      <c r="CJ292" s="23">
        <f>IF(ISERROR((CI292/CG292-1)*100),"NA",IF(((CI292/CG292-1)*100)&gt;100,"NM",IF(((CI292/CG292-1)*100)&lt;-50,"NM",(CI292/CG292-1)*100)))</f>
        <v>0</v>
      </c>
      <c r="CK292" s="56"/>
      <c r="CL292" s="23" t="str">
        <f>IF(ISERROR((CK292/CI292-1)*100),"NA",IF(((CK292/CI292-1)*100)&gt;100,"NM",IF(((CK292/CI292-1)*100)&lt;-50,"NM",(CK292/CI292-1)*100)))</f>
        <v>NM</v>
      </c>
      <c r="CM292" s="56"/>
      <c r="CN292" s="23" t="str">
        <f>IF(ISERROR((CM292/CK292-1)*100),"NA",IF(((CM292/CK292-1)*100)&gt;100,"NM",IF(((CM292/CK292-1)*100)&lt;-50,"NM",(CM292/CK292-1)*100)))</f>
        <v>NA</v>
      </c>
      <c r="CO292" s="56"/>
      <c r="CP292" s="23" t="str">
        <f>IF(ISERROR((CO292/CM292-1)*100),"NA",IF(((CO292/CM292-1)*100)&gt;100,"NM",IF(((CO292/CM292-1)*100)&lt;-50,"NM",(CO292/CM292-1)*100)))</f>
        <v>NA</v>
      </c>
      <c r="CQ292" s="56"/>
      <c r="CR292" s="23" t="str">
        <f>IF(ISERROR((CQ292/CO292-1)*100),"NA",IF(((CQ292/CO292-1)*100)&gt;100,"NM",IF(((CQ292/CO292-1)*100)&lt;-50,"NM",(CQ292/CO292-1)*100)))</f>
        <v>NA</v>
      </c>
      <c r="CS292" s="177" t="str">
        <f>IF(ISERROR(((CQ292/CG292)^0.2-1)*100),"NA",IF((((CQ292/CG292)^0.2-1)*100)&gt;100,"NM",IF((((CQ292/CG292)^0.2-1)*100)&lt;-50,"NM",((CQ292/CG292)^0.2-1)*100)))</f>
        <v>NM</v>
      </c>
    </row>
    <row r="293" spans="1:97" ht="12.75" customHeight="1" x14ac:dyDescent="0.2">
      <c r="A293" s="4" t="s">
        <v>156</v>
      </c>
      <c r="B293" s="49">
        <v>37.195</v>
      </c>
      <c r="C293" s="59"/>
      <c r="D293" s="49">
        <v>41.981999999999999</v>
      </c>
      <c r="E293" s="59"/>
      <c r="F293" s="49">
        <v>40.091999999999999</v>
      </c>
      <c r="G293" s="59"/>
      <c r="H293" s="49">
        <v>36.262</v>
      </c>
      <c r="I293" s="59"/>
      <c r="J293" s="49">
        <v>33.652999999999999</v>
      </c>
      <c r="K293" s="177">
        <f t="shared" si="1862"/>
        <v>-9.522785320607607</v>
      </c>
      <c r="L293" s="49">
        <v>35.286000000000001</v>
      </c>
      <c r="M293" s="177">
        <f t="shared" si="1862"/>
        <v>-15.949692725453756</v>
      </c>
      <c r="N293" s="49">
        <v>28.206</v>
      </c>
      <c r="O293" s="177">
        <f t="shared" si="1862"/>
        <v>-29.646812331637229</v>
      </c>
      <c r="P293" s="49">
        <v>19.157</v>
      </c>
      <c r="Q293" s="177">
        <f t="shared" si="1862"/>
        <v>-47.170591804092446</v>
      </c>
      <c r="R293" s="49">
        <v>15.2</v>
      </c>
      <c r="S293" s="177" t="str">
        <f t="shared" si="1862"/>
        <v>NM</v>
      </c>
      <c r="T293" s="49">
        <v>13.9</v>
      </c>
      <c r="U293" s="23" t="str">
        <f t="shared" si="1862"/>
        <v>NM</v>
      </c>
      <c r="V293" s="49">
        <f>11.2+0.1</f>
        <v>11.299999999999999</v>
      </c>
      <c r="W293" s="177" t="str">
        <f t="shared" si="1862"/>
        <v>NM</v>
      </c>
      <c r="X293" s="49">
        <f>9.8+0.1</f>
        <v>9.9</v>
      </c>
      <c r="Y293" s="177">
        <f t="shared" si="1862"/>
        <v>-48.321762280106483</v>
      </c>
      <c r="Z293" s="49">
        <f>7.2+0.1</f>
        <v>7.3</v>
      </c>
      <c r="AA293" s="177" t="str">
        <f>IF(ISERROR((Z293/R293-1)*100),"NA",IF(((Z293/R293-1)*100)&gt;100,"NM",IF(((Z293/R293-1)*100)&lt;-50,"NM",(Z293/R293-1)*100)))</f>
        <v>NM</v>
      </c>
      <c r="AB293" s="49">
        <v>8.1</v>
      </c>
      <c r="AC293" s="177">
        <f>IF(ISERROR((AB293/T293-1)*100),"NA",IF(((AB293/T293-1)*100)&gt;100,"NM",IF(((AB293/T293-1)*100)&lt;-50,"NM",(AB293/T293-1)*100)))</f>
        <v>-41.726618705035975</v>
      </c>
      <c r="AD293" s="49">
        <v>6.8</v>
      </c>
      <c r="AE293" s="177">
        <f>IF(ISERROR((AD293/V293-1)*100),"NA",IF(((AD293/V293-1)*100)&gt;100,"NM",IF(((AD293/V293-1)*100)&lt;-50,"NM",(AD293/V293-1)*100)))</f>
        <v>-39.823008849557517</v>
      </c>
      <c r="AF293" s="49">
        <v>5.9</v>
      </c>
      <c r="AG293" s="224">
        <f>IF(ISERROR((AF293/X293-1)*100),"NA",IF(((AF293/X293-1)*100)&gt;100,"NM",IF(((AF293/X293-1)*100)&lt;-50,"NM",(AF293/X293-1)*100)))</f>
        <v>-40.404040404040401</v>
      </c>
      <c r="AH293" s="49">
        <v>4.9000000000000004</v>
      </c>
      <c r="AI293" s="224">
        <f>IF(ISERROR((AH293/Z293-1)*100),"NA",IF(((AH293/Z293-1)*100)&gt;100,"NM",IF(((AH293/Z293-1)*100)&lt;-50,"NM",(AH293/Z293-1)*100)))</f>
        <v>-32.87671232876712</v>
      </c>
      <c r="AJ293" s="49">
        <v>5.0999999999999996</v>
      </c>
      <c r="AK293" s="224">
        <f>IF(ISERROR((AJ293/AB293-1)*100),"NA",IF(((AJ293/AB293-1)*100)&gt;100,"NM",IF(((AJ293/AB293-1)*100)&lt;-50,"NM",(AJ293/AB293-1)*100)))</f>
        <v>-37.037037037037038</v>
      </c>
      <c r="AL293" s="49">
        <v>4</v>
      </c>
      <c r="AM293" s="224">
        <f>IF(ISERROR((AL293/AD293-1)*100),"NA",IF(((AL293/AD293-1)*100)&gt;100,"NM",IF(((AL293/AD293-1)*100)&lt;-50,"NM",(AL293/AD293-1)*100)))</f>
        <v>-41.17647058823529</v>
      </c>
      <c r="AN293" s="158">
        <v>3.8</v>
      </c>
      <c r="AO293" s="224">
        <f>IF(ISERROR((AN293/AF293-1)*100),"NA",IF(((AN293/AF293-1)*100)&gt;100,"NM",IF(((AN293/AF293-1)*100)&lt;-50,"NM",(AN293/AF293-1)*100)))</f>
        <v>-35.593220338983059</v>
      </c>
      <c r="AP293" s="158">
        <v>3.5</v>
      </c>
      <c r="AQ293" s="224">
        <f>IF(ISERROR((AP293/AH293-1)*100),"NA",IF(((AP293/AH293-1)*100)&gt;100,"NM",IF(((AP293/AH293-1)*100)&lt;-50,"NM",(AP293/AH293-1)*100)))</f>
        <v>-28.57142857142858</v>
      </c>
      <c r="AR293" s="158">
        <v>3</v>
      </c>
      <c r="AS293" s="224">
        <f>IF(ISERROR((AR293/AJ293-1)*100),"NA",IF(((AR293/AJ293-1)*100)&gt;100,"NM",IF(((AR293/AJ293-1)*100)&lt;-50,"NM",(AR293/AJ293-1)*100)))</f>
        <v>-41.17647058823529</v>
      </c>
      <c r="AT293" s="158">
        <v>2.6</v>
      </c>
      <c r="AU293" s="224">
        <f>IF(ISERROR((AT293/AL293-1)*100),"NA",IF(((AT293/AL293-1)*100)&gt;100,"NM",IF(((AT293/AL293-1)*100)&lt;-50,"NM",(AT293/AL293-1)*100)))</f>
        <v>-35</v>
      </c>
      <c r="AV293" s="158">
        <v>2.6</v>
      </c>
      <c r="AW293" s="177">
        <f t="shared" si="1863"/>
        <v>-31.578947368421051</v>
      </c>
      <c r="AX293" s="158">
        <v>1.9</v>
      </c>
      <c r="AY293" s="177">
        <f t="shared" si="1864"/>
        <v>-45.714285714285715</v>
      </c>
      <c r="AZ293" s="158">
        <v>-0.1</v>
      </c>
      <c r="BA293" s="177" t="str">
        <f t="shared" si="1865"/>
        <v>NM</v>
      </c>
      <c r="BB293" s="158">
        <v>-0.1</v>
      </c>
      <c r="BC293" s="177" t="str">
        <f t="shared" si="1866"/>
        <v>NM</v>
      </c>
      <c r="BD293" s="158">
        <v>0</v>
      </c>
      <c r="BE293" s="177" t="str">
        <f t="shared" si="1867"/>
        <v>NM</v>
      </c>
      <c r="BF293" s="49">
        <f t="shared" ref="BF293:BJ293" si="1878">AX293*1.06</f>
        <v>2.0139999999999998</v>
      </c>
      <c r="BG293" s="177">
        <f t="shared" si="1869"/>
        <v>5.9999999999999831</v>
      </c>
      <c r="BH293" s="49">
        <f t="shared" si="1878"/>
        <v>-0.10600000000000001</v>
      </c>
      <c r="BI293" s="177">
        <f t="shared" si="1870"/>
        <v>6.0000000000000053</v>
      </c>
      <c r="BJ293" s="49">
        <f t="shared" si="1878"/>
        <v>-0.10600000000000001</v>
      </c>
      <c r="BK293" s="177">
        <f t="shared" si="1871"/>
        <v>6.0000000000000053</v>
      </c>
      <c r="BL293" s="49">
        <f t="shared" ref="BL293" si="1879">BD293*1.06</f>
        <v>0</v>
      </c>
      <c r="BM293" s="177" t="str">
        <f t="shared" si="1873"/>
        <v>NA</v>
      </c>
      <c r="BN293" s="10"/>
      <c r="BO293" s="137"/>
      <c r="BP293" s="10"/>
      <c r="BQ293" s="49">
        <v>147</v>
      </c>
      <c r="BR293" s="119"/>
      <c r="BS293" s="49">
        <v>127.7</v>
      </c>
      <c r="BT293" s="32"/>
      <c r="BU293" s="56">
        <f>B293+D293+F293+H293</f>
        <v>155.53100000000001</v>
      </c>
      <c r="BV293" s="23">
        <f>IF(ISERROR((BU293/BS293-1)*100),"NA",IF(((BU293/BS293-1)*100)&gt;100,"NM",IF(((BU293/BS293-1)*100)&lt;-50,"NM",(BU293/BS293-1)*100)))</f>
        <v>21.7940485512921</v>
      </c>
      <c r="BW293" s="56">
        <f>J293+L293+N293+P293</f>
        <v>116.30199999999999</v>
      </c>
      <c r="BX293" s="23">
        <f>IF(ISERROR((BW293/BU293-1)*100),"NA",IF(((BW293/BU293-1)*100)&gt;100,"NM",IF(((BW293/BU293-1)*100)&lt;-50,"NM",(BW293/BU293-1)*100)))</f>
        <v>-25.222624428570516</v>
      </c>
      <c r="BY293" s="56">
        <f>R293+T293+V293+X293</f>
        <v>50.3</v>
      </c>
      <c r="BZ293" s="23" t="str">
        <f>IF(ISERROR((BY293/BW293-1)*100),"NA",IF(((BY293/BW293-1)*100)&gt;100,"NM",IF(((BY293/BW293-1)*100)&lt;-50,"NM",(BY293/BW293-1)*100)))</f>
        <v>NM</v>
      </c>
      <c r="CA293" s="56">
        <f>Z293+AB293+AD293+AF293</f>
        <v>28.1</v>
      </c>
      <c r="CB293" s="23">
        <f>IF(ISERROR((CA293/BY293-1)*100),"NA",IF(((CA293/BY293-1)*100)&gt;100,"NM",IF(((CA293/BY293-1)*100)&lt;-50,"NM",(CA293/BY293-1)*100)))</f>
        <v>-44.135188866799204</v>
      </c>
      <c r="CC293" s="56">
        <f>AH293+AJ293+AL293+AN293</f>
        <v>17.8</v>
      </c>
      <c r="CD293" s="23">
        <f>IF(ISERROR((CC293/CA293-1)*100),"NA",IF(((CC293/CA293-1)*100)&gt;100,"NM",IF(((CC293/CA293-1)*100)&lt;-50,"NM",(CC293/CA293-1)*100)))</f>
        <v>-36.654804270462634</v>
      </c>
      <c r="CE293" s="56">
        <f>AP293+AR293+AT293+AV293</f>
        <v>11.7</v>
      </c>
      <c r="CF293" s="23">
        <f>IF(ISERROR((CE293/CC293-1)*100),"NA",IF(((CE293/CC293-1)*100)&gt;100,"NM",IF(((CE293/CC293-1)*100)&lt;-50,"NM",(CE293/CC293-1)*100)))</f>
        <v>-34.269662921348321</v>
      </c>
      <c r="CG293" s="56">
        <f>AX293+AZ293+BB293+BD293</f>
        <v>1.6999999999999997</v>
      </c>
      <c r="CH293" s="23" t="str">
        <f>IF(ISERROR((CG293/CE293-1)*100),"NA",IF(((CG293/CE293-1)*100)&gt;100,"NM",IF(((CG293/CE293-1)*100)&lt;-50,"NM",(CG293/CE293-1)*100)))</f>
        <v>NM</v>
      </c>
      <c r="CI293" s="56">
        <f>BF293+BH293+BJ293+BL293</f>
        <v>1.8019999999999996</v>
      </c>
      <c r="CJ293" s="23">
        <f>IF(ISERROR((CI293/CG293-1)*100),"NA",IF(((CI293/CG293-1)*100)&gt;100,"NM",IF(((CI293/CG293-1)*100)&lt;-50,"NM",(CI293/CG293-1)*100)))</f>
        <v>5.9999999999999831</v>
      </c>
      <c r="CK293" s="56"/>
      <c r="CL293" s="23" t="str">
        <f>IF(ISERROR((CK293/CI293-1)*100),"NA",IF(((CK293/CI293-1)*100)&gt;100,"NM",IF(((CK293/CI293-1)*100)&lt;-50,"NM",(CK293/CI293-1)*100)))</f>
        <v>NM</v>
      </c>
      <c r="CM293" s="56"/>
      <c r="CN293" s="23" t="str">
        <f>IF(ISERROR((CM293/CK293-1)*100),"NA",IF(((CM293/CK293-1)*100)&gt;100,"NM",IF(((CM293/CK293-1)*100)&lt;-50,"NM",(CM293/CK293-1)*100)))</f>
        <v>NA</v>
      </c>
      <c r="CO293" s="56"/>
      <c r="CP293" s="23" t="str">
        <f>IF(ISERROR((CO293/CM293-1)*100),"NA",IF(((CO293/CM293-1)*100)&gt;100,"NM",IF(((CO293/CM293-1)*100)&lt;-50,"NM",(CO293/CM293-1)*100)))</f>
        <v>NA</v>
      </c>
      <c r="CQ293" s="56"/>
      <c r="CR293" s="23" t="str">
        <f>IF(ISERROR((CQ293/CO293-1)*100),"NA",IF(((CQ293/CO293-1)*100)&gt;100,"NM",IF(((CQ293/CO293-1)*100)&lt;-50,"NM",(CQ293/CO293-1)*100)))</f>
        <v>NA</v>
      </c>
      <c r="CS293" s="177" t="str">
        <f>IF(ISERROR(((CQ293/CG293)^0.2-1)*100),"NA",IF((((CQ293/CG293)^0.2-1)*100)&gt;100,"NM",IF((((CQ293/CG293)^0.2-1)*100)&lt;-50,"NM",((CQ293/CG293)^0.2-1)*100)))</f>
        <v>NM</v>
      </c>
    </row>
    <row r="294" spans="1:97" ht="12.75" customHeight="1" x14ac:dyDescent="0.2">
      <c r="A294" s="4" t="s">
        <v>157</v>
      </c>
      <c r="B294" s="36">
        <f>SUM(B290:B293)</f>
        <v>73.253</v>
      </c>
      <c r="C294" s="59"/>
      <c r="D294" s="36">
        <f>SUM(D290:D293)</f>
        <v>74.177999999999997</v>
      </c>
      <c r="E294" s="59"/>
      <c r="F294" s="36">
        <f>SUM(F290:F293)</f>
        <v>70.930999999999997</v>
      </c>
      <c r="G294" s="59"/>
      <c r="H294" s="36">
        <f>SUM(H290:H293)</f>
        <v>74.62700000000001</v>
      </c>
      <c r="I294" s="59"/>
      <c r="J294" s="36">
        <f>SUM(J290:J293)</f>
        <v>68.188999999999993</v>
      </c>
      <c r="K294" s="177">
        <f t="shared" si="1862"/>
        <v>-6.9130274528005797</v>
      </c>
      <c r="L294" s="56">
        <f>SUM(L290:L293)</f>
        <v>76.561000000000007</v>
      </c>
      <c r="M294" s="177">
        <f t="shared" si="1862"/>
        <v>3.2125428024481817</v>
      </c>
      <c r="N294" s="56">
        <f>SUM(N290:N293)</f>
        <v>63.688000000000002</v>
      </c>
      <c r="O294" s="177">
        <f t="shared" si="1862"/>
        <v>-10.211332139685037</v>
      </c>
      <c r="P294" s="56">
        <f>SUM(P290:P293)</f>
        <v>45.637</v>
      </c>
      <c r="Q294" s="177">
        <f t="shared" si="1862"/>
        <v>-38.84653007624587</v>
      </c>
      <c r="R294" s="56">
        <f>SUM(R290:R293)</f>
        <v>29.2</v>
      </c>
      <c r="S294" s="177" t="str">
        <f t="shared" si="1862"/>
        <v>NM</v>
      </c>
      <c r="T294" s="56">
        <f>SUM(T290:T293)</f>
        <v>26.8</v>
      </c>
      <c r="U294" s="23" t="str">
        <f t="shared" si="1862"/>
        <v>NM</v>
      </c>
      <c r="V294" s="56">
        <f>SUM(V290:V293)</f>
        <v>22.799999999999997</v>
      </c>
      <c r="W294" s="177" t="str">
        <f t="shared" si="1862"/>
        <v>NM</v>
      </c>
      <c r="X294" s="56">
        <f>SUM(X290:X293)</f>
        <v>21</v>
      </c>
      <c r="Y294" s="177" t="str">
        <f t="shared" si="1862"/>
        <v>NM</v>
      </c>
      <c r="Z294" s="56">
        <f>SUM(Z290:Z293)</f>
        <v>18.899999999999999</v>
      </c>
      <c r="AA294" s="177">
        <f>IF(ISERROR((Z294/R294-1)*100),"NA",IF(((Z294/R294-1)*100)&gt;100,"NM",IF(((Z294/R294-1)*100)&lt;-50,"NM",(Z294/R294-1)*100)))</f>
        <v>-35.273972602739732</v>
      </c>
      <c r="AB294" s="56">
        <f>SUM(AB290:AB293)</f>
        <v>25</v>
      </c>
      <c r="AC294" s="177">
        <f>IF(ISERROR((AB294/T294-1)*100),"NA",IF(((AB294/T294-1)*100)&gt;100,"NM",IF(((AB294/T294-1)*100)&lt;-50,"NM",(AB294/T294-1)*100)))</f>
        <v>-6.7164179104477579</v>
      </c>
      <c r="AD294" s="56">
        <f>SUM(AD290:AD293)</f>
        <v>26.8</v>
      </c>
      <c r="AE294" s="177">
        <f>IF(ISERROR((AD294/V294-1)*100),"NA",IF(((AD294/V294-1)*100)&gt;100,"NM",IF(((AD294/V294-1)*100)&lt;-50,"NM",(AD294/V294-1)*100)))</f>
        <v>17.543859649122815</v>
      </c>
      <c r="AF294" s="56">
        <f>SUM(AF290:AF293)</f>
        <v>24.299999999999997</v>
      </c>
      <c r="AG294" s="224">
        <f>IF(ISERROR((AF294/X294-1)*100),"NA",IF(((AF294/X294-1)*100)&gt;100,"NM",IF(((AF294/X294-1)*100)&lt;-50,"NM",(AF294/X294-1)*100)))</f>
        <v>15.714285714285703</v>
      </c>
      <c r="AH294" s="56">
        <f>SUM(AH290:AH293)</f>
        <v>21.9</v>
      </c>
      <c r="AI294" s="224">
        <f>IF(ISERROR((AH294/Z294-1)*100),"NA",IF(((AH294/Z294-1)*100)&gt;100,"NM",IF(((AH294/Z294-1)*100)&lt;-50,"NM",(AH294/Z294-1)*100)))</f>
        <v>15.873015873015884</v>
      </c>
      <c r="AJ294" s="56">
        <f>SUM(AJ290:AJ293)</f>
        <v>23.299999999999997</v>
      </c>
      <c r="AK294" s="224">
        <f>IF(ISERROR((AJ294/AB294-1)*100),"NA",IF(((AJ294/AB294-1)*100)&gt;100,"NM",IF(((AJ294/AB294-1)*100)&lt;-50,"NM",(AJ294/AB294-1)*100)))</f>
        <v>-6.800000000000006</v>
      </c>
      <c r="AL294" s="56">
        <f>SUM(AL290:AL293)</f>
        <v>24.7</v>
      </c>
      <c r="AM294" s="224">
        <f>IF(ISERROR((AL294/AD294-1)*100),"NA",IF(((AL294/AD294-1)*100)&gt;100,"NM",IF(((AL294/AD294-1)*100)&lt;-50,"NM",(AL294/AD294-1)*100)))</f>
        <v>-7.835820895522394</v>
      </c>
      <c r="AN294" s="413">
        <f t="shared" ref="AN294:AP294" si="1880">SUM(AN290:AN293)</f>
        <v>30.400000000000002</v>
      </c>
      <c r="AO294" s="224">
        <f>IF(ISERROR((AN294/AF294-1)*100),"NA",IF(((AN294/AF294-1)*100)&gt;100,"NM",IF(((AN294/AF294-1)*100)&lt;-50,"NM",(AN294/AF294-1)*100)))</f>
        <v>25.102880658436245</v>
      </c>
      <c r="AP294" s="413">
        <f t="shared" si="1880"/>
        <v>23.5</v>
      </c>
      <c r="AQ294" s="224">
        <f>IF(ISERROR((AP294/AH294-1)*100),"NA",IF(((AP294/AH294-1)*100)&gt;100,"NM",IF(((AP294/AH294-1)*100)&lt;-50,"NM",(AP294/AH294-1)*100)))</f>
        <v>7.3059360730593603</v>
      </c>
      <c r="AR294" s="413">
        <f t="shared" ref="AR294:AT294" si="1881">SUM(AR290:AR293)</f>
        <v>28.400000000000002</v>
      </c>
      <c r="AS294" s="224">
        <f>IF(ISERROR((AR294/AJ294-1)*100),"NA",IF(((AR294/AJ294-1)*100)&gt;100,"NM",IF(((AR294/AJ294-1)*100)&lt;-50,"NM",(AR294/AJ294-1)*100)))</f>
        <v>21.888412017167404</v>
      </c>
      <c r="AT294" s="413">
        <f t="shared" si="1881"/>
        <v>23.9</v>
      </c>
      <c r="AU294" s="224">
        <f>IF(ISERROR((AT294/AL294-1)*100),"NA",IF(((AT294/AL294-1)*100)&gt;100,"NM",IF(((AT294/AL294-1)*100)&lt;-50,"NM",(AT294/AL294-1)*100)))</f>
        <v>-3.238866396761142</v>
      </c>
      <c r="AV294" s="413">
        <f t="shared" ref="AV294:AX294" si="1882">SUM(AV290:AV293)</f>
        <v>24.6</v>
      </c>
      <c r="AW294" s="177">
        <f t="shared" si="1863"/>
        <v>-19.078947368421051</v>
      </c>
      <c r="AX294" s="413">
        <f t="shared" si="1882"/>
        <v>24.999999999999996</v>
      </c>
      <c r="AY294" s="177">
        <f t="shared" si="1864"/>
        <v>6.3829787234042312</v>
      </c>
      <c r="AZ294" s="413">
        <f t="shared" ref="AZ294" si="1883">SUM(AZ290:AZ293)</f>
        <v>18.399999999999999</v>
      </c>
      <c r="BA294" s="177">
        <f t="shared" si="1865"/>
        <v>-35.211267605633815</v>
      </c>
      <c r="BB294" s="413">
        <f t="shared" ref="BB294:BD294" si="1884">SUM(BB290:BB293)</f>
        <v>17.7</v>
      </c>
      <c r="BC294" s="177">
        <f t="shared" si="1866"/>
        <v>-25.94142259414226</v>
      </c>
      <c r="BD294" s="413">
        <f t="shared" si="1884"/>
        <v>21</v>
      </c>
      <c r="BE294" s="177">
        <f t="shared" si="1867"/>
        <v>-14.634146341463417</v>
      </c>
      <c r="BF294" s="56">
        <f t="shared" ref="BF294" si="1885">SUM(BF290:BF293)</f>
        <v>26.355999999999998</v>
      </c>
      <c r="BG294" s="177">
        <f t="shared" si="1869"/>
        <v>5.4240000000000066</v>
      </c>
      <c r="BH294" s="56">
        <f t="shared" ref="BH294" si="1886">SUM(BH290:BH293)</f>
        <v>19.407999999999998</v>
      </c>
      <c r="BI294" s="177">
        <f t="shared" si="1870"/>
        <v>5.4782608695652213</v>
      </c>
      <c r="BJ294" s="56">
        <f t="shared" ref="BJ294" si="1887">SUM(BJ290:BJ293)</f>
        <v>18.672000000000001</v>
      </c>
      <c r="BK294" s="177">
        <f t="shared" si="1871"/>
        <v>5.4915254237288158</v>
      </c>
      <c r="BL294" s="56">
        <f t="shared" ref="BL294" si="1888">SUM(BL290:BL293)</f>
        <v>22.14</v>
      </c>
      <c r="BM294" s="177">
        <f t="shared" si="1873"/>
        <v>5.428571428571427</v>
      </c>
      <c r="BN294" s="10"/>
      <c r="BO294" s="137"/>
      <c r="BP294" s="10"/>
      <c r="BQ294" s="56">
        <f>SUM(BQ290:BQ293)</f>
        <v>245.8</v>
      </c>
      <c r="BR294" s="119"/>
      <c r="BS294" s="56">
        <f>SUM(BS290:BS293)</f>
        <v>223.7</v>
      </c>
      <c r="BT294" s="32"/>
      <c r="BU294" s="56">
        <f>SUM(BU290:BU293)</f>
        <v>292.98900000000003</v>
      </c>
      <c r="BV294" s="23">
        <f>IF(ISERROR((BU294/BS294-1)*100),"NA",IF(((BU294/BS294-1)*100)&gt;100,"NM",IF(((BU294/BS294-1)*100)&lt;-50,"NM",(BU294/BS294-1)*100)))</f>
        <v>30.974072418417542</v>
      </c>
      <c r="BW294" s="56">
        <f>SUM(BW290:BW293)</f>
        <v>254.07499999999999</v>
      </c>
      <c r="BX294" s="23">
        <f>IF(ISERROR((BW294/BU294-1)*100),"NA",IF(((BW294/BU294-1)*100)&gt;100,"NM",IF(((BW294/BU294-1)*100)&lt;-50,"NM",(BW294/BU294-1)*100)))</f>
        <v>-13.28172730034235</v>
      </c>
      <c r="BY294" s="56">
        <f>SUM(BY290:BY293)</f>
        <v>99.800000000000011</v>
      </c>
      <c r="BZ294" s="23" t="str">
        <f>IF(ISERROR((BY294/BW294-1)*100),"NA",IF(((BY294/BW294-1)*100)&gt;100,"NM",IF(((BY294/BW294-1)*100)&lt;-50,"NM",(BY294/BW294-1)*100)))</f>
        <v>NM</v>
      </c>
      <c r="CA294" s="56">
        <f>SUM(CA290:CA293)</f>
        <v>95</v>
      </c>
      <c r="CB294" s="23">
        <f>IF(ISERROR((CA294/BY294-1)*100),"NA",IF(((CA294/BY294-1)*100)&gt;100,"NM",IF(((CA294/BY294-1)*100)&lt;-50,"NM",(CA294/BY294-1)*100)))</f>
        <v>-4.8096192384769694</v>
      </c>
      <c r="CC294" s="56">
        <f>SUM(CC290:CC293)</f>
        <v>100.3</v>
      </c>
      <c r="CD294" s="23">
        <f>IF(ISERROR((CC294/CA294-1)*100),"NA",IF(((CC294/CA294-1)*100)&gt;100,"NM",IF(((CC294/CA294-1)*100)&lt;-50,"NM",(CC294/CA294-1)*100)))</f>
        <v>5.5789473684210389</v>
      </c>
      <c r="CE294" s="56">
        <f>SUM(CE290:CE293)</f>
        <v>100.4</v>
      </c>
      <c r="CF294" s="23">
        <f>IF(ISERROR((CE294/CC294-1)*100),"NA",IF(((CE294/CC294-1)*100)&gt;100,"NM",IF(((CE294/CC294-1)*100)&lt;-50,"NM",(CE294/CC294-1)*100)))</f>
        <v>9.9700897308085956E-2</v>
      </c>
      <c r="CG294" s="56">
        <f>SUM(CG290:CG293)</f>
        <v>82.1</v>
      </c>
      <c r="CH294" s="23">
        <f>IF(ISERROR((CG294/CE294-1)*100),"NA",IF(((CG294/CE294-1)*100)&gt;100,"NM",IF(((CG294/CE294-1)*100)&lt;-50,"NM",(CG294/CE294-1)*100)))</f>
        <v>-18.227091633466141</v>
      </c>
      <c r="CI294" s="56">
        <f>SUM(CI290:CI293)</f>
        <v>86.575999999999993</v>
      </c>
      <c r="CJ294" s="23">
        <f>IF(ISERROR((CI294/CG294-1)*100),"NA",IF(((CI294/CG294-1)*100)&gt;100,"NM",IF(((CI294/CG294-1)*100)&lt;-50,"NM",(CI294/CG294-1)*100)))</f>
        <v>5.4518879415347055</v>
      </c>
      <c r="CK294" s="56"/>
      <c r="CL294" s="23" t="str">
        <f>IF(ISERROR((CK294/CI294-1)*100),"NA",IF(((CK294/CI294-1)*100)&gt;100,"NM",IF(((CK294/CI294-1)*100)&lt;-50,"NM",(CK294/CI294-1)*100)))</f>
        <v>NM</v>
      </c>
      <c r="CM294" s="56"/>
      <c r="CN294" s="23" t="str">
        <f>IF(ISERROR((CM294/CK294-1)*100),"NA",IF(((CM294/CK294-1)*100)&gt;100,"NM",IF(((CM294/CK294-1)*100)&lt;-50,"NM",(CM294/CK294-1)*100)))</f>
        <v>NA</v>
      </c>
      <c r="CO294" s="56"/>
      <c r="CP294" s="23" t="str">
        <f>IF(ISERROR((CO294/CM294-1)*100),"NA",IF(((CO294/CM294-1)*100)&gt;100,"NM",IF(((CO294/CM294-1)*100)&lt;-50,"NM",(CO294/CM294-1)*100)))</f>
        <v>NA</v>
      </c>
      <c r="CQ294" s="56"/>
      <c r="CR294" s="23" t="str">
        <f>IF(ISERROR((CQ294/CO294-1)*100),"NA",IF(((CQ294/CO294-1)*100)&gt;100,"NM",IF(((CQ294/CO294-1)*100)&lt;-50,"NM",(CQ294/CO294-1)*100)))</f>
        <v>NA</v>
      </c>
      <c r="CS294" s="177" t="str">
        <f>IF(ISERROR(((CQ294/CG294)^0.2-1)*100),"NA",IF((((CQ294/CG294)^0.2-1)*100)&gt;100,"NM",IF((((CQ294/CG294)^0.2-1)*100)&lt;-50,"NM",((CQ294/CG294)^0.2-1)*100)))</f>
        <v>NM</v>
      </c>
    </row>
    <row r="295" spans="1:97" ht="12.75" customHeight="1" x14ac:dyDescent="0.2">
      <c r="J295" s="5"/>
      <c r="K295" s="177"/>
      <c r="L295" s="10"/>
      <c r="M295" s="177"/>
      <c r="N295" s="10"/>
      <c r="O295" s="177"/>
      <c r="P295" s="10"/>
      <c r="Q295" s="177"/>
      <c r="R295" s="10"/>
      <c r="S295" s="177"/>
      <c r="T295" s="10"/>
      <c r="U295" s="177"/>
      <c r="V295" s="10"/>
      <c r="W295" s="177"/>
      <c r="X295" s="10"/>
      <c r="Y295" s="177"/>
      <c r="Z295" s="10"/>
      <c r="AA295" s="177"/>
      <c r="AB295" s="10"/>
      <c r="AC295" s="177"/>
      <c r="AD295" s="10"/>
      <c r="AE295" s="177"/>
      <c r="AF295" s="10"/>
      <c r="AG295" s="177"/>
      <c r="AH295" s="10"/>
      <c r="AI295" s="177"/>
      <c r="AJ295" s="10"/>
      <c r="AK295" s="177"/>
      <c r="AL295" s="10"/>
      <c r="AM295" s="177"/>
      <c r="AN295" s="506"/>
      <c r="AO295" s="177"/>
      <c r="AP295" s="506"/>
      <c r="AQ295" s="177"/>
      <c r="AR295" s="506"/>
      <c r="AS295" s="177"/>
      <c r="AT295" s="506"/>
      <c r="AU295" s="177"/>
      <c r="AV295" s="506"/>
      <c r="AW295" s="177"/>
      <c r="AX295" s="506"/>
      <c r="AY295" s="177"/>
      <c r="AZ295" s="506"/>
      <c r="BA295" s="177"/>
      <c r="BB295" s="506"/>
      <c r="BC295" s="177"/>
      <c r="BD295" s="506"/>
      <c r="BE295" s="177"/>
      <c r="BF295" s="10"/>
      <c r="BG295" s="177"/>
      <c r="BH295" s="10"/>
      <c r="BI295" s="177"/>
      <c r="BJ295" s="10"/>
      <c r="BK295" s="177"/>
      <c r="BL295" s="10"/>
      <c r="BM295" s="177"/>
      <c r="BN295" s="10"/>
      <c r="BO295" s="136"/>
      <c r="BP295" s="10"/>
      <c r="BQ295" s="32"/>
      <c r="BR295" s="32"/>
      <c r="BS295" s="32"/>
      <c r="BT295" s="32"/>
      <c r="BU295" s="119"/>
      <c r="BV295" s="177"/>
      <c r="BW295" s="10"/>
      <c r="BX295" s="177"/>
      <c r="BY295" s="13"/>
      <c r="BZ295" s="177"/>
      <c r="CA295" s="13"/>
      <c r="CB295" s="177"/>
      <c r="CC295" s="13"/>
      <c r="CD295" s="177"/>
      <c r="CE295" s="13"/>
      <c r="CF295" s="177"/>
      <c r="CG295" s="13"/>
      <c r="CH295" s="177"/>
      <c r="CI295" s="13"/>
      <c r="CJ295" s="177"/>
      <c r="CK295" s="13"/>
      <c r="CL295" s="177"/>
      <c r="CM295" s="13"/>
      <c r="CN295" s="177"/>
      <c r="CO295" s="13"/>
      <c r="CP295" s="177"/>
      <c r="CQ295" s="13"/>
      <c r="CR295" s="177"/>
      <c r="CS295" s="177"/>
    </row>
    <row r="296" spans="1:97" ht="12.75" customHeight="1" x14ac:dyDescent="0.2">
      <c r="A296" s="3" t="s">
        <v>203</v>
      </c>
      <c r="J296" s="5"/>
      <c r="K296" s="177"/>
      <c r="L296" s="10"/>
      <c r="M296" s="177"/>
      <c r="N296" s="10"/>
      <c r="O296" s="177"/>
      <c r="P296" s="10"/>
      <c r="Q296" s="177"/>
      <c r="R296" s="10"/>
      <c r="S296" s="177"/>
      <c r="T296" s="10"/>
      <c r="U296" s="177"/>
      <c r="V296" s="10"/>
      <c r="W296" s="177"/>
      <c r="X296" s="10"/>
      <c r="Y296" s="177"/>
      <c r="Z296" s="10"/>
      <c r="AA296" s="177"/>
      <c r="AB296" s="10"/>
      <c r="AC296" s="177"/>
      <c r="AD296" s="10"/>
      <c r="AE296" s="177"/>
      <c r="AF296" s="10"/>
      <c r="AG296" s="177"/>
      <c r="AH296" s="10"/>
      <c r="AI296" s="177"/>
      <c r="AJ296" s="10"/>
      <c r="AK296" s="177"/>
      <c r="AL296" s="10"/>
      <c r="AM296" s="177"/>
      <c r="AN296" s="506"/>
      <c r="AO296" s="177"/>
      <c r="AP296" s="506"/>
      <c r="AQ296" s="177"/>
      <c r="AR296" s="506"/>
      <c r="AS296" s="177"/>
      <c r="AT296" s="506"/>
      <c r="AU296" s="177"/>
      <c r="AV296" s="506"/>
      <c r="AW296" s="177"/>
      <c r="AX296" s="506"/>
      <c r="AY296" s="177"/>
      <c r="AZ296" s="506"/>
      <c r="BA296" s="177"/>
      <c r="BB296" s="506"/>
      <c r="BC296" s="177"/>
      <c r="BD296" s="506"/>
      <c r="BE296" s="177"/>
      <c r="BF296" s="10"/>
      <c r="BG296" s="177"/>
      <c r="BH296" s="10"/>
      <c r="BI296" s="177"/>
      <c r="BJ296" s="10"/>
      <c r="BK296" s="177"/>
      <c r="BL296" s="10"/>
      <c r="BM296" s="177"/>
      <c r="BN296" s="10"/>
      <c r="BO296" s="136"/>
      <c r="BP296" s="10"/>
      <c r="BQ296" s="32"/>
      <c r="BR296" s="32"/>
      <c r="BS296" s="32"/>
      <c r="BT296" s="32"/>
      <c r="BU296" s="119"/>
      <c r="BV296" s="177"/>
      <c r="BW296" s="10"/>
      <c r="BX296" s="177"/>
      <c r="BY296" s="13"/>
      <c r="BZ296" s="177"/>
      <c r="CA296" s="13"/>
      <c r="CB296" s="177"/>
      <c r="CC296" s="13"/>
      <c r="CD296" s="177"/>
      <c r="CE296" s="13"/>
      <c r="CF296" s="177"/>
      <c r="CG296" s="13"/>
      <c r="CH296" s="177"/>
      <c r="CI296" s="13"/>
      <c r="CJ296" s="177"/>
      <c r="CK296" s="13"/>
      <c r="CL296" s="177"/>
      <c r="CM296" s="13"/>
      <c r="CN296" s="177"/>
      <c r="CO296" s="13"/>
      <c r="CP296" s="177"/>
      <c r="CQ296" s="13"/>
      <c r="CR296" s="177"/>
      <c r="CS296" s="177"/>
    </row>
    <row r="297" spans="1:97" ht="12.75" customHeight="1" x14ac:dyDescent="0.2">
      <c r="A297" s="4" t="s">
        <v>99</v>
      </c>
      <c r="B297" s="49">
        <v>12345.3</v>
      </c>
      <c r="C297" s="59"/>
      <c r="D297" s="49">
        <v>12427.7</v>
      </c>
      <c r="E297" s="59"/>
      <c r="F297" s="49">
        <v>12469.7</v>
      </c>
      <c r="G297" s="59"/>
      <c r="H297" s="49">
        <v>12462</v>
      </c>
      <c r="I297" s="59"/>
      <c r="J297" s="49">
        <v>12569.1</v>
      </c>
      <c r="K297" s="23">
        <f t="shared" ref="K297:Y300" si="1889">IF(ISERROR((J297/B297-1)*100),"NA",IF(((J297/B297-1)*100)&gt;100,"NM",IF(((J297/B297-1)*100)&lt;-50,"NM",(J297/B297-1)*100)))</f>
        <v>1.8128356540545898</v>
      </c>
      <c r="L297" s="49">
        <v>12709.4</v>
      </c>
      <c r="M297" s="23">
        <f t="shared" si="1889"/>
        <v>2.2667106544251858</v>
      </c>
      <c r="N297" s="49">
        <v>12828.3</v>
      </c>
      <c r="O297" s="23">
        <f t="shared" si="1889"/>
        <v>2.8757708685854366</v>
      </c>
      <c r="P297" s="49">
        <v>12910.4</v>
      </c>
      <c r="Q297" s="23">
        <f t="shared" si="1889"/>
        <v>3.5981383405552902</v>
      </c>
      <c r="R297" s="49">
        <v>13089.6</v>
      </c>
      <c r="S297" s="23">
        <f t="shared" si="1889"/>
        <v>4.141107955223533</v>
      </c>
      <c r="T297" s="49">
        <v>13190.7</v>
      </c>
      <c r="U297" s="23">
        <f t="shared" si="1889"/>
        <v>3.7869608321400072</v>
      </c>
      <c r="V297" s="49">
        <v>13257.4</v>
      </c>
      <c r="W297" s="23">
        <f t="shared" si="1889"/>
        <v>3.3449482784156936</v>
      </c>
      <c r="X297" s="49">
        <v>13271.3</v>
      </c>
      <c r="Y297" s="23">
        <f t="shared" si="1889"/>
        <v>2.7954207460651803</v>
      </c>
      <c r="Z297" s="49">
        <v>13308</v>
      </c>
      <c r="AA297" s="23">
        <f>IF(ISERROR((Z297/R297-1)*100),"NA",IF(((Z297/R297-1)*100)&gt;100,"NM",IF(((Z297/R297-1)*100)&lt;-50,"NM",(Z297/R297-1)*100)))</f>
        <v>1.6685001833516733</v>
      </c>
      <c r="AB297" s="49">
        <v>13381.3</v>
      </c>
      <c r="AC297" s="23">
        <f>IF(ISERROR((AB297/T297-1)*100),"NA",IF(((AB297/T297-1)*100)&gt;100,"NM",IF(((AB297/T297-1)*100)&lt;-50,"NM",(AB297/T297-1)*100)))</f>
        <v>1.4449574321302006</v>
      </c>
      <c r="AD297" s="49">
        <v>13424.2</v>
      </c>
      <c r="AE297" s="23">
        <f>IF(ISERROR((AD297/V297-1)*100),"NA",IF(((AD297/V297-1)*100)&gt;100,"NM",IF(((AD297/V297-1)*100)&lt;-50,"NM",(AD297/V297-1)*100)))</f>
        <v>1.2581652511050478</v>
      </c>
      <c r="AF297" s="49">
        <v>12995.3</v>
      </c>
      <c r="AG297" s="23">
        <f>IF(ISERROR((AF297/X297-1)*100),"NA",IF(((AF297/X297-1)*100)&gt;100,"NM",IF(((AF297/X297-1)*100)&lt;-50,"NM",(AF297/X297-1)*100)))</f>
        <v>-2.0796756911530934</v>
      </c>
      <c r="AH297" s="49">
        <v>13035.7</v>
      </c>
      <c r="AI297" s="23">
        <f>IF(ISERROR((AH297/Z297-1)*100),"NA",IF(((AH297/Z297-1)*100)&gt;100,"NM",IF(((AH297/Z297-1)*100)&lt;-50,"NM",(AH297/Z297-1)*100)))</f>
        <v>-2.0461376615569571</v>
      </c>
      <c r="AJ297" s="49">
        <v>13032.3</v>
      </c>
      <c r="AK297" s="23">
        <f>IF(ISERROR((AJ297/AB297-1)*100),"NA",IF(((AJ297/AB297-1)*100)&gt;100,"NM",IF(((AJ297/AB297-1)*100)&lt;-50,"NM",(AJ297/AB297-1)*100)))</f>
        <v>-2.6081172980203737</v>
      </c>
      <c r="AL297" s="49">
        <v>13015.3</v>
      </c>
      <c r="AM297" s="23">
        <f>IF(ISERROR((AL297/AD297-1)*100),"NA",IF(((AL297/AD297-1)*100)&gt;100,"NM",IF(((AL297/AD297-1)*100)&lt;-50,"NM",(AL297/AD297-1)*100)))</f>
        <v>-3.0459915674677207</v>
      </c>
      <c r="AN297" s="158">
        <v>12603.1</v>
      </c>
      <c r="AO297" s="23">
        <f>IF(ISERROR((AN297/AF297-1)*100),"NA",IF(((AN297/AF297-1)*100)&gt;100,"NM",IF(((AN297/AF297-1)*100)&lt;-50,"NM",(AN297/AF297-1)*100)))</f>
        <v>-3.0180142051356995</v>
      </c>
      <c r="AP297" s="158">
        <v>12758.4</v>
      </c>
      <c r="AQ297" s="23">
        <f t="shared" ref="AQ297:AQ300" si="1890">IF(ISERROR((AP297/AH297-1)*100),"NA",IF(((AP297/AH297-1)*100)&gt;100,"NM",IF(((AP297/AH297-1)*100)&lt;-50,"NM",(AP297/AH297-1)*100)))</f>
        <v>-2.1272352079290013</v>
      </c>
      <c r="AR297" s="158">
        <v>12632.1</v>
      </c>
      <c r="AS297" s="23">
        <f t="shared" ref="AS297:AS300" si="1891">IF(ISERROR((AR297/AJ297-1)*100),"NA",IF(((AR297/AJ297-1)*100)&gt;100,"NM",IF(((AR297/AJ297-1)*100)&lt;-50,"NM",(AR297/AJ297-1)*100)))</f>
        <v>-3.0708317027692611</v>
      </c>
      <c r="AT297" s="158">
        <v>12663.1</v>
      </c>
      <c r="AU297" s="23">
        <f t="shared" ref="AU297:AU300" si="1892">IF(ISERROR((AT297/AL297-1)*100),"NA",IF(((AT297/AL297-1)*100)&gt;100,"NM",IF(((AT297/AL297-1)*100)&lt;-50,"NM",(AT297/AL297-1)*100)))</f>
        <v>-2.7060459612917032</v>
      </c>
      <c r="AV297" s="158">
        <v>12688.5</v>
      </c>
      <c r="AW297" s="23">
        <f t="shared" ref="AW297:AW300" si="1893">IF(ISERROR((AV297/AN297-1)*100),"NA",IF(((AV297/AN297-1)*100)&gt;100,"NM",IF(((AV297/AN297-1)*100)&lt;-50,"NM",(AV297/AN297-1)*100)))</f>
        <v>0.67761106394457205</v>
      </c>
      <c r="AX297" s="158">
        <v>12715</v>
      </c>
      <c r="AY297" s="23">
        <f t="shared" ref="AY297:AY300" si="1894">IF(ISERROR((AX297/AP297-1)*100),"NA",IF(((AX297/AP297-1)*100)&gt;100,"NM",IF(((AX297/AP297-1)*100)&lt;-50,"NM",(AX297/AP297-1)*100)))</f>
        <v>-0.34016804614998009</v>
      </c>
      <c r="AZ297" s="158">
        <v>12761.2</v>
      </c>
      <c r="BA297" s="23">
        <f t="shared" ref="BA297:BA300" si="1895">IF(ISERROR((AZ297/AR297-1)*100),"NA",IF(((AZ297/AR297-1)*100)&gt;100,"NM",IF(((AZ297/AR297-1)*100)&lt;-50,"NM",(AZ297/AR297-1)*100)))</f>
        <v>1.0219995091869105</v>
      </c>
      <c r="BB297" s="158">
        <v>12769.6</v>
      </c>
      <c r="BC297" s="23">
        <f t="shared" ref="BC297:BC300" si="1896">IF(ISERROR((BB297/AT297-1)*100),"NA",IF(((BB297/AT297-1)*100)&gt;100,"NM",IF(((BB297/AT297-1)*100)&lt;-50,"NM",(BB297/AT297-1)*100)))</f>
        <v>0.84102628898137244</v>
      </c>
      <c r="BD297" s="158">
        <v>12824</v>
      </c>
      <c r="BE297" s="23">
        <f t="shared" ref="BE297:BE300" si="1897">IF(ISERROR((BD297/AV297-1)*100),"NA",IF(((BD297/AV297-1)*100)&gt;100,"NM",IF(((BD297/AV297-1)*100)&lt;-50,"NM",(BD297/AV297-1)*100)))</f>
        <v>1.0678961264136921</v>
      </c>
      <c r="BF297" s="49">
        <f>BD297*(1+0.025/4)</f>
        <v>12904.150000000001</v>
      </c>
      <c r="BG297" s="23">
        <f t="shared" ref="BG297:BG300" si="1898">IF(ISERROR((BF297/AX297-1)*100),"NA",IF(((BF297/AX297-1)*100)&gt;100,"NM",IF(((BF297/AX297-1)*100)&lt;-50,"NM",(BF297/AX297-1)*100)))</f>
        <v>1.4876130554463352</v>
      </c>
      <c r="BH297" s="49">
        <f>BF297*(1+0.025/4)</f>
        <v>12984.800937500002</v>
      </c>
      <c r="BI297" s="23">
        <f t="shared" ref="BI297:BI300" si="1899">IF(ISERROR((BH297/AZ297-1)*100),"NA",IF(((BH297/AZ297-1)*100)&gt;100,"NM",IF(((BH297/AZ297-1)*100)&lt;-50,"NM",(BH297/AZ297-1)*100)))</f>
        <v>1.7521936612544309</v>
      </c>
      <c r="BJ297" s="49">
        <f>BH297*(1+0.025/4)</f>
        <v>13065.955943359379</v>
      </c>
      <c r="BK297" s="23">
        <f t="shared" ref="BK297:BK300" si="1900">IF(ISERROR((BJ297/BB297-1)*100),"NA",IF(((BJ297/BB297-1)*100)&gt;100,"NM",IF(((BJ297/BB297-1)*100)&lt;-50,"NM",(BJ297/BB297-1)*100)))</f>
        <v>2.3207926901342102</v>
      </c>
      <c r="BL297" s="49">
        <f>BJ297*(1+0.024/4)</f>
        <v>13144.351679019535</v>
      </c>
      <c r="BM297" s="23">
        <f t="shared" ref="BM297:BM300" si="1901">IF(ISERROR((BL297/BD297-1)*100),"NA",IF(((BL297/BD297-1)*100)&gt;100,"NM",IF(((BL297/BD297-1)*100)&lt;-50,"NM",(BL297/BD297-1)*100)))</f>
        <v>2.4980636230468978</v>
      </c>
      <c r="BN297" s="10"/>
      <c r="BO297" s="137"/>
      <c r="BP297" s="10"/>
      <c r="BQ297" s="153"/>
      <c r="BR297" s="153"/>
      <c r="BS297" s="153"/>
      <c r="BT297" s="32"/>
      <c r="BU297" s="36">
        <f>H297</f>
        <v>12462</v>
      </c>
      <c r="BV297" s="23" t="str">
        <f>IF(ISERROR((BU297/BS297-1)*100),"NA",IF(((BU297/BS297-1)*100)&gt;100,"NM",IF(((BU297/BS297-1)*100)&lt;-50,"NM",(BU297/BS297-1)*100)))</f>
        <v>NA</v>
      </c>
      <c r="BW297" s="36">
        <f>P297</f>
        <v>12910.4</v>
      </c>
      <c r="BX297" s="23">
        <f>IF(ISERROR((BW297/BU297-1)*100),"NA",IF(((BW297/BU297-1)*100)&gt;100,"NM",IF(((BW297/BU297-1)*100)&lt;-50,"NM",(BW297/BU297-1)*100)))</f>
        <v>3.5981383405552902</v>
      </c>
      <c r="BY297" s="36">
        <f>X297</f>
        <v>13271.3</v>
      </c>
      <c r="BZ297" s="23">
        <f>IF(ISERROR((BY297/BW297-1)*100),"NA",IF(((BY297/BW297-1)*100)&gt;100,"NM",IF(((BY297/BW297-1)*100)&lt;-50,"NM",(BY297/BW297-1)*100)))</f>
        <v>2.7954207460651803</v>
      </c>
      <c r="CA297" s="36">
        <f>AF297</f>
        <v>12995.3</v>
      </c>
      <c r="CB297" s="23">
        <f>IF(ISERROR((CA297/BY297-1)*100),"NA",IF(((CA297/BY297-1)*100)&gt;100,"NM",IF(((CA297/BY297-1)*100)&lt;-50,"NM",(CA297/BY297-1)*100)))</f>
        <v>-2.0796756911530934</v>
      </c>
      <c r="CC297" s="36">
        <f>AN297</f>
        <v>12603.1</v>
      </c>
      <c r="CD297" s="23">
        <f>IF(ISERROR((CC297/CA297-1)*100),"NA",IF(((CC297/CA297-1)*100)&gt;100,"NM",IF(((CC297/CA297-1)*100)&lt;-50,"NM",(CC297/CA297-1)*100)))</f>
        <v>-3.0180142051356995</v>
      </c>
      <c r="CE297" s="36">
        <f>AV297</f>
        <v>12688.5</v>
      </c>
      <c r="CF297" s="23">
        <f>IF(ISERROR((CE297/CC297-1)*100),"NA",IF(((CE297/CC297-1)*100)&gt;100,"NM",IF(((CE297/CC297-1)*100)&lt;-50,"NM",(CE297/CC297-1)*100)))</f>
        <v>0.67761106394457205</v>
      </c>
      <c r="CG297" s="36">
        <f>BD297</f>
        <v>12824</v>
      </c>
      <c r="CH297" s="23">
        <f>IF(ISERROR((CG297/CE297-1)*100),"NA",IF(((CG297/CE297-1)*100)&gt;100,"NM",IF(((CG297/CE297-1)*100)&lt;-50,"NM",(CG297/CE297-1)*100)))</f>
        <v>1.0678961264136921</v>
      </c>
      <c r="CI297" s="36">
        <f>BL297</f>
        <v>13144.351679019535</v>
      </c>
      <c r="CJ297" s="23">
        <f>IF(ISERROR((CI297/CG297-1)*100),"NA",IF(((CI297/CG297-1)*100)&gt;100,"NM",IF(((CI297/CG297-1)*100)&lt;-50,"NM",(CI297/CG297-1)*100)))</f>
        <v>2.4980636230468978</v>
      </c>
      <c r="CK297" s="48">
        <f>CI297*1.025</f>
        <v>13472.960470995022</v>
      </c>
      <c r="CL297" s="23">
        <f>IF(ISERROR((CK297/CI297-1)*100),"NA",IF(((CK297/CI297-1)*100)&gt;100,"NM",IF(((CK297/CI297-1)*100)&lt;-50,"NM",(CK297/CI297-1)*100)))</f>
        <v>2.4999999999999911</v>
      </c>
      <c r="CM297" s="48">
        <f>CK297*1.025</f>
        <v>13809.784482769895</v>
      </c>
      <c r="CN297" s="23">
        <f>IF(ISERROR((CM297/CK297-1)*100),"NA",IF(((CM297/CK297-1)*100)&gt;100,"NM",IF(((CM297/CK297-1)*100)&lt;-50,"NM",(CM297/CK297-1)*100)))</f>
        <v>2.4999999999999911</v>
      </c>
      <c r="CO297" s="48">
        <f>CM297*1.025</f>
        <v>14155.029094839141</v>
      </c>
      <c r="CP297" s="23">
        <f>IF(ISERROR((CO297/CM297-1)*100),"NA",IF(((CO297/CM297-1)*100)&gt;100,"NM",IF(((CO297/CM297-1)*100)&lt;-50,"NM",(CO297/CM297-1)*100)))</f>
        <v>2.4999999999999911</v>
      </c>
      <c r="CQ297" s="48">
        <f>CO297*1.025</f>
        <v>14508.904822210119</v>
      </c>
      <c r="CR297" s="23">
        <f>IF(ISERROR((CQ297/CO297-1)*100),"NA",IF(((CQ297/CO297-1)*100)&gt;100,"NM",IF(((CQ297/CO297-1)*100)&lt;-50,"NM",(CQ297/CO297-1)*100)))</f>
        <v>2.4999999999999911</v>
      </c>
      <c r="CS297" s="23">
        <f>IF(ISERROR(((CQ297/CG297)^0.2-1)*100),"NA",IF((((CQ297/CG297)^0.2-1)*100)&gt;100,"NM",IF((((CQ297/CG297)^0.2-1)*100)&lt;-50,"NM",((CQ297/CG297)^0.2-1)*100)))</f>
        <v>2.4996127216828645</v>
      </c>
    </row>
    <row r="298" spans="1:97" ht="12.75" customHeight="1" x14ac:dyDescent="0.2">
      <c r="A298" s="4" t="s">
        <v>210</v>
      </c>
      <c r="B298" s="49">
        <v>2621.3000000000002</v>
      </c>
      <c r="C298" s="59"/>
      <c r="D298" s="49">
        <v>2576</v>
      </c>
      <c r="E298" s="59"/>
      <c r="F298" s="49">
        <v>2186.1</v>
      </c>
      <c r="G298" s="59"/>
      <c r="H298" s="49">
        <v>2307.8000000000002</v>
      </c>
      <c r="I298" s="59"/>
      <c r="J298" s="49">
        <v>2491.6999999999998</v>
      </c>
      <c r="K298" s="23">
        <f t="shared" si="1889"/>
        <v>-4.9441117003013897</v>
      </c>
      <c r="L298" s="49">
        <v>2370.9</v>
      </c>
      <c r="M298" s="23">
        <f t="shared" si="1889"/>
        <v>-7.9619565217391219</v>
      </c>
      <c r="N298" s="49">
        <v>2446.6</v>
      </c>
      <c r="O298" s="23">
        <f t="shared" si="1889"/>
        <v>11.916197795160333</v>
      </c>
      <c r="P298" s="48">
        <v>2412.1</v>
      </c>
      <c r="Q298" s="23">
        <f t="shared" si="1889"/>
        <v>4.5194557587312501</v>
      </c>
      <c r="R298" s="48">
        <v>2509.1999999999998</v>
      </c>
      <c r="S298" s="23">
        <f t="shared" si="1889"/>
        <v>0.7023317413813901</v>
      </c>
      <c r="T298" s="48">
        <v>2487</v>
      </c>
      <c r="U298" s="23">
        <f t="shared" si="1889"/>
        <v>4.8968746045805256</v>
      </c>
      <c r="V298" s="48">
        <v>2590.3000000000002</v>
      </c>
      <c r="W298" s="23">
        <f t="shared" si="1889"/>
        <v>5.8734570424262333</v>
      </c>
      <c r="X298" s="48">
        <v>2724.3</v>
      </c>
      <c r="Y298" s="23">
        <f t="shared" si="1889"/>
        <v>12.943078645163975</v>
      </c>
      <c r="Z298" s="48">
        <v>2699.7</v>
      </c>
      <c r="AA298" s="23">
        <f>IF(ISERROR((Z298/R298-1)*100),"NA",IF(((Z298/R298-1)*100)&gt;100,"NM",IF(((Z298/R298-1)*100)&lt;-50,"NM",(Z298/R298-1)*100)))</f>
        <v>7.592061214729795</v>
      </c>
      <c r="AB298" s="48">
        <v>2761.6</v>
      </c>
      <c r="AC298" s="23">
        <f>IF(ISERROR((AB298/T298-1)*100),"NA",IF(((AB298/T298-1)*100)&gt;100,"NM",IF(((AB298/T298-1)*100)&lt;-50,"NM",(AB298/T298-1)*100)))</f>
        <v>11.041415359871332</v>
      </c>
      <c r="AD298" s="48">
        <v>2694.5</v>
      </c>
      <c r="AE298" s="23">
        <f>IF(ISERROR((AD298/V298-1)*100),"NA",IF(((AD298/V298-1)*100)&gt;100,"NM",IF(((AD298/V298-1)*100)&lt;-50,"NM",(AD298/V298-1)*100)))</f>
        <v>4.0227000733505713</v>
      </c>
      <c r="AF298" s="48">
        <v>2713</v>
      </c>
      <c r="AG298" s="23">
        <f>IF(ISERROR((AF298/X298-1)*100),"NA",IF(((AF298/X298-1)*100)&gt;100,"NM",IF(((AF298/X298-1)*100)&lt;-50,"NM",(AF298/X298-1)*100)))</f>
        <v>-0.41478544947326501</v>
      </c>
      <c r="AH298" s="48">
        <v>2738.3</v>
      </c>
      <c r="AI298" s="23">
        <f>IF(ISERROR((AH298/Z298-1)*100),"NA",IF(((AH298/Z298-1)*100)&gt;100,"NM",IF(((AH298/Z298-1)*100)&lt;-50,"NM",(AH298/Z298-1)*100)))</f>
        <v>1.4297884950179807</v>
      </c>
      <c r="AJ298" s="48">
        <v>2696.6</v>
      </c>
      <c r="AK298" s="23">
        <f>IF(ISERROR((AJ298/AB298-1)*100),"NA",IF(((AJ298/AB298-1)*100)&gt;100,"NM",IF(((AJ298/AB298-1)*100)&lt;-50,"NM",(AJ298/AB298-1)*100)))</f>
        <v>-2.3537079953650064</v>
      </c>
      <c r="AL298" s="48">
        <v>2470.6</v>
      </c>
      <c r="AM298" s="23">
        <f>IF(ISERROR((AL298/AD298-1)*100),"NA",IF(((AL298/AD298-1)*100)&gt;100,"NM",IF(((AL298/AD298-1)*100)&lt;-50,"NM",(AL298/AD298-1)*100)))</f>
        <v>-8.3095193913527599</v>
      </c>
      <c r="AN298" s="287">
        <v>2520.8000000000002</v>
      </c>
      <c r="AO298" s="23">
        <f>IF(ISERROR((AN298/AF298-1)*100),"NA",IF(((AN298/AF298-1)*100)&gt;100,"NM",IF(((AN298/AF298-1)*100)&lt;-50,"NM",(AN298/AF298-1)*100)))</f>
        <v>-7.0844084039808237</v>
      </c>
      <c r="AP298" s="287">
        <v>2477.6</v>
      </c>
      <c r="AQ298" s="23">
        <f t="shared" si="1890"/>
        <v>-9.5205054230727235</v>
      </c>
      <c r="AR298" s="287">
        <v>2473.4</v>
      </c>
      <c r="AS298" s="23">
        <f t="shared" si="1891"/>
        <v>-8.2770896684714046</v>
      </c>
      <c r="AT298" s="287">
        <v>2529.9</v>
      </c>
      <c r="AU298" s="23">
        <f t="shared" si="1892"/>
        <v>2.4002266655873239</v>
      </c>
      <c r="AV298" s="287">
        <v>2532.9</v>
      </c>
      <c r="AW298" s="23">
        <f t="shared" si="1893"/>
        <v>0.48000634719136404</v>
      </c>
      <c r="AX298" s="287">
        <v>2625.7</v>
      </c>
      <c r="AY298" s="23">
        <f t="shared" si="1894"/>
        <v>5.9775589279948305</v>
      </c>
      <c r="AZ298" s="287">
        <v>2656.9</v>
      </c>
      <c r="BA298" s="23">
        <f t="shared" si="1895"/>
        <v>7.4189374949462206</v>
      </c>
      <c r="BB298" s="287">
        <v>2723.7</v>
      </c>
      <c r="BC298" s="23">
        <f t="shared" si="1896"/>
        <v>7.6603818332740214</v>
      </c>
      <c r="BD298" s="287">
        <v>2809</v>
      </c>
      <c r="BE298" s="23">
        <f t="shared" si="1897"/>
        <v>10.900548778080466</v>
      </c>
      <c r="BF298" s="49">
        <f>BD298*(1+0.03/4)</f>
        <v>2830.0675000000001</v>
      </c>
      <c r="BG298" s="23">
        <f t="shared" si="1898"/>
        <v>7.7833530106257598</v>
      </c>
      <c r="BH298" s="49">
        <f>BF298*(1+0.03/4)</f>
        <v>2851.2930062500004</v>
      </c>
      <c r="BI298" s="23">
        <f t="shared" si="1899"/>
        <v>7.3165345421355887</v>
      </c>
      <c r="BJ298" s="49">
        <f>BH298*(1+0.03/4)</f>
        <v>2872.6777037968754</v>
      </c>
      <c r="BK298" s="23">
        <f t="shared" si="1900"/>
        <v>5.469681088110856</v>
      </c>
      <c r="BL298" s="49">
        <f>BJ298*(1+0.03/4)</f>
        <v>2894.2227865753521</v>
      </c>
      <c r="BM298" s="23">
        <f t="shared" si="1901"/>
        <v>3.0339190664062654</v>
      </c>
      <c r="BN298" s="10"/>
      <c r="BO298" s="137"/>
      <c r="BP298" s="10"/>
      <c r="BQ298" s="153"/>
      <c r="BR298" s="153"/>
      <c r="BS298" s="153"/>
      <c r="BT298" s="32"/>
      <c r="BU298" s="36">
        <f>H298</f>
        <v>2307.8000000000002</v>
      </c>
      <c r="BV298" s="23" t="str">
        <f>IF(ISERROR((BU298/BS298-1)*100),"NA",IF(((BU298/BS298-1)*100)&gt;100,"NM",IF(((BU298/BS298-1)*100)&lt;-50,"NM",(BU298/BS298-1)*100)))</f>
        <v>NA</v>
      </c>
      <c r="BW298" s="36">
        <f>P298</f>
        <v>2412.1</v>
      </c>
      <c r="BX298" s="23">
        <f>IF(ISERROR((BW298/BU298-1)*100),"NA",IF(((BW298/BU298-1)*100)&gt;100,"NM",IF(((BW298/BU298-1)*100)&lt;-50,"NM",(BW298/BU298-1)*100)))</f>
        <v>4.5194557587312501</v>
      </c>
      <c r="BY298" s="36">
        <f>X298</f>
        <v>2724.3</v>
      </c>
      <c r="BZ298" s="23">
        <f>IF(ISERROR((BY298/BW298-1)*100),"NA",IF(((BY298/BW298-1)*100)&gt;100,"NM",IF(((BY298/BW298-1)*100)&lt;-50,"NM",(BY298/BW298-1)*100)))</f>
        <v>12.943078645163975</v>
      </c>
      <c r="CA298" s="36">
        <f>AF298</f>
        <v>2713</v>
      </c>
      <c r="CB298" s="23">
        <f>IF(ISERROR((CA298/BY298-1)*100),"NA",IF(((CA298/BY298-1)*100)&gt;100,"NM",IF(((CA298/BY298-1)*100)&lt;-50,"NM",(CA298/BY298-1)*100)))</f>
        <v>-0.41478544947326501</v>
      </c>
      <c r="CC298" s="36">
        <f>AN298</f>
        <v>2520.8000000000002</v>
      </c>
      <c r="CD298" s="23">
        <f>IF(ISERROR((CC298/CA298-1)*100),"NA",IF(((CC298/CA298-1)*100)&gt;100,"NM",IF(((CC298/CA298-1)*100)&lt;-50,"NM",(CC298/CA298-1)*100)))</f>
        <v>-7.0844084039808237</v>
      </c>
      <c r="CE298" s="36">
        <f>AV298</f>
        <v>2532.9</v>
      </c>
      <c r="CF298" s="23">
        <f>IF(ISERROR((CE298/CC298-1)*100),"NA",IF(((CE298/CC298-1)*100)&gt;100,"NM",IF(((CE298/CC298-1)*100)&lt;-50,"NM",(CE298/CC298-1)*100)))</f>
        <v>0.48000634719136404</v>
      </c>
      <c r="CG298" s="36">
        <f>BD298</f>
        <v>2809</v>
      </c>
      <c r="CH298" s="23">
        <f>IF(ISERROR((CG298/CE298-1)*100),"NA",IF(((CG298/CE298-1)*100)&gt;100,"NM",IF(((CG298/CE298-1)*100)&lt;-50,"NM",(CG298/CE298-1)*100)))</f>
        <v>10.900548778080466</v>
      </c>
      <c r="CI298" s="36">
        <f>BL298</f>
        <v>2894.2227865753521</v>
      </c>
      <c r="CJ298" s="23">
        <f>IF(ISERROR((CI298/CG298-1)*100),"NA",IF(((CI298/CG298-1)*100)&gt;100,"NM",IF(((CI298/CG298-1)*100)&lt;-50,"NM",(CI298/CG298-1)*100)))</f>
        <v>3.0339190664062654</v>
      </c>
      <c r="CK298" s="48">
        <f>CI298*1.03</f>
        <v>2981.0494701726129</v>
      </c>
      <c r="CL298" s="23">
        <f>IF(ISERROR((CK298/CI298-1)*100),"NA",IF(((CK298/CI298-1)*100)&gt;100,"NM",IF(((CK298/CI298-1)*100)&lt;-50,"NM",(CK298/CI298-1)*100)))</f>
        <v>3.0000000000000027</v>
      </c>
      <c r="CM298" s="48">
        <f>CK298*1.03</f>
        <v>3070.4809542777912</v>
      </c>
      <c r="CN298" s="23">
        <f>IF(ISERROR((CM298/CK298-1)*100),"NA",IF(((CM298/CK298-1)*100)&gt;100,"NM",IF(((CM298/CK298-1)*100)&lt;-50,"NM",(CM298/CK298-1)*100)))</f>
        <v>3.0000000000000027</v>
      </c>
      <c r="CO298" s="48">
        <f>CM298*1.03</f>
        <v>3162.595382906125</v>
      </c>
      <c r="CP298" s="23">
        <f>IF(ISERROR((CO298/CM298-1)*100),"NA",IF(((CO298/CM298-1)*100)&gt;100,"NM",IF(((CO298/CM298-1)*100)&lt;-50,"NM",(CO298/CM298-1)*100)))</f>
        <v>3.0000000000000027</v>
      </c>
      <c r="CQ298" s="48">
        <f>CO298*1.03</f>
        <v>3257.473244393309</v>
      </c>
      <c r="CR298" s="23">
        <f>IF(ISERROR((CQ298/CO298-1)*100),"NA",IF(((CQ298/CO298-1)*100)&gt;100,"NM",IF(((CQ298/CO298-1)*100)&lt;-50,"NM",(CQ298/CO298-1)*100)))</f>
        <v>3.0000000000000027</v>
      </c>
      <c r="CS298" s="23">
        <f>IF(ISERROR(((CQ298/CG298)^0.2-1)*100),"NA",IF((((CQ298/CG298)^0.2-1)*100)&gt;100,"NM",IF((((CQ298/CG298)^0.2-1)*100)&lt;-50,"NM",((CQ298/CG298)^0.2-1)*100)))</f>
        <v>3.0067829198631602</v>
      </c>
    </row>
    <row r="299" spans="1:97" ht="12.75" customHeight="1" x14ac:dyDescent="0.2">
      <c r="A299" s="4" t="s">
        <v>183</v>
      </c>
      <c r="B299" s="36">
        <f t="shared" ref="B299:N299" si="1902">B297+B298</f>
        <v>14966.599999999999</v>
      </c>
      <c r="C299" s="59"/>
      <c r="D299" s="36">
        <f t="shared" si="1902"/>
        <v>15003.7</v>
      </c>
      <c r="E299" s="59"/>
      <c r="F299" s="56">
        <f t="shared" si="1902"/>
        <v>14655.800000000001</v>
      </c>
      <c r="G299" s="59"/>
      <c r="H299" s="36">
        <f t="shared" si="1902"/>
        <v>14769.8</v>
      </c>
      <c r="I299" s="59"/>
      <c r="J299" s="56">
        <f t="shared" si="1902"/>
        <v>15060.8</v>
      </c>
      <c r="K299" s="23">
        <f t="shared" si="1889"/>
        <v>0.62940146726710999</v>
      </c>
      <c r="L299" s="36">
        <f t="shared" si="1902"/>
        <v>15080.3</v>
      </c>
      <c r="M299" s="23">
        <f t="shared" si="1889"/>
        <v>0.51054073328578031</v>
      </c>
      <c r="N299" s="36">
        <f t="shared" si="1902"/>
        <v>15274.9</v>
      </c>
      <c r="O299" s="23">
        <f t="shared" si="1889"/>
        <v>4.2242661608373311</v>
      </c>
      <c r="P299" s="36">
        <f>P297+P298</f>
        <v>15322.5</v>
      </c>
      <c r="Q299" s="23">
        <f t="shared" si="1889"/>
        <v>3.7420953567414594</v>
      </c>
      <c r="R299" s="36">
        <f>R297+R298</f>
        <v>15598.8</v>
      </c>
      <c r="S299" s="23">
        <f t="shared" si="1889"/>
        <v>3.5721874004037035</v>
      </c>
      <c r="T299" s="36">
        <f>T297+T298</f>
        <v>15677.7</v>
      </c>
      <c r="U299" s="23">
        <f t="shared" si="1889"/>
        <v>3.9614596526594381</v>
      </c>
      <c r="V299" s="36">
        <f>V297+V298</f>
        <v>15847.7</v>
      </c>
      <c r="W299" s="23">
        <f t="shared" si="1889"/>
        <v>3.7499427164826127</v>
      </c>
      <c r="X299" s="36">
        <f>X297+X298</f>
        <v>15995.599999999999</v>
      </c>
      <c r="Y299" s="23">
        <f t="shared" si="1889"/>
        <v>4.3928862783488176</v>
      </c>
      <c r="Z299" s="36">
        <f>Z297+Z298</f>
        <v>16007.7</v>
      </c>
      <c r="AA299" s="23">
        <f>IF(ISERROR((Z299/R299-1)*100),"NA",IF(((Z299/R299-1)*100)&gt;100,"NM",IF(((Z299/R299-1)*100)&lt;-50,"NM",(Z299/R299-1)*100)))</f>
        <v>2.6213554888837587</v>
      </c>
      <c r="AB299" s="36">
        <f>AB297+AB298</f>
        <v>16142.9</v>
      </c>
      <c r="AC299" s="23">
        <f>IF(ISERROR((AB299/T299-1)*100),"NA",IF(((AB299/T299-1)*100)&gt;100,"NM",IF(((AB299/T299-1)*100)&lt;-50,"NM",(AB299/T299-1)*100)))</f>
        <v>2.9672719850488249</v>
      </c>
      <c r="AD299" s="36">
        <f>AD297+AD298</f>
        <v>16118.7</v>
      </c>
      <c r="AE299" s="23">
        <f>IF(ISERROR((AD299/V299-1)*100),"NA",IF(((AD299/V299-1)*100)&gt;100,"NM",IF(((AD299/V299-1)*100)&lt;-50,"NM",(AD299/V299-1)*100)))</f>
        <v>1.7100273225767681</v>
      </c>
      <c r="AF299" s="36">
        <f>AF297+AF298</f>
        <v>15708.3</v>
      </c>
      <c r="AG299" s="23">
        <f>IF(ISERROR((AF299/X299-1)*100),"NA",IF(((AF299/X299-1)*100)&gt;100,"NM",IF(((AF299/X299-1)*100)&lt;-50,"NM",(AF299/X299-1)*100)))</f>
        <v>-1.7961189327064919</v>
      </c>
      <c r="AH299" s="36">
        <f>AH297+AH298</f>
        <v>15774</v>
      </c>
      <c r="AI299" s="23">
        <f>IF(ISERROR((AH299/Z299-1)*100),"NA",IF(((AH299/Z299-1)*100)&gt;100,"NM",IF(((AH299/Z299-1)*100)&lt;-50,"NM",(AH299/Z299-1)*100)))</f>
        <v>-1.4599224123390653</v>
      </c>
      <c r="AJ299" s="36">
        <f>AJ297+AJ298</f>
        <v>15728.9</v>
      </c>
      <c r="AK299" s="23">
        <f>IF(ISERROR((AJ299/AB299-1)*100),"NA",IF(((AJ299/AB299-1)*100)&gt;100,"NM",IF(((AJ299/AB299-1)*100)&lt;-50,"NM",(AJ299/AB299-1)*100)))</f>
        <v>-2.56459496125232</v>
      </c>
      <c r="AL299" s="36">
        <f>AL297+AL298</f>
        <v>15485.9</v>
      </c>
      <c r="AM299" s="23">
        <f>IF(ISERROR((AL299/AD299-1)*100),"NA",IF(((AL299/AD299-1)*100)&gt;100,"NM",IF(((AL299/AD299-1)*100)&lt;-50,"NM",(AL299/AD299-1)*100)))</f>
        <v>-3.9258749154708616</v>
      </c>
      <c r="AN299" s="410">
        <f t="shared" ref="AN299:AP299" si="1903">AN297+AN298</f>
        <v>15123.900000000001</v>
      </c>
      <c r="AO299" s="23">
        <f>IF(ISERROR((AN299/AF299-1)*100),"NA",IF(((AN299/AF299-1)*100)&gt;100,"NM",IF(((AN299/AF299-1)*100)&lt;-50,"NM",(AN299/AF299-1)*100)))</f>
        <v>-3.7203261969786516</v>
      </c>
      <c r="AP299" s="410">
        <f t="shared" si="1903"/>
        <v>15236</v>
      </c>
      <c r="AQ299" s="23">
        <f t="shared" si="1890"/>
        <v>-3.4106757956130385</v>
      </c>
      <c r="AR299" s="410">
        <f t="shared" ref="AR299:AT299" si="1904">AR297+AR298</f>
        <v>15105.5</v>
      </c>
      <c r="AS299" s="23">
        <f t="shared" si="1891"/>
        <v>-3.9634049424943862</v>
      </c>
      <c r="AT299" s="410">
        <f t="shared" si="1904"/>
        <v>15193</v>
      </c>
      <c r="AU299" s="23">
        <f t="shared" si="1892"/>
        <v>-1.8913979813895199</v>
      </c>
      <c r="AV299" s="410">
        <f t="shared" ref="AV299:AX299" si="1905">AV297+AV298</f>
        <v>15221.4</v>
      </c>
      <c r="AW299" s="23">
        <f t="shared" si="1893"/>
        <v>0.64467498462696948</v>
      </c>
      <c r="AX299" s="410">
        <f t="shared" si="1905"/>
        <v>15340.7</v>
      </c>
      <c r="AY299" s="23">
        <f t="shared" si="1894"/>
        <v>0.68718823838278542</v>
      </c>
      <c r="AZ299" s="410">
        <f t="shared" ref="AZ299" si="1906">AZ297+AZ298</f>
        <v>15418.1</v>
      </c>
      <c r="BA299" s="23">
        <f t="shared" si="1895"/>
        <v>2.0694449041739782</v>
      </c>
      <c r="BB299" s="410">
        <f t="shared" ref="BB299:BD299" si="1907">BB297+BB298</f>
        <v>15493.3</v>
      </c>
      <c r="BC299" s="23">
        <f t="shared" si="1896"/>
        <v>1.9765681563878035</v>
      </c>
      <c r="BD299" s="410">
        <f t="shared" si="1907"/>
        <v>15633</v>
      </c>
      <c r="BE299" s="23">
        <f t="shared" si="1897"/>
        <v>2.7040876660491264</v>
      </c>
      <c r="BF299" s="36">
        <f t="shared" ref="BF299" si="1908">BF297+BF298</f>
        <v>15734.217500000002</v>
      </c>
      <c r="BG299" s="23">
        <f t="shared" si="1898"/>
        <v>2.5651860736472409</v>
      </c>
      <c r="BH299" s="36">
        <f t="shared" ref="BH299" si="1909">BH297+BH298</f>
        <v>15836.093943750002</v>
      </c>
      <c r="BI299" s="23">
        <f t="shared" si="1899"/>
        <v>2.7110600122583373</v>
      </c>
      <c r="BJ299" s="36">
        <f t="shared" ref="BJ299" si="1910">BJ297+BJ298</f>
        <v>15938.633647156254</v>
      </c>
      <c r="BK299" s="23">
        <f t="shared" si="1900"/>
        <v>2.8743627707218833</v>
      </c>
      <c r="BL299" s="36">
        <f t="shared" ref="BL299" si="1911">BL297+BL298</f>
        <v>16038.574465594887</v>
      </c>
      <c r="BM299" s="23">
        <f t="shared" si="1901"/>
        <v>2.5943482734912537</v>
      </c>
      <c r="BN299" s="10"/>
      <c r="BO299" s="137"/>
      <c r="BP299" s="10"/>
      <c r="BQ299" s="153"/>
      <c r="BR299" s="153"/>
      <c r="BS299" s="153"/>
      <c r="BT299" s="32"/>
      <c r="BU299" s="36">
        <f t="shared" ref="BU299:CA299" si="1912">BU297+BU298</f>
        <v>14769.8</v>
      </c>
      <c r="BV299" s="23" t="str">
        <f>IF(ISERROR((BU299/BS299-1)*100),"NA",IF(((BU299/BS299-1)*100)&gt;100,"NM",IF(((BU299/BS299-1)*100)&lt;-50,"NM",(BU299/BS299-1)*100)))</f>
        <v>NA</v>
      </c>
      <c r="BW299" s="36">
        <f t="shared" si="1912"/>
        <v>15322.5</v>
      </c>
      <c r="BX299" s="23">
        <f>IF(ISERROR((BW299/BU299-1)*100),"NA",IF(((BW299/BU299-1)*100)&gt;100,"NM",IF(((BW299/BU299-1)*100)&lt;-50,"NM",(BW299/BU299-1)*100)))</f>
        <v>3.7420953567414594</v>
      </c>
      <c r="BY299" s="36">
        <f t="shared" si="1912"/>
        <v>15995.599999999999</v>
      </c>
      <c r="BZ299" s="23">
        <f>IF(ISERROR((BY299/BW299-1)*100),"NA",IF(((BY299/BW299-1)*100)&gt;100,"NM",IF(((BY299/BW299-1)*100)&lt;-50,"NM",(BY299/BW299-1)*100)))</f>
        <v>4.3928862783488176</v>
      </c>
      <c r="CA299" s="36">
        <f t="shared" si="1912"/>
        <v>15708.3</v>
      </c>
      <c r="CB299" s="23">
        <f>IF(ISERROR((CA299/BY299-1)*100),"NA",IF(((CA299/BY299-1)*100)&gt;100,"NM",IF(((CA299/BY299-1)*100)&lt;-50,"NM",(CA299/BY299-1)*100)))</f>
        <v>-1.7961189327064919</v>
      </c>
      <c r="CC299" s="36">
        <f t="shared" ref="CC299" si="1913">CC297+CC298</f>
        <v>15123.900000000001</v>
      </c>
      <c r="CD299" s="23">
        <f>IF(ISERROR((CC299/CA299-1)*100),"NA",IF(((CC299/CA299-1)*100)&gt;100,"NM",IF(((CC299/CA299-1)*100)&lt;-50,"NM",(CC299/CA299-1)*100)))</f>
        <v>-3.7203261969786516</v>
      </c>
      <c r="CE299" s="36">
        <f t="shared" ref="CE299" si="1914">CE297+CE298</f>
        <v>15221.4</v>
      </c>
      <c r="CF299" s="23">
        <f>IF(ISERROR((CE299/CC299-1)*100),"NA",IF(((CE299/CC299-1)*100)&gt;100,"NM",IF(((CE299/CC299-1)*100)&lt;-50,"NM",(CE299/CC299-1)*100)))</f>
        <v>0.64467498462696948</v>
      </c>
      <c r="CG299" s="36">
        <f t="shared" ref="CG299" si="1915">CG297+CG298</f>
        <v>15633</v>
      </c>
      <c r="CH299" s="23">
        <f>IF(ISERROR((CG299/CE299-1)*100),"NA",IF(((CG299/CE299-1)*100)&gt;100,"NM",IF(((CG299/CE299-1)*100)&lt;-50,"NM",(CG299/CE299-1)*100)))</f>
        <v>2.7040876660491264</v>
      </c>
      <c r="CI299" s="36">
        <f t="shared" ref="CI299" si="1916">CI297+CI298</f>
        <v>16038.574465594887</v>
      </c>
      <c r="CJ299" s="23">
        <f>IF(ISERROR((CI299/CG299-1)*100),"NA",IF(((CI299/CG299-1)*100)&gt;100,"NM",IF(((CI299/CG299-1)*100)&lt;-50,"NM",(CI299/CG299-1)*100)))</f>
        <v>2.5943482734912537</v>
      </c>
      <c r="CK299" s="36">
        <f>CK297+CK298</f>
        <v>16454.009941167635</v>
      </c>
      <c r="CL299" s="23">
        <f>IF(ISERROR((CK299/CI299-1)*100),"NA",IF(((CK299/CI299-1)*100)&gt;100,"NM",IF(((CK299/CI299-1)*100)&lt;-50,"NM",(CK299/CI299-1)*100)))</f>
        <v>2.5902269335963624</v>
      </c>
      <c r="CM299" s="36">
        <f>CM297+CM298</f>
        <v>16880.265437047688</v>
      </c>
      <c r="CN299" s="23">
        <f>IF(ISERROR((CM299/CK299-1)*100),"NA",IF(((CM299/CK299-1)*100)&gt;100,"NM",IF(((CM299/CK299-1)*100)&lt;-50,"NM",(CM299/CK299-1)*100)))</f>
        <v>2.5905873243310173</v>
      </c>
      <c r="CO299" s="36">
        <f>CO297+CO298</f>
        <v>17317.624477745267</v>
      </c>
      <c r="CP299" s="23">
        <f>IF(ISERROR((CO299/CM299-1)*100),"NA",IF(((CO299/CM299-1)*100)&gt;100,"NM",IF(((CO299/CM299-1)*100)&lt;-50,"NM",(CO299/CM299-1)*100)))</f>
        <v>2.5909488350680299</v>
      </c>
      <c r="CQ299" s="36">
        <f>CQ297+CQ298</f>
        <v>17766.378066603429</v>
      </c>
      <c r="CR299" s="23">
        <f>IF(ISERROR((CQ299/CO299-1)*100),"NA",IF(((CQ299/CO299-1)*100)&gt;100,"NM",IF(((CQ299/CO299-1)*100)&lt;-50,"NM",(CQ299/CO299-1)*100)))</f>
        <v>2.5913114667363901</v>
      </c>
      <c r="CS299" s="23">
        <f>IF(ISERROR(((CQ299/CG299)^0.2-1)*100),"NA",IF((((CQ299/CG299)^0.2-1)*100)&gt;100,"NM",IF((((CQ299/CG299)^0.2-1)*100)&lt;-50,"NM",((CQ299/CG299)^0.2-1)*100)))</f>
        <v>2.5914845560157218</v>
      </c>
    </row>
    <row r="300" spans="1:97" ht="12.75" customHeight="1" x14ac:dyDescent="0.2">
      <c r="A300" s="4" t="s">
        <v>145</v>
      </c>
      <c r="B300" s="36">
        <f>AVERAGE(B299)</f>
        <v>14966.599999999999</v>
      </c>
      <c r="C300" s="59"/>
      <c r="D300" s="36">
        <f>AVERAGE(B299,D299)</f>
        <v>14985.15</v>
      </c>
      <c r="E300" s="59"/>
      <c r="F300" s="36">
        <f>AVERAGE(D299,F299)</f>
        <v>14829.75</v>
      </c>
      <c r="G300" s="59"/>
      <c r="H300" s="36">
        <f>AVERAGE(F299,H299)</f>
        <v>14712.8</v>
      </c>
      <c r="I300" s="59"/>
      <c r="J300" s="36">
        <f>AVERAGE(H299,J299)</f>
        <v>14915.3</v>
      </c>
      <c r="K300" s="23">
        <f t="shared" si="1889"/>
        <v>-0.34276321943527144</v>
      </c>
      <c r="L300" s="36">
        <f>AVERAGE(J299,L299)</f>
        <v>15070.55</v>
      </c>
      <c r="M300" s="23">
        <f t="shared" si="1889"/>
        <v>0.56989753188989578</v>
      </c>
      <c r="N300" s="36">
        <f>AVERAGE(L299,N299)</f>
        <v>15177.599999999999</v>
      </c>
      <c r="O300" s="23">
        <f t="shared" si="1889"/>
        <v>2.3456228189955963</v>
      </c>
      <c r="P300" s="36">
        <f>AVERAGE(N299,P299)</f>
        <v>15298.7</v>
      </c>
      <c r="Q300" s="23">
        <f t="shared" si="1889"/>
        <v>3.9822467511282822</v>
      </c>
      <c r="R300" s="36">
        <f>AVERAGE(P299,R299)</f>
        <v>15460.65</v>
      </c>
      <c r="S300" s="23">
        <f t="shared" si="1889"/>
        <v>3.6563126454043804</v>
      </c>
      <c r="T300" s="36">
        <f>AVERAGE(R299,T299)</f>
        <v>15638.25</v>
      </c>
      <c r="U300" s="23">
        <f t="shared" si="1889"/>
        <v>3.766949447764012</v>
      </c>
      <c r="V300" s="36">
        <f>AVERAGE(T299,V299)</f>
        <v>15762.7</v>
      </c>
      <c r="W300" s="23">
        <f t="shared" si="1889"/>
        <v>3.8550231920725375</v>
      </c>
      <c r="X300" s="36">
        <f>AVERAGE(V299,X299)</f>
        <v>15921.65</v>
      </c>
      <c r="Y300" s="23">
        <f t="shared" si="1889"/>
        <v>4.0719146071234835</v>
      </c>
      <c r="Z300" s="36">
        <f>AVERAGE(X299,Z299)</f>
        <v>16001.65</v>
      </c>
      <c r="AA300" s="23">
        <f>IF(ISERROR((Z300/R300-1)*100),"NA",IF(((Z300/R300-1)*100)&gt;100,"NM",IF(((Z300/R300-1)*100)&lt;-50,"NM",(Z300/R300-1)*100)))</f>
        <v>3.4992060489047905</v>
      </c>
      <c r="AB300" s="36">
        <f>AVERAGE(Z299,AB299)</f>
        <v>16075.3</v>
      </c>
      <c r="AC300" s="23">
        <f>IF(ISERROR((AB300/T300-1)*100),"NA",IF(((AB300/T300-1)*100)&gt;100,"NM",IF(((AB300/T300-1)*100)&lt;-50,"NM",(AB300/T300-1)*100)))</f>
        <v>2.7947500519559298</v>
      </c>
      <c r="AD300" s="36">
        <f>AVERAGE(AB299,AD299)</f>
        <v>16130.8</v>
      </c>
      <c r="AE300" s="23">
        <f>IF(ISERROR((AD300/V300-1)*100),"NA",IF(((AD300/V300-1)*100)&gt;100,"NM",IF(((AD300/V300-1)*100)&lt;-50,"NM",(AD300/V300-1)*100)))</f>
        <v>2.3352598222385668</v>
      </c>
      <c r="AF300" s="36">
        <f>AVERAGE(AD299,AF299)</f>
        <v>15913.5</v>
      </c>
      <c r="AG300" s="23">
        <f>IF(ISERROR((AF300/X300-1)*100),"NA",IF(((AF300/X300-1)*100)&gt;100,"NM",IF(((AF300/X300-1)*100)&lt;-50,"NM",(AF300/X300-1)*100)))</f>
        <v>-5.1188162030946227E-2</v>
      </c>
      <c r="AH300" s="36">
        <f>AVERAGE(AF299,AH299)</f>
        <v>15741.15</v>
      </c>
      <c r="AI300" s="23">
        <f>IF(ISERROR((AH300/Z300-1)*100),"NA",IF(((AH300/Z300-1)*100)&gt;100,"NM",IF(((AH300/Z300-1)*100)&lt;-50,"NM",(AH300/Z300-1)*100)))</f>
        <v>-1.6279571169223184</v>
      </c>
      <c r="AJ300" s="36">
        <f>AVERAGE(AH299,AJ299)</f>
        <v>15751.45</v>
      </c>
      <c r="AK300" s="23">
        <f>IF(ISERROR((AJ300/AB300-1)*100),"NA",IF(((AJ300/AB300-1)*100)&gt;100,"NM",IF(((AJ300/AB300-1)*100)&lt;-50,"NM",(AJ300/AB300-1)*100)))</f>
        <v>-2.0145813763973175</v>
      </c>
      <c r="AL300" s="36">
        <f>AVERAGE(AJ299,AL299)</f>
        <v>15607.4</v>
      </c>
      <c r="AM300" s="23">
        <f>IF(ISERROR((AL300/AD300-1)*100),"NA",IF(((AL300/AD300-1)*100)&gt;100,"NM",IF(((AL300/AD300-1)*100)&lt;-50,"NM",(AL300/AD300-1)*100)))</f>
        <v>-3.2447243782081414</v>
      </c>
      <c r="AN300" s="410">
        <f t="shared" ref="AN300:AP300" si="1917">AVERAGE(AL299,AN299)</f>
        <v>15304.900000000001</v>
      </c>
      <c r="AO300" s="23">
        <f>IF(ISERROR((AN300/AF300-1)*100),"NA",IF(((AN300/AF300-1)*100)&gt;100,"NM",IF(((AN300/AF300-1)*100)&lt;-50,"NM",(AN300/AF300-1)*100)))</f>
        <v>-3.8244258019920152</v>
      </c>
      <c r="AP300" s="410">
        <f t="shared" si="1917"/>
        <v>15179.95</v>
      </c>
      <c r="AQ300" s="23">
        <f t="shared" si="1890"/>
        <v>-3.5651778936100498</v>
      </c>
      <c r="AR300" s="410">
        <f t="shared" ref="AR300:AT300" si="1918">AVERAGE(AP299,AR299)</f>
        <v>15170.75</v>
      </c>
      <c r="AS300" s="23">
        <f t="shared" si="1891"/>
        <v>-3.6866447215970655</v>
      </c>
      <c r="AT300" s="410">
        <f t="shared" si="1918"/>
        <v>15149.25</v>
      </c>
      <c r="AU300" s="23">
        <f t="shared" si="1892"/>
        <v>-2.93546650947627</v>
      </c>
      <c r="AV300" s="410">
        <f t="shared" ref="AV300:AX300" si="1919">AVERAGE(AT299,AV299)</f>
        <v>15207.2</v>
      </c>
      <c r="AW300" s="23">
        <f t="shared" si="1893"/>
        <v>-0.63835765016433399</v>
      </c>
      <c r="AX300" s="410">
        <f t="shared" si="1919"/>
        <v>15281.05</v>
      </c>
      <c r="AY300" s="23">
        <f t="shared" si="1894"/>
        <v>0.66601009884748041</v>
      </c>
      <c r="AZ300" s="410">
        <f t="shared" ref="AZ300" si="1920">AVERAGE(AX299,AZ299)</f>
        <v>15379.400000000001</v>
      </c>
      <c r="BA300" s="23">
        <f t="shared" si="1895"/>
        <v>1.3753440007910012</v>
      </c>
      <c r="BB300" s="410">
        <f t="shared" ref="BB300:BD300" si="1921">AVERAGE(AZ299,BB299)</f>
        <v>15455.7</v>
      </c>
      <c r="BC300" s="23">
        <f t="shared" si="1896"/>
        <v>2.0228724194267134</v>
      </c>
      <c r="BD300" s="410">
        <f t="shared" si="1921"/>
        <v>15563.15</v>
      </c>
      <c r="BE300" s="23">
        <f t="shared" si="1897"/>
        <v>2.3406675785154318</v>
      </c>
      <c r="BF300" s="36">
        <f t="shared" ref="BF300:BJ300" si="1922">AVERAGE(BD299,BF299)</f>
        <v>15683.608750000001</v>
      </c>
      <c r="BG300" s="23">
        <f t="shared" si="1898"/>
        <v>2.6343657667503351</v>
      </c>
      <c r="BH300" s="36">
        <f t="shared" si="1922"/>
        <v>15785.155721875002</v>
      </c>
      <c r="BI300" s="23">
        <f t="shared" si="1899"/>
        <v>2.6383065781174775</v>
      </c>
      <c r="BJ300" s="36">
        <f t="shared" si="1922"/>
        <v>15887.363795453128</v>
      </c>
      <c r="BK300" s="23">
        <f t="shared" si="1900"/>
        <v>2.7929100296533171</v>
      </c>
      <c r="BL300" s="36">
        <f t="shared" ref="BL300" si="1923">AVERAGE(BJ299,BL299)</f>
        <v>15988.604056375571</v>
      </c>
      <c r="BM300" s="23">
        <f t="shared" si="1901"/>
        <v>2.7337271463397261</v>
      </c>
      <c r="BN300" s="10"/>
      <c r="BO300" s="137"/>
      <c r="BP300" s="10"/>
      <c r="BQ300" s="153"/>
      <c r="BR300" s="153"/>
      <c r="BS300" s="153"/>
      <c r="BT300" s="32"/>
      <c r="BU300" s="36">
        <f>AVERAGE(BU299)</f>
        <v>14769.8</v>
      </c>
      <c r="BV300" s="23" t="str">
        <f>IF(ISERROR((BU300/BS300-1)*100),"NA",IF(((BU300/BS300-1)*100)&gt;100,"NM",IF(((BU300/BS300-1)*100)&lt;-50,"NM",(BU300/BS300-1)*100)))</f>
        <v>NA</v>
      </c>
      <c r="BW300" s="36">
        <f>AVERAGE(BU299,BW299)</f>
        <v>15046.15</v>
      </c>
      <c r="BX300" s="23">
        <f>IF(ISERROR((BW300/BU300-1)*100),"NA",IF(((BW300/BU300-1)*100)&gt;100,"NM",IF(((BW300/BU300-1)*100)&lt;-50,"NM",(BW300/BU300-1)*100)))</f>
        <v>1.8710476783707408</v>
      </c>
      <c r="BY300" s="36">
        <f>AVERAGE(BW299,BY299)</f>
        <v>15659.05</v>
      </c>
      <c r="BZ300" s="23">
        <f>IF(ISERROR((BY300/BW300-1)*100),"NA",IF(((BY300/BW300-1)*100)&gt;100,"NM",IF(((BY300/BW300-1)*100)&lt;-50,"NM",(BY300/BW300-1)*100)))</f>
        <v>4.0734672989435783</v>
      </c>
      <c r="CA300" s="36">
        <f>AVERAGE(BY299,CA299)</f>
        <v>15851.949999999999</v>
      </c>
      <c r="CB300" s="23">
        <f>IF(ISERROR((CA300/BY300-1)*100),"NA",IF(((CA300/BY300-1)*100)&gt;100,"NM",IF(((CA300/BY300-1)*100)&lt;-50,"NM",(CA300/BY300-1)*100)))</f>
        <v>1.2318754969171231</v>
      </c>
      <c r="CC300" s="36">
        <f>AVERAGE(CA299,CC299)</f>
        <v>15416.1</v>
      </c>
      <c r="CD300" s="23">
        <f>IF(ISERROR((CC300/CA300-1)*100),"NA",IF(((CC300/CA300-1)*100)&gt;100,"NM",IF(((CC300/CA300-1)*100)&lt;-50,"NM",(CC300/CA300-1)*100)))</f>
        <v>-2.7495040042392116</v>
      </c>
      <c r="CE300" s="36">
        <f>AVERAGE(CC299,CE299)</f>
        <v>15172.650000000001</v>
      </c>
      <c r="CF300" s="23">
        <f>IF(ISERROR((CE300/CC300-1)*100),"NA",IF(((CE300/CC300-1)*100)&gt;100,"NM",IF(((CE300/CC300-1)*100)&lt;-50,"NM",(CE300/CC300-1)*100)))</f>
        <v>-1.5791931811547588</v>
      </c>
      <c r="CG300" s="36">
        <f>AVERAGE(CE299,CG299)</f>
        <v>15427.2</v>
      </c>
      <c r="CH300" s="23">
        <f>IF(ISERROR((CG300/CE300-1)*100),"NA",IF(((CG300/CE300-1)*100)&gt;100,"NM",IF(((CG300/CE300-1)*100)&lt;-50,"NM",(CG300/CE300-1)*100)))</f>
        <v>1.6776897905112165</v>
      </c>
      <c r="CI300" s="36">
        <f>AVERAGE(CG299,CI299)</f>
        <v>15835.787232797444</v>
      </c>
      <c r="CJ300" s="23">
        <f>IF(ISERROR((CI300/CG300-1)*100),"NA",IF(((CI300/CG300-1)*100)&gt;100,"NM",IF(((CI300/CG300-1)*100)&lt;-50,"NM",(CI300/CG300-1)*100)))</f>
        <v>2.6484860039245106</v>
      </c>
      <c r="CK300" s="36">
        <f>AVERAGE(CI299,CK299)</f>
        <v>16246.292203381261</v>
      </c>
      <c r="CL300" s="23">
        <f>IF(ISERROR((CK300/CI300-1)*100),"NA",IF(((CK300/CI300-1)*100)&gt;100,"NM",IF(((CK300/CI300-1)*100)&lt;-50,"NM",(CK300/CI300-1)*100)))</f>
        <v>2.5922612153668201</v>
      </c>
      <c r="CM300" s="36">
        <f>AVERAGE(CK299,CM299)</f>
        <v>16667.137689107662</v>
      </c>
      <c r="CN300" s="23">
        <f>IF(ISERROR((CM300/CK300-1)*100),"NA",IF(((CM300/CK300-1)*100)&gt;100,"NM",IF(((CM300/CK300-1)*100)&lt;-50,"NM",(CM300/CK300-1)*100)))</f>
        <v>2.5904094328600857</v>
      </c>
      <c r="CO300" s="36">
        <f>AVERAGE(CM299,CO299)</f>
        <v>17098.944957396478</v>
      </c>
      <c r="CP300" s="23">
        <f>IF(ISERROR((CO300/CM300-1)*100),"NA",IF(((CO300/CM300-1)*100)&gt;100,"NM",IF(((CO300/CM300-1)*100)&lt;-50,"NM",(CO300/CM300-1)*100)))</f>
        <v>2.5907703910732716</v>
      </c>
      <c r="CQ300" s="36">
        <f>AVERAGE(CO299,CQ299)</f>
        <v>17542.001272174348</v>
      </c>
      <c r="CR300" s="23">
        <f>IF(ISERROR((CQ300/CO300-1)*100),"NA",IF(((CQ300/CO300-1)*100)&gt;100,"NM",IF(((CQ300/CO300-1)*100)&lt;-50,"NM",(CQ300/CO300-1)*100)))</f>
        <v>2.591132469762214</v>
      </c>
      <c r="CS300" s="23">
        <f>IF(ISERROR(((CQ300/CG300)^0.2-1)*100),"NA",IF((((CQ300/CG300)^0.2-1)*100)&gt;100,"NM",IF((((CQ300/CG300)^0.2-1)*100)&lt;-50,"NM",((CQ300/CG300)^0.2-1)*100)))</f>
        <v>2.6026093374760473</v>
      </c>
    </row>
    <row r="301" spans="1:97" ht="12.75" customHeight="1" x14ac:dyDescent="0.2">
      <c r="A301" s="13"/>
      <c r="B301" s="56"/>
      <c r="C301" s="24"/>
      <c r="D301" s="56"/>
      <c r="E301" s="24"/>
      <c r="F301" s="56"/>
      <c r="G301" s="24"/>
      <c r="H301" s="56"/>
      <c r="I301" s="24"/>
      <c r="J301" s="56"/>
      <c r="L301" s="56"/>
      <c r="N301" s="56"/>
      <c r="P301" s="36"/>
      <c r="R301" s="36"/>
      <c r="T301" s="36"/>
      <c r="V301" s="36"/>
      <c r="X301" s="36"/>
      <c r="Z301" s="36"/>
      <c r="AB301" s="36"/>
      <c r="AD301" s="36"/>
      <c r="AF301" s="36"/>
      <c r="AH301" s="36"/>
      <c r="AJ301" s="36"/>
      <c r="AL301" s="36"/>
      <c r="AN301" s="410"/>
      <c r="AP301" s="410"/>
      <c r="AR301" s="410"/>
      <c r="AT301" s="410"/>
      <c r="AV301" s="410"/>
      <c r="AX301" s="410"/>
      <c r="AZ301" s="410"/>
      <c r="BB301" s="410"/>
      <c r="BD301" s="410"/>
      <c r="BF301" s="36"/>
      <c r="BH301" s="36"/>
      <c r="BJ301" s="36"/>
      <c r="BL301" s="36"/>
      <c r="BN301" s="10"/>
      <c r="BO301" s="137"/>
      <c r="BP301" s="10"/>
      <c r="BQ301" s="32"/>
      <c r="BR301" s="32"/>
      <c r="BS301" s="32"/>
      <c r="BT301" s="32"/>
      <c r="BU301" s="36"/>
      <c r="BW301" s="36"/>
      <c r="BY301" s="36"/>
      <c r="CA301" s="36"/>
      <c r="CC301" s="36"/>
      <c r="CE301" s="36"/>
      <c r="CG301" s="36"/>
      <c r="CI301" s="36"/>
      <c r="CK301" s="36"/>
      <c r="CM301" s="36"/>
      <c r="CO301" s="36"/>
      <c r="CQ301" s="36"/>
    </row>
    <row r="302" spans="1:97" ht="12.75" customHeight="1" x14ac:dyDescent="0.2">
      <c r="A302" s="13" t="s">
        <v>211</v>
      </c>
      <c r="B302" s="56">
        <f>AVERAGE(B297)</f>
        <v>12345.3</v>
      </c>
      <c r="C302" s="59"/>
      <c r="D302" s="56">
        <f>AVERAGE(B297,D297)</f>
        <v>12386.5</v>
      </c>
      <c r="E302" s="59"/>
      <c r="F302" s="56">
        <f>AVERAGE(D297,F297)</f>
        <v>12448.7</v>
      </c>
      <c r="G302" s="59"/>
      <c r="H302" s="56">
        <f>AVERAGE(F297,H297)</f>
        <v>12465.85</v>
      </c>
      <c r="I302" s="59"/>
      <c r="J302" s="56">
        <f>AVERAGE(H297,J297)</f>
        <v>12515.55</v>
      </c>
      <c r="K302" s="23">
        <f t="shared" ref="K302:Y303" si="1924">IF(ISERROR((J302/B302-1)*100),"NA",IF(((J302/B302-1)*100)&gt;100,"NM",IF(((J302/B302-1)*100)&lt;-50,"NM",(J302/B302-1)*100)))</f>
        <v>1.3790673373672568</v>
      </c>
      <c r="L302" s="56">
        <f>AVERAGE(J297,L297)</f>
        <v>12639.25</v>
      </c>
      <c r="M302" s="23">
        <f t="shared" si="1924"/>
        <v>2.0405279941872134</v>
      </c>
      <c r="N302" s="56">
        <f>AVERAGE(L297,N297)</f>
        <v>12768.849999999999</v>
      </c>
      <c r="O302" s="23">
        <f t="shared" si="1924"/>
        <v>2.5717544803874892</v>
      </c>
      <c r="P302" s="36">
        <f>AVERAGE(N297,P297)</f>
        <v>12869.349999999999</v>
      </c>
      <c r="Q302" s="23">
        <f t="shared" si="1924"/>
        <v>3.2368430552268679</v>
      </c>
      <c r="R302" s="36">
        <f>AVERAGE(P297,R297)</f>
        <v>13000</v>
      </c>
      <c r="S302" s="23">
        <f t="shared" si="1924"/>
        <v>3.8707847437787546</v>
      </c>
      <c r="T302" s="36">
        <f>AVERAGE(R297,T297)</f>
        <v>13140.150000000001</v>
      </c>
      <c r="U302" s="23">
        <f t="shared" si="1924"/>
        <v>3.9630516051189835</v>
      </c>
      <c r="V302" s="36">
        <f>AVERAGE(T297,V297)</f>
        <v>13224.05</v>
      </c>
      <c r="W302" s="23">
        <f t="shared" si="1924"/>
        <v>3.5649255806121882</v>
      </c>
      <c r="X302" s="36">
        <f>AVERAGE(V297,X297)</f>
        <v>13264.349999999999</v>
      </c>
      <c r="Y302" s="23">
        <f t="shared" si="1924"/>
        <v>3.0693080847129073</v>
      </c>
      <c r="Z302" s="36">
        <f>AVERAGE(X297,Z297)</f>
        <v>13289.65</v>
      </c>
      <c r="AA302" s="23">
        <f>IF(ISERROR((Z302/R302-1)*100),"NA",IF(((Z302/R302-1)*100)&gt;100,"NM",IF(((Z302/R302-1)*100)&lt;-50,"NM",(Z302/R302-1)*100)))</f>
        <v>2.228076923076916</v>
      </c>
      <c r="AB302" s="36">
        <f>AVERAGE(Z297,AB297)</f>
        <v>13344.65</v>
      </c>
      <c r="AC302" s="23">
        <f>IF(ISERROR((AB302/T302-1)*100),"NA",IF(((AB302/T302-1)*100)&gt;100,"NM",IF(((AB302/T302-1)*100)&lt;-50,"NM",(AB302/T302-1)*100)))</f>
        <v>1.5562988245948262</v>
      </c>
      <c r="AD302" s="36">
        <f>AVERAGE(AB297,AD297)</f>
        <v>13402.75</v>
      </c>
      <c r="AE302" s="23">
        <f>IF(ISERROR((AD302/V302-1)*100),"NA",IF(((AD302/V302-1)*100)&gt;100,"NM",IF(((AD302/V302-1)*100)&lt;-50,"NM",(AD302/V302-1)*100)))</f>
        <v>1.3513258041220499</v>
      </c>
      <c r="AF302" s="36">
        <f>AVERAGE(AD297,AF297)</f>
        <v>13209.75</v>
      </c>
      <c r="AG302" s="23">
        <f>IF(ISERROR((AF302/X302-1)*100),"NA",IF(((AF302/X302-1)*100)&gt;100,"NM",IF(((AF302/X302-1)*100)&lt;-50,"NM",(AF302/X302-1)*100)))</f>
        <v>-0.41162966899997988</v>
      </c>
      <c r="AH302" s="36">
        <f>AVERAGE(AF297,AH297)</f>
        <v>13015.5</v>
      </c>
      <c r="AI302" s="23">
        <f>IF(ISERROR((AH302/Z302-1)*100),"NA",IF(((AH302/Z302-1)*100)&gt;100,"NM",IF(((AH302/Z302-1)*100)&lt;-50,"NM",(AH302/Z302-1)*100)))</f>
        <v>-2.0628835221394026</v>
      </c>
      <c r="AJ302" s="36">
        <f>AVERAGE(AH297,AJ297)</f>
        <v>13034</v>
      </c>
      <c r="AK302" s="23">
        <f>IF(ISERROR((AJ302/AB302-1)*100),"NA",IF(((AJ302/AB302-1)*100)&gt;100,"NM",IF(((AJ302/AB302-1)*100)&lt;-50,"NM",(AJ302/AB302-1)*100)))</f>
        <v>-2.3278991955577699</v>
      </c>
      <c r="AL302" s="36">
        <f>AVERAGE(AJ297,AL297)</f>
        <v>13023.8</v>
      </c>
      <c r="AM302" s="23">
        <f>IF(ISERROR((AL302/AD302-1)*100),"NA",IF(((AL302/AD302-1)*100)&gt;100,"NM",IF(((AL302/AD302-1)*100)&lt;-50,"NM",(AL302/AD302-1)*100)))</f>
        <v>-2.8274048236369476</v>
      </c>
      <c r="AN302" s="410">
        <f t="shared" ref="AN302:AP303" si="1925">AVERAGE(AL297,AN297)</f>
        <v>12809.2</v>
      </c>
      <c r="AO302" s="23">
        <f>IF(ISERROR((AN302/AF302-1)*100),"NA",IF(((AN302/AF302-1)*100)&gt;100,"NM",IF(((AN302/AF302-1)*100)&lt;-50,"NM",(AN302/AF302-1)*100)))</f>
        <v>-3.0322299816423426</v>
      </c>
      <c r="AP302" s="410">
        <f t="shared" si="1925"/>
        <v>12680.75</v>
      </c>
      <c r="AQ302" s="23">
        <f t="shared" ref="AQ302:AQ303" si="1926">IF(ISERROR((AP302/AH302-1)*100),"NA",IF(((AP302/AH302-1)*100)&gt;100,"NM",IF(((AP302/AH302-1)*100)&lt;-50,"NM",(AP302/AH302-1)*100)))</f>
        <v>-2.5719334639468294</v>
      </c>
      <c r="AR302" s="410">
        <f t="shared" ref="AR302:AT303" si="1927">AVERAGE(AP297,AR297)</f>
        <v>12695.25</v>
      </c>
      <c r="AS302" s="23">
        <f t="shared" ref="AS302:AS303" si="1928">IF(ISERROR((AR302/AJ302-1)*100),"NA",IF(((AR302/AJ302-1)*100)&gt;100,"NM",IF(((AR302/AJ302-1)*100)&lt;-50,"NM",(AR302/AJ302-1)*100)))</f>
        <v>-2.5989719195949057</v>
      </c>
      <c r="AT302" s="410">
        <f t="shared" si="1927"/>
        <v>12647.6</v>
      </c>
      <c r="AU302" s="23">
        <f t="shared" ref="AU302:AU303" si="1929">IF(ISERROR((AT302/AL302-1)*100),"NA",IF(((AT302/AL302-1)*100)&gt;100,"NM",IF(((AT302/AL302-1)*100)&lt;-50,"NM",(AT302/AL302-1)*100)))</f>
        <v>-2.8885578709746729</v>
      </c>
      <c r="AV302" s="410">
        <f t="shared" ref="AV302:AX303" si="1930">AVERAGE(AT297,AV297)</f>
        <v>12675.8</v>
      </c>
      <c r="AW302" s="23">
        <f t="shared" ref="AW302:AW303" si="1931">IF(ISERROR((AV302/AN302-1)*100),"NA",IF(((AV302/AN302-1)*100)&gt;100,"NM",IF(((AV302/AN302-1)*100)&lt;-50,"NM",(AV302/AN302-1)*100)))</f>
        <v>-1.0414389657433798</v>
      </c>
      <c r="AX302" s="410">
        <f t="shared" si="1930"/>
        <v>12701.75</v>
      </c>
      <c r="AY302" s="23">
        <f t="shared" ref="AY302:AY303" si="1932">IF(ISERROR((AX302/AP302-1)*100),"NA",IF(((AX302/AP302-1)*100)&gt;100,"NM",IF(((AX302/AP302-1)*100)&lt;-50,"NM",(AX302/AP302-1)*100)))</f>
        <v>0.16560534668690341</v>
      </c>
      <c r="AZ302" s="410">
        <f t="shared" ref="AZ302:AZ303" si="1933">AVERAGE(AX297,AZ297)</f>
        <v>12738.1</v>
      </c>
      <c r="BA302" s="23">
        <f t="shared" ref="BA302:BA303" si="1934">IF(ISERROR((AZ302/AR302-1)*100),"NA",IF(((AZ302/AR302-1)*100)&gt;100,"NM",IF(((AZ302/AR302-1)*100)&lt;-50,"NM",(AZ302/AR302-1)*100)))</f>
        <v>0.33752781552156552</v>
      </c>
      <c r="BB302" s="410">
        <f t="shared" ref="BB302:BD303" si="1935">AVERAGE(AZ297,BB297)</f>
        <v>12765.400000000001</v>
      </c>
      <c r="BC302" s="23">
        <f t="shared" ref="BC302:BC303" si="1936">IF(ISERROR((BB302/AT302-1)*100),"NA",IF(((BB302/AT302-1)*100)&gt;100,"NM",IF(((BB302/AT302-1)*100)&lt;-50,"NM",(BB302/AT302-1)*100)))</f>
        <v>0.93140200512351612</v>
      </c>
      <c r="BD302" s="410">
        <f t="shared" si="1935"/>
        <v>12796.8</v>
      </c>
      <c r="BE302" s="23">
        <f t="shared" ref="BE302:BE303" si="1937">IF(ISERROR((BD302/AV302-1)*100),"NA",IF(((BD302/AV302-1)*100)&gt;100,"NM",IF(((BD302/AV302-1)*100)&lt;-50,"NM",(BD302/AV302-1)*100)))</f>
        <v>0.95457485918049034</v>
      </c>
      <c r="BF302" s="36">
        <f t="shared" ref="BF302:BJ303" si="1938">AVERAGE(BD297,BF297)</f>
        <v>12864.075000000001</v>
      </c>
      <c r="BG302" s="23">
        <f t="shared" ref="BG302:BG303" si="1939">IF(ISERROR((BF302/AX302-1)*100),"NA",IF(((BF302/AX302-1)*100)&gt;100,"NM",IF(((BF302/AX302-1)*100)&lt;-50,"NM",(BF302/AX302-1)*100)))</f>
        <v>1.2779735075875376</v>
      </c>
      <c r="BH302" s="36">
        <f t="shared" si="1938"/>
        <v>12944.475468750003</v>
      </c>
      <c r="BI302" s="23">
        <f t="shared" ref="BI302:BI303" si="1940">IF(ISERROR((BH302/AZ302-1)*100),"NA",IF(((BH302/AZ302-1)*100)&gt;100,"NM",IF(((BH302/AZ302-1)*100)&lt;-50,"NM",(BH302/AZ302-1)*100)))</f>
        <v>1.6201432611614219</v>
      </c>
      <c r="BJ302" s="36">
        <f t="shared" si="1938"/>
        <v>13025.378440429689</v>
      </c>
      <c r="BK302" s="23">
        <f t="shared" ref="BK302:BK303" si="1941">IF(ISERROR((BJ302/BB302-1)*100),"NA",IF(((BJ302/BB302-1)*100)&gt;100,"NM",IF(((BJ302/BB302-1)*100)&lt;-50,"NM",(BJ302/BB302-1)*100)))</f>
        <v>2.0365867143190775</v>
      </c>
      <c r="BL302" s="36">
        <f t="shared" ref="BL302:BL303" si="1942">AVERAGE(BJ297,BL297)</f>
        <v>13105.153811189457</v>
      </c>
      <c r="BM302" s="23">
        <f t="shared" ref="BM302:BM303" si="1943">IF(ISERROR((BL302/BD302-1)*100),"NA",IF(((BL302/BD302-1)*100)&gt;100,"NM",IF(((BL302/BD302-1)*100)&lt;-50,"NM",(BL302/BD302-1)*100)))</f>
        <v>2.4096165540561598</v>
      </c>
      <c r="BN302" s="10"/>
      <c r="BO302" s="137"/>
      <c r="BP302" s="10"/>
      <c r="BQ302" s="153"/>
      <c r="BR302" s="153"/>
      <c r="BS302" s="153"/>
      <c r="BT302" s="32"/>
      <c r="BU302" s="36">
        <f>AVERAGE(BU297)</f>
        <v>12462</v>
      </c>
      <c r="BV302" s="23" t="str">
        <f>IF(ISERROR((BU302/BS302-1)*100),"NA",IF(((BU302/BS302-1)*100)&gt;100,"NM",IF(((BU302/BS302-1)*100)&lt;-50,"NM",(BU302/BS302-1)*100)))</f>
        <v>NA</v>
      </c>
      <c r="BW302" s="36">
        <f>AVERAGE(BU297,BW297)</f>
        <v>12686.2</v>
      </c>
      <c r="BX302" s="23">
        <f>IF(ISERROR((BW302/BU302-1)*100),"NA",IF(((BW302/BU302-1)*100)&gt;100,"NM",IF(((BW302/BU302-1)*100)&lt;-50,"NM",(BW302/BU302-1)*100)))</f>
        <v>1.7990691702776562</v>
      </c>
      <c r="BY302" s="36">
        <f>AVERAGE(BW297,BY297)</f>
        <v>13090.849999999999</v>
      </c>
      <c r="BZ302" s="23">
        <f>IF(ISERROR((BY302/BW302-1)*100),"NA",IF(((BY302/BW302-1)*100)&gt;100,"NM",IF(((BY302/BW302-1)*100)&lt;-50,"NM",(BY302/BW302-1)*100)))</f>
        <v>3.1896864309249207</v>
      </c>
      <c r="CA302" s="36">
        <f>AVERAGE(BY297,CA297)</f>
        <v>13133.3</v>
      </c>
      <c r="CB302" s="23">
        <f>IF(ISERROR((CA302/BY302-1)*100),"NA",IF(((CA302/BY302-1)*100)&gt;100,"NM",IF(((CA302/BY302-1)*100)&lt;-50,"NM",(CA302/BY302-1)*100)))</f>
        <v>0.32427229706246674</v>
      </c>
      <c r="CC302" s="36">
        <f>AVERAGE(CA297,CC297)</f>
        <v>12799.2</v>
      </c>
      <c r="CD302" s="23">
        <f>IF(ISERROR((CC302/CA302-1)*100),"NA",IF(((CC302/CA302-1)*100)&gt;100,"NM",IF(((CC302/CA302-1)*100)&lt;-50,"NM",(CC302/CA302-1)*100)))</f>
        <v>-2.5439150860788851</v>
      </c>
      <c r="CE302" s="36">
        <f>AVERAGE(CC297,CE297)</f>
        <v>12645.8</v>
      </c>
      <c r="CF302" s="23">
        <f>IF(ISERROR((CE302/CC302-1)*100),"NA",IF(((CE302/CC302-1)*100)&gt;100,"NM",IF(((CE302/CC302-1)*100)&lt;-50,"NM",(CE302/CC302-1)*100)))</f>
        <v>-1.1985124070254538</v>
      </c>
      <c r="CG302" s="36">
        <f>AVERAGE(CE297,CG297)</f>
        <v>12756.25</v>
      </c>
      <c r="CH302" s="23">
        <f>IF(ISERROR((CG302/CE302-1)*100),"NA",IF(((CG302/CE302-1)*100)&gt;100,"NM",IF(((CG302/CE302-1)*100)&lt;-50,"NM",(CG302/CE302-1)*100)))</f>
        <v>0.87341251640862261</v>
      </c>
      <c r="CI302" s="36">
        <f>AVERAGE(CG297,CI297)</f>
        <v>12984.175839509768</v>
      </c>
      <c r="CJ302" s="23">
        <f>IF(ISERROR((CI302/CG302-1)*100),"NA",IF(((CI302/CG302-1)*100)&gt;100,"NM",IF(((CI302/CG302-1)*100)&lt;-50,"NM",(CI302/CG302-1)*100)))</f>
        <v>1.7867777717571309</v>
      </c>
      <c r="CK302" s="36">
        <f>AVERAGE(CI297,CK297)</f>
        <v>13308.656075007279</v>
      </c>
      <c r="CL302" s="23">
        <f>IF(ISERROR((CK302/CI302-1)*100),"NA",IF(((CK302/CI302-1)*100)&gt;100,"NM",IF(((CK302/CI302-1)*100)&lt;-50,"NM",(CK302/CI302-1)*100)))</f>
        <v>2.49904375532366</v>
      </c>
      <c r="CM302" s="36">
        <f>AVERAGE(CK297,CM297)</f>
        <v>13641.372476882458</v>
      </c>
      <c r="CN302" s="23">
        <f>IF(ISERROR((CM302/CK302-1)*100),"NA",IF(((CM302/CK302-1)*100)&gt;100,"NM",IF(((CM302/CK302-1)*100)&lt;-50,"NM",(CM302/CK302-1)*100)))</f>
        <v>2.4999999999999689</v>
      </c>
      <c r="CO302" s="36">
        <f>AVERAGE(CM297,CO297)</f>
        <v>13982.406788804517</v>
      </c>
      <c r="CP302" s="23">
        <f>IF(ISERROR((CO302/CM302-1)*100),"NA",IF(((CO302/CM302-1)*100)&gt;100,"NM",IF(((CO302/CM302-1)*100)&lt;-50,"NM",(CO302/CM302-1)*100)))</f>
        <v>2.4999999999999911</v>
      </c>
      <c r="CQ302" s="36">
        <f>AVERAGE(CO297,CQ297)</f>
        <v>14331.96695852463</v>
      </c>
      <c r="CR302" s="23">
        <f>IF(ISERROR((CQ302/CO302-1)*100),"NA",IF(((CQ302/CO302-1)*100)&gt;100,"NM",IF(((CQ302/CO302-1)*100)&lt;-50,"NM",(CQ302/CO302-1)*100)))</f>
        <v>2.4999999999999911</v>
      </c>
      <c r="CS302" s="23">
        <f>IF(ISERROR(((CQ302/CG302)^0.2-1)*100),"NA",IF((((CQ302/CG302)^0.2-1)*100)&gt;100,"NM",IF((((CQ302/CG302)^0.2-1)*100)&lt;-50,"NM",((CQ302/CG302)^0.2-1)*100)))</f>
        <v>2.3567658827493121</v>
      </c>
    </row>
    <row r="303" spans="1:97" ht="12.75" customHeight="1" x14ac:dyDescent="0.2">
      <c r="A303" s="13" t="s">
        <v>212</v>
      </c>
      <c r="B303" s="56">
        <f>AVERAGE(B298)</f>
        <v>2621.3000000000002</v>
      </c>
      <c r="C303" s="59"/>
      <c r="D303" s="56">
        <f>AVERAGE(B298,D298)</f>
        <v>2598.65</v>
      </c>
      <c r="E303" s="59"/>
      <c r="F303" s="56">
        <f>AVERAGE(D298,F298)</f>
        <v>2381.0500000000002</v>
      </c>
      <c r="G303" s="59"/>
      <c r="H303" s="56">
        <f>AVERAGE(F298,H298)</f>
        <v>2246.9499999999998</v>
      </c>
      <c r="I303" s="59"/>
      <c r="J303" s="56">
        <f>AVERAGE(H298,J298)</f>
        <v>2399.75</v>
      </c>
      <c r="K303" s="23">
        <f t="shared" si="1924"/>
        <v>-8.4519131728531764</v>
      </c>
      <c r="L303" s="56">
        <f>AVERAGE(J298,L298)</f>
        <v>2431.3000000000002</v>
      </c>
      <c r="M303" s="23">
        <f t="shared" si="1924"/>
        <v>-6.4398822465510879</v>
      </c>
      <c r="N303" s="56">
        <f>AVERAGE(L298,N298)</f>
        <v>2408.75</v>
      </c>
      <c r="O303" s="23">
        <f t="shared" si="1924"/>
        <v>1.1633523025555981</v>
      </c>
      <c r="P303" s="36">
        <f>AVERAGE(N298,P298)</f>
        <v>2429.35</v>
      </c>
      <c r="Q303" s="23">
        <f t="shared" si="1924"/>
        <v>8.1176706201740103</v>
      </c>
      <c r="R303" s="36">
        <f>AVERAGE(P298,R298)</f>
        <v>2460.6499999999996</v>
      </c>
      <c r="S303" s="23">
        <f t="shared" si="1924"/>
        <v>2.5377643504531644</v>
      </c>
      <c r="T303" s="36">
        <f>AVERAGE(R298,T298)</f>
        <v>2498.1</v>
      </c>
      <c r="U303" s="23">
        <f t="shared" si="1924"/>
        <v>2.7475013367334267</v>
      </c>
      <c r="V303" s="36">
        <f>AVERAGE(T298,V298)</f>
        <v>2538.65</v>
      </c>
      <c r="W303" s="23">
        <f t="shared" si="1924"/>
        <v>5.3928386092371605</v>
      </c>
      <c r="X303" s="36">
        <f>AVERAGE(V298,X298)</f>
        <v>2657.3</v>
      </c>
      <c r="Y303" s="23">
        <f t="shared" si="1924"/>
        <v>9.3831683372095576</v>
      </c>
      <c r="Z303" s="36">
        <f>AVERAGE(X298,Z298)</f>
        <v>2712</v>
      </c>
      <c r="AA303" s="23">
        <f>IF(ISERROR((Z303/R303-1)*100),"NA",IF(((Z303/R303-1)*100)&gt;100,"NM",IF(((Z303/R303-1)*100)&lt;-50,"NM",(Z303/R303-1)*100)))</f>
        <v>10.214780647389944</v>
      </c>
      <c r="AB303" s="36">
        <f>AVERAGE(Z298,AB298)</f>
        <v>2730.6499999999996</v>
      </c>
      <c r="AC303" s="23">
        <f>IF(ISERROR((AB303/T303-1)*100),"NA",IF(((AB303/T303-1)*100)&gt;100,"NM",IF(((AB303/T303-1)*100)&lt;-50,"NM",(AB303/T303-1)*100)))</f>
        <v>9.3090748969216541</v>
      </c>
      <c r="AD303" s="36">
        <f>AVERAGE(AB298,AD298)</f>
        <v>2728.05</v>
      </c>
      <c r="AE303" s="23">
        <f>IF(ISERROR((AD303/V303-1)*100),"NA",IF(((AD303/V303-1)*100)&gt;100,"NM",IF(((AD303/V303-1)*100)&lt;-50,"NM",(AD303/V303-1)*100)))</f>
        <v>7.4606582238591512</v>
      </c>
      <c r="AF303" s="36">
        <f>AVERAGE(AD298,AF298)</f>
        <v>2703.75</v>
      </c>
      <c r="AG303" s="23">
        <f>IF(ISERROR((AF303/X303-1)*100),"NA",IF(((AF303/X303-1)*100)&gt;100,"NM",IF(((AF303/X303-1)*100)&lt;-50,"NM",(AF303/X303-1)*100)))</f>
        <v>1.7480149023444858</v>
      </c>
      <c r="AH303" s="36">
        <f>AVERAGE(AF298,AH298)</f>
        <v>2725.65</v>
      </c>
      <c r="AI303" s="23">
        <f>IF(ISERROR((AH303/Z303-1)*100),"NA",IF(((AH303/Z303-1)*100)&gt;100,"NM",IF(((AH303/Z303-1)*100)&lt;-50,"NM",(AH303/Z303-1)*100)))</f>
        <v>0.50331858407079988</v>
      </c>
      <c r="AJ303" s="36">
        <f>AVERAGE(AH298,AJ298)</f>
        <v>2717.45</v>
      </c>
      <c r="AK303" s="23">
        <f>IF(ISERROR((AJ303/AB303-1)*100),"NA",IF(((AJ303/AB303-1)*100)&gt;100,"NM",IF(((AJ303/AB303-1)*100)&lt;-50,"NM",(AJ303/AB303-1)*100)))</f>
        <v>-0.48340138794791265</v>
      </c>
      <c r="AL303" s="36">
        <f>AVERAGE(AJ298,AL298)</f>
        <v>2583.6</v>
      </c>
      <c r="AM303" s="23">
        <f>IF(ISERROR((AL303/AD303-1)*100),"NA",IF(((AL303/AD303-1)*100)&gt;100,"NM",IF(((AL303/AD303-1)*100)&lt;-50,"NM",(AL303/AD303-1)*100)))</f>
        <v>-5.2949909275856522</v>
      </c>
      <c r="AN303" s="410">
        <f t="shared" si="1925"/>
        <v>2495.6999999999998</v>
      </c>
      <c r="AO303" s="23">
        <f>IF(ISERROR((AN303/AF303-1)*100),"NA",IF(((AN303/AF303-1)*100)&gt;100,"NM",IF(((AN303/AF303-1)*100)&lt;-50,"NM",(AN303/AF303-1)*100)))</f>
        <v>-7.6948682385575617</v>
      </c>
      <c r="AP303" s="410">
        <f t="shared" si="1925"/>
        <v>2499.1999999999998</v>
      </c>
      <c r="AQ303" s="23">
        <f t="shared" si="1926"/>
        <v>-8.3081099921119783</v>
      </c>
      <c r="AR303" s="410">
        <f t="shared" si="1927"/>
        <v>2475.5</v>
      </c>
      <c r="AS303" s="23">
        <f t="shared" si="1928"/>
        <v>-8.903567682938041</v>
      </c>
      <c r="AT303" s="410">
        <f t="shared" si="1927"/>
        <v>2501.65</v>
      </c>
      <c r="AU303" s="23">
        <f t="shared" si="1929"/>
        <v>-3.1719306394178637</v>
      </c>
      <c r="AV303" s="410">
        <f t="shared" si="1930"/>
        <v>2531.4</v>
      </c>
      <c r="AW303" s="23">
        <f t="shared" si="1931"/>
        <v>1.4304603918740444</v>
      </c>
      <c r="AX303" s="410">
        <f t="shared" si="1930"/>
        <v>2579.3000000000002</v>
      </c>
      <c r="AY303" s="23">
        <f t="shared" si="1932"/>
        <v>3.2050256081946449</v>
      </c>
      <c r="AZ303" s="410">
        <f t="shared" si="1933"/>
        <v>2641.3</v>
      </c>
      <c r="BA303" s="23">
        <f t="shared" si="1934"/>
        <v>6.6976368410422316</v>
      </c>
      <c r="BB303" s="410">
        <f t="shared" si="1935"/>
        <v>2690.3</v>
      </c>
      <c r="BC303" s="23">
        <f t="shared" si="1936"/>
        <v>7.5410229248696004</v>
      </c>
      <c r="BD303" s="410">
        <f t="shared" si="1935"/>
        <v>2766.35</v>
      </c>
      <c r="BE303" s="23">
        <f t="shared" si="1937"/>
        <v>9.2814252982539323</v>
      </c>
      <c r="BF303" s="36">
        <f t="shared" si="1938"/>
        <v>2819.5337500000001</v>
      </c>
      <c r="BG303" s="23">
        <f t="shared" si="1939"/>
        <v>9.3139126894894009</v>
      </c>
      <c r="BH303" s="36">
        <f t="shared" si="1938"/>
        <v>2840.6802531250005</v>
      </c>
      <c r="BI303" s="23">
        <f t="shared" si="1940"/>
        <v>7.5485652188316488</v>
      </c>
      <c r="BJ303" s="36">
        <f t="shared" si="1938"/>
        <v>2861.9853550234379</v>
      </c>
      <c r="BK303" s="23">
        <f t="shared" si="1941"/>
        <v>6.3816434978789527</v>
      </c>
      <c r="BL303" s="36">
        <f t="shared" si="1942"/>
        <v>2883.4502451861135</v>
      </c>
      <c r="BM303" s="23">
        <f t="shared" si="1943"/>
        <v>4.2330234853186877</v>
      </c>
      <c r="BN303" s="10"/>
      <c r="BO303" s="137"/>
      <c r="BP303" s="10"/>
      <c r="BQ303" s="153"/>
      <c r="BR303" s="153"/>
      <c r="BS303" s="153"/>
      <c r="BT303" s="32"/>
      <c r="BU303" s="56">
        <f>AVERAGE(BU298)</f>
        <v>2307.8000000000002</v>
      </c>
      <c r="BV303" s="23" t="str">
        <f>IF(ISERROR((BU303/BS303-1)*100),"NA",IF(((BU303/BS303-1)*100)&gt;100,"NM",IF(((BU303/BS303-1)*100)&lt;-50,"NM",(BU303/BS303-1)*100)))</f>
        <v>NA</v>
      </c>
      <c r="BW303" s="56">
        <f>AVERAGE(BU298,BW298)</f>
        <v>2359.9499999999998</v>
      </c>
      <c r="BX303" s="23">
        <f>IF(ISERROR((BW303/BU303-1)*100),"NA",IF(((BW303/BU303-1)*100)&gt;100,"NM",IF(((BW303/BU303-1)*100)&lt;-50,"NM",(BW303/BU303-1)*100)))</f>
        <v>2.2597278793656139</v>
      </c>
      <c r="BY303" s="56">
        <f>AVERAGE(BW298,BY298)</f>
        <v>2568.1999999999998</v>
      </c>
      <c r="BZ303" s="23">
        <f>IF(ISERROR((BY303/BW303-1)*100),"NA",IF(((BY303/BW303-1)*100)&gt;100,"NM",IF(((BY303/BW303-1)*100)&lt;-50,"NM",(BY303/BW303-1)*100)))</f>
        <v>8.8243394987181922</v>
      </c>
      <c r="CA303" s="56">
        <f>AVERAGE(BY298,CA298)</f>
        <v>2718.65</v>
      </c>
      <c r="CB303" s="23">
        <f>IF(ISERROR((CA303/BY303-1)*100),"NA",IF(((CA303/BY303-1)*100)&gt;100,"NM",IF(((CA303/BY303-1)*100)&lt;-50,"NM",(CA303/BY303-1)*100)))</f>
        <v>5.8581886145938844</v>
      </c>
      <c r="CC303" s="56">
        <f>AVERAGE(CA298,CC298)</f>
        <v>2616.9</v>
      </c>
      <c r="CD303" s="23">
        <f>IF(ISERROR((CC303/CA303-1)*100),"NA",IF(((CC303/CA303-1)*100)&gt;100,"NM",IF(((CC303/CA303-1)*100)&lt;-50,"NM",(CC303/CA303-1)*100)))</f>
        <v>-3.742666396924943</v>
      </c>
      <c r="CE303" s="56">
        <f>AVERAGE(CC298,CE298)</f>
        <v>2526.8500000000004</v>
      </c>
      <c r="CF303" s="23">
        <f>IF(ISERROR((CE303/CC303-1)*100),"NA",IF(((CE303/CC303-1)*100)&gt;100,"NM",IF(((CE303/CC303-1)*100)&lt;-50,"NM",(CE303/CC303-1)*100)))</f>
        <v>-3.4410944247009745</v>
      </c>
      <c r="CG303" s="56">
        <f>AVERAGE(CE298,CG298)</f>
        <v>2670.95</v>
      </c>
      <c r="CH303" s="23">
        <f>IF(ISERROR((CG303/CE303-1)*100),"NA",IF(((CG303/CE303-1)*100)&gt;100,"NM",IF(((CG303/CE303-1)*100)&lt;-50,"NM",(CG303/CE303-1)*100)))</f>
        <v>5.7027524388071793</v>
      </c>
      <c r="CI303" s="56">
        <f>AVERAGE(CG298,CI298)</f>
        <v>2851.611393287676</v>
      </c>
      <c r="CJ303" s="23">
        <f>IF(ISERROR((CI303/CG303-1)*100),"NA",IF(((CI303/CG303-1)*100)&gt;100,"NM",IF(((CI303/CG303-1)*100)&lt;-50,"NM",(CI303/CG303-1)*100)))</f>
        <v>6.7639376733999557</v>
      </c>
      <c r="CK303" s="56">
        <f>AVERAGE(CI298,CK298)</f>
        <v>2937.6361283739825</v>
      </c>
      <c r="CL303" s="23">
        <f>IF(ISERROR((CK303/CI303-1)*100),"NA",IF(((CK303/CI303-1)*100)&gt;100,"NM",IF(((CK303/CI303-1)*100)&lt;-50,"NM",(CK303/CI303-1)*100)))</f>
        <v>3.0167061083006486</v>
      </c>
      <c r="CM303" s="56">
        <f>AVERAGE(CK298,CM298)</f>
        <v>3025.765212225202</v>
      </c>
      <c r="CN303" s="23">
        <f>IF(ISERROR((CM303/CK303-1)*100),"NA",IF(((CM303/CK303-1)*100)&gt;100,"NM",IF(((CM303/CK303-1)*100)&lt;-50,"NM",(CM303/CK303-1)*100)))</f>
        <v>3.0000000000000027</v>
      </c>
      <c r="CO303" s="56">
        <f>AVERAGE(CM298,CO298)</f>
        <v>3116.5381685919583</v>
      </c>
      <c r="CP303" s="23">
        <f>IF(ISERROR((CO303/CM303-1)*100),"NA",IF(((CO303/CM303-1)*100)&gt;100,"NM",IF(((CO303/CM303-1)*100)&lt;-50,"NM",(CO303/CM303-1)*100)))</f>
        <v>3.0000000000000027</v>
      </c>
      <c r="CQ303" s="56">
        <f>AVERAGE(CO298,CQ298)</f>
        <v>3210.0343136497168</v>
      </c>
      <c r="CR303" s="23">
        <f>IF(ISERROR((CQ303/CO303-1)*100),"NA",IF(((CQ303/CO303-1)*100)&gt;100,"NM",IF(((CQ303/CO303-1)*100)&lt;-50,"NM",(CQ303/CO303-1)*100)))</f>
        <v>2.9999999999999805</v>
      </c>
      <c r="CS303" s="23">
        <f>IF(ISERROR(((CQ303/CG303)^0.2-1)*100),"NA",IF((((CQ303/CG303)^0.2-1)*100)&gt;100,"NM",IF((((CQ303/CG303)^0.2-1)*100)&lt;-50,"NM",((CQ303/CG303)^0.2-1)*100)))</f>
        <v>3.7453841969088408</v>
      </c>
    </row>
    <row r="304" spans="1:97" ht="12.75" customHeight="1" x14ac:dyDescent="0.2">
      <c r="A304" s="13"/>
      <c r="B304" s="119"/>
      <c r="C304" s="24"/>
      <c r="D304" s="119"/>
      <c r="E304" s="24"/>
      <c r="F304" s="119"/>
      <c r="G304" s="24"/>
      <c r="H304" s="119"/>
      <c r="I304" s="24"/>
      <c r="J304" s="10"/>
      <c r="K304" s="177"/>
      <c r="L304" s="10"/>
      <c r="M304" s="177"/>
      <c r="N304" s="10"/>
      <c r="O304" s="177"/>
      <c r="P304" s="10"/>
      <c r="Q304" s="177"/>
      <c r="R304" s="10"/>
      <c r="S304" s="177"/>
      <c r="T304" s="10"/>
      <c r="U304" s="177"/>
      <c r="V304" s="10"/>
      <c r="W304" s="177"/>
      <c r="X304" s="10"/>
      <c r="Y304" s="177"/>
      <c r="Z304" s="10"/>
      <c r="AA304" s="177"/>
      <c r="AB304" s="10"/>
      <c r="AC304" s="177"/>
      <c r="AD304" s="10"/>
      <c r="AE304" s="177"/>
      <c r="AF304" s="10"/>
      <c r="AG304" s="177"/>
      <c r="AH304" s="10"/>
      <c r="AI304" s="177"/>
      <c r="AJ304" s="10"/>
      <c r="AK304" s="177"/>
      <c r="AL304" s="10"/>
      <c r="AM304" s="177"/>
      <c r="AN304" s="506"/>
      <c r="AO304" s="177"/>
      <c r="AP304" s="506"/>
      <c r="AQ304" s="177"/>
      <c r="AR304" s="506"/>
      <c r="AS304" s="177"/>
      <c r="AT304" s="506"/>
      <c r="AU304" s="177"/>
      <c r="AV304" s="506"/>
      <c r="AW304" s="177"/>
      <c r="AX304" s="506"/>
      <c r="AY304" s="177"/>
      <c r="AZ304" s="506"/>
      <c r="BA304" s="177"/>
      <c r="BB304" s="506"/>
      <c r="BC304" s="177"/>
      <c r="BD304" s="506"/>
      <c r="BE304" s="177"/>
      <c r="BF304" s="10"/>
      <c r="BG304" s="177"/>
      <c r="BH304" s="10"/>
      <c r="BI304" s="177"/>
      <c r="BJ304" s="10"/>
      <c r="BK304" s="177"/>
      <c r="BL304" s="10"/>
      <c r="BM304" s="177"/>
      <c r="BN304" s="10"/>
      <c r="BO304" s="136"/>
      <c r="BP304" s="10"/>
      <c r="BQ304" s="32"/>
      <c r="BR304" s="32"/>
      <c r="BS304" s="32"/>
      <c r="BT304" s="32"/>
      <c r="BU304" s="119"/>
      <c r="BV304" s="177"/>
      <c r="BW304" s="10"/>
      <c r="BX304" s="177"/>
      <c r="BY304" s="13"/>
      <c r="BZ304" s="177"/>
      <c r="CA304" s="13"/>
      <c r="CB304" s="177"/>
      <c r="CC304" s="13"/>
      <c r="CD304" s="177"/>
      <c r="CE304" s="13"/>
      <c r="CF304" s="177"/>
      <c r="CG304" s="13"/>
      <c r="CH304" s="177"/>
      <c r="CI304" s="13"/>
      <c r="CJ304" s="177"/>
      <c r="CK304" s="13"/>
      <c r="CL304" s="177"/>
      <c r="CM304" s="13"/>
      <c r="CN304" s="177"/>
      <c r="CO304" s="13"/>
      <c r="CP304" s="177"/>
      <c r="CQ304" s="13"/>
      <c r="CR304" s="177"/>
      <c r="CS304" s="177"/>
    </row>
    <row r="305" spans="1:97" ht="12.75" customHeight="1" x14ac:dyDescent="0.2">
      <c r="A305" s="9" t="s">
        <v>100</v>
      </c>
      <c r="B305" s="119"/>
      <c r="C305" s="59"/>
      <c r="D305" s="119"/>
      <c r="E305" s="59"/>
      <c r="F305" s="119"/>
      <c r="G305" s="59"/>
      <c r="H305" s="119"/>
      <c r="I305" s="59"/>
      <c r="J305" s="119"/>
      <c r="K305" s="177"/>
      <c r="L305" s="119"/>
      <c r="M305" s="177"/>
      <c r="N305" s="119"/>
      <c r="O305" s="177"/>
      <c r="P305" s="119"/>
      <c r="Q305" s="177"/>
      <c r="R305" s="119"/>
      <c r="S305" s="177"/>
      <c r="T305" s="119"/>
      <c r="U305" s="177"/>
      <c r="V305" s="119"/>
      <c r="W305" s="177"/>
      <c r="X305" s="119"/>
      <c r="Y305" s="177"/>
      <c r="Z305" s="119"/>
      <c r="AA305" s="177"/>
      <c r="AB305" s="119"/>
      <c r="AC305" s="177"/>
      <c r="AD305" s="119"/>
      <c r="AE305" s="177"/>
      <c r="AF305" s="119"/>
      <c r="AG305" s="177"/>
      <c r="AH305" s="119"/>
      <c r="AI305" s="177"/>
      <c r="AJ305" s="119"/>
      <c r="AK305" s="177"/>
      <c r="AL305" s="119"/>
      <c r="AM305" s="177"/>
      <c r="AN305" s="458"/>
      <c r="AO305" s="177"/>
      <c r="AP305" s="458"/>
      <c r="AQ305" s="177"/>
      <c r="AR305" s="458"/>
      <c r="AS305" s="177"/>
      <c r="AT305" s="458"/>
      <c r="AU305" s="177"/>
      <c r="AV305" s="458"/>
      <c r="AW305" s="177"/>
      <c r="AX305" s="458"/>
      <c r="AY305" s="177"/>
      <c r="AZ305" s="458"/>
      <c r="BA305" s="177"/>
      <c r="BB305" s="458"/>
      <c r="BC305" s="177"/>
      <c r="BD305" s="458"/>
      <c r="BE305" s="177"/>
      <c r="BF305" s="119"/>
      <c r="BG305" s="177"/>
      <c r="BH305" s="119"/>
      <c r="BI305" s="177"/>
      <c r="BJ305" s="119"/>
      <c r="BK305" s="177"/>
      <c r="BL305" s="119"/>
      <c r="BM305" s="177"/>
      <c r="BN305" s="10"/>
      <c r="BO305" s="136"/>
      <c r="BP305" s="10"/>
      <c r="BQ305" s="32"/>
      <c r="BR305" s="32"/>
      <c r="BS305" s="32"/>
      <c r="BT305" s="32"/>
      <c r="BU305" s="119"/>
      <c r="BV305" s="177"/>
      <c r="BW305" s="119"/>
      <c r="BX305" s="177"/>
      <c r="BY305" s="13"/>
      <c r="BZ305" s="177"/>
      <c r="CA305" s="13"/>
      <c r="CB305" s="177"/>
      <c r="CC305" s="13"/>
      <c r="CD305" s="177"/>
      <c r="CE305" s="13"/>
      <c r="CF305" s="177"/>
      <c r="CG305" s="13"/>
      <c r="CH305" s="177"/>
      <c r="CI305" s="13"/>
      <c r="CJ305" s="177"/>
      <c r="CK305" s="13"/>
      <c r="CL305" s="177"/>
      <c r="CM305" s="13"/>
      <c r="CN305" s="177"/>
      <c r="CO305" s="13"/>
      <c r="CP305" s="177"/>
      <c r="CQ305" s="13"/>
      <c r="CR305" s="177"/>
      <c r="CS305" s="177"/>
    </row>
    <row r="306" spans="1:97" ht="12.75" customHeight="1" x14ac:dyDescent="0.2">
      <c r="A306" s="96" t="s">
        <v>327</v>
      </c>
      <c r="B306" s="49"/>
      <c r="C306" s="59"/>
      <c r="D306" s="49"/>
      <c r="E306" s="59"/>
      <c r="F306" s="49"/>
      <c r="G306" s="59"/>
      <c r="H306" s="49"/>
      <c r="I306" s="59"/>
      <c r="J306" s="49">
        <v>225.5</v>
      </c>
      <c r="K306" s="23"/>
      <c r="L306" s="49">
        <v>231.8</v>
      </c>
      <c r="M306" s="23"/>
      <c r="N306" s="49">
        <v>222.5</v>
      </c>
      <c r="O306" s="23"/>
      <c r="P306" s="49">
        <v>205.4</v>
      </c>
      <c r="Q306" s="23"/>
      <c r="R306" s="49">
        <v>212.4</v>
      </c>
      <c r="S306" s="23"/>
      <c r="T306" s="49">
        <v>211.2</v>
      </c>
      <c r="U306" s="23"/>
      <c r="V306" s="49">
        <v>212.9</v>
      </c>
      <c r="W306" s="23"/>
      <c r="X306" s="49">
        <v>216.7</v>
      </c>
      <c r="Y306" s="23"/>
      <c r="Z306" s="49">
        <v>215.4</v>
      </c>
      <c r="AA306" s="23"/>
      <c r="AB306" s="49">
        <v>214.7</v>
      </c>
      <c r="AC306" s="23"/>
      <c r="AD306" s="49">
        <v>221.9</v>
      </c>
      <c r="AE306" s="23"/>
      <c r="AF306" s="49">
        <v>221.6</v>
      </c>
      <c r="AG306" s="23"/>
      <c r="AH306" s="49">
        <v>219.4</v>
      </c>
      <c r="AI306" s="23"/>
      <c r="AJ306" s="49">
        <v>217.4</v>
      </c>
      <c r="AK306" s="23"/>
      <c r="AL306" s="49">
        <v>217.8</v>
      </c>
      <c r="AM306" s="23"/>
      <c r="AN306" s="158">
        <v>217.3</v>
      </c>
      <c r="AO306" s="23"/>
      <c r="AP306" s="158">
        <v>208.5</v>
      </c>
      <c r="AQ306" s="23"/>
      <c r="AR306" s="158">
        <v>209.7</v>
      </c>
      <c r="AS306" s="23"/>
      <c r="AT306" s="158">
        <v>212.1</v>
      </c>
      <c r="AU306" s="23"/>
      <c r="AV306" s="158">
        <v>219.3</v>
      </c>
      <c r="AW306" s="23"/>
      <c r="AX306" s="158">
        <v>203.4</v>
      </c>
      <c r="AY306" s="23"/>
      <c r="AZ306" s="158">
        <v>207.2</v>
      </c>
      <c r="BA306" s="23"/>
      <c r="BB306" s="158">
        <v>212.3</v>
      </c>
      <c r="BC306" s="23"/>
      <c r="BD306" s="158">
        <v>211</v>
      </c>
      <c r="BE306" s="23"/>
      <c r="BF306" s="56"/>
      <c r="BG306" s="23"/>
      <c r="BH306" s="56"/>
      <c r="BI306" s="23"/>
      <c r="BJ306" s="56"/>
      <c r="BK306" s="23"/>
      <c r="BL306" s="56"/>
      <c r="BM306" s="23"/>
      <c r="BN306" s="35"/>
      <c r="BO306" s="137"/>
      <c r="BP306" s="35"/>
      <c r="BQ306" s="48"/>
      <c r="BR306" s="35"/>
      <c r="BS306" s="48"/>
      <c r="BT306" s="35"/>
      <c r="BU306" s="56"/>
      <c r="BV306" s="23"/>
      <c r="BW306" s="56">
        <f>J306+L306+N306+P306</f>
        <v>885.19999999999993</v>
      </c>
      <c r="BX306" s="23" t="str">
        <f>IF(ISERROR((BW306/BU306-1)*100),"NA",IF(((BW306/BU306-1)*100)&gt;100,"NM",IF(((BW306/BU306-1)*100)&lt;-50,"NM",(BW306/BU306-1)*100)))</f>
        <v>NA</v>
      </c>
      <c r="BY306" s="56">
        <f>R306+T306+V306+X306</f>
        <v>853.2</v>
      </c>
      <c r="BZ306" s="23">
        <f>IF(ISERROR((BY306/BW306-1)*100),"NA",IF(((BY306/BW306-1)*100)&gt;100,"NM",IF(((BY306/BW306-1)*100)&lt;-50,"NM",(BY306/BW306-1)*100)))</f>
        <v>-3.6150022593763986</v>
      </c>
      <c r="CA306" s="56"/>
      <c r="CB306" s="23" t="str">
        <f>IF(ISERROR((CA306/BY306-1)*100),"NA",IF(((CA306/BY306-1)*100)&gt;100,"NM",IF(((CA306/BY306-1)*100)&lt;-50,"NM",(CA306/BY306-1)*100)))</f>
        <v>NM</v>
      </c>
      <c r="CC306" s="56"/>
      <c r="CD306" s="23" t="str">
        <f>IF(ISERROR((CC306/CA306-1)*100),"NA",IF(((CC306/CA306-1)*100)&gt;100,"NM",IF(((CC306/CA306-1)*100)&lt;-50,"NM",(CC306/CA306-1)*100)))</f>
        <v>NA</v>
      </c>
      <c r="CE306" s="56"/>
      <c r="CF306" s="23" t="str">
        <f>IF(ISERROR((CE306/CC306-1)*100),"NA",IF(((CE306/CC306-1)*100)&gt;100,"NM",IF(((CE306/CC306-1)*100)&lt;-50,"NM",(CE306/CC306-1)*100)))</f>
        <v>NA</v>
      </c>
      <c r="CG306" s="56"/>
      <c r="CH306" s="23" t="str">
        <f>IF(ISERROR((CG306/CE306-1)*100),"NA",IF(((CG306/CE306-1)*100)&gt;100,"NM",IF(((CG306/CE306-1)*100)&lt;-50,"NM",(CG306/CE306-1)*100)))</f>
        <v>NA</v>
      </c>
      <c r="CI306" s="56"/>
      <c r="CJ306" s="23" t="str">
        <f>IF(ISERROR((CI306/CG306-1)*100),"NA",IF(((CI306/CG306-1)*100)&gt;100,"NM",IF(((CI306/CG306-1)*100)&lt;-50,"NM",(CI306/CG306-1)*100)))</f>
        <v>NA</v>
      </c>
      <c r="CK306" s="56"/>
      <c r="CL306" s="23" t="str">
        <f>IF(ISERROR((CK306/CI306-1)*100),"NA",IF(((CK306/CI306-1)*100)&gt;100,"NM",IF(((CK306/CI306-1)*100)&lt;-50,"NM",(CK306/CI306-1)*100)))</f>
        <v>NA</v>
      </c>
      <c r="CM306" s="56"/>
      <c r="CN306" s="23" t="str">
        <f>IF(ISERROR((CM306/CK306-1)*100),"NA",IF(((CM306/CK306-1)*100)&gt;100,"NM",IF(((CM306/CK306-1)*100)&lt;-50,"NM",(CM306/CK306-1)*100)))</f>
        <v>NA</v>
      </c>
      <c r="CO306" s="56"/>
      <c r="CP306" s="23" t="str">
        <f>IF(ISERROR((CO306/CM306-1)*100),"NA",IF(((CO306/CM306-1)*100)&gt;100,"NM",IF(((CO306/CM306-1)*100)&lt;-50,"NM",(CO306/CM306-1)*100)))</f>
        <v>NA</v>
      </c>
      <c r="CQ306" s="56"/>
      <c r="CR306" s="23" t="str">
        <f>IF(ISERROR((CQ306/CO306-1)*100),"NA",IF(((CQ306/CO306-1)*100)&gt;100,"NM",IF(((CQ306/CO306-1)*100)&lt;-50,"NM",(CQ306/CO306-1)*100)))</f>
        <v>NA</v>
      </c>
      <c r="CS306" s="23"/>
    </row>
    <row r="307" spans="1:97" ht="12.75" customHeight="1" x14ac:dyDescent="0.2">
      <c r="A307" s="96" t="s">
        <v>328</v>
      </c>
      <c r="B307" s="49"/>
      <c r="C307" s="59"/>
      <c r="D307" s="49"/>
      <c r="E307" s="59"/>
      <c r="F307" s="49"/>
      <c r="G307" s="59"/>
      <c r="H307" s="49"/>
      <c r="I307" s="59"/>
      <c r="J307" s="49">
        <f>5.9+159.9</f>
        <v>165.8</v>
      </c>
      <c r="K307" s="23"/>
      <c r="L307" s="49">
        <f>6.2+160.5</f>
        <v>166.7</v>
      </c>
      <c r="M307" s="23"/>
      <c r="N307" s="49">
        <f>5.8+163.1</f>
        <v>168.9</v>
      </c>
      <c r="O307" s="23"/>
      <c r="P307" s="49">
        <f>5.4+166.1</f>
        <v>171.5</v>
      </c>
      <c r="Q307" s="23"/>
      <c r="R307" s="49">
        <f>5.4+162.3</f>
        <v>167.70000000000002</v>
      </c>
      <c r="S307" s="23"/>
      <c r="T307" s="49">
        <f>5.7+163.8</f>
        <v>169.5</v>
      </c>
      <c r="U307" s="23"/>
      <c r="V307" s="49">
        <f>5.8+162.5</f>
        <v>168.3</v>
      </c>
      <c r="W307" s="23"/>
      <c r="X307" s="49">
        <f>6.2+165.1</f>
        <v>171.29999999999998</v>
      </c>
      <c r="Y307" s="23"/>
      <c r="Z307" s="49">
        <f>6.1+162.1</f>
        <v>168.2</v>
      </c>
      <c r="AA307" s="23"/>
      <c r="AB307" s="49">
        <f>6+163.9</f>
        <v>169.9</v>
      </c>
      <c r="AC307" s="23"/>
      <c r="AD307" s="49">
        <f>6.2+164.8</f>
        <v>171</v>
      </c>
      <c r="AE307" s="23"/>
      <c r="AF307" s="49">
        <f>5.9+157.9</f>
        <v>163.80000000000001</v>
      </c>
      <c r="AG307" s="23"/>
      <c r="AH307" s="49">
        <f>5.9+155.4</f>
        <v>161.30000000000001</v>
      </c>
      <c r="AI307" s="23"/>
      <c r="AJ307" s="49">
        <f>6.4+154.6</f>
        <v>161</v>
      </c>
      <c r="AK307" s="23"/>
      <c r="AL307" s="49">
        <f>6.3+157</f>
        <v>163.30000000000001</v>
      </c>
      <c r="AM307" s="23"/>
      <c r="AN307" s="158">
        <f>151.9+6.3</f>
        <v>158.20000000000002</v>
      </c>
      <c r="AO307" s="23"/>
      <c r="AP307" s="158">
        <f>149.7+6.6</f>
        <v>156.29999999999998</v>
      </c>
      <c r="AQ307" s="23"/>
      <c r="AR307" s="158">
        <f>150.8+6.7</f>
        <v>157.5</v>
      </c>
      <c r="AS307" s="23"/>
      <c r="AT307" s="158">
        <f>153.1+7.4</f>
        <v>160.5</v>
      </c>
      <c r="AU307" s="23"/>
      <c r="AV307" s="158">
        <f>150.4+7.5</f>
        <v>157.9</v>
      </c>
      <c r="AW307" s="23"/>
      <c r="AX307" s="158">
        <f>6.6+149.7</f>
        <v>156.29999999999998</v>
      </c>
      <c r="AY307" s="23"/>
      <c r="AZ307" s="158">
        <f>6.6+149.9</f>
        <v>156.5</v>
      </c>
      <c r="BA307" s="23"/>
      <c r="BB307" s="158">
        <f>6.3+149.9</f>
        <v>156.20000000000002</v>
      </c>
      <c r="BC307" s="23"/>
      <c r="BD307" s="158">
        <f>7+150</f>
        <v>157</v>
      </c>
      <c r="BE307" s="23"/>
      <c r="BF307" s="56"/>
      <c r="BG307" s="23"/>
      <c r="BH307" s="56"/>
      <c r="BI307" s="23"/>
      <c r="BJ307" s="56"/>
      <c r="BK307" s="23"/>
      <c r="BL307" s="56"/>
      <c r="BM307" s="23"/>
      <c r="BN307" s="35"/>
      <c r="BO307" s="137"/>
      <c r="BP307" s="35"/>
      <c r="BQ307" s="48"/>
      <c r="BR307" s="35"/>
      <c r="BS307" s="48"/>
      <c r="BT307" s="35"/>
      <c r="BU307" s="56"/>
      <c r="BV307" s="23"/>
      <c r="BW307" s="56">
        <f>J307+L307+N307+P307</f>
        <v>672.9</v>
      </c>
      <c r="BX307" s="23" t="str">
        <f>IF(ISERROR((BW307/BU307-1)*100),"NA",IF(((BW307/BU307-1)*100)&gt;100,"NM",IF(((BW307/BU307-1)*100)&lt;-50,"NM",(BW307/BU307-1)*100)))</f>
        <v>NA</v>
      </c>
      <c r="BY307" s="56">
        <f>R307+T307+V307+X307</f>
        <v>676.80000000000007</v>
      </c>
      <c r="BZ307" s="23">
        <f>IF(ISERROR((BY307/BW307-1)*100),"NA",IF(((BY307/BW307-1)*100)&gt;100,"NM",IF(((BY307/BW307-1)*100)&lt;-50,"NM",(BY307/BW307-1)*100)))</f>
        <v>0.57958091841285864</v>
      </c>
      <c r="CA307" s="56"/>
      <c r="CB307" s="23" t="str">
        <f>IF(ISERROR((CA307/BY307-1)*100),"NA",IF(((CA307/BY307-1)*100)&gt;100,"NM",IF(((CA307/BY307-1)*100)&lt;-50,"NM",(CA307/BY307-1)*100)))</f>
        <v>NM</v>
      </c>
      <c r="CC307" s="56"/>
      <c r="CD307" s="23" t="str">
        <f>IF(ISERROR((CC307/CA307-1)*100),"NA",IF(((CC307/CA307-1)*100)&gt;100,"NM",IF(((CC307/CA307-1)*100)&lt;-50,"NM",(CC307/CA307-1)*100)))</f>
        <v>NA</v>
      </c>
      <c r="CE307" s="56"/>
      <c r="CF307" s="23" t="str">
        <f>IF(ISERROR((CE307/CC307-1)*100),"NA",IF(((CE307/CC307-1)*100)&gt;100,"NM",IF(((CE307/CC307-1)*100)&lt;-50,"NM",(CE307/CC307-1)*100)))</f>
        <v>NA</v>
      </c>
      <c r="CG307" s="56"/>
      <c r="CH307" s="23" t="str">
        <f>IF(ISERROR((CG307/CE307-1)*100),"NA",IF(((CG307/CE307-1)*100)&gt;100,"NM",IF(((CG307/CE307-1)*100)&lt;-50,"NM",(CG307/CE307-1)*100)))</f>
        <v>NA</v>
      </c>
      <c r="CI307" s="56"/>
      <c r="CJ307" s="23" t="str">
        <f>IF(ISERROR((CI307/CG307-1)*100),"NA",IF(((CI307/CG307-1)*100)&gt;100,"NM",IF(((CI307/CG307-1)*100)&lt;-50,"NM",(CI307/CG307-1)*100)))</f>
        <v>NA</v>
      </c>
      <c r="CK307" s="56"/>
      <c r="CL307" s="23" t="str">
        <f>IF(ISERROR((CK307/CI307-1)*100),"NA",IF(((CK307/CI307-1)*100)&gt;100,"NM",IF(((CK307/CI307-1)*100)&lt;-50,"NM",(CK307/CI307-1)*100)))</f>
        <v>NA</v>
      </c>
      <c r="CM307" s="56"/>
      <c r="CN307" s="23" t="str">
        <f>IF(ISERROR((CM307/CK307-1)*100),"NA",IF(((CM307/CK307-1)*100)&gt;100,"NM",IF(((CM307/CK307-1)*100)&lt;-50,"NM",(CM307/CK307-1)*100)))</f>
        <v>NA</v>
      </c>
      <c r="CO307" s="56"/>
      <c r="CP307" s="23" t="str">
        <f>IF(ISERROR((CO307/CM307-1)*100),"NA",IF(((CO307/CM307-1)*100)&gt;100,"NM",IF(((CO307/CM307-1)*100)&lt;-50,"NM",(CO307/CM307-1)*100)))</f>
        <v>NA</v>
      </c>
      <c r="CQ307" s="56"/>
      <c r="CR307" s="23" t="str">
        <f>IF(ISERROR((CQ307/CO307-1)*100),"NA",IF(((CQ307/CO307-1)*100)&gt;100,"NM",IF(((CQ307/CO307-1)*100)&lt;-50,"NM",(CQ307/CO307-1)*100)))</f>
        <v>NA</v>
      </c>
      <c r="CS307" s="23"/>
    </row>
    <row r="308" spans="1:97" ht="12.75" customHeight="1" x14ac:dyDescent="0.2">
      <c r="A308" s="96" t="s">
        <v>329</v>
      </c>
      <c r="B308" s="49"/>
      <c r="C308" s="59"/>
      <c r="D308" s="49"/>
      <c r="E308" s="59"/>
      <c r="F308" s="49"/>
      <c r="G308" s="59"/>
      <c r="H308" s="49"/>
      <c r="I308" s="59"/>
      <c r="J308" s="49">
        <v>11.5</v>
      </c>
      <c r="K308" s="23"/>
      <c r="L308" s="49">
        <v>-6.9</v>
      </c>
      <c r="M308" s="23"/>
      <c r="N308" s="49">
        <v>5.8</v>
      </c>
      <c r="O308" s="23"/>
      <c r="P308" s="49">
        <v>4.8</v>
      </c>
      <c r="Q308" s="23"/>
      <c r="R308" s="49">
        <v>7.6</v>
      </c>
      <c r="S308" s="23"/>
      <c r="T308" s="49">
        <v>6.5</v>
      </c>
      <c r="U308" s="23"/>
      <c r="V308" s="49">
        <v>50.6</v>
      </c>
      <c r="W308" s="23"/>
      <c r="X308" s="49">
        <v>11.7</v>
      </c>
      <c r="Y308" s="23"/>
      <c r="Z308" s="49">
        <v>6.7</v>
      </c>
      <c r="AA308" s="23"/>
      <c r="AB308" s="49">
        <v>7.3</v>
      </c>
      <c r="AC308" s="23"/>
      <c r="AD308" s="49">
        <v>8.6999999999999993</v>
      </c>
      <c r="AE308" s="23"/>
      <c r="AF308" s="49">
        <v>7.9</v>
      </c>
      <c r="AG308" s="23"/>
      <c r="AH308" s="49">
        <v>7.2</v>
      </c>
      <c r="AI308" s="23"/>
      <c r="AJ308" s="49">
        <v>8.3000000000000007</v>
      </c>
      <c r="AK308" s="23"/>
      <c r="AL308" s="49">
        <v>6.7</v>
      </c>
      <c r="AM308" s="23"/>
      <c r="AN308" s="158">
        <v>5.0999999999999996</v>
      </c>
      <c r="AO308" s="23"/>
      <c r="AP308" s="158">
        <v>4.5</v>
      </c>
      <c r="AQ308" s="23"/>
      <c r="AR308" s="158">
        <v>7.5</v>
      </c>
      <c r="AS308" s="23"/>
      <c r="AT308" s="158">
        <v>7.5</v>
      </c>
      <c r="AU308" s="23"/>
      <c r="AV308" s="158">
        <f>11.3</f>
        <v>11.3</v>
      </c>
      <c r="AW308" s="23"/>
      <c r="AX308" s="158">
        <v>12.1</v>
      </c>
      <c r="AY308" s="23"/>
      <c r="AZ308" s="158">
        <v>9.1999999999999993</v>
      </c>
      <c r="BA308" s="23"/>
      <c r="BB308" s="158">
        <v>10.199999999999999</v>
      </c>
      <c r="BC308" s="23"/>
      <c r="BD308" s="158">
        <v>12</v>
      </c>
      <c r="BE308" s="23"/>
      <c r="BF308" s="56"/>
      <c r="BG308" s="23"/>
      <c r="BH308" s="56"/>
      <c r="BI308" s="23"/>
      <c r="BJ308" s="56"/>
      <c r="BK308" s="23"/>
      <c r="BL308" s="56"/>
      <c r="BM308" s="23"/>
      <c r="BN308" s="35"/>
      <c r="BO308" s="137"/>
      <c r="BP308" s="35"/>
      <c r="BQ308" s="48"/>
      <c r="BR308" s="35"/>
      <c r="BS308" s="48"/>
      <c r="BT308" s="35"/>
      <c r="BU308" s="56"/>
      <c r="BV308" s="23" t="str">
        <f>IF(ISERROR((BU308/BS308-1)*100),"NA",IF(((BU308/BS308-1)*100)&gt;100,"NM",IF(((BU308/BS308-1)*100)&lt;-50,"NM",(BU308/BS308-1)*100)))</f>
        <v>NA</v>
      </c>
      <c r="BW308" s="56">
        <f>J308+L308+N308+P308</f>
        <v>15.2</v>
      </c>
      <c r="BX308" s="23" t="str">
        <f>IF(ISERROR((BW308/BU308-1)*100),"NA",IF(((BW308/BU308-1)*100)&gt;100,"NM",IF(((BW308/BU308-1)*100)&lt;-50,"NM",(BW308/BU308-1)*100)))</f>
        <v>NA</v>
      </c>
      <c r="BY308" s="56">
        <f>R308+T308+V308+X308</f>
        <v>76.400000000000006</v>
      </c>
      <c r="BZ308" s="23" t="str">
        <f>IF(ISERROR((BY308/BW308-1)*100),"NA",IF(((BY308/BW308-1)*100)&gt;100,"NM",IF(((BY308/BW308-1)*100)&lt;-50,"NM",(BY308/BW308-1)*100)))</f>
        <v>NM</v>
      </c>
      <c r="CA308" s="56"/>
      <c r="CB308" s="23" t="str">
        <f>IF(ISERROR((CA308/BY308-1)*100),"NA",IF(((CA308/BY308-1)*100)&gt;100,"NM",IF(((CA308/BY308-1)*100)&lt;-50,"NM",(CA308/BY308-1)*100)))</f>
        <v>NM</v>
      </c>
      <c r="CC308" s="56"/>
      <c r="CD308" s="23" t="str">
        <f>IF(ISERROR((CC308/CA308-1)*100),"NA",IF(((CC308/CA308-1)*100)&gt;100,"NM",IF(((CC308/CA308-1)*100)&lt;-50,"NM",(CC308/CA308-1)*100)))</f>
        <v>NA</v>
      </c>
      <c r="CE308" s="56"/>
      <c r="CF308" s="23" t="str">
        <f>IF(ISERROR((CE308/CC308-1)*100),"NA",IF(((CE308/CC308-1)*100)&gt;100,"NM",IF(((CE308/CC308-1)*100)&lt;-50,"NM",(CE308/CC308-1)*100)))</f>
        <v>NA</v>
      </c>
      <c r="CG308" s="56"/>
      <c r="CH308" s="23" t="str">
        <f>IF(ISERROR((CG308/CE308-1)*100),"NA",IF(((CG308/CE308-1)*100)&gt;100,"NM",IF(((CG308/CE308-1)*100)&lt;-50,"NM",(CG308/CE308-1)*100)))</f>
        <v>NA</v>
      </c>
      <c r="CI308" s="56"/>
      <c r="CJ308" s="23" t="str">
        <f>IF(ISERROR((CI308/CG308-1)*100),"NA",IF(((CI308/CG308-1)*100)&gt;100,"NM",IF(((CI308/CG308-1)*100)&lt;-50,"NM",(CI308/CG308-1)*100)))</f>
        <v>NA</v>
      </c>
      <c r="CK308" s="56"/>
      <c r="CL308" s="23" t="str">
        <f>IF(ISERROR((CK308/CI308-1)*100),"NA",IF(((CK308/CI308-1)*100)&gt;100,"NM",IF(((CK308/CI308-1)*100)&lt;-50,"NM",(CK308/CI308-1)*100)))</f>
        <v>NA</v>
      </c>
      <c r="CM308" s="56"/>
      <c r="CN308" s="23" t="str">
        <f>IF(ISERROR((CM308/CK308-1)*100),"NA",IF(((CM308/CK308-1)*100)&gt;100,"NM",IF(((CM308/CK308-1)*100)&lt;-50,"NM",(CM308/CK308-1)*100)))</f>
        <v>NA</v>
      </c>
      <c r="CO308" s="56"/>
      <c r="CP308" s="23" t="str">
        <f>IF(ISERROR((CO308/CM308-1)*100),"NA",IF(((CO308/CM308-1)*100)&gt;100,"NM",IF(((CO308/CM308-1)*100)&lt;-50,"NM",(CO308/CM308-1)*100)))</f>
        <v>NA</v>
      </c>
      <c r="CQ308" s="56"/>
      <c r="CR308" s="23" t="str">
        <f>IF(ISERROR((CQ308/CO308-1)*100),"NA",IF(((CQ308/CO308-1)*100)&gt;100,"NM",IF(((CQ308/CO308-1)*100)&lt;-50,"NM",(CQ308/CO308-1)*100)))</f>
        <v>NA</v>
      </c>
      <c r="CS308" s="23"/>
    </row>
    <row r="309" spans="1:97" ht="12.75" customHeight="1" x14ac:dyDescent="0.2">
      <c r="A309" s="13" t="s">
        <v>18</v>
      </c>
      <c r="B309" s="49">
        <v>75.183999999999997</v>
      </c>
      <c r="C309" s="59"/>
      <c r="D309" s="49">
        <v>82.180999999999997</v>
      </c>
      <c r="E309" s="59"/>
      <c r="F309" s="49">
        <v>70.585999999999999</v>
      </c>
      <c r="G309" s="59"/>
      <c r="H309" s="49">
        <v>46.84</v>
      </c>
      <c r="I309" s="59"/>
      <c r="J309" s="56">
        <f>J306-J307+J308</f>
        <v>71.199999999999989</v>
      </c>
      <c r="K309" s="23">
        <f t="shared" ref="K309:K320" si="1944">IF(ISERROR((J309/B309-1)*100),"NA",IF(((J309/B309-1)*100)&gt;100,"NM",IF(((J309/B309-1)*100)&lt;-50,"NM",(J309/B309-1)*100)))</f>
        <v>-5.298999787188774</v>
      </c>
      <c r="L309" s="56">
        <f>L306-L307+L308</f>
        <v>58.200000000000024</v>
      </c>
      <c r="M309" s="23">
        <f t="shared" ref="M309:M320" si="1945">IF(ISERROR((L309/D309-1)*100),"NA",IF(((L309/D309-1)*100)&gt;100,"NM",IF(((L309/D309-1)*100)&lt;-50,"NM",(L309/D309-1)*100)))</f>
        <v>-29.180710869909078</v>
      </c>
      <c r="N309" s="56">
        <f>N306-N307+N308</f>
        <v>59.399999999999991</v>
      </c>
      <c r="O309" s="23">
        <f t="shared" ref="O309:O320" si="1946">IF(ISERROR((N309/F309-1)*100),"NA",IF(((N309/F309-1)*100)&gt;100,"NM",IF(((N309/F309-1)*100)&lt;-50,"NM",(N309/F309-1)*100)))</f>
        <v>-15.847335165613586</v>
      </c>
      <c r="P309" s="56">
        <f>P306-P307+P308</f>
        <v>38.700000000000003</v>
      </c>
      <c r="Q309" s="23">
        <f t="shared" ref="Q309:Q320" si="1947">IF(ISERROR((P309/H309-1)*100),"NA",IF(((P309/H309-1)*100)&gt;100,"NM",IF(((P309/H309-1)*100)&lt;-50,"NM",(P309/H309-1)*100)))</f>
        <v>-17.378309137489325</v>
      </c>
      <c r="R309" s="56">
        <f>R306-R307+R308</f>
        <v>52.29999999999999</v>
      </c>
      <c r="S309" s="23">
        <f>IF(ISERROR((R309/J309-1)*100),"NA",IF(((R309/J309-1)*100)&gt;100,"NM",IF(((R309/J309-1)*100)&lt;-50,"NM",(R309/J309-1)*100)))</f>
        <v>-26.54494382022472</v>
      </c>
      <c r="T309" s="56">
        <f>T306-T307+T308</f>
        <v>48.199999999999989</v>
      </c>
      <c r="U309" s="23">
        <f>IF(ISERROR((T309/L309-1)*100),"NA",IF(((T309/L309-1)*100)&gt;100,"NM",IF(((T309/L309-1)*100)&lt;-50,"NM",(T309/L309-1)*100)))</f>
        <v>-17.182130584192489</v>
      </c>
      <c r="V309" s="56">
        <f>V306-V307+V308</f>
        <v>95.199999999999989</v>
      </c>
      <c r="W309" s="23">
        <f>IF(ISERROR((V309/N309-1)*100),"NA",IF(((V309/N309-1)*100)&gt;100,"NM",IF(((V309/N309-1)*100)&lt;-50,"NM",(V309/N309-1)*100)))</f>
        <v>60.26936026936027</v>
      </c>
      <c r="X309" s="56">
        <f>X306-X307+X308</f>
        <v>57.100000000000009</v>
      </c>
      <c r="Y309" s="23">
        <f t="shared" ref="Y309:Y320" si="1948">IF(ISERROR((X309/P309-1)*100),"NA",IF(((X309/P309-1)*100)&gt;100,"NM",IF(((X309/P309-1)*100)&lt;-50,"NM",(X309/P309-1)*100)))</f>
        <v>47.545219638242898</v>
      </c>
      <c r="Z309" s="56">
        <f>Z306-Z307+Z308</f>
        <v>53.90000000000002</v>
      </c>
      <c r="AA309" s="23">
        <f t="shared" ref="AA309:AA320" si="1949">IF(ISERROR((Z309/R309-1)*100),"NA",IF(((Z309/R309-1)*100)&gt;100,"NM",IF(((Z309/R309-1)*100)&lt;-50,"NM",(Z309/R309-1)*100)))</f>
        <v>3.0592734225622031</v>
      </c>
      <c r="AB309" s="56">
        <f>AB306-AB307+AB308</f>
        <v>52.09999999999998</v>
      </c>
      <c r="AC309" s="23">
        <f t="shared" ref="AC309:AC320" si="1950">IF(ISERROR((AB309/T309-1)*100),"NA",IF(((AB309/T309-1)*100)&gt;100,"NM",IF(((AB309/T309-1)*100)&lt;-50,"NM",(AB309/T309-1)*100)))</f>
        <v>8.0912863070539345</v>
      </c>
      <c r="AD309" s="56">
        <f>AD306-AD307+AD308</f>
        <v>59.600000000000009</v>
      </c>
      <c r="AE309" s="23">
        <f t="shared" ref="AE309:AE320" si="1951">IF(ISERROR((AD309/V309-1)*100),"NA",IF(((AD309/V309-1)*100)&gt;100,"NM",IF(((AD309/V309-1)*100)&lt;-50,"NM",(AD309/V309-1)*100)))</f>
        <v>-37.394957983193258</v>
      </c>
      <c r="AF309" s="56">
        <f>AF306-AF307+AF308</f>
        <v>65.699999999999989</v>
      </c>
      <c r="AG309" s="23">
        <f t="shared" ref="AG309:AG320" si="1952">IF(ISERROR((AF309/X309-1)*100),"NA",IF(((AF309/X309-1)*100)&gt;100,"NM",IF(((AF309/X309-1)*100)&lt;-50,"NM",(AF309/X309-1)*100)))</f>
        <v>15.061295971978939</v>
      </c>
      <c r="AH309" s="56">
        <f>AH306-AH307+AH308</f>
        <v>65.3</v>
      </c>
      <c r="AI309" s="23">
        <f t="shared" ref="AI309:AI320" si="1953">IF(ISERROR((AH309/Z309-1)*100),"NA",IF(((AH309/Z309-1)*100)&gt;100,"NM",IF(((AH309/Z309-1)*100)&lt;-50,"NM",(AH309/Z309-1)*100)))</f>
        <v>21.150278293135383</v>
      </c>
      <c r="AJ309" s="56">
        <f>AJ306-AJ307+AJ308</f>
        <v>64.7</v>
      </c>
      <c r="AK309" s="23">
        <f t="shared" ref="AK309:AK320" si="1954">IF(ISERROR((AJ309/AB309-1)*100),"NA",IF(((AJ309/AB309-1)*100)&gt;100,"NM",IF(((AJ309/AB309-1)*100)&lt;-50,"NM",(AJ309/AB309-1)*100)))</f>
        <v>24.184261036468378</v>
      </c>
      <c r="AL309" s="56">
        <f>AL306-AL307+AL308</f>
        <v>61.2</v>
      </c>
      <c r="AM309" s="23">
        <f t="shared" ref="AM309:AM320" si="1955">IF(ISERROR((AL309/AD309-1)*100),"NA",IF(((AL309/AD309-1)*100)&gt;100,"NM",IF(((AL309/AD309-1)*100)&lt;-50,"NM",(AL309/AD309-1)*100)))</f>
        <v>2.6845637583892579</v>
      </c>
      <c r="AN309" s="413">
        <f t="shared" ref="AN309:AP309" si="1956">AN306-AN307+AN308</f>
        <v>64.199999999999989</v>
      </c>
      <c r="AO309" s="23">
        <f t="shared" ref="AO309:AO320" si="1957">IF(ISERROR((AN309/AF309-1)*100),"NA",IF(((AN309/AF309-1)*100)&gt;100,"NM",IF(((AN309/AF309-1)*100)&lt;-50,"NM",(AN309/AF309-1)*100)))</f>
        <v>-2.2831050228310557</v>
      </c>
      <c r="AP309" s="413">
        <f t="shared" si="1956"/>
        <v>56.700000000000017</v>
      </c>
      <c r="AQ309" s="23">
        <f t="shared" ref="AQ309:AQ320" si="1958">IF(ISERROR((AP309/AH309-1)*100),"NA",IF(((AP309/AH309-1)*100)&gt;100,"NM",IF(((AP309/AH309-1)*100)&lt;-50,"NM",(AP309/AH309-1)*100)))</f>
        <v>-13.169984686064284</v>
      </c>
      <c r="AR309" s="413">
        <f t="shared" ref="AR309:AT309" si="1959">AR306-AR307+AR308</f>
        <v>59.699999999999989</v>
      </c>
      <c r="AS309" s="23">
        <f t="shared" ref="AS309:AS320" si="1960">IF(ISERROR((AR309/AJ309-1)*100),"NA",IF(((AR309/AJ309-1)*100)&gt;100,"NM",IF(((AR309/AJ309-1)*100)&lt;-50,"NM",(AR309/AJ309-1)*100)))</f>
        <v>-7.7279752704791598</v>
      </c>
      <c r="AT309" s="413">
        <f t="shared" si="1959"/>
        <v>59.099999999999994</v>
      </c>
      <c r="AU309" s="23">
        <f t="shared" ref="AU309:AU320" si="1961">IF(ISERROR((AT309/AL309-1)*100),"NA",IF(((AT309/AL309-1)*100)&gt;100,"NM",IF(((AT309/AL309-1)*100)&lt;-50,"NM",(AT309/AL309-1)*100)))</f>
        <v>-3.4313725490196179</v>
      </c>
      <c r="AV309" s="413">
        <f t="shared" ref="AV309:AX309" si="1962">AV306-AV307+AV308</f>
        <v>72.7</v>
      </c>
      <c r="AW309" s="23">
        <f t="shared" ref="AW309:AW320" si="1963">IF(ISERROR((AV309/AN309-1)*100),"NA",IF(((AV309/AN309-1)*100)&gt;100,"NM",IF(((AV309/AN309-1)*100)&lt;-50,"NM",(AV309/AN309-1)*100)))</f>
        <v>13.239875389408118</v>
      </c>
      <c r="AX309" s="413">
        <f t="shared" si="1962"/>
        <v>59.200000000000024</v>
      </c>
      <c r="AY309" s="23">
        <f t="shared" ref="AY309:AY320" si="1964">IF(ISERROR((AX309/AP309-1)*100),"NA",IF(((AX309/AP309-1)*100)&gt;100,"NM",IF(((AX309/AP309-1)*100)&lt;-50,"NM",(AX309/AP309-1)*100)))</f>
        <v>4.4091710758377589</v>
      </c>
      <c r="AZ309" s="413">
        <f t="shared" ref="AZ309" si="1965">AZ306-AZ307+AZ308</f>
        <v>59.899999999999991</v>
      </c>
      <c r="BA309" s="23">
        <f t="shared" ref="BA309:BA320" si="1966">IF(ISERROR((AZ309/AR309-1)*100),"NA",IF(((AZ309/AR309-1)*100)&gt;100,"NM",IF(((AZ309/AR309-1)*100)&lt;-50,"NM",(AZ309/AR309-1)*100)))</f>
        <v>0.33500837520938909</v>
      </c>
      <c r="BB309" s="413">
        <f t="shared" ref="BB309:BD309" si="1967">BB306-BB307+BB308</f>
        <v>66.3</v>
      </c>
      <c r="BC309" s="23">
        <f t="shared" ref="BC309:BC320" si="1968">IF(ISERROR((BB309/AT309-1)*100),"NA",IF(((BB309/AT309-1)*100)&gt;100,"NM",IF(((BB309/AT309-1)*100)&lt;-50,"NM",(BB309/AT309-1)*100)))</f>
        <v>12.182741116751284</v>
      </c>
      <c r="BD309" s="413">
        <f t="shared" si="1967"/>
        <v>66</v>
      </c>
      <c r="BE309" s="23">
        <f t="shared" ref="BE309:BE320" si="1969">IF(ISERROR((BD309/AV309-1)*100),"NA",IF(((BD309/AV309-1)*100)&gt;100,"NM",IF(((BD309/AV309-1)*100)&lt;-50,"NM",(BD309/AV309-1)*100)))</f>
        <v>-9.2159559834938172</v>
      </c>
      <c r="BF309" s="56">
        <f t="shared" ref="BF309" si="1970">BF302*BF325/400</f>
        <v>66.346973462115514</v>
      </c>
      <c r="BG309" s="23">
        <f t="shared" ref="BG309:BG320" si="1971">IF(ISERROR((BF309/AX309-1)*100),"NA",IF(((BF309/AX309-1)*100)&gt;100,"NM",IF(((BF309/AX309-1)*100)&lt;-50,"NM",(BF309/AX309-1)*100)))</f>
        <v>12.072590307627507</v>
      </c>
      <c r="BH309" s="56">
        <f t="shared" ref="BH309" si="1972">BH302*BH325/400</f>
        <v>66.761642046253741</v>
      </c>
      <c r="BI309" s="23">
        <f t="shared" ref="BI309:BI320" si="1973">IF(ISERROR((BH309/AZ309-1)*100),"NA",IF(((BH309/AZ309-1)*100)&gt;100,"NM",IF(((BH309/AZ309-1)*100)&lt;-50,"NM",(BH309/AZ309-1)*100)))</f>
        <v>11.455162013779209</v>
      </c>
      <c r="BJ309" s="56">
        <f t="shared" ref="BJ309" si="1974">BJ302*BJ325/400</f>
        <v>67.178902309042826</v>
      </c>
      <c r="BK309" s="23">
        <f t="shared" ref="BK309:BK320" si="1975">IF(ISERROR((BJ309/BB309-1)*100),"NA",IF(((BJ309/BB309-1)*100)&gt;100,"NM",IF(((BJ309/BB309-1)*100)&lt;-50,"NM",(BJ309/BB309-1)*100)))</f>
        <v>1.3256445083602353</v>
      </c>
      <c r="BL309" s="56">
        <f t="shared" ref="BL309" si="1976">BL302*BL325/400</f>
        <v>66.771274812477685</v>
      </c>
      <c r="BM309" s="23">
        <f t="shared" ref="BM309:BM320" si="1977">IF(ISERROR((BL309/BD309-1)*100),"NA",IF(((BL309/BD309-1)*100)&gt;100,"NM",IF(((BL309/BD309-1)*100)&lt;-50,"NM",(BL309/BD309-1)*100)))</f>
        <v>1.1685982007237694</v>
      </c>
      <c r="BN309" s="10"/>
      <c r="BO309" s="137"/>
      <c r="BP309" s="10"/>
      <c r="BQ309" s="49">
        <v>213.5</v>
      </c>
      <c r="BR309" s="32"/>
      <c r="BS309" s="49">
        <v>274.10000000000002</v>
      </c>
      <c r="BT309" s="32"/>
      <c r="BU309" s="56">
        <f>B309+D309+F309+H309</f>
        <v>274.79100000000005</v>
      </c>
      <c r="BV309" s="23">
        <f t="shared" ref="BV309:BV320" si="1978">IF(ISERROR((BU309/BS309-1)*100),"NA",IF(((BU309/BS309-1)*100)&gt;100,"NM",IF(((BU309/BS309-1)*100)&lt;-50,"NM",(BU309/BS309-1)*100)))</f>
        <v>0.25209777453485405</v>
      </c>
      <c r="BW309" s="56">
        <f>BW306-BW307+BW308</f>
        <v>227.49999999999994</v>
      </c>
      <c r="BX309" s="23">
        <f t="shared" ref="BX309:BX320" si="1979">IF(ISERROR((BW309/BU309-1)*100),"NA",IF(((BW309/BU309-1)*100)&gt;100,"NM",IF(((BW309/BU309-1)*100)&lt;-50,"NM",(BW309/BU309-1)*100)))</f>
        <v>-17.209806725838948</v>
      </c>
      <c r="BY309" s="56">
        <f>BY306-BY307+BY308</f>
        <v>252.79999999999998</v>
      </c>
      <c r="BZ309" s="23">
        <f>IF(ISERROR((BY309/BW309-1)*100),"NA",IF(((BY309/BW309-1)*100)&gt;100,"NM",IF(((BY309/BW309-1)*100)&lt;-50,"NM",(BY309/BW309-1)*100)))</f>
        <v>11.120879120879135</v>
      </c>
      <c r="CA309" s="56">
        <f>Z309+AB309+AD309+AF309</f>
        <v>231.3</v>
      </c>
      <c r="CB309" s="23">
        <f>IF(ISERROR((CA309/BY309-1)*100),"NA",IF(((CA309/BY309-1)*100)&gt;100,"NM",IF(((CA309/BY309-1)*100)&lt;-50,"NM",(CA309/BY309-1)*100)))</f>
        <v>-8.5047468354430222</v>
      </c>
      <c r="CC309" s="56">
        <f>AH309+AJ309+AL309+AN309</f>
        <v>255.39999999999998</v>
      </c>
      <c r="CD309" s="23">
        <f>IF(ISERROR((CC309/CA309-1)*100),"NA",IF(((CC309/CA309-1)*100)&gt;100,"NM",IF(((CC309/CA309-1)*100)&lt;-50,"NM",(CC309/CA309-1)*100)))</f>
        <v>10.419368785127524</v>
      </c>
      <c r="CE309" s="56">
        <f>AP309+AR309+AT309+AV309</f>
        <v>248.2</v>
      </c>
      <c r="CF309" s="23">
        <f>IF(ISERROR((CE309/CC309-1)*100),"NA",IF(((CE309/CC309-1)*100)&gt;100,"NM",IF(((CE309/CC309-1)*100)&lt;-50,"NM",(CE309/CC309-1)*100)))</f>
        <v>-2.8191072826938113</v>
      </c>
      <c r="CG309" s="56">
        <f>AX309+AZ309+BB309+BD309</f>
        <v>251.40000000000003</v>
      </c>
      <c r="CH309" s="23">
        <f>IF(ISERROR((CG309/CE309-1)*100),"NA",IF(((CG309/CE309-1)*100)&gt;100,"NM",IF(((CG309/CE309-1)*100)&lt;-50,"NM",(CG309/CE309-1)*100)))</f>
        <v>1.2892828364222675</v>
      </c>
      <c r="CI309" s="56">
        <f>BF309+BH309+BJ309+BL309</f>
        <v>267.05879262988981</v>
      </c>
      <c r="CJ309" s="23">
        <f>IF(ISERROR((CI309/CG309-1)*100),"NA",IF(((CI309/CG309-1)*100)&gt;100,"NM",IF(((CI309/CG309-1)*100)&lt;-50,"NM",(CI309/CG309-1)*100)))</f>
        <v>6.2286366865114351</v>
      </c>
      <c r="CK309" s="56">
        <f>CK302*CK325/100</f>
        <v>273.73270871014978</v>
      </c>
      <c r="CL309" s="23">
        <f>IF(ISERROR((CK309/CI309-1)*100),"NA",IF(((CK309/CI309-1)*100)&gt;100,"NM",IF(((CK309/CI309-1)*100)&lt;-50,"NM",(CK309/CI309-1)*100)))</f>
        <v>2.4990437553236378</v>
      </c>
      <c r="CM309" s="56">
        <f>CM302*CM325/100</f>
        <v>280.57602642790351</v>
      </c>
      <c r="CN309" s="23">
        <f>IF(ISERROR((CM309/CK309-1)*100),"NA",IF(((CM309/CK309-1)*100)&gt;100,"NM",IF(((CM309/CK309-1)*100)&lt;-50,"NM",(CM309/CK309-1)*100)))</f>
        <v>2.4999999999999911</v>
      </c>
      <c r="CO309" s="56">
        <f>CO302*CO325/100</f>
        <v>287.59042708860102</v>
      </c>
      <c r="CP309" s="23">
        <f>IF(ISERROR((CO309/CM309-1)*100),"NA",IF(((CO309/CM309-1)*100)&gt;100,"NM",IF(((CO309/CM309-1)*100)&lt;-50,"NM",(CO309/CM309-1)*100)))</f>
        <v>2.4999999999999689</v>
      </c>
      <c r="CQ309" s="56">
        <f>CQ302*CQ325/100</f>
        <v>294.78018776581604</v>
      </c>
      <c r="CR309" s="23">
        <f>IF(ISERROR((CQ309/CO309-1)*100),"NA",IF(((CQ309/CO309-1)*100)&gt;100,"NM",IF(((CQ309/CO309-1)*100)&lt;-50,"NM",(CQ309/CO309-1)*100)))</f>
        <v>2.4999999999999911</v>
      </c>
      <c r="CS309" s="23">
        <f t="shared" ref="CS309:CS320" si="1980">IF(ISERROR(((CQ309/CG309)^0.2-1)*100),"NA",IF((((CQ309/CG309)^0.2-1)*100)&gt;100,"NM",IF((((CQ309/CG309)^0.2-1)*100)&lt;-50,"NM",((CQ309/CG309)^0.2-1)*100)))</f>
        <v>3.2349147687613433</v>
      </c>
    </row>
    <row r="310" spans="1:97" ht="13.5" customHeight="1" x14ac:dyDescent="0.2">
      <c r="A310" s="13" t="s">
        <v>101</v>
      </c>
      <c r="B310" s="49">
        <v>5.4450000000000003</v>
      </c>
      <c r="C310" s="59"/>
      <c r="D310" s="49">
        <v>5.423</v>
      </c>
      <c r="E310" s="59"/>
      <c r="F310" s="49">
        <v>5.0220000000000002</v>
      </c>
      <c r="G310" s="59"/>
      <c r="H310" s="49">
        <v>4.9429999999999996</v>
      </c>
      <c r="I310" s="59"/>
      <c r="J310" s="49">
        <v>4.9539999999999997</v>
      </c>
      <c r="K310" s="23">
        <f t="shared" si="1944"/>
        <v>-9.0174471992653942</v>
      </c>
      <c r="L310" s="49">
        <v>4.9950000000000001</v>
      </c>
      <c r="M310" s="23">
        <f t="shared" si="1945"/>
        <v>-7.8923105292273643</v>
      </c>
      <c r="N310" s="49">
        <v>4.8239999999999998</v>
      </c>
      <c r="O310" s="23">
        <f t="shared" si="1946"/>
        <v>-3.9426523297491078</v>
      </c>
      <c r="P310" s="49">
        <v>4.7</v>
      </c>
      <c r="Q310" s="23">
        <f t="shared" si="1947"/>
        <v>-4.9160428889338359</v>
      </c>
      <c r="R310" s="49">
        <v>4.8</v>
      </c>
      <c r="S310" s="23">
        <f>IF(ISERROR((R310/J310-1)*100),"NA",IF(((R310/J310-1)*100)&gt;100,"NM",IF(((R310/J310-1)*100)&lt;-50,"NM",(R310/J310-1)*100)))</f>
        <v>-3.1085991118288248</v>
      </c>
      <c r="T310" s="49">
        <v>5</v>
      </c>
      <c r="U310" s="23">
        <f>IF(ISERROR((T310/L310-1)*100),"NA",IF(((T310/L310-1)*100)&gt;100,"NM",IF(((T310/L310-1)*100)&lt;-50,"NM",(T310/L310-1)*100)))</f>
        <v>0.10010010010010895</v>
      </c>
      <c r="V310" s="49">
        <v>4.5999999999999996</v>
      </c>
      <c r="W310" s="23">
        <f>IF(ISERROR((V310/N310-1)*100),"NA",IF(((V310/N310-1)*100)&gt;100,"NM",IF(((V310/N310-1)*100)&lt;-50,"NM",(V310/N310-1)*100)))</f>
        <v>-4.6434494195688236</v>
      </c>
      <c r="X310" s="49">
        <v>5.8</v>
      </c>
      <c r="Y310" s="23">
        <f t="shared" si="1948"/>
        <v>23.404255319148938</v>
      </c>
      <c r="Z310" s="49">
        <v>5.5</v>
      </c>
      <c r="AA310" s="23">
        <f t="shared" si="1949"/>
        <v>14.583333333333348</v>
      </c>
      <c r="AB310" s="49">
        <v>4.4000000000000004</v>
      </c>
      <c r="AC310" s="23">
        <f t="shared" si="1950"/>
        <v>-11.999999999999989</v>
      </c>
      <c r="AD310" s="49">
        <v>4.4000000000000004</v>
      </c>
      <c r="AE310" s="23">
        <f t="shared" si="1951"/>
        <v>-4.3478260869565073</v>
      </c>
      <c r="AF310" s="49">
        <v>4.3</v>
      </c>
      <c r="AG310" s="23">
        <f t="shared" si="1952"/>
        <v>-25.862068965517238</v>
      </c>
      <c r="AH310" s="49">
        <v>4.2</v>
      </c>
      <c r="AI310" s="23">
        <f t="shared" si="1953"/>
        <v>-23.636363636363633</v>
      </c>
      <c r="AJ310" s="49">
        <v>4.2</v>
      </c>
      <c r="AK310" s="23">
        <f t="shared" si="1954"/>
        <v>-4.5454545454545521</v>
      </c>
      <c r="AL310" s="49">
        <v>4.0999999999999996</v>
      </c>
      <c r="AM310" s="23">
        <f t="shared" si="1955"/>
        <v>-6.8181818181818343</v>
      </c>
      <c r="AN310" s="158">
        <v>3.9</v>
      </c>
      <c r="AO310" s="23">
        <f t="shared" si="1957"/>
        <v>-9.302325581395344</v>
      </c>
      <c r="AP310" s="158">
        <v>3.7</v>
      </c>
      <c r="AQ310" s="23">
        <f t="shared" si="1958"/>
        <v>-11.904761904761907</v>
      </c>
      <c r="AR310" s="158">
        <v>3.7</v>
      </c>
      <c r="AS310" s="23">
        <f t="shared" si="1960"/>
        <v>-11.904761904761907</v>
      </c>
      <c r="AT310" s="158">
        <v>3.6</v>
      </c>
      <c r="AU310" s="23">
        <f t="shared" si="1961"/>
        <v>-12.195121951219502</v>
      </c>
      <c r="AV310" s="158">
        <v>3.4</v>
      </c>
      <c r="AW310" s="23">
        <f t="shared" si="1963"/>
        <v>-12.820512820512819</v>
      </c>
      <c r="AX310" s="158">
        <v>3.5</v>
      </c>
      <c r="AY310" s="23">
        <f t="shared" si="1964"/>
        <v>-5.4054054054054053</v>
      </c>
      <c r="AZ310" s="158">
        <v>3.3</v>
      </c>
      <c r="BA310" s="23">
        <f t="shared" si="1966"/>
        <v>-10.810810810810823</v>
      </c>
      <c r="BB310" s="158">
        <v>3.4</v>
      </c>
      <c r="BC310" s="23">
        <f t="shared" si="1968"/>
        <v>-5.555555555555558</v>
      </c>
      <c r="BD310" s="158">
        <v>4</v>
      </c>
      <c r="BE310" s="23">
        <f t="shared" si="1969"/>
        <v>17.647058823529417</v>
      </c>
      <c r="BF310" s="49">
        <f t="shared" ref="BF310:BJ310" si="1981">AX310*1.05</f>
        <v>3.6750000000000003</v>
      </c>
      <c r="BG310" s="23">
        <f t="shared" si="1971"/>
        <v>5.0000000000000044</v>
      </c>
      <c r="BH310" s="49">
        <f t="shared" si="1981"/>
        <v>3.4649999999999999</v>
      </c>
      <c r="BI310" s="23">
        <f t="shared" si="1973"/>
        <v>5.0000000000000044</v>
      </c>
      <c r="BJ310" s="49">
        <f t="shared" si="1981"/>
        <v>3.57</v>
      </c>
      <c r="BK310" s="23">
        <f t="shared" si="1975"/>
        <v>5.0000000000000044</v>
      </c>
      <c r="BL310" s="49">
        <f t="shared" ref="BL310" si="1982">BD310*1.05</f>
        <v>4.2</v>
      </c>
      <c r="BM310" s="23">
        <f t="shared" si="1977"/>
        <v>5.0000000000000044</v>
      </c>
      <c r="BO310" s="137"/>
      <c r="BQ310" s="49">
        <v>19.5</v>
      </c>
      <c r="BR310" s="32"/>
      <c r="BS310" s="49">
        <v>20.9</v>
      </c>
      <c r="BT310" s="32"/>
      <c r="BU310" s="56">
        <f>B310+D310+F310+H310</f>
        <v>20.832999999999998</v>
      </c>
      <c r="BV310" s="23">
        <f t="shared" si="1978"/>
        <v>-0.32057416267942118</v>
      </c>
      <c r="BW310" s="56">
        <f>J310+L310+N310+P310</f>
        <v>19.472999999999999</v>
      </c>
      <c r="BX310" s="23">
        <f t="shared" si="1979"/>
        <v>-6.52810444967119</v>
      </c>
      <c r="BY310" s="56">
        <f>R310+T310+V310+X310</f>
        <v>20.2</v>
      </c>
      <c r="BZ310" s="23">
        <f>IF(ISERROR((BY310/BW310-1)*100),"NA",IF(((BY310/BW310-1)*100)&gt;100,"NM",IF(((BY310/BW310-1)*100)&lt;-50,"NM",(BY310/BW310-1)*100)))</f>
        <v>3.7333744158578597</v>
      </c>
      <c r="CA310" s="56">
        <f>Z310+AB310+AD310+AF310</f>
        <v>18.600000000000001</v>
      </c>
      <c r="CB310" s="23">
        <f>IF(ISERROR((CA310/BY310-1)*100),"NA",IF(((CA310/BY310-1)*100)&gt;100,"NM",IF(((CA310/BY310-1)*100)&lt;-50,"NM",(CA310/BY310-1)*100)))</f>
        <v>-7.9207920792079056</v>
      </c>
      <c r="CC310" s="56">
        <f>AH310+AJ310+AL310+AN310</f>
        <v>16.399999999999999</v>
      </c>
      <c r="CD310" s="23">
        <f>IF(ISERROR((CC310/CA310-1)*100),"NA",IF(((CC310/CA310-1)*100)&gt;100,"NM",IF(((CC310/CA310-1)*100)&lt;-50,"NM",(CC310/CA310-1)*100)))</f>
        <v>-11.827956989247323</v>
      </c>
      <c r="CE310" s="56">
        <f>AP310+AR310+AT310+AV310</f>
        <v>14.4</v>
      </c>
      <c r="CF310" s="23">
        <f>IF(ISERROR((CE310/CC310-1)*100),"NA",IF(((CE310/CC310-1)*100)&gt;100,"NM",IF(((CE310/CC310-1)*100)&lt;-50,"NM",(CE310/CC310-1)*100)))</f>
        <v>-12.195121951219502</v>
      </c>
      <c r="CG310" s="56">
        <f>AX310+AZ310+BB310+BD310</f>
        <v>14.2</v>
      </c>
      <c r="CH310" s="23">
        <f>IF(ISERROR((CG310/CE310-1)*100),"NA",IF(((CG310/CE310-1)*100)&gt;100,"NM",IF(((CG310/CE310-1)*100)&lt;-50,"NM",(CG310/CE310-1)*100)))</f>
        <v>-1.3888888888888951</v>
      </c>
      <c r="CI310" s="56">
        <f>BF310+BH310+BJ310+BL310</f>
        <v>14.91</v>
      </c>
      <c r="CJ310" s="23">
        <f>IF(ISERROR((CI310/CG310-1)*100),"NA",IF(((CI310/CG310-1)*100)&gt;100,"NM",IF(((CI310/CG310-1)*100)&lt;-50,"NM",(CI310/CG310-1)*100)))</f>
        <v>5.0000000000000044</v>
      </c>
      <c r="CK310" s="49">
        <f>CI310*1.05</f>
        <v>15.6555</v>
      </c>
      <c r="CL310" s="23">
        <f>IF(ISERROR((CK310/CI310-1)*100),"NA",IF(((CK310/CI310-1)*100)&gt;100,"NM",IF(((CK310/CI310-1)*100)&lt;-50,"NM",(CK310/CI310-1)*100)))</f>
        <v>5.0000000000000044</v>
      </c>
      <c r="CM310" s="49">
        <f>CK310*1.05</f>
        <v>16.438275000000001</v>
      </c>
      <c r="CN310" s="23">
        <f>IF(ISERROR((CM310/CK310-1)*100),"NA",IF(((CM310/CK310-1)*100)&gt;100,"NM",IF(((CM310/CK310-1)*100)&lt;-50,"NM",(CM310/CK310-1)*100)))</f>
        <v>5.0000000000000044</v>
      </c>
      <c r="CO310" s="49">
        <f>CM310*1.05</f>
        <v>17.260188750000001</v>
      </c>
      <c r="CP310" s="23">
        <f>IF(ISERROR((CO310/CM310-1)*100),"NA",IF(((CO310/CM310-1)*100)&gt;100,"NM",IF(((CO310/CM310-1)*100)&lt;-50,"NM",(CO310/CM310-1)*100)))</f>
        <v>5.0000000000000044</v>
      </c>
      <c r="CQ310" s="49">
        <f>CO310*1.05</f>
        <v>18.123198187500002</v>
      </c>
      <c r="CR310" s="23">
        <f>IF(ISERROR((CQ310/CO310-1)*100),"NA",IF(((CQ310/CO310-1)*100)&gt;100,"NM",IF(((CQ310/CO310-1)*100)&lt;-50,"NM",(CQ310/CO310-1)*100)))</f>
        <v>5.0000000000000044</v>
      </c>
      <c r="CS310" s="23">
        <f t="shared" si="1980"/>
        <v>5.0000000000000044</v>
      </c>
    </row>
    <row r="311" spans="1:97" ht="12.75" hidden="1" customHeight="1" outlineLevel="1" x14ac:dyDescent="0.2">
      <c r="A311" s="164" t="s">
        <v>200</v>
      </c>
      <c r="B311" s="49">
        <v>268.51</v>
      </c>
      <c r="C311" s="59"/>
      <c r="D311" s="49">
        <v>273.19400000000002</v>
      </c>
      <c r="E311" s="59"/>
      <c r="F311" s="49">
        <v>285.48399999999998</v>
      </c>
      <c r="G311" s="59"/>
      <c r="H311" s="49">
        <v>276.80399999999997</v>
      </c>
      <c r="I311" s="59"/>
      <c r="J311" s="49">
        <v>281.93200000000002</v>
      </c>
      <c r="K311" s="23">
        <f t="shared" si="1944"/>
        <v>4.9986965103720582</v>
      </c>
      <c r="L311" s="49">
        <v>287.03300000000002</v>
      </c>
      <c r="M311" s="23">
        <f t="shared" si="1945"/>
        <v>5.0656310167866092</v>
      </c>
      <c r="N311" s="49">
        <v>285.84899999999999</v>
      </c>
      <c r="O311" s="23">
        <f t="shared" si="1946"/>
        <v>0.12785304955795773</v>
      </c>
      <c r="P311" s="49">
        <v>285.79300000000001</v>
      </c>
      <c r="Q311" s="23">
        <f t="shared" si="1947"/>
        <v>3.247424170170965</v>
      </c>
      <c r="R311" s="49"/>
      <c r="S311" s="23"/>
      <c r="T311" s="49"/>
      <c r="U311" s="23"/>
      <c r="V311" s="49"/>
      <c r="W311" s="23"/>
      <c r="X311" s="49"/>
      <c r="Y311" s="23" t="str">
        <f t="shared" si="1948"/>
        <v>NM</v>
      </c>
      <c r="Z311" s="49"/>
      <c r="AA311" s="23" t="str">
        <f t="shared" si="1949"/>
        <v>NA</v>
      </c>
      <c r="AB311" s="49"/>
      <c r="AC311" s="23" t="str">
        <f t="shared" si="1950"/>
        <v>NA</v>
      </c>
      <c r="AD311" s="49"/>
      <c r="AE311" s="23" t="str">
        <f t="shared" si="1951"/>
        <v>NA</v>
      </c>
      <c r="AF311" s="49"/>
      <c r="AG311" s="23" t="str">
        <f t="shared" si="1952"/>
        <v>NA</v>
      </c>
      <c r="AH311" s="49"/>
      <c r="AI311" s="23" t="str">
        <f t="shared" si="1953"/>
        <v>NA</v>
      </c>
      <c r="AJ311" s="49"/>
      <c r="AK311" s="23" t="str">
        <f t="shared" si="1954"/>
        <v>NA</v>
      </c>
      <c r="AL311" s="49"/>
      <c r="AM311" s="23" t="str">
        <f t="shared" si="1955"/>
        <v>NA</v>
      </c>
      <c r="AN311" s="158"/>
      <c r="AO311" s="23" t="str">
        <f t="shared" si="1957"/>
        <v>NA</v>
      </c>
      <c r="AP311" s="158"/>
      <c r="AQ311" s="23" t="str">
        <f t="shared" si="1958"/>
        <v>NA</v>
      </c>
      <c r="AR311" s="158"/>
      <c r="AS311" s="23" t="str">
        <f t="shared" si="1960"/>
        <v>NA</v>
      </c>
      <c r="AT311" s="158"/>
      <c r="AU311" s="23" t="str">
        <f t="shared" si="1961"/>
        <v>NA</v>
      </c>
      <c r="AV311" s="158"/>
      <c r="AW311" s="23" t="str">
        <f t="shared" si="1963"/>
        <v>NA</v>
      </c>
      <c r="AX311" s="158"/>
      <c r="AY311" s="23" t="str">
        <f t="shared" si="1964"/>
        <v>NA</v>
      </c>
      <c r="AZ311" s="158"/>
      <c r="BA311" s="23" t="str">
        <f t="shared" si="1966"/>
        <v>NA</v>
      </c>
      <c r="BB311" s="158"/>
      <c r="BC311" s="23" t="str">
        <f t="shared" si="1968"/>
        <v>NA</v>
      </c>
      <c r="BD311" s="158"/>
      <c r="BE311" s="23" t="str">
        <f t="shared" si="1969"/>
        <v>NA</v>
      </c>
      <c r="BF311" s="49"/>
      <c r="BG311" s="23" t="str">
        <f t="shared" si="1971"/>
        <v>NA</v>
      </c>
      <c r="BH311" s="49"/>
      <c r="BI311" s="23" t="str">
        <f t="shared" si="1973"/>
        <v>NA</v>
      </c>
      <c r="BJ311" s="49"/>
      <c r="BK311" s="23" t="str">
        <f t="shared" si="1975"/>
        <v>NA</v>
      </c>
      <c r="BL311" s="49"/>
      <c r="BM311" s="23" t="str">
        <f t="shared" si="1977"/>
        <v>NA</v>
      </c>
      <c r="BO311" s="137"/>
      <c r="BQ311" s="74"/>
      <c r="BR311" s="153"/>
      <c r="BS311" s="74"/>
      <c r="BT311" s="32"/>
      <c r="BU311" s="56">
        <f>B311+D311+F311+H311</f>
        <v>1103.9919999999997</v>
      </c>
      <c r="BV311" s="23" t="str">
        <f t="shared" si="1978"/>
        <v>NA</v>
      </c>
      <c r="BW311" s="56">
        <f>J311+L311+N311+P311</f>
        <v>1140.607</v>
      </c>
      <c r="BX311" s="23">
        <f t="shared" si="1979"/>
        <v>3.316600120290758</v>
      </c>
      <c r="BY311" s="56"/>
      <c r="BZ311" s="23"/>
      <c r="CA311" s="56"/>
      <c r="CB311" s="23"/>
      <c r="CC311" s="56"/>
      <c r="CD311" s="23"/>
      <c r="CE311" s="56"/>
      <c r="CF311" s="23"/>
      <c r="CG311" s="56"/>
      <c r="CH311" s="23"/>
      <c r="CI311" s="56"/>
      <c r="CJ311" s="23"/>
      <c r="CK311" s="49"/>
      <c r="CL311" s="23"/>
      <c r="CM311" s="49"/>
      <c r="CN311" s="23"/>
      <c r="CO311" s="49"/>
      <c r="CP311" s="23"/>
      <c r="CQ311" s="49"/>
      <c r="CR311" s="23"/>
      <c r="CS311" s="23" t="str">
        <f t="shared" si="1980"/>
        <v>NA</v>
      </c>
    </row>
    <row r="312" spans="1:97" ht="12.75" hidden="1" customHeight="1" outlineLevel="1" x14ac:dyDescent="0.2">
      <c r="A312" s="164" t="s">
        <v>280</v>
      </c>
      <c r="B312" s="49">
        <f>-166.344+-23.914</f>
        <v>-190.25799999999998</v>
      </c>
      <c r="C312" s="59"/>
      <c r="D312" s="49">
        <f>-148.928-28.398</f>
        <v>-177.32599999999999</v>
      </c>
      <c r="E312" s="59"/>
      <c r="F312" s="49">
        <f>-151.948-30.248</f>
        <v>-182.196</v>
      </c>
      <c r="G312" s="59"/>
      <c r="H312" s="49">
        <f>-185.709-29.67</f>
        <v>-215.37900000000002</v>
      </c>
      <c r="I312" s="59"/>
      <c r="J312" s="49">
        <f>-191.701-28.787</f>
        <v>-220.488</v>
      </c>
      <c r="K312" s="23">
        <f t="shared" si="1944"/>
        <v>15.888950793133549</v>
      </c>
      <c r="L312" s="49">
        <f>-175.989-57.667</f>
        <v>-233.65600000000001</v>
      </c>
      <c r="M312" s="23">
        <f t="shared" si="1945"/>
        <v>31.766351240088888</v>
      </c>
      <c r="N312" s="49">
        <f>-163.301-34.811</f>
        <v>-198.11199999999999</v>
      </c>
      <c r="O312" s="23">
        <f t="shared" si="1946"/>
        <v>8.7356473248589417</v>
      </c>
      <c r="P312" s="49">
        <f>-171.852+-39.056</f>
        <v>-210.90800000000002</v>
      </c>
      <c r="Q312" s="23">
        <f t="shared" si="1947"/>
        <v>-2.0758755496125492</v>
      </c>
      <c r="R312" s="49"/>
      <c r="S312" s="23"/>
      <c r="T312" s="49"/>
      <c r="U312" s="23"/>
      <c r="V312" s="49"/>
      <c r="W312" s="23"/>
      <c r="X312" s="49"/>
      <c r="Y312" s="23" t="str">
        <f t="shared" si="1948"/>
        <v>NM</v>
      </c>
      <c r="Z312" s="49"/>
      <c r="AA312" s="23" t="str">
        <f t="shared" si="1949"/>
        <v>NA</v>
      </c>
      <c r="AB312" s="49"/>
      <c r="AC312" s="23" t="str">
        <f t="shared" si="1950"/>
        <v>NA</v>
      </c>
      <c r="AD312" s="49"/>
      <c r="AE312" s="23" t="str">
        <f t="shared" si="1951"/>
        <v>NA</v>
      </c>
      <c r="AF312" s="49"/>
      <c r="AG312" s="23" t="str">
        <f t="shared" si="1952"/>
        <v>NA</v>
      </c>
      <c r="AH312" s="49"/>
      <c r="AI312" s="23" t="str">
        <f t="shared" si="1953"/>
        <v>NA</v>
      </c>
      <c r="AJ312" s="49"/>
      <c r="AK312" s="23" t="str">
        <f t="shared" si="1954"/>
        <v>NA</v>
      </c>
      <c r="AL312" s="49"/>
      <c r="AM312" s="23" t="str">
        <f t="shared" si="1955"/>
        <v>NA</v>
      </c>
      <c r="AN312" s="158"/>
      <c r="AO312" s="23" t="str">
        <f t="shared" si="1957"/>
        <v>NA</v>
      </c>
      <c r="AP312" s="158"/>
      <c r="AQ312" s="23" t="str">
        <f t="shared" si="1958"/>
        <v>NA</v>
      </c>
      <c r="AR312" s="158"/>
      <c r="AS312" s="23" t="str">
        <f t="shared" si="1960"/>
        <v>NA</v>
      </c>
      <c r="AT312" s="158"/>
      <c r="AU312" s="23" t="str">
        <f t="shared" si="1961"/>
        <v>NA</v>
      </c>
      <c r="AV312" s="158"/>
      <c r="AW312" s="23" t="str">
        <f t="shared" si="1963"/>
        <v>NA</v>
      </c>
      <c r="AX312" s="158"/>
      <c r="AY312" s="23" t="str">
        <f t="shared" si="1964"/>
        <v>NA</v>
      </c>
      <c r="AZ312" s="158"/>
      <c r="BA312" s="23" t="str">
        <f t="shared" si="1966"/>
        <v>NA</v>
      </c>
      <c r="BB312" s="158"/>
      <c r="BC312" s="23" t="str">
        <f t="shared" si="1968"/>
        <v>NA</v>
      </c>
      <c r="BD312" s="158"/>
      <c r="BE312" s="23" t="str">
        <f t="shared" si="1969"/>
        <v>NA</v>
      </c>
      <c r="BF312" s="56"/>
      <c r="BG312" s="23" t="str">
        <f t="shared" si="1971"/>
        <v>NA</v>
      </c>
      <c r="BH312" s="56"/>
      <c r="BI312" s="23" t="str">
        <f t="shared" si="1973"/>
        <v>NA</v>
      </c>
      <c r="BJ312" s="56"/>
      <c r="BK312" s="23" t="str">
        <f t="shared" si="1975"/>
        <v>NA</v>
      </c>
      <c r="BL312" s="56"/>
      <c r="BM312" s="23" t="str">
        <f t="shared" si="1977"/>
        <v>NA</v>
      </c>
      <c r="BO312" s="137"/>
      <c r="BQ312" s="74"/>
      <c r="BR312" s="153"/>
      <c r="BS312" s="74"/>
      <c r="BT312" s="32"/>
      <c r="BU312" s="56">
        <f>B312+D312+F312+H312</f>
        <v>-765.15899999999999</v>
      </c>
      <c r="BV312" s="23" t="str">
        <f t="shared" si="1978"/>
        <v>NA</v>
      </c>
      <c r="BW312" s="56">
        <f>J312+L312+N312+P312</f>
        <v>-863.16399999999999</v>
      </c>
      <c r="BX312" s="23">
        <f t="shared" si="1979"/>
        <v>12.808448962895302</v>
      </c>
      <c r="BY312" s="56"/>
      <c r="BZ312" s="23"/>
      <c r="CA312" s="56"/>
      <c r="CB312" s="23"/>
      <c r="CC312" s="56"/>
      <c r="CD312" s="23"/>
      <c r="CE312" s="56"/>
      <c r="CF312" s="23"/>
      <c r="CG312" s="56"/>
      <c r="CH312" s="23"/>
      <c r="CI312" s="56"/>
      <c r="CJ312" s="23"/>
      <c r="CK312" s="56"/>
      <c r="CL312" s="23"/>
      <c r="CM312" s="56"/>
      <c r="CN312" s="23"/>
      <c r="CO312" s="56"/>
      <c r="CP312" s="23"/>
      <c r="CQ312" s="56"/>
      <c r="CR312" s="23"/>
      <c r="CS312" s="23" t="str">
        <f t="shared" si="1980"/>
        <v>NA</v>
      </c>
    </row>
    <row r="313" spans="1:97" ht="12.75" hidden="1" customHeight="1" outlineLevel="1" x14ac:dyDescent="0.2">
      <c r="A313" s="96" t="s">
        <v>201</v>
      </c>
      <c r="B313" s="56">
        <f>B311+B312</f>
        <v>78.25200000000001</v>
      </c>
      <c r="C313" s="59"/>
      <c r="D313" s="56">
        <f>D311+D312</f>
        <v>95.868000000000023</v>
      </c>
      <c r="E313" s="59"/>
      <c r="F313" s="56">
        <f>F311+F312</f>
        <v>103.28799999999998</v>
      </c>
      <c r="G313" s="59"/>
      <c r="H313" s="56">
        <f>H311+H312</f>
        <v>61.424999999999955</v>
      </c>
      <c r="I313" s="59"/>
      <c r="J313" s="56">
        <f>J311+J312</f>
        <v>61.444000000000017</v>
      </c>
      <c r="K313" s="23">
        <f t="shared" si="1944"/>
        <v>-21.479323212186262</v>
      </c>
      <c r="L313" s="56">
        <f>L311+L312</f>
        <v>53.37700000000001</v>
      </c>
      <c r="M313" s="23">
        <f t="shared" si="1945"/>
        <v>-44.322401635582267</v>
      </c>
      <c r="N313" s="56">
        <f>N311+N312</f>
        <v>87.736999999999995</v>
      </c>
      <c r="O313" s="23">
        <f t="shared" si="1946"/>
        <v>-15.055960034079463</v>
      </c>
      <c r="P313" s="56">
        <f>P311+P312</f>
        <v>74.884999999999991</v>
      </c>
      <c r="Q313" s="23">
        <f t="shared" si="1947"/>
        <v>21.912901912901983</v>
      </c>
      <c r="R313" s="56"/>
      <c r="S313" s="23"/>
      <c r="T313" s="56"/>
      <c r="U313" s="23"/>
      <c r="V313" s="56"/>
      <c r="W313" s="23"/>
      <c r="X313" s="56"/>
      <c r="Y313" s="23" t="str">
        <f t="shared" si="1948"/>
        <v>NM</v>
      </c>
      <c r="Z313" s="56"/>
      <c r="AA313" s="23" t="str">
        <f t="shared" si="1949"/>
        <v>NA</v>
      </c>
      <c r="AB313" s="56"/>
      <c r="AC313" s="23" t="str">
        <f t="shared" si="1950"/>
        <v>NA</v>
      </c>
      <c r="AD313" s="56"/>
      <c r="AE313" s="23" t="str">
        <f t="shared" si="1951"/>
        <v>NA</v>
      </c>
      <c r="AF313" s="56"/>
      <c r="AG313" s="23" t="str">
        <f t="shared" si="1952"/>
        <v>NA</v>
      </c>
      <c r="AH313" s="56"/>
      <c r="AI313" s="23" t="str">
        <f t="shared" si="1953"/>
        <v>NA</v>
      </c>
      <c r="AJ313" s="56"/>
      <c r="AK313" s="23" t="str">
        <f t="shared" si="1954"/>
        <v>NA</v>
      </c>
      <c r="AL313" s="56"/>
      <c r="AM313" s="23" t="str">
        <f t="shared" si="1955"/>
        <v>NA</v>
      </c>
      <c r="AN313" s="413"/>
      <c r="AO313" s="23" t="str">
        <f t="shared" si="1957"/>
        <v>NA</v>
      </c>
      <c r="AP313" s="413"/>
      <c r="AQ313" s="23" t="str">
        <f t="shared" si="1958"/>
        <v>NA</v>
      </c>
      <c r="AR313" s="413"/>
      <c r="AS313" s="23" t="str">
        <f t="shared" si="1960"/>
        <v>NA</v>
      </c>
      <c r="AT313" s="413"/>
      <c r="AU313" s="23" t="str">
        <f t="shared" si="1961"/>
        <v>NA</v>
      </c>
      <c r="AV313" s="413"/>
      <c r="AW313" s="23" t="str">
        <f t="shared" si="1963"/>
        <v>NA</v>
      </c>
      <c r="AX313" s="413"/>
      <c r="AY313" s="23" t="str">
        <f t="shared" si="1964"/>
        <v>NA</v>
      </c>
      <c r="AZ313" s="413"/>
      <c r="BA313" s="23" t="str">
        <f t="shared" si="1966"/>
        <v>NA</v>
      </c>
      <c r="BB313" s="413"/>
      <c r="BC313" s="23" t="str">
        <f t="shared" si="1968"/>
        <v>NA</v>
      </c>
      <c r="BD313" s="413"/>
      <c r="BE313" s="23" t="str">
        <f t="shared" si="1969"/>
        <v>NA</v>
      </c>
      <c r="BF313" s="56"/>
      <c r="BG313" s="23" t="str">
        <f t="shared" si="1971"/>
        <v>NA</v>
      </c>
      <c r="BH313" s="56"/>
      <c r="BI313" s="23" t="str">
        <f t="shared" si="1973"/>
        <v>NA</v>
      </c>
      <c r="BJ313" s="56"/>
      <c r="BK313" s="23" t="str">
        <f t="shared" si="1975"/>
        <v>NA</v>
      </c>
      <c r="BL313" s="56"/>
      <c r="BM313" s="23" t="str">
        <f t="shared" si="1977"/>
        <v>NA</v>
      </c>
      <c r="BO313" s="137"/>
      <c r="BQ313" s="112"/>
      <c r="BR313" s="153"/>
      <c r="BS313" s="112"/>
      <c r="BT313" s="32"/>
      <c r="BU313" s="56">
        <f>BU311+BU312</f>
        <v>338.83299999999974</v>
      </c>
      <c r="BV313" s="23" t="str">
        <f t="shared" si="1978"/>
        <v>NA</v>
      </c>
      <c r="BW313" s="56">
        <f>BW311+BW312</f>
        <v>277.44299999999998</v>
      </c>
      <c r="BX313" s="23">
        <f t="shared" si="1979"/>
        <v>-18.11806996366936</v>
      </c>
      <c r="BY313" s="56"/>
      <c r="BZ313" s="23"/>
      <c r="CA313" s="56"/>
      <c r="CB313" s="23"/>
      <c r="CC313" s="56"/>
      <c r="CD313" s="23"/>
      <c r="CE313" s="56"/>
      <c r="CF313" s="23"/>
      <c r="CG313" s="56"/>
      <c r="CH313" s="23"/>
      <c r="CI313" s="56"/>
      <c r="CJ313" s="23"/>
      <c r="CK313" s="56"/>
      <c r="CL313" s="23"/>
      <c r="CM313" s="56"/>
      <c r="CN313" s="23"/>
      <c r="CO313" s="56"/>
      <c r="CP313" s="23"/>
      <c r="CQ313" s="56"/>
      <c r="CR313" s="23"/>
      <c r="CS313" s="23" t="str">
        <f t="shared" si="1980"/>
        <v>NA</v>
      </c>
    </row>
    <row r="314" spans="1:97" ht="12.75" hidden="1" customHeight="1" outlineLevel="1" x14ac:dyDescent="0.2">
      <c r="A314" s="164" t="s">
        <v>200</v>
      </c>
      <c r="B314" s="49">
        <v>183.01</v>
      </c>
      <c r="C314" s="59"/>
      <c r="D314" s="49">
        <v>194.71600000000001</v>
      </c>
      <c r="E314" s="59"/>
      <c r="F314" s="49">
        <v>195.542</v>
      </c>
      <c r="G314" s="59"/>
      <c r="H314" s="49">
        <v>207.07900000000001</v>
      </c>
      <c r="I314" s="59"/>
      <c r="J314" s="49">
        <v>207.143</v>
      </c>
      <c r="K314" s="23">
        <f t="shared" si="1944"/>
        <v>13.186711108682591</v>
      </c>
      <c r="L314" s="49">
        <v>219.97</v>
      </c>
      <c r="M314" s="23">
        <f t="shared" si="1945"/>
        <v>12.969658374247617</v>
      </c>
      <c r="N314" s="49">
        <v>212.40799999999999</v>
      </c>
      <c r="O314" s="23">
        <f t="shared" si="1946"/>
        <v>8.6252569780405075</v>
      </c>
      <c r="P314" s="49">
        <v>217.506</v>
      </c>
      <c r="Q314" s="23">
        <f t="shared" si="1947"/>
        <v>5.0352763921015509</v>
      </c>
      <c r="R314" s="49"/>
      <c r="S314" s="23"/>
      <c r="T314" s="49"/>
      <c r="U314" s="23"/>
      <c r="V314" s="49"/>
      <c r="W314" s="23"/>
      <c r="X314" s="49"/>
      <c r="Y314" s="23" t="str">
        <f t="shared" si="1948"/>
        <v>NM</v>
      </c>
      <c r="Z314" s="49"/>
      <c r="AA314" s="23" t="str">
        <f t="shared" si="1949"/>
        <v>NA</v>
      </c>
      <c r="AB314" s="49"/>
      <c r="AC314" s="23" t="str">
        <f t="shared" si="1950"/>
        <v>NA</v>
      </c>
      <c r="AD314" s="49"/>
      <c r="AE314" s="23" t="str">
        <f t="shared" si="1951"/>
        <v>NA</v>
      </c>
      <c r="AF314" s="49"/>
      <c r="AG314" s="23" t="str">
        <f t="shared" si="1952"/>
        <v>NA</v>
      </c>
      <c r="AH314" s="49"/>
      <c r="AI314" s="23" t="str">
        <f t="shared" si="1953"/>
        <v>NA</v>
      </c>
      <c r="AJ314" s="49"/>
      <c r="AK314" s="23" t="str">
        <f t="shared" si="1954"/>
        <v>NA</v>
      </c>
      <c r="AL314" s="49"/>
      <c r="AM314" s="23" t="str">
        <f t="shared" si="1955"/>
        <v>NA</v>
      </c>
      <c r="AN314" s="158"/>
      <c r="AO314" s="23" t="str">
        <f t="shared" si="1957"/>
        <v>NA</v>
      </c>
      <c r="AP314" s="158"/>
      <c r="AQ314" s="23" t="str">
        <f t="shared" si="1958"/>
        <v>NA</v>
      </c>
      <c r="AR314" s="158"/>
      <c r="AS314" s="23" t="str">
        <f t="shared" si="1960"/>
        <v>NA</v>
      </c>
      <c r="AT314" s="158"/>
      <c r="AU314" s="23" t="str">
        <f t="shared" si="1961"/>
        <v>NA</v>
      </c>
      <c r="AV314" s="158"/>
      <c r="AW314" s="23" t="str">
        <f t="shared" si="1963"/>
        <v>NA</v>
      </c>
      <c r="AX314" s="158"/>
      <c r="AY314" s="23" t="str">
        <f t="shared" si="1964"/>
        <v>NA</v>
      </c>
      <c r="AZ314" s="158"/>
      <c r="BA314" s="23" t="str">
        <f t="shared" si="1966"/>
        <v>NA</v>
      </c>
      <c r="BB314" s="158"/>
      <c r="BC314" s="23" t="str">
        <f t="shared" si="1968"/>
        <v>NA</v>
      </c>
      <c r="BD314" s="158"/>
      <c r="BE314" s="23" t="str">
        <f t="shared" si="1969"/>
        <v>NA</v>
      </c>
      <c r="BF314" s="49"/>
      <c r="BG314" s="23" t="str">
        <f t="shared" si="1971"/>
        <v>NA</v>
      </c>
      <c r="BH314" s="49"/>
      <c r="BI314" s="23" t="str">
        <f t="shared" si="1973"/>
        <v>NA</v>
      </c>
      <c r="BJ314" s="49"/>
      <c r="BK314" s="23" t="str">
        <f t="shared" si="1975"/>
        <v>NA</v>
      </c>
      <c r="BL314" s="49"/>
      <c r="BM314" s="23" t="str">
        <f t="shared" si="1977"/>
        <v>NA</v>
      </c>
      <c r="BO314" s="137"/>
      <c r="BQ314" s="74"/>
      <c r="BR314" s="153"/>
      <c r="BS314" s="74"/>
      <c r="BT314" s="32"/>
      <c r="BU314" s="56">
        <f>B314+D314+F314+H314</f>
        <v>780.34699999999998</v>
      </c>
      <c r="BV314" s="23" t="str">
        <f t="shared" si="1978"/>
        <v>NA</v>
      </c>
      <c r="BW314" s="56">
        <f>J314+L314+N314+P314</f>
        <v>857.02699999999993</v>
      </c>
      <c r="BX314" s="23">
        <f t="shared" si="1979"/>
        <v>9.8263977435679273</v>
      </c>
      <c r="BY314" s="56"/>
      <c r="BZ314" s="23"/>
      <c r="CA314" s="56"/>
      <c r="CB314" s="23"/>
      <c r="CC314" s="56"/>
      <c r="CD314" s="23"/>
      <c r="CE314" s="56"/>
      <c r="CF314" s="23"/>
      <c r="CG314" s="56"/>
      <c r="CH314" s="23"/>
      <c r="CI314" s="56"/>
      <c r="CJ314" s="23"/>
      <c r="CK314" s="49"/>
      <c r="CL314" s="23"/>
      <c r="CM314" s="49"/>
      <c r="CN314" s="23"/>
      <c r="CO314" s="49"/>
      <c r="CP314" s="23"/>
      <c r="CQ314" s="49"/>
      <c r="CR314" s="23"/>
      <c r="CS314" s="23" t="str">
        <f t="shared" si="1980"/>
        <v>NA</v>
      </c>
    </row>
    <row r="315" spans="1:97" ht="12.75" hidden="1" customHeight="1" outlineLevel="1" x14ac:dyDescent="0.2">
      <c r="A315" s="164" t="s">
        <v>280</v>
      </c>
      <c r="B315" s="49">
        <f>-78.626-54.329</f>
        <v>-132.95500000000001</v>
      </c>
      <c r="C315" s="59"/>
      <c r="D315" s="49">
        <f>-78.938-63.677</f>
        <v>-142.61500000000001</v>
      </c>
      <c r="E315" s="59"/>
      <c r="F315" s="49">
        <f>-99.44-57.152</f>
        <v>-156.59199999999998</v>
      </c>
      <c r="G315" s="59"/>
      <c r="H315" s="49">
        <f>-88.371-56.376</f>
        <v>-144.74699999999999</v>
      </c>
      <c r="I315" s="59"/>
      <c r="J315" s="49">
        <f>-85.539-64.044</f>
        <v>-149.583</v>
      </c>
      <c r="K315" s="23">
        <f t="shared" si="1944"/>
        <v>12.506487157308843</v>
      </c>
      <c r="L315" s="49">
        <f>-104.013-69.842</f>
        <v>-173.85500000000002</v>
      </c>
      <c r="M315" s="23">
        <f t="shared" si="1945"/>
        <v>21.905129193983797</v>
      </c>
      <c r="N315" s="49">
        <f>-108.677-60.98</f>
        <v>-169.65700000000001</v>
      </c>
      <c r="O315" s="23">
        <f t="shared" si="1946"/>
        <v>8.3433381015633135</v>
      </c>
      <c r="P315" s="49">
        <f>-89.746-56.266</f>
        <v>-146.012</v>
      </c>
      <c r="Q315" s="23">
        <f t="shared" si="1947"/>
        <v>0.87393866539549059</v>
      </c>
      <c r="R315" s="49"/>
      <c r="S315" s="23"/>
      <c r="T315" s="49"/>
      <c r="U315" s="23"/>
      <c r="V315" s="49"/>
      <c r="W315" s="23"/>
      <c r="X315" s="49"/>
      <c r="Y315" s="23" t="str">
        <f t="shared" si="1948"/>
        <v>NM</v>
      </c>
      <c r="Z315" s="49"/>
      <c r="AA315" s="23" t="str">
        <f t="shared" si="1949"/>
        <v>NA</v>
      </c>
      <c r="AB315" s="49"/>
      <c r="AC315" s="23" t="str">
        <f t="shared" si="1950"/>
        <v>NA</v>
      </c>
      <c r="AD315" s="49"/>
      <c r="AE315" s="23" t="str">
        <f t="shared" si="1951"/>
        <v>NA</v>
      </c>
      <c r="AF315" s="49"/>
      <c r="AG315" s="23" t="str">
        <f t="shared" si="1952"/>
        <v>NA</v>
      </c>
      <c r="AH315" s="49"/>
      <c r="AI315" s="23" t="str">
        <f t="shared" si="1953"/>
        <v>NA</v>
      </c>
      <c r="AJ315" s="49"/>
      <c r="AK315" s="23" t="str">
        <f t="shared" si="1954"/>
        <v>NA</v>
      </c>
      <c r="AL315" s="49"/>
      <c r="AM315" s="23" t="str">
        <f t="shared" si="1955"/>
        <v>NA</v>
      </c>
      <c r="AN315" s="158"/>
      <c r="AO315" s="23" t="str">
        <f t="shared" si="1957"/>
        <v>NA</v>
      </c>
      <c r="AP315" s="158"/>
      <c r="AQ315" s="23" t="str">
        <f t="shared" si="1958"/>
        <v>NA</v>
      </c>
      <c r="AR315" s="158"/>
      <c r="AS315" s="23" t="str">
        <f t="shared" si="1960"/>
        <v>NA</v>
      </c>
      <c r="AT315" s="158"/>
      <c r="AU315" s="23" t="str">
        <f t="shared" si="1961"/>
        <v>NA</v>
      </c>
      <c r="AV315" s="158"/>
      <c r="AW315" s="23" t="str">
        <f t="shared" si="1963"/>
        <v>NA</v>
      </c>
      <c r="AX315" s="158"/>
      <c r="AY315" s="23" t="str">
        <f t="shared" si="1964"/>
        <v>NA</v>
      </c>
      <c r="AZ315" s="158"/>
      <c r="BA315" s="23" t="str">
        <f t="shared" si="1966"/>
        <v>NA</v>
      </c>
      <c r="BB315" s="158"/>
      <c r="BC315" s="23" t="str">
        <f t="shared" si="1968"/>
        <v>NA</v>
      </c>
      <c r="BD315" s="158"/>
      <c r="BE315" s="23" t="str">
        <f t="shared" si="1969"/>
        <v>NA</v>
      </c>
      <c r="BF315" s="56"/>
      <c r="BG315" s="23" t="str">
        <f t="shared" si="1971"/>
        <v>NA</v>
      </c>
      <c r="BH315" s="56"/>
      <c r="BI315" s="23" t="str">
        <f t="shared" si="1973"/>
        <v>NA</v>
      </c>
      <c r="BJ315" s="56"/>
      <c r="BK315" s="23" t="str">
        <f t="shared" si="1975"/>
        <v>NA</v>
      </c>
      <c r="BL315" s="56"/>
      <c r="BM315" s="23" t="str">
        <f t="shared" si="1977"/>
        <v>NA</v>
      </c>
      <c r="BO315" s="137"/>
      <c r="BQ315" s="74"/>
      <c r="BR315" s="153"/>
      <c r="BS315" s="74"/>
      <c r="BT315" s="32"/>
      <c r="BU315" s="56">
        <f>B315+D315+F315+H315</f>
        <v>-576.90899999999999</v>
      </c>
      <c r="BV315" s="23" t="str">
        <f t="shared" si="1978"/>
        <v>NA</v>
      </c>
      <c r="BW315" s="56">
        <f>J315+L315+N315+P315</f>
        <v>-639.10699999999997</v>
      </c>
      <c r="BX315" s="23">
        <f t="shared" si="1979"/>
        <v>10.781249729160059</v>
      </c>
      <c r="BY315" s="56"/>
      <c r="BZ315" s="23"/>
      <c r="CA315" s="56"/>
      <c r="CB315" s="23"/>
      <c r="CC315" s="56"/>
      <c r="CD315" s="23"/>
      <c r="CE315" s="56"/>
      <c r="CF315" s="23"/>
      <c r="CG315" s="56"/>
      <c r="CH315" s="23"/>
      <c r="CI315" s="56"/>
      <c r="CJ315" s="23"/>
      <c r="CK315" s="56"/>
      <c r="CL315" s="23"/>
      <c r="CM315" s="56"/>
      <c r="CN315" s="23"/>
      <c r="CO315" s="56"/>
      <c r="CP315" s="23"/>
      <c r="CQ315" s="56"/>
      <c r="CR315" s="23"/>
      <c r="CS315" s="23" t="str">
        <f t="shared" si="1980"/>
        <v>NA</v>
      </c>
    </row>
    <row r="316" spans="1:97" ht="12.75" hidden="1" customHeight="1" outlineLevel="1" x14ac:dyDescent="0.2">
      <c r="A316" s="96" t="s">
        <v>202</v>
      </c>
      <c r="B316" s="56">
        <f>B314+B315</f>
        <v>50.054999999999978</v>
      </c>
      <c r="C316" s="59"/>
      <c r="D316" s="56">
        <f>D314+D315</f>
        <v>52.100999999999999</v>
      </c>
      <c r="E316" s="59"/>
      <c r="F316" s="56">
        <f>F314+F315</f>
        <v>38.950000000000017</v>
      </c>
      <c r="G316" s="59"/>
      <c r="H316" s="56">
        <f>H314+H315</f>
        <v>62.332000000000022</v>
      </c>
      <c r="I316" s="59"/>
      <c r="J316" s="56">
        <f>J314+J315</f>
        <v>57.56</v>
      </c>
      <c r="K316" s="23">
        <f t="shared" si="1944"/>
        <v>14.993507142143692</v>
      </c>
      <c r="L316" s="56">
        <f>L314+L315</f>
        <v>46.114999999999981</v>
      </c>
      <c r="M316" s="23">
        <f t="shared" si="1945"/>
        <v>-11.489222855607418</v>
      </c>
      <c r="N316" s="56">
        <f>N314+N315</f>
        <v>42.750999999999976</v>
      </c>
      <c r="O316" s="23">
        <f t="shared" si="1946"/>
        <v>9.7586649550704951</v>
      </c>
      <c r="P316" s="56">
        <f>P314+P315</f>
        <v>71.494</v>
      </c>
      <c r="Q316" s="23">
        <f t="shared" si="1947"/>
        <v>14.698710132837034</v>
      </c>
      <c r="R316" s="56"/>
      <c r="S316" s="23"/>
      <c r="T316" s="56"/>
      <c r="U316" s="23"/>
      <c r="V316" s="56"/>
      <c r="W316" s="23"/>
      <c r="X316" s="56"/>
      <c r="Y316" s="23" t="str">
        <f t="shared" si="1948"/>
        <v>NM</v>
      </c>
      <c r="Z316" s="56"/>
      <c r="AA316" s="23" t="str">
        <f t="shared" si="1949"/>
        <v>NA</v>
      </c>
      <c r="AB316" s="56"/>
      <c r="AC316" s="23" t="str">
        <f t="shared" si="1950"/>
        <v>NA</v>
      </c>
      <c r="AD316" s="56"/>
      <c r="AE316" s="23" t="str">
        <f t="shared" si="1951"/>
        <v>NA</v>
      </c>
      <c r="AF316" s="56"/>
      <c r="AG316" s="23" t="str">
        <f t="shared" si="1952"/>
        <v>NA</v>
      </c>
      <c r="AH316" s="56"/>
      <c r="AI316" s="23" t="str">
        <f t="shared" si="1953"/>
        <v>NA</v>
      </c>
      <c r="AJ316" s="56"/>
      <c r="AK316" s="23" t="str">
        <f t="shared" si="1954"/>
        <v>NA</v>
      </c>
      <c r="AL316" s="56"/>
      <c r="AM316" s="23" t="str">
        <f t="shared" si="1955"/>
        <v>NA</v>
      </c>
      <c r="AN316" s="413"/>
      <c r="AO316" s="23" t="str">
        <f t="shared" si="1957"/>
        <v>NA</v>
      </c>
      <c r="AP316" s="413"/>
      <c r="AQ316" s="23" t="str">
        <f t="shared" si="1958"/>
        <v>NA</v>
      </c>
      <c r="AR316" s="413"/>
      <c r="AS316" s="23" t="str">
        <f t="shared" si="1960"/>
        <v>NA</v>
      </c>
      <c r="AT316" s="413"/>
      <c r="AU316" s="23" t="str">
        <f t="shared" si="1961"/>
        <v>NA</v>
      </c>
      <c r="AV316" s="413"/>
      <c r="AW316" s="23" t="str">
        <f t="shared" si="1963"/>
        <v>NA</v>
      </c>
      <c r="AX316" s="413"/>
      <c r="AY316" s="23" t="str">
        <f t="shared" si="1964"/>
        <v>NA</v>
      </c>
      <c r="AZ316" s="413"/>
      <c r="BA316" s="23" t="str">
        <f t="shared" si="1966"/>
        <v>NA</v>
      </c>
      <c r="BB316" s="413"/>
      <c r="BC316" s="23" t="str">
        <f t="shared" si="1968"/>
        <v>NA</v>
      </c>
      <c r="BD316" s="413"/>
      <c r="BE316" s="23" t="str">
        <f t="shared" si="1969"/>
        <v>NA</v>
      </c>
      <c r="BF316" s="56"/>
      <c r="BG316" s="23" t="str">
        <f t="shared" si="1971"/>
        <v>NA</v>
      </c>
      <c r="BH316" s="56"/>
      <c r="BI316" s="23" t="str">
        <f t="shared" si="1973"/>
        <v>NA</v>
      </c>
      <c r="BJ316" s="56"/>
      <c r="BK316" s="23" t="str">
        <f t="shared" si="1975"/>
        <v>NA</v>
      </c>
      <c r="BL316" s="56"/>
      <c r="BM316" s="23" t="str">
        <f t="shared" si="1977"/>
        <v>NA</v>
      </c>
      <c r="BO316" s="137"/>
      <c r="BQ316" s="112"/>
      <c r="BR316" s="153"/>
      <c r="BS316" s="112"/>
      <c r="BT316" s="32"/>
      <c r="BU316" s="56">
        <f>BU314+BU315</f>
        <v>203.43799999999999</v>
      </c>
      <c r="BV316" s="23" t="str">
        <f t="shared" si="1978"/>
        <v>NA</v>
      </c>
      <c r="BW316" s="56">
        <f>BW314+BW315</f>
        <v>217.91999999999996</v>
      </c>
      <c r="BX316" s="23">
        <f t="shared" si="1979"/>
        <v>7.1186307376202906</v>
      </c>
      <c r="BY316" s="56"/>
      <c r="BZ316" s="23"/>
      <c r="CA316" s="56"/>
      <c r="CB316" s="23"/>
      <c r="CC316" s="56"/>
      <c r="CD316" s="23"/>
      <c r="CE316" s="56"/>
      <c r="CF316" s="23"/>
      <c r="CG316" s="56"/>
      <c r="CH316" s="23"/>
      <c r="CI316" s="56"/>
      <c r="CJ316" s="23"/>
      <c r="CK316" s="56"/>
      <c r="CL316" s="23"/>
      <c r="CM316" s="56"/>
      <c r="CN316" s="23"/>
      <c r="CO316" s="56"/>
      <c r="CP316" s="23"/>
      <c r="CQ316" s="56"/>
      <c r="CR316" s="23"/>
      <c r="CS316" s="23" t="str">
        <f t="shared" si="1980"/>
        <v>NA</v>
      </c>
    </row>
    <row r="317" spans="1:97" ht="12.75" customHeight="1" collapsed="1" x14ac:dyDescent="0.2">
      <c r="A317" s="13" t="s">
        <v>209</v>
      </c>
      <c r="B317" s="56">
        <f>B313+B316</f>
        <v>128.30699999999999</v>
      </c>
      <c r="C317" s="59"/>
      <c r="D317" s="56">
        <f>D313+D316</f>
        <v>147.96900000000002</v>
      </c>
      <c r="E317" s="59"/>
      <c r="F317" s="56">
        <f>F313+F316</f>
        <v>142.238</v>
      </c>
      <c r="G317" s="59"/>
      <c r="H317" s="56">
        <f>H313+H316</f>
        <v>123.75699999999998</v>
      </c>
      <c r="I317" s="59"/>
      <c r="J317" s="56">
        <f>J313+J316</f>
        <v>119.00400000000002</v>
      </c>
      <c r="K317" s="23">
        <f t="shared" si="1944"/>
        <v>-7.2505786901727598</v>
      </c>
      <c r="L317" s="56">
        <f>L313+L316</f>
        <v>99.49199999999999</v>
      </c>
      <c r="M317" s="23">
        <f t="shared" si="1945"/>
        <v>-32.761591955071687</v>
      </c>
      <c r="N317" s="56">
        <f>N313+N316</f>
        <v>130.48799999999997</v>
      </c>
      <c r="O317" s="23">
        <f t="shared" si="1946"/>
        <v>-8.2608023172429554</v>
      </c>
      <c r="P317" s="56">
        <f>P313+P316</f>
        <v>146.37899999999999</v>
      </c>
      <c r="Q317" s="23">
        <f t="shared" si="1947"/>
        <v>18.279370055835244</v>
      </c>
      <c r="R317" s="49">
        <v>115.9</v>
      </c>
      <c r="S317" s="23">
        <f>IF(ISERROR((R317/J317-1)*100),"NA",IF(((R317/J317-1)*100)&gt;100,"NM",IF(((R317/J317-1)*100)&lt;-50,"NM",(R317/J317-1)*100)))</f>
        <v>-2.6083156868676793</v>
      </c>
      <c r="T317" s="49">
        <v>115.8</v>
      </c>
      <c r="U317" s="23">
        <f>IF(ISERROR((T317/L317-1)*100),"NA",IF(((T317/L317-1)*100)&gt;100,"NM",IF(((T317/L317-1)*100)&lt;-50,"NM",(T317/L317-1)*100)))</f>
        <v>16.391267639609232</v>
      </c>
      <c r="V317" s="49">
        <v>119.9</v>
      </c>
      <c r="W317" s="23">
        <f>IF(ISERROR((V317/N317-1)*100),"NA",IF(((V317/N317-1)*100)&gt;100,"NM",IF(((V317/N317-1)*100)&lt;-50,"NM",(V317/N317-1)*100)))</f>
        <v>-8.1141560909815169</v>
      </c>
      <c r="X317" s="49">
        <v>100.4</v>
      </c>
      <c r="Y317" s="23">
        <f t="shared" si="1948"/>
        <v>-31.410926430703846</v>
      </c>
      <c r="Z317" s="49">
        <v>86.7</v>
      </c>
      <c r="AA317" s="23">
        <f t="shared" si="1949"/>
        <v>-25.19413287316652</v>
      </c>
      <c r="AB317" s="49">
        <v>123.9</v>
      </c>
      <c r="AC317" s="23">
        <f t="shared" si="1950"/>
        <v>6.9948186528497436</v>
      </c>
      <c r="AD317" s="49">
        <v>93.4</v>
      </c>
      <c r="AE317" s="23">
        <f t="shared" si="1951"/>
        <v>-22.101751459549625</v>
      </c>
      <c r="AF317" s="49">
        <v>137.69999999999999</v>
      </c>
      <c r="AG317" s="23">
        <f t="shared" si="1952"/>
        <v>37.151394422310744</v>
      </c>
      <c r="AH317" s="49">
        <v>88.2</v>
      </c>
      <c r="AI317" s="23">
        <f t="shared" si="1953"/>
        <v>1.730103806228378</v>
      </c>
      <c r="AJ317" s="49">
        <v>90.7</v>
      </c>
      <c r="AK317" s="23">
        <f t="shared" si="1954"/>
        <v>-26.79580306698951</v>
      </c>
      <c r="AL317" s="49">
        <v>63.3</v>
      </c>
      <c r="AM317" s="23">
        <f t="shared" si="1955"/>
        <v>-32.226980728051402</v>
      </c>
      <c r="AN317" s="158">
        <v>128.4</v>
      </c>
      <c r="AO317" s="23">
        <f t="shared" si="1957"/>
        <v>-6.7538126361655682</v>
      </c>
      <c r="AP317" s="158">
        <v>90.8</v>
      </c>
      <c r="AQ317" s="23">
        <f t="shared" si="1958"/>
        <v>2.947845804988658</v>
      </c>
      <c r="AR317" s="158">
        <v>86.1</v>
      </c>
      <c r="AS317" s="23">
        <f t="shared" si="1960"/>
        <v>-5.0716648291069593</v>
      </c>
      <c r="AT317" s="158">
        <v>67.5</v>
      </c>
      <c r="AU317" s="23">
        <f t="shared" si="1961"/>
        <v>6.6350710900473953</v>
      </c>
      <c r="AV317" s="158">
        <v>72.8</v>
      </c>
      <c r="AW317" s="23">
        <f t="shared" si="1963"/>
        <v>-43.302180685358259</v>
      </c>
      <c r="AX317" s="158">
        <v>82.1</v>
      </c>
      <c r="AY317" s="23">
        <f t="shared" si="1964"/>
        <v>-9.58149779735683</v>
      </c>
      <c r="AZ317" s="158">
        <v>98.3</v>
      </c>
      <c r="BA317" s="23">
        <f t="shared" si="1966"/>
        <v>14.169570267131238</v>
      </c>
      <c r="BB317" s="158">
        <v>96.3</v>
      </c>
      <c r="BC317" s="23">
        <f t="shared" si="1968"/>
        <v>42.66666666666665</v>
      </c>
      <c r="BD317" s="158">
        <v>98</v>
      </c>
      <c r="BE317" s="23">
        <f t="shared" si="1969"/>
        <v>34.615384615384627</v>
      </c>
      <c r="BF317" s="56">
        <f>BF328/400*BF300</f>
        <v>95.670013374999996</v>
      </c>
      <c r="BG317" s="23">
        <f t="shared" si="1971"/>
        <v>16.528639920828269</v>
      </c>
      <c r="BH317" s="56">
        <f t="shared" ref="BH317" si="1983">BH328/400*BH300</f>
        <v>96.2894499034375</v>
      </c>
      <c r="BI317" s="23">
        <f t="shared" si="1973"/>
        <v>-2.0453205458418111</v>
      </c>
      <c r="BJ317" s="56">
        <f t="shared" ref="BJ317" si="1984">BJ328/400*BJ300</f>
        <v>96.912919152264067</v>
      </c>
      <c r="BK317" s="23">
        <f t="shared" si="1975"/>
        <v>0.63646848625551478</v>
      </c>
      <c r="BL317" s="56">
        <f t="shared" ref="BL317" si="1985">BL328/400*BL300</f>
        <v>97.530484743890966</v>
      </c>
      <c r="BM317" s="23">
        <f t="shared" si="1977"/>
        <v>-0.47909720011125589</v>
      </c>
      <c r="BN317" s="10"/>
      <c r="BO317" s="137"/>
      <c r="BP317" s="10"/>
      <c r="BQ317" s="49">
        <v>628.70000000000005</v>
      </c>
      <c r="BR317" s="32"/>
      <c r="BS317" s="49">
        <v>557.70000000000005</v>
      </c>
      <c r="BT317" s="32"/>
      <c r="BU317" s="56">
        <f>BU313+BU316</f>
        <v>542.27099999999973</v>
      </c>
      <c r="BV317" s="23">
        <f t="shared" si="1978"/>
        <v>-2.7665411511565874</v>
      </c>
      <c r="BW317" s="56">
        <f>BW313+BW316</f>
        <v>495.36299999999994</v>
      </c>
      <c r="BX317" s="23">
        <f t="shared" si="1979"/>
        <v>-8.6502874024242171</v>
      </c>
      <c r="BY317" s="56">
        <f>R317+T317+V317+X317</f>
        <v>452</v>
      </c>
      <c r="BZ317" s="23">
        <f>IF(ISERROR((BY317/BW317-1)*100),"NA",IF(((BY317/BW317-1)*100)&gt;100,"NM",IF(((BY317/BW317-1)*100)&lt;-50,"NM",(BY317/BW317-1)*100)))</f>
        <v>-8.7537825796436088</v>
      </c>
      <c r="CA317" s="56">
        <f>Z317+AB317+AD317+AF317</f>
        <v>441.7</v>
      </c>
      <c r="CB317" s="23">
        <f>IF(ISERROR((CA317/BY317-1)*100),"NA",IF(((CA317/BY317-1)*100)&gt;100,"NM",IF(((CA317/BY317-1)*100)&lt;-50,"NM",(CA317/BY317-1)*100)))</f>
        <v>-2.2787610619469101</v>
      </c>
      <c r="CC317" s="56">
        <f>AH317+AJ317+AL317+AN317</f>
        <v>370.6</v>
      </c>
      <c r="CD317" s="23">
        <f>IF(ISERROR((CC317/CA317-1)*100),"NA",IF(((CC317/CA317-1)*100)&gt;100,"NM",IF(((CC317/CA317-1)*100)&lt;-50,"NM",(CC317/CA317-1)*100)))</f>
        <v>-16.096898347294541</v>
      </c>
      <c r="CE317" s="56">
        <f>AP317+AR317+AT317+AV317</f>
        <v>317.2</v>
      </c>
      <c r="CF317" s="23">
        <f>IF(ISERROR((CE317/CC317-1)*100),"NA",IF(((CE317/CC317-1)*100)&gt;100,"NM",IF(((CE317/CC317-1)*100)&lt;-50,"NM",(CE317/CC317-1)*100)))</f>
        <v>-14.409066378845125</v>
      </c>
      <c r="CG317" s="56">
        <f>AX317+AZ317+BB317+BD317</f>
        <v>374.7</v>
      </c>
      <c r="CH317" s="23">
        <f>IF(ISERROR((CG317/CE317-1)*100),"NA",IF(((CG317/CE317-1)*100)&gt;100,"NM",IF(((CG317/CE317-1)*100)&lt;-50,"NM",(CG317/CE317-1)*100)))</f>
        <v>18.127364438839844</v>
      </c>
      <c r="CI317" s="56">
        <f>BF317+BH317+BJ317+BL317</f>
        <v>386.40286717459253</v>
      </c>
      <c r="CJ317" s="23">
        <f>IF(ISERROR((CI317/CG317-1)*100),"NA",IF(((CI317/CG317-1)*100)&gt;100,"NM",IF(((CI317/CG317-1)*100)&lt;-50,"NM",(CI317/CG317-1)*100)))</f>
        <v>3.1232631904436925</v>
      </c>
      <c r="CK317" s="56">
        <f>CK328/100*CK300</f>
        <v>394.79480961508676</v>
      </c>
      <c r="CL317" s="23">
        <f>IF(ISERROR((CK317/CI317-1)*100),"NA",IF(((CK317/CI317-1)*100)&gt;100,"NM",IF(((CK317/CI317-1)*100)&lt;-50,"NM",(CK317/CI317-1)*100)))</f>
        <v>2.1718116384220387</v>
      </c>
      <c r="CM317" s="56">
        <f>CM328/100*CM300</f>
        <v>405.02161160379796</v>
      </c>
      <c r="CN317" s="23">
        <f>IF(ISERROR((CM317/CK317-1)*100),"NA",IF(((CM317/CK317-1)*100)&gt;100,"NM",IF(((CM317/CK317-1)*100)&lt;-50,"NM",(CM317/CK317-1)*100)))</f>
        <v>2.5904094328600857</v>
      </c>
      <c r="CO317" s="56">
        <f>CO328/100*CO300</f>
        <v>415.51479159467698</v>
      </c>
      <c r="CP317" s="23">
        <f>IF(ISERROR((CO317/CM317-1)*100),"NA",IF(((CO317/CM317-1)*100)&gt;100,"NM",IF(((CO317/CM317-1)*100)&lt;-50,"NM",(CO317/CM317-1)*100)))</f>
        <v>2.5907703910732716</v>
      </c>
      <c r="CQ317" s="56">
        <f>CQ328/100*CQ300</f>
        <v>426.28133027635147</v>
      </c>
      <c r="CR317" s="23">
        <f>IF(ISERROR((CQ317/CO317-1)*100),"NA",IF(((CQ317/CO317-1)*100)&gt;100,"NM",IF(((CQ317/CO317-1)*100)&lt;-50,"NM",(CQ317/CO317-1)*100)))</f>
        <v>2.591132469762214</v>
      </c>
      <c r="CS317" s="23">
        <f t="shared" si="1980"/>
        <v>2.6130328430601146</v>
      </c>
    </row>
    <row r="318" spans="1:97" ht="12.75" customHeight="1" x14ac:dyDescent="0.2">
      <c r="A318" s="13" t="s">
        <v>103</v>
      </c>
      <c r="B318" s="56">
        <f>B309+B310+B317</f>
        <v>208.93599999999998</v>
      </c>
      <c r="C318" s="59"/>
      <c r="D318" s="56">
        <f>D309+D310+D317</f>
        <v>235.57300000000004</v>
      </c>
      <c r="E318" s="59"/>
      <c r="F318" s="56">
        <f>F309+F310+F317</f>
        <v>217.846</v>
      </c>
      <c r="G318" s="59"/>
      <c r="H318" s="56">
        <f>H309+H310+H317</f>
        <v>175.53999999999996</v>
      </c>
      <c r="I318" s="59"/>
      <c r="J318" s="56">
        <f>J309+J310+J317</f>
        <v>195.15800000000002</v>
      </c>
      <c r="K318" s="23">
        <f t="shared" si="1944"/>
        <v>-6.5943638243289637</v>
      </c>
      <c r="L318" s="56">
        <f>L309+L310+L317</f>
        <v>162.68700000000001</v>
      </c>
      <c r="M318" s="23">
        <f t="shared" si="1945"/>
        <v>-30.939878508997221</v>
      </c>
      <c r="N318" s="56">
        <f>N309+N310+N317</f>
        <v>194.71199999999996</v>
      </c>
      <c r="O318" s="23">
        <f t="shared" si="1946"/>
        <v>-10.619428403551156</v>
      </c>
      <c r="P318" s="56">
        <f>P309+P310+P317</f>
        <v>189.779</v>
      </c>
      <c r="Q318" s="23">
        <f t="shared" si="1947"/>
        <v>8.1115415289962698</v>
      </c>
      <c r="R318" s="56">
        <f>R309+R310+R317</f>
        <v>173</v>
      </c>
      <c r="S318" s="23">
        <f>IF(ISERROR((R318/J318-1)*100),"NA",IF(((R318/J318-1)*100)&gt;100,"NM",IF(((R318/J318-1)*100)&lt;-50,"NM",(R318/J318-1)*100)))</f>
        <v>-11.353877371155685</v>
      </c>
      <c r="T318" s="56">
        <f>T309+T310+T317</f>
        <v>169</v>
      </c>
      <c r="U318" s="23">
        <f>IF(ISERROR((T318/L318-1)*100),"NA",IF(((T318/L318-1)*100)&gt;100,"NM",IF(((T318/L318-1)*100)&lt;-50,"NM",(T318/L318-1)*100)))</f>
        <v>3.8804575657551021</v>
      </c>
      <c r="V318" s="56">
        <f>V309+V310+V317</f>
        <v>219.7</v>
      </c>
      <c r="W318" s="23">
        <f>IF(ISERROR((V318/N318-1)*100),"NA",IF(((V318/N318-1)*100)&gt;100,"NM",IF(((V318/N318-1)*100)&lt;-50,"NM",(V318/N318-1)*100)))</f>
        <v>12.833312790172169</v>
      </c>
      <c r="X318" s="56">
        <f>X309+X310+X317</f>
        <v>163.30000000000001</v>
      </c>
      <c r="Y318" s="23">
        <f t="shared" si="1948"/>
        <v>-13.952544802111921</v>
      </c>
      <c r="Z318" s="56">
        <f>Z309+Z310+Z317</f>
        <v>146.10000000000002</v>
      </c>
      <c r="AA318" s="23">
        <f t="shared" si="1949"/>
        <v>-15.549132947976862</v>
      </c>
      <c r="AB318" s="56">
        <f>AB309+AB310+AB317</f>
        <v>180.39999999999998</v>
      </c>
      <c r="AC318" s="23">
        <f t="shared" si="1950"/>
        <v>6.745562130177496</v>
      </c>
      <c r="AD318" s="56">
        <f>AD309+AD310+AD317</f>
        <v>157.40000000000003</v>
      </c>
      <c r="AE318" s="23">
        <f t="shared" si="1951"/>
        <v>-28.35685025034136</v>
      </c>
      <c r="AF318" s="56">
        <f>AF309+AF310+AF317</f>
        <v>207.7</v>
      </c>
      <c r="AG318" s="23">
        <f t="shared" si="1952"/>
        <v>27.189222290263302</v>
      </c>
      <c r="AH318" s="56">
        <f>AH309+AH310+AH317</f>
        <v>157.69999999999999</v>
      </c>
      <c r="AI318" s="23">
        <f t="shared" si="1953"/>
        <v>7.9397672826830634</v>
      </c>
      <c r="AJ318" s="56">
        <f>AJ309+AJ310+AJ317</f>
        <v>159.60000000000002</v>
      </c>
      <c r="AK318" s="23">
        <f t="shared" si="1954"/>
        <v>-11.529933481152966</v>
      </c>
      <c r="AL318" s="56">
        <f>AL309+AL310+AL317</f>
        <v>128.6</v>
      </c>
      <c r="AM318" s="23">
        <f t="shared" si="1955"/>
        <v>-18.297331639135983</v>
      </c>
      <c r="AN318" s="413">
        <f t="shared" ref="AN318:AP318" si="1986">AN309+AN310+AN317</f>
        <v>196.5</v>
      </c>
      <c r="AO318" s="23">
        <f t="shared" si="1957"/>
        <v>-5.3923928743379808</v>
      </c>
      <c r="AP318" s="413">
        <f t="shared" si="1986"/>
        <v>151.20000000000002</v>
      </c>
      <c r="AQ318" s="23">
        <f t="shared" si="1958"/>
        <v>-4.1217501585288367</v>
      </c>
      <c r="AR318" s="413">
        <f t="shared" ref="AR318:AT318" si="1987">AR309+AR310+AR317</f>
        <v>149.5</v>
      </c>
      <c r="AS318" s="23">
        <f t="shared" si="1960"/>
        <v>-6.3283208020050274</v>
      </c>
      <c r="AT318" s="413">
        <f t="shared" si="1987"/>
        <v>130.19999999999999</v>
      </c>
      <c r="AU318" s="23">
        <f t="shared" si="1961"/>
        <v>1.2441679626749469</v>
      </c>
      <c r="AV318" s="413">
        <f t="shared" ref="AV318:AX318" si="1988">AV309+AV310+AV317</f>
        <v>148.9</v>
      </c>
      <c r="AW318" s="23">
        <f t="shared" si="1963"/>
        <v>-24.223918575063607</v>
      </c>
      <c r="AX318" s="413">
        <f t="shared" si="1988"/>
        <v>144.80000000000001</v>
      </c>
      <c r="AY318" s="23">
        <f t="shared" si="1964"/>
        <v>-4.2328042328042326</v>
      </c>
      <c r="AZ318" s="413">
        <f t="shared" ref="AZ318" si="1989">AZ309+AZ310+AZ317</f>
        <v>161.5</v>
      </c>
      <c r="BA318" s="23">
        <f t="shared" si="1966"/>
        <v>8.026755852842804</v>
      </c>
      <c r="BB318" s="413">
        <f t="shared" ref="BB318:BD318" si="1990">BB309+BB310+BB317</f>
        <v>166</v>
      </c>
      <c r="BC318" s="23">
        <f t="shared" si="1968"/>
        <v>27.49615975422428</v>
      </c>
      <c r="BD318" s="413">
        <f t="shared" si="1990"/>
        <v>168</v>
      </c>
      <c r="BE318" s="23">
        <f t="shared" si="1969"/>
        <v>12.82740094022834</v>
      </c>
      <c r="BF318" s="56">
        <f t="shared" ref="BF318" si="1991">BF309+BF310+BF317</f>
        <v>165.69198683711551</v>
      </c>
      <c r="BG318" s="23">
        <f t="shared" si="1971"/>
        <v>14.428167705190265</v>
      </c>
      <c r="BH318" s="56">
        <f t="shared" ref="BH318" si="1992">BH309+BH310+BH317</f>
        <v>166.51609194969126</v>
      </c>
      <c r="BI318" s="23">
        <f t="shared" si="1973"/>
        <v>3.1059392877345271</v>
      </c>
      <c r="BJ318" s="56">
        <f t="shared" ref="BJ318" si="1993">BJ309+BJ310+BJ317</f>
        <v>167.66182146130689</v>
      </c>
      <c r="BK318" s="23">
        <f t="shared" si="1975"/>
        <v>1.001097265847517</v>
      </c>
      <c r="BL318" s="56">
        <f t="shared" ref="BL318" si="1994">BL309+BL310+BL317</f>
        <v>168.50175955636865</v>
      </c>
      <c r="BM318" s="23">
        <f t="shared" si="1977"/>
        <v>0.29866640260038935</v>
      </c>
      <c r="BN318" s="10"/>
      <c r="BO318" s="137"/>
      <c r="BP318" s="10"/>
      <c r="BQ318" s="56">
        <f>BQ309+BQ310+BQ317</f>
        <v>861.7</v>
      </c>
      <c r="BR318" s="32"/>
      <c r="BS318" s="56">
        <f>BS309+BS310+BS317</f>
        <v>852.7</v>
      </c>
      <c r="BT318" s="32"/>
      <c r="BU318" s="56">
        <f>BU309+BU310+BU317</f>
        <v>837.89499999999975</v>
      </c>
      <c r="BV318" s="23">
        <f t="shared" si="1978"/>
        <v>-1.7362495602205152</v>
      </c>
      <c r="BW318" s="56">
        <f>BW309+BW310+BW317</f>
        <v>742.3359999999999</v>
      </c>
      <c r="BX318" s="23">
        <f t="shared" si="1979"/>
        <v>-11.404650940750315</v>
      </c>
      <c r="BY318" s="56">
        <f>BY309+BY310+BY317</f>
        <v>725</v>
      </c>
      <c r="BZ318" s="23">
        <f>IF(ISERROR((BY318/BW318-1)*100),"NA",IF(((BY318/BW318-1)*100)&gt;100,"NM",IF(((BY318/BW318-1)*100)&lt;-50,"NM",(BY318/BW318-1)*100)))</f>
        <v>-2.3353306319510159</v>
      </c>
      <c r="CA318" s="56">
        <f>CA309+CA310+CA317</f>
        <v>691.6</v>
      </c>
      <c r="CB318" s="23">
        <f>IF(ISERROR((CA318/BY318-1)*100),"NA",IF(((CA318/BY318-1)*100)&gt;100,"NM",IF(((CA318/BY318-1)*100)&lt;-50,"NM",(CA318/BY318-1)*100)))</f>
        <v>-4.6068965517241374</v>
      </c>
      <c r="CC318" s="56">
        <f>CC309+CC310+CC317</f>
        <v>642.4</v>
      </c>
      <c r="CD318" s="23">
        <f>IF(ISERROR((CC318/CA318-1)*100),"NA",IF(((CC318/CA318-1)*100)&gt;100,"NM",IF(((CC318/CA318-1)*100)&lt;-50,"NM",(CC318/CA318-1)*100)))</f>
        <v>-7.1139386928860677</v>
      </c>
      <c r="CE318" s="56">
        <f>CE309+CE310+CE317</f>
        <v>579.79999999999995</v>
      </c>
      <c r="CF318" s="23">
        <f>IF(ISERROR((CE318/CC318-1)*100),"NA",IF(((CE318/CC318-1)*100)&gt;100,"NM",IF(((CE318/CC318-1)*100)&lt;-50,"NM",(CE318/CC318-1)*100)))</f>
        <v>-9.7447073474470791</v>
      </c>
      <c r="CG318" s="56">
        <f>CG309+CG310+CG317</f>
        <v>640.29999999999995</v>
      </c>
      <c r="CH318" s="23">
        <f>IF(ISERROR((CG318/CE318-1)*100),"NA",IF(((CG318/CE318-1)*100)&gt;100,"NM",IF(((CG318/CE318-1)*100)&lt;-50,"NM",(CG318/CE318-1)*100)))</f>
        <v>10.434632631942042</v>
      </c>
      <c r="CI318" s="56">
        <f>CI309+CI310+CI317</f>
        <v>668.37165980448231</v>
      </c>
      <c r="CJ318" s="23">
        <f>IF(ISERROR((CI318/CG318-1)*100),"NA",IF(((CI318/CG318-1)*100)&gt;100,"NM",IF(((CI318/CG318-1)*100)&lt;-50,"NM",(CI318/CG318-1)*100)))</f>
        <v>4.3841417779919345</v>
      </c>
      <c r="CK318" s="56">
        <f>CK309+CK310+CK317</f>
        <v>684.18301832523662</v>
      </c>
      <c r="CL318" s="23">
        <f>IF(ISERROR((CK318/CI318-1)*100),"NA",IF(((CK318/CI318-1)*100)&gt;100,"NM",IF(((CK318/CI318-1)*100)&lt;-50,"NM",(CK318/CI318-1)*100)))</f>
        <v>2.3656536432708153</v>
      </c>
      <c r="CM318" s="56">
        <f>CM309+CM310+CM317</f>
        <v>702.03591303170151</v>
      </c>
      <c r="CN318" s="23">
        <f>IF(ISERROR((CM318/CK318-1)*100),"NA",IF(((CM318/CK318-1)*100)&gt;100,"NM",IF(((CM318/CK318-1)*100)&lt;-50,"NM",(CM318/CK318-1)*100)))</f>
        <v>2.6093741335711185</v>
      </c>
      <c r="CO318" s="56">
        <f>CO309+CO310+CO317</f>
        <v>720.36540743327805</v>
      </c>
      <c r="CP318" s="23">
        <f>IF(ISERROR((CO318/CM318-1)*100),"NA",IF(((CO318/CM318-1)*100)&gt;100,"NM",IF(((CO318/CM318-1)*100)&lt;-50,"NM",(CO318/CM318-1)*100)))</f>
        <v>2.6109055194087905</v>
      </c>
      <c r="CQ318" s="56">
        <f>CQ309+CQ310+CQ317</f>
        <v>739.18471622966752</v>
      </c>
      <c r="CR318" s="23">
        <f>IF(ISERROR((CQ318/CO318-1)*100),"NA",IF(((CQ318/CO318-1)*100)&gt;100,"NM",IF(((CQ318/CO318-1)*100)&lt;-50,"NM",(CQ318/CO318-1)*100)))</f>
        <v>2.6124670343963707</v>
      </c>
      <c r="CS318" s="23">
        <f t="shared" si="1980"/>
        <v>2.9138665699684818</v>
      </c>
    </row>
    <row r="319" spans="1:97" ht="12.75" customHeight="1" x14ac:dyDescent="0.2">
      <c r="A319" s="13" t="s">
        <v>102</v>
      </c>
      <c r="B319" s="49">
        <v>159.35499999999999</v>
      </c>
      <c r="C319" s="59"/>
      <c r="D319" s="49">
        <v>162.27699999999999</v>
      </c>
      <c r="E319" s="59"/>
      <c r="F319" s="49">
        <v>164.005</v>
      </c>
      <c r="G319" s="59"/>
      <c r="H319" s="49">
        <v>165.50700000000001</v>
      </c>
      <c r="I319" s="59"/>
      <c r="J319" s="49">
        <v>159.86699999999999</v>
      </c>
      <c r="K319" s="23">
        <f t="shared" si="1944"/>
        <v>0.32129522136110644</v>
      </c>
      <c r="L319" s="49">
        <v>160.45099999999999</v>
      </c>
      <c r="M319" s="23">
        <f t="shared" si="1945"/>
        <v>-1.1252364783672308</v>
      </c>
      <c r="N319" s="49">
        <v>163.09800000000001</v>
      </c>
      <c r="O319" s="23">
        <f t="shared" si="1946"/>
        <v>-0.55303191975852872</v>
      </c>
      <c r="P319" s="49">
        <v>166.1</v>
      </c>
      <c r="Q319" s="23">
        <f t="shared" si="1947"/>
        <v>0.35829300271286169</v>
      </c>
      <c r="R319" s="49">
        <v>162.30000000000001</v>
      </c>
      <c r="S319" s="23">
        <f>IF(ISERROR((R319/J319-1)*100),"NA",IF(((R319/J319-1)*100)&gt;100,"NM",IF(((R319/J319-1)*100)&lt;-50,"NM",(R319/J319-1)*100)))</f>
        <v>1.5218900711216232</v>
      </c>
      <c r="T319" s="49">
        <v>163.80000000000001</v>
      </c>
      <c r="U319" s="23">
        <f>IF(ISERROR((T319/L319-1)*100),"NA",IF(((T319/L319-1)*100)&gt;100,"NM",IF(((T319/L319-1)*100)&lt;-50,"NM",(T319/L319-1)*100)))</f>
        <v>2.0872415877744688</v>
      </c>
      <c r="V319" s="49">
        <v>162.5</v>
      </c>
      <c r="W319" s="23">
        <f>IF(ISERROR((V319/N319-1)*100),"NA",IF(((V319/N319-1)*100)&gt;100,"NM",IF(((V319/N319-1)*100)&lt;-50,"NM",(V319/N319-1)*100)))</f>
        <v>-0.36665072533078602</v>
      </c>
      <c r="X319" s="49">
        <v>165.1</v>
      </c>
      <c r="Y319" s="23">
        <f t="shared" si="1948"/>
        <v>-0.60204695966284971</v>
      </c>
      <c r="Z319" s="49">
        <v>162.1</v>
      </c>
      <c r="AA319" s="23">
        <f t="shared" si="1949"/>
        <v>-0.12322858903266454</v>
      </c>
      <c r="AB319" s="49">
        <v>163.9</v>
      </c>
      <c r="AC319" s="23">
        <f t="shared" si="1950"/>
        <v>6.1050061050060833E-2</v>
      </c>
      <c r="AD319" s="49">
        <v>164.8</v>
      </c>
      <c r="AE319" s="23">
        <f t="shared" si="1951"/>
        <v>1.4153846153846183</v>
      </c>
      <c r="AF319" s="49">
        <v>157.9</v>
      </c>
      <c r="AG319" s="23">
        <f t="shared" si="1952"/>
        <v>-4.3609933373712888</v>
      </c>
      <c r="AH319" s="49">
        <v>155.4</v>
      </c>
      <c r="AI319" s="23">
        <f t="shared" si="1953"/>
        <v>-4.1332510795805018</v>
      </c>
      <c r="AJ319" s="49">
        <v>154.6</v>
      </c>
      <c r="AK319" s="23">
        <f t="shared" si="1954"/>
        <v>-5.6741915802318577</v>
      </c>
      <c r="AL319" s="49">
        <v>157</v>
      </c>
      <c r="AM319" s="23">
        <f t="shared" si="1955"/>
        <v>-4.7330097087378675</v>
      </c>
      <c r="AN319" s="158">
        <v>151.9</v>
      </c>
      <c r="AO319" s="23">
        <f t="shared" si="1957"/>
        <v>-3.799873337555415</v>
      </c>
      <c r="AP319" s="158">
        <v>149.69999999999999</v>
      </c>
      <c r="AQ319" s="23">
        <f t="shared" si="1958"/>
        <v>-3.6679536679536828</v>
      </c>
      <c r="AR319" s="158">
        <v>150.80000000000001</v>
      </c>
      <c r="AS319" s="23">
        <f t="shared" si="1960"/>
        <v>-2.4579560155239211</v>
      </c>
      <c r="AT319" s="158">
        <v>153.1</v>
      </c>
      <c r="AU319" s="23">
        <f t="shared" si="1961"/>
        <v>-2.4840764331210186</v>
      </c>
      <c r="AV319" s="158">
        <v>150.4</v>
      </c>
      <c r="AW319" s="23">
        <f t="shared" si="1963"/>
        <v>-0.98749177090190488</v>
      </c>
      <c r="AX319" s="158">
        <v>149.69999999999999</v>
      </c>
      <c r="AY319" s="23">
        <f t="shared" si="1964"/>
        <v>0</v>
      </c>
      <c r="AZ319" s="158">
        <v>149.9</v>
      </c>
      <c r="BA319" s="23">
        <f t="shared" si="1966"/>
        <v>-0.59681697612732343</v>
      </c>
      <c r="BB319" s="158">
        <v>149.9</v>
      </c>
      <c r="BC319" s="23">
        <f t="shared" si="1968"/>
        <v>-2.09013716525146</v>
      </c>
      <c r="BD319" s="158">
        <v>150</v>
      </c>
      <c r="BE319" s="23">
        <f t="shared" si="1969"/>
        <v>-0.26595744680851796</v>
      </c>
      <c r="BF319" s="36">
        <f t="shared" ref="BF319" si="1995">BF302*BF324/400</f>
        <v>150.78857605026258</v>
      </c>
      <c r="BG319" s="23">
        <f t="shared" si="1971"/>
        <v>0.72717171026224214</v>
      </c>
      <c r="BH319" s="36">
        <f t="shared" ref="BH319" si="1996">BH302*BH324/400</f>
        <v>151.73100465057675</v>
      </c>
      <c r="BI319" s="23">
        <f t="shared" si="1973"/>
        <v>1.2214840897776913</v>
      </c>
      <c r="BJ319" s="36">
        <f t="shared" ref="BJ319" si="1997">BJ302*BJ324/400</f>
        <v>152.67932342964284</v>
      </c>
      <c r="BK319" s="23">
        <f t="shared" si="1975"/>
        <v>1.8541183653387749</v>
      </c>
      <c r="BL319" s="36">
        <f t="shared" ref="BL319" si="1998">BL302*BL324/400</f>
        <v>154.43349694428358</v>
      </c>
      <c r="BM319" s="23">
        <f t="shared" si="1977"/>
        <v>2.9556646295223921</v>
      </c>
      <c r="BN319" s="10"/>
      <c r="BO319" s="137"/>
      <c r="BP319" s="10"/>
      <c r="BQ319" s="74"/>
      <c r="BR319" s="153"/>
      <c r="BS319" s="74"/>
      <c r="BT319" s="32"/>
      <c r="BU319" s="116">
        <f>B319+D319+F319+H319</f>
        <v>651.14400000000001</v>
      </c>
      <c r="BV319" s="23" t="str">
        <f t="shared" si="1978"/>
        <v>NA</v>
      </c>
      <c r="BW319" s="56">
        <f>J319+L319+N319+P319</f>
        <v>649.51599999999996</v>
      </c>
      <c r="BX319" s="23">
        <f t="shared" si="1979"/>
        <v>-0.25002150062045647</v>
      </c>
      <c r="BY319" s="56">
        <f>R319+T319+V319+X319</f>
        <v>653.70000000000005</v>
      </c>
      <c r="BZ319" s="23">
        <f>IF(ISERROR((BY319/BW319-1)*100),"NA",IF(((BY319/BW319-1)*100)&gt;100,"NM",IF(((BY319/BW319-1)*100)&lt;-50,"NM",(BY319/BW319-1)*100)))</f>
        <v>0.64417196805006682</v>
      </c>
      <c r="CA319" s="56">
        <f>Z319+AB319+AD319+AF319</f>
        <v>648.70000000000005</v>
      </c>
      <c r="CB319" s="23">
        <f>IF(ISERROR((CA319/BY319-1)*100),"NA",IF(((CA319/BY319-1)*100)&gt;100,"NM",IF(((CA319/BY319-1)*100)&lt;-50,"NM",(CA319/BY319-1)*100)))</f>
        <v>-0.76487685482636847</v>
      </c>
      <c r="CC319" s="56">
        <f>AH319+AJ319+AL319+AN319</f>
        <v>618.9</v>
      </c>
      <c r="CD319" s="23">
        <f>IF(ISERROR((CC319/CA319-1)*100),"NA",IF(((CC319/CA319-1)*100)&gt;100,"NM",IF(((CC319/CA319-1)*100)&lt;-50,"NM",(CC319/CA319-1)*100)))</f>
        <v>-4.5938029905965845</v>
      </c>
      <c r="CE319" s="56">
        <f>AP319+AR319+AT319+AV319</f>
        <v>604</v>
      </c>
      <c r="CF319" s="23">
        <f>IF(ISERROR((CE319/CC319-1)*100),"NA",IF(((CE319/CC319-1)*100)&gt;100,"NM",IF(((CE319/CC319-1)*100)&lt;-50,"NM",(CE319/CC319-1)*100)))</f>
        <v>-2.4074971724026506</v>
      </c>
      <c r="CG319" s="56">
        <f>AX319+AZ319+BB319+BD319</f>
        <v>599.5</v>
      </c>
      <c r="CH319" s="23">
        <f>IF(ISERROR((CG319/CE319-1)*100),"NA",IF(((CG319/CE319-1)*100)&gt;100,"NM",IF(((CG319/CE319-1)*100)&lt;-50,"NM",(CG319/CE319-1)*100)))</f>
        <v>-0.74503311258278249</v>
      </c>
      <c r="CI319" s="56">
        <f>BF319+BH319+BJ319+BL319</f>
        <v>609.63240107476577</v>
      </c>
      <c r="CJ319" s="23">
        <f>IF(ISERROR((CI319/CG319-1)*100),"NA",IF(((CI319/CG319-1)*100)&gt;100,"NM",IF(((CI319/CG319-1)*100)&lt;-50,"NM",(CI319/CG319-1)*100)))</f>
        <v>1.6901419640977133</v>
      </c>
      <c r="CK319" s="36">
        <f>CK302*CK324/100</f>
        <v>624.86738152425426</v>
      </c>
      <c r="CL319" s="23">
        <f>IF(ISERROR((CK319/CI319-1)*100),"NA",IF(((CK319/CI319-1)*100)&gt;100,"NM",IF(((CK319/CI319-1)*100)&lt;-50,"NM",(CK319/CI319-1)*100)))</f>
        <v>2.4990437553236378</v>
      </c>
      <c r="CM319" s="36">
        <f>CM302*CM324/100</f>
        <v>640.48906606236051</v>
      </c>
      <c r="CN319" s="23">
        <f>IF(ISERROR((CM319/CK319-1)*100),"NA",IF(((CM319/CK319-1)*100)&gt;100,"NM",IF(((CM319/CK319-1)*100)&lt;-50,"NM",(CM319/CK319-1)*100)))</f>
        <v>2.4999999999999911</v>
      </c>
      <c r="CO319" s="36">
        <f>CO302*CO324/100</f>
        <v>656.50129271391938</v>
      </c>
      <c r="CP319" s="23">
        <f>IF(ISERROR((CO319/CM319-1)*100),"NA",IF(((CO319/CM319-1)*100)&gt;100,"NM",IF(((CO319/CM319-1)*100)&lt;-50,"NM",(CO319/CM319-1)*100)))</f>
        <v>2.4999999999999689</v>
      </c>
      <c r="CQ319" s="36">
        <f>CQ302*CQ324/100</f>
        <v>672.91382503176749</v>
      </c>
      <c r="CR319" s="23">
        <f>IF(ISERROR((CQ319/CO319-1)*100),"NA",IF(((CQ319/CO319-1)*100)&gt;100,"NM",IF(((CQ319/CO319-1)*100)&lt;-50,"NM",(CQ319/CO319-1)*100)))</f>
        <v>2.5000000000000133</v>
      </c>
      <c r="CS319" s="23">
        <f t="shared" si="1980"/>
        <v>2.3373231075529244</v>
      </c>
    </row>
    <row r="320" spans="1:97" ht="12.75" customHeight="1" x14ac:dyDescent="0.2">
      <c r="A320" s="4" t="s">
        <v>15</v>
      </c>
      <c r="B320" s="36">
        <f t="shared" ref="B320:Z320" si="1999">B318+B319</f>
        <v>368.29099999999994</v>
      </c>
      <c r="C320" s="59"/>
      <c r="D320" s="36">
        <f t="shared" si="1999"/>
        <v>397.85</v>
      </c>
      <c r="E320" s="59"/>
      <c r="F320" s="36">
        <f t="shared" si="1999"/>
        <v>381.851</v>
      </c>
      <c r="G320" s="59"/>
      <c r="H320" s="36">
        <f t="shared" si="1999"/>
        <v>341.04699999999997</v>
      </c>
      <c r="I320" s="59"/>
      <c r="J320" s="36">
        <f t="shared" si="1999"/>
        <v>355.02499999999998</v>
      </c>
      <c r="K320" s="23">
        <f t="shared" si="1944"/>
        <v>-3.6020429497326756</v>
      </c>
      <c r="L320" s="36">
        <f t="shared" si="1999"/>
        <v>323.13800000000003</v>
      </c>
      <c r="M320" s="23">
        <f t="shared" si="1945"/>
        <v>-18.778936785220559</v>
      </c>
      <c r="N320" s="36">
        <f t="shared" si="1999"/>
        <v>357.80999999999995</v>
      </c>
      <c r="O320" s="23">
        <f t="shared" si="1946"/>
        <v>-6.2959112323917044</v>
      </c>
      <c r="P320" s="36">
        <f t="shared" si="1999"/>
        <v>355.87900000000002</v>
      </c>
      <c r="Q320" s="23">
        <f t="shared" si="1947"/>
        <v>4.3489607004313369</v>
      </c>
      <c r="R320" s="36">
        <f t="shared" si="1999"/>
        <v>335.3</v>
      </c>
      <c r="S320" s="23">
        <f>IF(ISERROR((R320/J320-1)*100),"NA",IF(((R320/J320-1)*100)&gt;100,"NM",IF(((R320/J320-1)*100)&lt;-50,"NM",(R320/J320-1)*100)))</f>
        <v>-5.5559467643123579</v>
      </c>
      <c r="T320" s="36">
        <f t="shared" si="1999"/>
        <v>332.8</v>
      </c>
      <c r="U320" s="23">
        <f>IF(ISERROR((T320/L320-1)*100),"NA",IF(((T320/L320-1)*100)&gt;100,"NM",IF(((T320/L320-1)*100)&lt;-50,"NM",(T320/L320-1)*100)))</f>
        <v>2.990053785070157</v>
      </c>
      <c r="V320" s="36">
        <f t="shared" si="1999"/>
        <v>382.2</v>
      </c>
      <c r="W320" s="23">
        <f>IF(ISERROR((V320/N320-1)*100),"NA",IF(((V320/N320-1)*100)&gt;100,"NM",IF(((V320/N320-1)*100)&lt;-50,"NM",(V320/N320-1)*100)))</f>
        <v>6.8164668399429917</v>
      </c>
      <c r="X320" s="36">
        <f t="shared" si="1999"/>
        <v>328.4</v>
      </c>
      <c r="Y320" s="23">
        <f t="shared" si="1948"/>
        <v>-7.721444648321496</v>
      </c>
      <c r="Z320" s="36">
        <f t="shared" si="1999"/>
        <v>308.20000000000005</v>
      </c>
      <c r="AA320" s="23">
        <f t="shared" si="1949"/>
        <v>-8.0823143453623523</v>
      </c>
      <c r="AB320" s="36">
        <f t="shared" ref="AB320:AD320" si="2000">AB318+AB319</f>
        <v>344.29999999999995</v>
      </c>
      <c r="AC320" s="23">
        <f t="shared" si="1950"/>
        <v>3.4555288461538325</v>
      </c>
      <c r="AD320" s="36">
        <f t="shared" si="2000"/>
        <v>322.20000000000005</v>
      </c>
      <c r="AE320" s="23">
        <f t="shared" si="1951"/>
        <v>-15.698587127158536</v>
      </c>
      <c r="AF320" s="36">
        <f>AF318+AF319</f>
        <v>365.6</v>
      </c>
      <c r="AG320" s="23">
        <f t="shared" si="1952"/>
        <v>11.327649208282597</v>
      </c>
      <c r="AH320" s="36">
        <f>AH318+AH319</f>
        <v>313.10000000000002</v>
      </c>
      <c r="AI320" s="23">
        <f t="shared" si="1953"/>
        <v>1.589876703439308</v>
      </c>
      <c r="AJ320" s="36">
        <f>AJ318+AJ319</f>
        <v>314.20000000000005</v>
      </c>
      <c r="AK320" s="23">
        <f t="shared" si="1954"/>
        <v>-8.7423758350275715</v>
      </c>
      <c r="AL320" s="36">
        <f>AL318+AL319</f>
        <v>285.60000000000002</v>
      </c>
      <c r="AM320" s="23">
        <f t="shared" si="1955"/>
        <v>-11.359404096834268</v>
      </c>
      <c r="AN320" s="410">
        <f t="shared" ref="AN320:AP320" si="2001">AN318+AN319</f>
        <v>348.4</v>
      </c>
      <c r="AO320" s="23">
        <f t="shared" si="1957"/>
        <v>-4.7045951859956308</v>
      </c>
      <c r="AP320" s="410">
        <f t="shared" si="2001"/>
        <v>300.89999999999998</v>
      </c>
      <c r="AQ320" s="23">
        <f t="shared" si="1958"/>
        <v>-3.8965186841264932</v>
      </c>
      <c r="AR320" s="410">
        <f t="shared" ref="AR320:AT320" si="2002">AR318+AR319</f>
        <v>300.3</v>
      </c>
      <c r="AS320" s="23">
        <f t="shared" si="1960"/>
        <v>-4.4239338001273225</v>
      </c>
      <c r="AT320" s="410">
        <f t="shared" si="2002"/>
        <v>283.29999999999995</v>
      </c>
      <c r="AU320" s="23">
        <f t="shared" si="1961"/>
        <v>-0.80532212885155996</v>
      </c>
      <c r="AV320" s="410">
        <f t="shared" ref="AV320:AX320" si="2003">AV318+AV319</f>
        <v>299.3</v>
      </c>
      <c r="AW320" s="23">
        <f t="shared" si="1963"/>
        <v>-14.092996555683113</v>
      </c>
      <c r="AX320" s="410">
        <f t="shared" si="2003"/>
        <v>294.5</v>
      </c>
      <c r="AY320" s="23">
        <f t="shared" si="1964"/>
        <v>-2.126952475905608</v>
      </c>
      <c r="AZ320" s="410">
        <f t="shared" ref="AZ320" si="2004">AZ318+AZ319</f>
        <v>311.39999999999998</v>
      </c>
      <c r="BA320" s="23">
        <f t="shared" si="1966"/>
        <v>3.6963036963036933</v>
      </c>
      <c r="BB320" s="410">
        <f t="shared" ref="BB320:BD320" si="2005">BB318+BB319</f>
        <v>315.89999999999998</v>
      </c>
      <c r="BC320" s="23">
        <f t="shared" si="1968"/>
        <v>11.507236145428879</v>
      </c>
      <c r="BD320" s="410">
        <f t="shared" si="2005"/>
        <v>318</v>
      </c>
      <c r="BE320" s="23">
        <f t="shared" si="1969"/>
        <v>6.2479117941864226</v>
      </c>
      <c r="BF320" s="36">
        <f t="shared" ref="BF320" si="2006">BF318+BF319</f>
        <v>316.48056288737808</v>
      </c>
      <c r="BG320" s="23">
        <f t="shared" si="1971"/>
        <v>7.4636885865460467</v>
      </c>
      <c r="BH320" s="36">
        <f t="shared" ref="BH320" si="2007">BH318+BH319</f>
        <v>318.24709660026804</v>
      </c>
      <c r="BI320" s="23">
        <f t="shared" si="1973"/>
        <v>2.1988107258407386</v>
      </c>
      <c r="BJ320" s="36">
        <f t="shared" ref="BJ320" si="2008">BJ318+BJ319</f>
        <v>320.34114489094975</v>
      </c>
      <c r="BK320" s="23">
        <f t="shared" si="1975"/>
        <v>1.4058704941278144</v>
      </c>
      <c r="BL320" s="36">
        <f t="shared" ref="BL320" si="2009">BL318+BL319</f>
        <v>322.93525650065226</v>
      </c>
      <c r="BM320" s="23">
        <f t="shared" si="1977"/>
        <v>1.5519674530352967</v>
      </c>
      <c r="BN320" s="10"/>
      <c r="BO320" s="137"/>
      <c r="BP320" s="10"/>
      <c r="BQ320" s="112"/>
      <c r="BR320" s="153"/>
      <c r="BS320" s="112"/>
      <c r="BT320" s="32"/>
      <c r="BU320" s="36">
        <f t="shared" ref="BU320:CA320" si="2010">BU318+BU319</f>
        <v>1489.0389999999998</v>
      </c>
      <c r="BV320" s="23" t="str">
        <f t="shared" si="1978"/>
        <v>NA</v>
      </c>
      <c r="BW320" s="36">
        <f t="shared" si="2010"/>
        <v>1391.8519999999999</v>
      </c>
      <c r="BX320" s="23">
        <f t="shared" si="1979"/>
        <v>-6.5268270340803625</v>
      </c>
      <c r="BY320" s="36">
        <f t="shared" si="2010"/>
        <v>1378.7</v>
      </c>
      <c r="BZ320" s="23">
        <f>IF(ISERROR((BY320/BW320-1)*100),"NA",IF(((BY320/BW320-1)*100)&gt;100,"NM",IF(((BY320/BW320-1)*100)&lt;-50,"NM",(BY320/BW320-1)*100)))</f>
        <v>-0.9449280526952486</v>
      </c>
      <c r="CA320" s="36">
        <f t="shared" si="2010"/>
        <v>1340.3000000000002</v>
      </c>
      <c r="CB320" s="23">
        <f>IF(ISERROR((CA320/BY320-1)*100),"NA",IF(((CA320/BY320-1)*100)&gt;100,"NM",IF(((CA320/BY320-1)*100)&lt;-50,"NM",(CA320/BY320-1)*100)))</f>
        <v>-2.7852324653659166</v>
      </c>
      <c r="CC320" s="36">
        <f t="shared" ref="CC320" si="2011">CC318+CC319</f>
        <v>1261.3</v>
      </c>
      <c r="CD320" s="23">
        <f>IF(ISERROR((CC320/CA320-1)*100),"NA",IF(((CC320/CA320-1)*100)&gt;100,"NM",IF(((CC320/CA320-1)*100)&lt;-50,"NM",(CC320/CA320-1)*100)))</f>
        <v>-5.8942027904200671</v>
      </c>
      <c r="CE320" s="36">
        <f t="shared" ref="CE320" si="2012">CE318+CE319</f>
        <v>1183.8</v>
      </c>
      <c r="CF320" s="23">
        <f>IF(ISERROR((CE320/CC320-1)*100),"NA",IF(((CE320/CC320-1)*100)&gt;100,"NM",IF(((CE320/CC320-1)*100)&lt;-50,"NM",(CE320/CC320-1)*100)))</f>
        <v>-6.1444541346230119</v>
      </c>
      <c r="CG320" s="36">
        <f t="shared" ref="CG320" si="2013">CG318+CG319</f>
        <v>1239.8</v>
      </c>
      <c r="CH320" s="23">
        <f>IF(ISERROR((CG320/CE320-1)*100),"NA",IF(((CG320/CE320-1)*100)&gt;100,"NM",IF(((CG320/CE320-1)*100)&lt;-50,"NM",(CG320/CE320-1)*100)))</f>
        <v>4.7305288055414785</v>
      </c>
      <c r="CI320" s="36">
        <f t="shared" ref="CI320" si="2014">CI318+CI319</f>
        <v>1278.0040608792481</v>
      </c>
      <c r="CJ320" s="23">
        <f>IF(ISERROR((CI320/CG320-1)*100),"NA",IF(((CI320/CG320-1)*100)&gt;100,"NM",IF(((CI320/CG320-1)*100)&lt;-50,"NM",(CI320/CG320-1)*100)))</f>
        <v>3.0814696627881943</v>
      </c>
      <c r="CK320" s="36">
        <f>CK318+CK319</f>
        <v>1309.050399849491</v>
      </c>
      <c r="CL320" s="23">
        <f>IF(ISERROR((CK320/CI320-1)*100),"NA",IF(((CK320/CI320-1)*100)&gt;100,"NM",IF(((CK320/CI320-1)*100)&lt;-50,"NM",(CK320/CI320-1)*100)))</f>
        <v>2.4292832801238173</v>
      </c>
      <c r="CM320" s="36">
        <f>CM318+CM319</f>
        <v>1342.524979094062</v>
      </c>
      <c r="CN320" s="23">
        <f>IF(ISERROR((CM320/CK320-1)*100),"NA",IF(((CM320/CK320-1)*100)&gt;100,"NM",IF(((CM320/CK320-1)*100)&lt;-50,"NM",(CM320/CK320-1)*100)))</f>
        <v>2.5571650448615202</v>
      </c>
      <c r="CO320" s="36">
        <f>CO318+CO319</f>
        <v>1376.8667001471974</v>
      </c>
      <c r="CP320" s="23">
        <f>IF(ISERROR((CO320/CM320-1)*100),"NA",IF(((CO320/CM320-1)*100)&gt;100,"NM",IF(((CO320/CM320-1)*100)&lt;-50,"NM",(CO320/CM320-1)*100)))</f>
        <v>2.5579949414654024</v>
      </c>
      <c r="CQ320" s="36">
        <f>CQ318+CQ319</f>
        <v>1412.098541261435</v>
      </c>
      <c r="CR320" s="23">
        <f>IF(ISERROR((CQ320/CO320-1)*100),"NA",IF(((CQ320/CO320-1)*100)&gt;100,"NM",IF(((CQ320/CO320-1)*100)&lt;-50,"NM",(CQ320/CO320-1)*100)))</f>
        <v>2.5588418334520746</v>
      </c>
      <c r="CS320" s="23">
        <f t="shared" si="1980"/>
        <v>2.6366986822974114</v>
      </c>
    </row>
    <row r="321" spans="1:97" ht="12.75" customHeight="1" x14ac:dyDescent="0.2">
      <c r="B321" s="35"/>
      <c r="D321" s="35"/>
      <c r="F321" s="35"/>
      <c r="H321" s="35"/>
      <c r="J321" s="35"/>
      <c r="L321" s="35"/>
      <c r="N321" s="35"/>
      <c r="P321" s="35"/>
      <c r="R321" s="35"/>
      <c r="T321" s="35"/>
      <c r="V321" s="35"/>
      <c r="X321" s="35"/>
      <c r="Z321" s="35"/>
      <c r="AB321" s="35"/>
      <c r="AD321" s="35"/>
      <c r="AF321" s="35"/>
      <c r="AH321" s="35"/>
      <c r="AJ321" s="35"/>
      <c r="AL321" s="35"/>
      <c r="AN321" s="409"/>
      <c r="AP321" s="409"/>
      <c r="AR321" s="409"/>
      <c r="AT321" s="409"/>
      <c r="AV321" s="409"/>
      <c r="AX321" s="409"/>
      <c r="AZ321" s="409"/>
      <c r="BB321" s="409"/>
      <c r="BD321" s="409"/>
      <c r="BF321" s="35"/>
      <c r="BH321" s="35"/>
      <c r="BJ321" s="35"/>
      <c r="BL321" s="35"/>
      <c r="BN321" s="10"/>
      <c r="BO321" s="138"/>
      <c r="BP321" s="10"/>
      <c r="BQ321" s="10"/>
      <c r="BR321" s="10"/>
      <c r="BS321" s="10"/>
      <c r="BT321" s="10"/>
      <c r="BU321" s="37"/>
      <c r="BW321" s="35"/>
      <c r="BY321" s="35"/>
      <c r="CA321" s="35"/>
      <c r="CC321" s="35"/>
      <c r="CE321" s="35"/>
      <c r="CG321" s="35"/>
      <c r="CI321" s="35"/>
      <c r="CK321" s="35"/>
      <c r="CM321" s="35"/>
      <c r="CO321" s="35"/>
      <c r="CQ321" s="35"/>
    </row>
    <row r="322" spans="1:97" ht="12.75" customHeight="1" x14ac:dyDescent="0.2">
      <c r="A322" s="11" t="s">
        <v>152</v>
      </c>
      <c r="B322" s="35"/>
      <c r="D322" s="35"/>
      <c r="F322" s="35"/>
      <c r="H322" s="35"/>
      <c r="J322" s="35"/>
      <c r="L322" s="35"/>
      <c r="N322" s="35"/>
      <c r="P322" s="35"/>
      <c r="R322" s="35"/>
      <c r="T322" s="35"/>
      <c r="V322" s="35"/>
      <c r="X322" s="35"/>
      <c r="Z322" s="35"/>
      <c r="AB322" s="35"/>
      <c r="AD322" s="35"/>
      <c r="AF322" s="35"/>
      <c r="AH322" s="35"/>
      <c r="AJ322" s="35"/>
      <c r="AL322" s="35"/>
      <c r="AN322" s="409"/>
      <c r="AP322" s="409"/>
      <c r="AR322" s="409"/>
      <c r="AT322" s="409"/>
      <c r="AV322" s="409"/>
      <c r="AX322" s="409"/>
      <c r="AZ322" s="409"/>
      <c r="BB322" s="409"/>
      <c r="BD322" s="409"/>
      <c r="BF322" s="35"/>
      <c r="BH322" s="35"/>
      <c r="BJ322" s="35"/>
      <c r="BL322" s="35"/>
      <c r="BN322" s="10"/>
      <c r="BO322" s="138"/>
      <c r="BP322" s="10"/>
      <c r="BQ322" s="10"/>
      <c r="BR322" s="10"/>
      <c r="BS322" s="10"/>
      <c r="BT322" s="10"/>
      <c r="BU322" s="37"/>
      <c r="BW322" s="35"/>
      <c r="BY322" s="35"/>
      <c r="CA322" s="35"/>
      <c r="CC322" s="35"/>
      <c r="CE322" s="35"/>
      <c r="CG322" s="35"/>
      <c r="CI322" s="35"/>
      <c r="CK322" s="35"/>
      <c r="CM322" s="35"/>
      <c r="CO322" s="35"/>
      <c r="CQ322" s="35"/>
    </row>
    <row r="323" spans="1:97" ht="12.75" customHeight="1" x14ac:dyDescent="0.2">
      <c r="A323" s="34" t="s">
        <v>112</v>
      </c>
      <c r="B323" s="35">
        <f>(B309+B319)/B302*400</f>
        <v>7.5992968984147815</v>
      </c>
      <c r="C323" s="59"/>
      <c r="D323" s="35">
        <f>(D309+D319)/D302*400</f>
        <v>7.8943365761110869</v>
      </c>
      <c r="E323" s="59"/>
      <c r="F323" s="35">
        <f>(F309+F319)/F302*400</f>
        <v>7.5378473254235381</v>
      </c>
      <c r="G323" s="59"/>
      <c r="H323" s="35">
        <f>(H309+H319)/H302*400</f>
        <v>6.8137190805280028</v>
      </c>
      <c r="I323" s="59"/>
      <c r="J323" s="35">
        <f>(J309+J319)/J302*400</f>
        <v>7.3849571133509917</v>
      </c>
      <c r="K323" s="23">
        <f t="shared" ref="K323:Y325" si="2015">IF(ISERROR((J323/B323-1)*100),"NA",IF(((J323/B323-1)*100)&gt;100,"NM",IF(((J323/B323-1)*100)&lt;-50,"NM",(J323/B323-1)*100)))</f>
        <v>-2.8205212657042122</v>
      </c>
      <c r="L323" s="35">
        <f>(L309+L319)/L302*400</f>
        <v>6.9197460292343305</v>
      </c>
      <c r="M323" s="23">
        <f t="shared" si="2015"/>
        <v>-12.345439511990753</v>
      </c>
      <c r="N323" s="35">
        <f>(N309+N319)/N302*400</f>
        <v>6.9700247085681175</v>
      </c>
      <c r="O323" s="23">
        <f t="shared" si="2015"/>
        <v>-7.5329546001850822</v>
      </c>
      <c r="P323" s="35">
        <f>(P309+P319)/P302*400</f>
        <v>6.3655118556881289</v>
      </c>
      <c r="Q323" s="23">
        <f t="shared" si="2015"/>
        <v>-6.5780115021287555</v>
      </c>
      <c r="R323" s="35">
        <f>(R309+R319)/R302*400</f>
        <v>6.6030769230769231</v>
      </c>
      <c r="S323" s="23">
        <f t="shared" si="2015"/>
        <v>-10.587470966629397</v>
      </c>
      <c r="T323" s="35">
        <f>(T309+T319)/T302*400</f>
        <v>6.4535031944079781</v>
      </c>
      <c r="U323" s="23">
        <f t="shared" si="2015"/>
        <v>-6.7378605061021553</v>
      </c>
      <c r="V323" s="35">
        <f>(V309+V319)/V302*400</f>
        <v>7.7948888578007498</v>
      </c>
      <c r="W323" s="23">
        <f t="shared" si="2015"/>
        <v>11.834450862400004</v>
      </c>
      <c r="X323" s="35">
        <f>(X309+X319)/X302*400</f>
        <v>6.7006675788862626</v>
      </c>
      <c r="Y323" s="23">
        <f t="shared" si="2015"/>
        <v>5.2651810380125674</v>
      </c>
      <c r="Z323" s="35">
        <f>(Z309+Z319)/Z302*400</f>
        <v>6.5012998837441174</v>
      </c>
      <c r="AA323" s="23">
        <f>IF(ISERROR((Z323/R323-1)*100),"NA",IF(((Z323/R323-1)*100)&gt;100,"NM",IF(((Z323/R323-1)*100)&lt;-50,"NM",(Z323/R323-1)*100)))</f>
        <v>-1.5413577718155547</v>
      </c>
      <c r="AB323" s="35">
        <f>(AB309+AB319)/AB302*400</f>
        <v>6.4745047640814857</v>
      </c>
      <c r="AC323" s="23">
        <f>IF(ISERROR((AB323/T323-1)*100),"NA",IF(((AB323/T323-1)*100)&gt;100,"NM",IF(((AB323/T323-1)*100)&lt;-50,"NM",(AB323/T323-1)*100)))</f>
        <v>0.32542898083176564</v>
      </c>
      <c r="AD323" s="35">
        <f>(AD309+AD319)/AD302*400</f>
        <v>6.6971330510529574</v>
      </c>
      <c r="AE323" s="23">
        <f>IF(ISERROR((AD323/V323-1)*100),"NA",IF(((AD323/V323-1)*100)&gt;100,"NM",IF(((AD323/V323-1)*100)&lt;-50,"NM",(AD323/V323-1)*100)))</f>
        <v>-14.083020640495869</v>
      </c>
      <c r="AF323" s="35">
        <f>(AF309+AF319)/AF302*400</f>
        <v>6.7707564488351402</v>
      </c>
      <c r="AG323" s="23">
        <f>IF(ISERROR((AF323/X323-1)*100),"NA",IF(((AF323/X323-1)*100)&gt;100,"NM",IF(((AF323/X323-1)*100)&lt;-50,"NM",(AF323/X323-1)*100)))</f>
        <v>1.0459983147011576</v>
      </c>
      <c r="AH323" s="35">
        <f>(AH309+AH319)/AH302*400</f>
        <v>6.7826821866236413</v>
      </c>
      <c r="AI323" s="23">
        <f>IF(ISERROR((AH323/Z323-1)*100),"NA",IF(((AH323/Z323-1)*100)&gt;100,"NM",IF(((AH323/Z323-1)*100)&lt;-50,"NM",(AH323/Z323-1)*100)))</f>
        <v>4.3280929646560828</v>
      </c>
      <c r="AJ323" s="35">
        <f>(AJ309+AJ319)/AJ302*400</f>
        <v>6.730090532453584</v>
      </c>
      <c r="AK323" s="23">
        <f>IF(ISERROR((AJ323/AB323-1)*100),"NA",IF(((AJ323/AB323-1)*100)&gt;100,"NM",IF(((AJ323/AB323-1)*100)&lt;-50,"NM",(AJ323/AB323-1)*100)))</f>
        <v>3.947572481373518</v>
      </c>
      <c r="AL323" s="35">
        <f>(AL309+AL319)/AL302*400</f>
        <v>6.7015771126706492</v>
      </c>
      <c r="AM323" s="23">
        <f>IF(ISERROR((AL323/AD323-1)*100),"NA",IF(((AL323/AD323-1)*100)&gt;100,"NM",IF(((AL323/AD323-1)*100)&lt;-50,"NM",(AL323/AD323-1)*100)))</f>
        <v>6.6357672511707655E-2</v>
      </c>
      <c r="AN323" s="409">
        <f t="shared" ref="AN323:AP323" si="2016">(AN309+AN319)/AN302*400</f>
        <v>6.7482746775754912</v>
      </c>
      <c r="AO323" s="23">
        <f>IF(ISERROR((AN323/AF323-1)*100),"NA",IF(((AN323/AF323-1)*100)&gt;100,"NM",IF(((AN323/AF323-1)*100)&lt;-50,"NM",(AN323/AF323-1)*100)))</f>
        <v>-0.332042238257102</v>
      </c>
      <c r="AP323" s="409">
        <f t="shared" si="2016"/>
        <v>6.5106559154624142</v>
      </c>
      <c r="AQ323" s="23">
        <f t="shared" ref="AQ323:AQ325" si="2017">IF(ISERROR((AP323/AH323-1)*100),"NA",IF(((AP323/AH323-1)*100)&gt;100,"NM",IF(((AP323/AH323-1)*100)&lt;-50,"NM",(AP323/AH323-1)*100)))</f>
        <v>-4.0106002857940082</v>
      </c>
      <c r="AR323" s="409">
        <f t="shared" ref="AR323:AT323" si="2018">(AR309+AR319)/AR302*400</f>
        <v>6.6324018825938831</v>
      </c>
      <c r="AS323" s="23">
        <f t="shared" ref="AS323:AS325" si="2019">IF(ISERROR((AR323/AJ323-1)*100),"NA",IF(((AR323/AJ323-1)*100)&gt;100,"NM",IF(((AR323/AJ323-1)*100)&lt;-50,"NM",(AR323/AJ323-1)*100)))</f>
        <v>-1.4515205908246065</v>
      </c>
      <c r="AT323" s="409">
        <f t="shared" si="2018"/>
        <v>6.7111546854739235</v>
      </c>
      <c r="AU323" s="23">
        <f t="shared" ref="AU323:AU325" si="2020">IF(ISERROR((AT323/AL323-1)*100),"NA",IF(((AT323/AL323-1)*100)&gt;100,"NM",IF(((AT323/AL323-1)*100)&lt;-50,"NM",(AT323/AL323-1)*100)))</f>
        <v>0.14291520700651095</v>
      </c>
      <c r="AV323" s="409">
        <f t="shared" ref="AV323:AX323" si="2021">(AV309+AV319)/AV302*400</f>
        <v>7.0401868126666569</v>
      </c>
      <c r="AW323" s="23">
        <f t="shared" ref="AW323:AW325" si="2022">IF(ISERROR((AV323/AN323-1)*100),"NA",IF(((AV323/AN323-1)*100)&gt;100,"NM",IF(((AV323/AN323-1)*100)&lt;-50,"NM",(AV323/AN323-1)*100)))</f>
        <v>4.325729894504593</v>
      </c>
      <c r="AX323" s="409">
        <f t="shared" si="2021"/>
        <v>6.57862105615368</v>
      </c>
      <c r="AY323" s="23">
        <f t="shared" ref="AY323:AY325" si="2023">IF(ISERROR((AX323/AP323-1)*100),"NA",IF(((AX323/AP323-1)*100)&gt;100,"NM",IF(((AX323/AP323-1)*100)&lt;-50,"NM",(AX323/AP323-1)*100)))</f>
        <v>1.0439061989108156</v>
      </c>
      <c r="AZ323" s="409">
        <f t="shared" ref="AZ323" si="2024">(AZ309+AZ319)/AZ302*400</f>
        <v>6.588109686687968</v>
      </c>
      <c r="BA323" s="23">
        <f t="shared" ref="BA323:BA325" si="2025">IF(ISERROR((AZ323/AR323-1)*100),"NA",IF(((AZ323/AR323-1)*100)&gt;100,"NM",IF(((AZ323/AR323-1)*100)&lt;-50,"NM",(AZ323/AR323-1)*100)))</f>
        <v>-0.6678153207536397</v>
      </c>
      <c r="BB323" s="409">
        <f t="shared" ref="BB323:BD323" si="2026">(BB309+BB319)/BB302*400</f>
        <v>6.7745624892286953</v>
      </c>
      <c r="BC323" s="23">
        <f t="shared" ref="BC323:BC325" si="2027">IF(ISERROR((BB323/AT323-1)*100),"NA",IF(((BB323/AT323-1)*100)&gt;100,"NM",IF(((BB323/AT323-1)*100)&lt;-50,"NM",(BB323/AT323-1)*100)))</f>
        <v>0.94481213332804348</v>
      </c>
      <c r="BD323" s="409">
        <f t="shared" si="2026"/>
        <v>6.7516879219804951</v>
      </c>
      <c r="BE323" s="23">
        <f t="shared" ref="BE323:BE325" si="2028">IF(ISERROR((BD323/AV323-1)*100),"NA",IF(((BD323/AV323-1)*100)&gt;100,"NM",IF(((BD323/AV323-1)*100)&lt;-50,"NM",(BD323/AV323-1)*100)))</f>
        <v>-4.0978868652618239</v>
      </c>
      <c r="BF323" s="114">
        <f t="shared" ref="BF323:BJ324" si="2029">BD323</f>
        <v>6.7516879219804951</v>
      </c>
      <c r="BG323" s="23">
        <f t="shared" ref="BG323:BG325" si="2030">IF(ISERROR((BF323/AX323-1)*100),"NA",IF(((BF323/AX323-1)*100)&gt;100,"NM",IF(((BF323/AX323-1)*100)&lt;-50,"NM",(BF323/AX323-1)*100)))</f>
        <v>2.6307468442026583</v>
      </c>
      <c r="BH323" s="114">
        <f t="shared" si="2029"/>
        <v>6.7516879219804951</v>
      </c>
      <c r="BI323" s="23">
        <f t="shared" ref="BI323:BI325" si="2031">IF(ISERROR((BH323/AZ323-1)*100),"NA",IF(((BH323/AZ323-1)*100)&gt;100,"NM",IF(((BH323/AZ323-1)*100)&lt;-50,"NM",(BH323/AZ323-1)*100)))</f>
        <v>2.4829312666584169</v>
      </c>
      <c r="BJ323" s="114">
        <f t="shared" si="2029"/>
        <v>6.7516879219804951</v>
      </c>
      <c r="BK323" s="23">
        <f t="shared" ref="BK323:BK325" si="2032">IF(ISERROR((BJ323/BB323-1)*100),"NA",IF(((BJ323/BB323-1)*100)&gt;100,"NM",IF(((BJ323/BB323-1)*100)&lt;-50,"NM",(BJ323/BB323-1)*100)))</f>
        <v>-0.33765379365191528</v>
      </c>
      <c r="BL323" s="114">
        <f t="shared" ref="BL323" si="2033">BJ323</f>
        <v>6.7516879219804951</v>
      </c>
      <c r="BM323" s="23">
        <f t="shared" ref="BM323:BM325" si="2034">IF(ISERROR((BL323/BD323-1)*100),"NA",IF(((BL323/BD323-1)*100)&gt;100,"NM",IF(((BL323/BD323-1)*100)&lt;-50,"NM",(BL323/BD323-1)*100)))</f>
        <v>0</v>
      </c>
      <c r="BN323" s="10"/>
      <c r="BO323" s="138"/>
      <c r="BP323" s="10"/>
      <c r="BQ323" s="152"/>
      <c r="BR323" s="152"/>
      <c r="BS323" s="152"/>
      <c r="BT323" s="10"/>
      <c r="BU323" s="35">
        <f>(BU309+BU319)/BU302*100</f>
        <v>7.4300674049109299</v>
      </c>
      <c r="BV323" s="23" t="str">
        <f>IF(ISERROR((BU323/BS323-1)*100),"NA",IF(((BU323/BS323-1)*100)&gt;100,"NM",IF(((BU323/BS323-1)*100)&lt;-50,"NM",(BU323/BS323-1)*100)))</f>
        <v>NA</v>
      </c>
      <c r="BW323" s="35">
        <f>(BW309+BW319)/BW302*100</f>
        <v>6.9131497217448867</v>
      </c>
      <c r="BX323" s="23">
        <f>IF(ISERROR((BW323/BU323-1)*100),"NA",IF(((BW323/BU323-1)*100)&gt;100,"NM",IF(((BW323/BU323-1)*100)&lt;-50,"NM",(BW323/BU323-1)*100)))</f>
        <v>-6.9571062413832818</v>
      </c>
      <c r="BY323" s="35">
        <f>(BY309+BY319)/BY302*100</f>
        <v>6.9246840350321044</v>
      </c>
      <c r="BZ323" s="23">
        <f>IF(ISERROR((BY323/BW323-1)*100),"NA",IF(((BY323/BW323-1)*100)&gt;100,"NM",IF(((BY323/BW323-1)*100)&lt;-50,"NM",(BY323/BW323-1)*100)))</f>
        <v>0.16684599280321066</v>
      </c>
      <c r="CA323" s="35">
        <f>(CA309+CA319)/CA302*100</f>
        <v>6.7005246206208655</v>
      </c>
      <c r="CB323" s="23">
        <f>IF(ISERROR((CA323/BY323-1)*100),"NA",IF(((CA323/BY323-1)*100)&gt;100,"NM",IF(((CA323/BY323-1)*100)&lt;-50,"NM",(CA323/BY323-1)*100)))</f>
        <v>-3.2371067514013974</v>
      </c>
      <c r="CC323" s="35">
        <f>(CC309+CC319)/CC302*100</f>
        <v>6.8308956809800607</v>
      </c>
      <c r="CD323" s="23">
        <f>IF(ISERROR((CC323/CA323-1)*100),"NA",IF(((CC323/CA323-1)*100)&gt;100,"NM",IF(((CC323/CA323-1)*100)&lt;-50,"NM",(CC323/CA323-1)*100)))</f>
        <v>1.9456843716084249</v>
      </c>
      <c r="CE323" s="35">
        <f>(CE309+CE319)/CE302*100</f>
        <v>6.7389963466131064</v>
      </c>
      <c r="CF323" s="23">
        <f>IF(ISERROR((CE323/CC323-1)*100),"NA",IF(((CE323/CC323-1)*100)&gt;100,"NM",IF(((CE323/CC323-1)*100)&lt;-50,"NM",(CE323/CC323-1)*100)))</f>
        <v>-1.345348233363286</v>
      </c>
      <c r="CG323" s="35">
        <f>(CG309+CG319)/CG302*100</f>
        <v>6.6704556589906909</v>
      </c>
      <c r="CH323" s="23">
        <f>IF(ISERROR((CG323/CE323-1)*100),"NA",IF(((CG323/CE323-1)*100)&gt;100,"NM",IF(((CG323/CE323-1)*100)&lt;-50,"NM",(CG323/CE323-1)*100)))</f>
        <v>-1.0170756014263538</v>
      </c>
      <c r="CI323" s="35">
        <f>(CI309+CI319)/CI302*100</f>
        <v>6.7519972352573747</v>
      </c>
      <c r="CJ323" s="23">
        <f>IF(ISERROR((CI323/CG323-1)*100),"NA",IF(((CI323/CG323-1)*100)&gt;100,"NM",IF(((CI323/CG323-1)*100)&lt;-50,"NM",(CI323/CG323-1)*100)))</f>
        <v>1.2224288779549619</v>
      </c>
      <c r="CK323" s="47">
        <f>CI323</f>
        <v>6.7519972352573747</v>
      </c>
      <c r="CL323" s="23">
        <f>IF(ISERROR((CK323/CI323-1)*100),"NA",IF(((CK323/CI323-1)*100)&gt;100,"NM",IF(((CK323/CI323-1)*100)&lt;-50,"NM",(CK323/CI323-1)*100)))</f>
        <v>0</v>
      </c>
      <c r="CM323" s="47">
        <f>CK323</f>
        <v>6.7519972352573747</v>
      </c>
      <c r="CN323" s="23">
        <f>IF(ISERROR((CM323/CK323-1)*100),"NA",IF(((CM323/CK323-1)*100)&gt;100,"NM",IF(((CM323/CK323-1)*100)&lt;-50,"NM",(CM323/CK323-1)*100)))</f>
        <v>0</v>
      </c>
      <c r="CO323" s="47">
        <f>CM323</f>
        <v>6.7519972352573747</v>
      </c>
      <c r="CP323" s="23">
        <f>IF(ISERROR((CO323/CM323-1)*100),"NA",IF(((CO323/CM323-1)*100)&gt;100,"NM",IF(((CO323/CM323-1)*100)&lt;-50,"NM",(CO323/CM323-1)*100)))</f>
        <v>0</v>
      </c>
      <c r="CQ323" s="47">
        <f>CO323</f>
        <v>6.7519972352573747</v>
      </c>
      <c r="CR323" s="23">
        <f>IF(ISERROR((CQ323/CO323-1)*100),"NA",IF(((CQ323/CO323-1)*100)&gt;100,"NM",IF(((CQ323/CO323-1)*100)&lt;-50,"NM",(CQ323/CO323-1)*100)))</f>
        <v>0</v>
      </c>
      <c r="CS323" s="23">
        <f>IF(ISERROR(((CQ323/CG323)^0.2-1)*100),"NA",IF((((CQ323/CG323)^0.2-1)*100)&gt;100,"NM",IF((((CQ323/CG323)^0.2-1)*100)&lt;-50,"NM",((CQ323/CG323)^0.2-1)*100)))</f>
        <v>0.24329900359434387</v>
      </c>
    </row>
    <row r="324" spans="1:97" ht="12.75" customHeight="1" x14ac:dyDescent="0.2">
      <c r="A324" s="34" t="s">
        <v>113</v>
      </c>
      <c r="B324" s="35">
        <f>B319/B302*400</f>
        <v>5.1632605120977209</v>
      </c>
      <c r="C324" s="59"/>
      <c r="D324" s="35">
        <f>D319/D302*400</f>
        <v>5.2404472611310693</v>
      </c>
      <c r="E324" s="59"/>
      <c r="F324" s="35">
        <f>F319/F302*400</f>
        <v>5.2697872066962814</v>
      </c>
      <c r="G324" s="59"/>
      <c r="H324" s="35">
        <f>H319/H302*400</f>
        <v>5.3107329223438438</v>
      </c>
      <c r="I324" s="59"/>
      <c r="J324" s="35">
        <f>J319/J302*400</f>
        <v>5.1093879214257463</v>
      </c>
      <c r="K324" s="23">
        <f t="shared" si="2015"/>
        <v>-1.0433831596478482</v>
      </c>
      <c r="L324" s="35">
        <f>L319/L302*400</f>
        <v>5.0778645884842852</v>
      </c>
      <c r="M324" s="23">
        <f t="shared" si="2015"/>
        <v>-3.1024579495852578</v>
      </c>
      <c r="N324" s="35">
        <f>N319/N302*400</f>
        <v>5.1092463299357433</v>
      </c>
      <c r="O324" s="23">
        <f t="shared" si="2015"/>
        <v>-3.0464394569203801</v>
      </c>
      <c r="P324" s="35">
        <f>P319/P302*400</f>
        <v>5.1626539024892484</v>
      </c>
      <c r="Q324" s="23">
        <f t="shared" si="2015"/>
        <v>-2.7882972467243139</v>
      </c>
      <c r="R324" s="35">
        <f>R319/R302*400</f>
        <v>4.993846153846154</v>
      </c>
      <c r="S324" s="23">
        <f t="shared" si="2015"/>
        <v>-2.2613622092595209</v>
      </c>
      <c r="T324" s="35">
        <f>T319/T302*400</f>
        <v>4.9862444492642775</v>
      </c>
      <c r="U324" s="23">
        <f t="shared" si="2015"/>
        <v>-1.8043044989381252</v>
      </c>
      <c r="V324" s="35">
        <f>V319/V302*400</f>
        <v>4.9152869204215053</v>
      </c>
      <c r="W324" s="23">
        <f t="shared" si="2015"/>
        <v>-3.7962430657884849</v>
      </c>
      <c r="X324" s="35">
        <f>X319/X302*400</f>
        <v>4.9787588536189116</v>
      </c>
      <c r="Y324" s="23">
        <f t="shared" si="2015"/>
        <v>-3.5620255074946816</v>
      </c>
      <c r="Z324" s="35">
        <f>Z319/Z302*400</f>
        <v>4.8789847738653771</v>
      </c>
      <c r="AA324" s="23">
        <f>IF(ISERROR((Z324/R324-1)*100),"NA",IF(((Z324/R324-1)*100)&gt;100,"NM",IF(((Z324/R324-1)*100)&lt;-50,"NM",(Z324/R324-1)*100)))</f>
        <v>-2.3000584407734115</v>
      </c>
      <c r="AB324" s="35">
        <f>AB319/AB302*400</f>
        <v>4.9128302353377578</v>
      </c>
      <c r="AC324" s="23">
        <f>IF(ISERROR((AB324/T324-1)*100),"NA",IF(((AB324/T324-1)*100)&gt;100,"NM",IF(((AB324/T324-1)*100)&lt;-50,"NM",(AB324/T324-1)*100)))</f>
        <v>-1.4723348338317455</v>
      </c>
      <c r="AD324" s="35">
        <f>AD319/AD302*400</f>
        <v>4.9183936132510127</v>
      </c>
      <c r="AE324" s="23">
        <f>IF(ISERROR((AD324/V324-1)*100),"NA",IF(((AD324/V324-1)*100)&gt;100,"NM",IF(((AD324/V324-1)*100)&lt;-50,"NM",(AD324/V324-1)*100)))</f>
        <v>6.3204709710840135E-2</v>
      </c>
      <c r="AF324" s="35">
        <f>AF319/AF302*400</f>
        <v>4.7813168303715061</v>
      </c>
      <c r="AG324" s="23">
        <f>IF(ISERROR((AF324/X324-1)*100),"NA",IF(((AF324/X324-1)*100)&gt;100,"NM",IF(((AF324/X324-1)*100)&lt;-50,"NM",(AF324/X324-1)*100)))</f>
        <v>-3.9656876151752285</v>
      </c>
      <c r="AH324" s="35">
        <f>AH319/AH302*400</f>
        <v>4.775844185778495</v>
      </c>
      <c r="AI324" s="23">
        <f>IF(ISERROR((AH324/Z324-1)*100),"NA",IF(((AH324/Z324-1)*100)&gt;100,"NM",IF(((AH324/Z324-1)*100)&lt;-50,"NM",(AH324/Z324-1)*100)))</f>
        <v>-2.1139764288538476</v>
      </c>
      <c r="AJ324" s="35">
        <f>AJ319/AJ302*400</f>
        <v>4.7445143470922195</v>
      </c>
      <c r="AK324" s="23">
        <f>IF(ISERROR((AJ324/AB324-1)*100),"NA",IF(((AJ324/AB324-1)*100)&gt;100,"NM",IF(((AJ324/AB324-1)*100)&lt;-50,"NM",(AJ324/AB324-1)*100)))</f>
        <v>-3.4260473125012569</v>
      </c>
      <c r="AL324" s="35">
        <f>AL319/AL302*400</f>
        <v>4.8219413688785151</v>
      </c>
      <c r="AM324" s="23">
        <f>IF(ISERROR((AL324/AD324-1)*100),"NA",IF(((AL324/AD324-1)*100)&gt;100,"NM",IF(((AL324/AD324-1)*100)&lt;-50,"NM",(AL324/AD324-1)*100)))</f>
        <v>-1.9610517570744723</v>
      </c>
      <c r="AN324" s="409">
        <f t="shared" ref="AN324:AP324" si="2035">AN319/AN302*400</f>
        <v>4.7434656340755081</v>
      </c>
      <c r="AO324" s="23">
        <f>IF(ISERROR((AN324/AF324-1)*100),"NA",IF(((AN324/AF324-1)*100)&gt;100,"NM",IF(((AN324/AF324-1)*100)&lt;-50,"NM",(AN324/AF324-1)*100)))</f>
        <v>-0.79164794216444179</v>
      </c>
      <c r="AP324" s="409">
        <f t="shared" si="2035"/>
        <v>4.7221181712438147</v>
      </c>
      <c r="AQ324" s="23">
        <f t="shared" si="2017"/>
        <v>-1.1249532531791062</v>
      </c>
      <c r="AR324" s="409">
        <f t="shared" ref="AR324:AT324" si="2036">AR319/AR302*400</f>
        <v>4.7513833914259269</v>
      </c>
      <c r="AS324" s="23">
        <f t="shared" si="2019"/>
        <v>0.14477866081104018</v>
      </c>
      <c r="AT324" s="409">
        <f t="shared" si="2036"/>
        <v>4.8420253644960303</v>
      </c>
      <c r="AU324" s="23">
        <f t="shared" si="2020"/>
        <v>0.41651264669331223</v>
      </c>
      <c r="AV324" s="409">
        <f t="shared" ref="AV324:AX324" si="2037">AV319/AV302*400</f>
        <v>4.7460515312642997</v>
      </c>
      <c r="AW324" s="23">
        <f t="shared" si="2022"/>
        <v>5.4514934612681643E-2</v>
      </c>
      <c r="AX324" s="409">
        <f t="shared" si="2037"/>
        <v>4.7143110201350202</v>
      </c>
      <c r="AY324" s="23">
        <f t="shared" si="2023"/>
        <v>-0.1653315488023499</v>
      </c>
      <c r="AZ324" s="409">
        <f t="shared" ref="AZ324" si="2038">AZ319/AZ302*400</f>
        <v>4.7071384272379708</v>
      </c>
      <c r="BA324" s="23">
        <f t="shared" si="2025"/>
        <v>-0.93120172680229985</v>
      </c>
      <c r="BB324" s="409">
        <f t="shared" ref="BB324:BD324" si="2039">BB319/BB302*400</f>
        <v>4.6970717721340494</v>
      </c>
      <c r="BC324" s="23">
        <f t="shared" si="2027"/>
        <v>-2.9936561965339448</v>
      </c>
      <c r="BD324" s="409">
        <f t="shared" si="2039"/>
        <v>4.6886721680420109</v>
      </c>
      <c r="BE324" s="23">
        <f t="shared" si="2028"/>
        <v>-1.2089915763515369</v>
      </c>
      <c r="BF324" s="114">
        <f t="shared" si="2029"/>
        <v>4.6886721680420109</v>
      </c>
      <c r="BG324" s="23">
        <f t="shared" si="2030"/>
        <v>-0.54385151899195572</v>
      </c>
      <c r="BH324" s="114">
        <f t="shared" si="2029"/>
        <v>4.6886721680420109</v>
      </c>
      <c r="BI324" s="23">
        <f t="shared" si="2031"/>
        <v>-0.39230329597074176</v>
      </c>
      <c r="BJ324" s="114">
        <f t="shared" si="2029"/>
        <v>4.6886721680420109</v>
      </c>
      <c r="BK324" s="23">
        <f t="shared" si="2032"/>
        <v>-0.17882639439044112</v>
      </c>
      <c r="BL324" s="114">
        <f>BJ324+0.025</f>
        <v>4.7136721680420113</v>
      </c>
      <c r="BM324" s="23">
        <f t="shared" si="2034"/>
        <v>0.53320000000001144</v>
      </c>
      <c r="BN324" s="10"/>
      <c r="BO324" s="138"/>
      <c r="BP324" s="10"/>
      <c r="BQ324" s="152"/>
      <c r="BR324" s="152"/>
      <c r="BS324" s="152"/>
      <c r="BT324" s="10"/>
      <c r="BU324" s="35">
        <f>BU319/BU302*100</f>
        <v>5.2250361097737121</v>
      </c>
      <c r="BV324" s="23" t="str">
        <f>IF(ISERROR((BU324/BS324-1)*100),"NA",IF(((BU324/BS324-1)*100)&gt;100,"NM",IF(((BU324/BS324-1)*100)&lt;-50,"NM",(BU324/BS324-1)*100)))</f>
        <v>NA</v>
      </c>
      <c r="BW324" s="35">
        <f>BW319/BW302*100</f>
        <v>5.1198625277860978</v>
      </c>
      <c r="BX324" s="23">
        <f>IF(ISERROR((BW324/BU324-1)*100),"NA",IF(((BW324/BU324-1)*100)&gt;100,"NM",IF(((BW324/BU324-1)*100)&lt;-50,"NM",(BW324/BU324-1)*100)))</f>
        <v>-2.0128776103744306</v>
      </c>
      <c r="BY324" s="35">
        <f>BY319/BY302*100</f>
        <v>4.9935642070606576</v>
      </c>
      <c r="BZ324" s="23">
        <f>IF(ISERROR((BY324/BW324-1)*100),"NA",IF(((BY324/BW324-1)*100)&gt;100,"NM",IF(((BY324/BW324-1)*100)&lt;-50,"NM",(BY324/BW324-1)*100)))</f>
        <v>-2.4668303111656686</v>
      </c>
      <c r="CA324" s="35">
        <f>CA319/CA302*100</f>
        <v>4.9393526379508588</v>
      </c>
      <c r="CB324" s="23">
        <f>IF(ISERROR((CA324/BY324-1)*100),"NA",IF(((CA324/BY324-1)*100)&gt;100,"NM",IF(((CA324/BY324-1)*100)&lt;-50,"NM",(CA324/BY324-1)*100)))</f>
        <v>-1.0856287585758184</v>
      </c>
      <c r="CC324" s="35">
        <f>CC319/CC302*100</f>
        <v>4.835458466154134</v>
      </c>
      <c r="CD324" s="23">
        <f>IF(ISERROR((CC324/CA324-1)*100),"NA",IF(((CC324/CA324-1)*100)&gt;100,"NM",IF(((CC324/CA324-1)*100)&lt;-50,"NM",(CC324/CA324-1)*100)))</f>
        <v>-2.1033965260643162</v>
      </c>
      <c r="CE324" s="35">
        <f>CE319/CE302*100</f>
        <v>4.776289360894526</v>
      </c>
      <c r="CF324" s="23">
        <f>IF(ISERROR((CE324/CC324-1)*100),"NA",IF(((CE324/CC324-1)*100)&gt;100,"NM",IF(((CE324/CC324-1)*100)&lt;-50,"NM",(CE324/CC324-1)*100)))</f>
        <v>-1.2236503668424215</v>
      </c>
      <c r="CG324" s="35">
        <f>CG319/CG302*100</f>
        <v>4.6996570308672219</v>
      </c>
      <c r="CH324" s="23">
        <f>IF(ISERROR((CG324/CE324-1)*100),"NA",IF(((CG324/CE324-1)*100)&gt;100,"NM",IF(((CG324/CE324-1)*100)&lt;-50,"NM",(CG324/CE324-1)*100)))</f>
        <v>-1.6044323163233121</v>
      </c>
      <c r="CI324" s="35">
        <f>CI319/CI302*100</f>
        <v>4.6951952022992867</v>
      </c>
      <c r="CJ324" s="23">
        <f>IF(ISERROR((CI324/CG324-1)*100),"NA",IF(((CI324/CG324-1)*100)&gt;100,"NM",IF(((CI324/CG324-1)*100)&lt;-50,"NM",(CI324/CG324-1)*100)))</f>
        <v>-9.4939450658415581E-2</v>
      </c>
      <c r="CK324" s="47">
        <f>CI324</f>
        <v>4.6951952022992867</v>
      </c>
      <c r="CL324" s="23">
        <f>IF(ISERROR((CK324/CI324-1)*100),"NA",IF(((CK324/CI324-1)*100)&gt;100,"NM",IF(((CK324/CI324-1)*100)&lt;-50,"NM",(CK324/CI324-1)*100)))</f>
        <v>0</v>
      </c>
      <c r="CM324" s="47">
        <f>CK324</f>
        <v>4.6951952022992867</v>
      </c>
      <c r="CN324" s="23">
        <f>IF(ISERROR((CM324/CK324-1)*100),"NA",IF(((CM324/CK324-1)*100)&gt;100,"NM",IF(((CM324/CK324-1)*100)&lt;-50,"NM",(CM324/CK324-1)*100)))</f>
        <v>0</v>
      </c>
      <c r="CO324" s="47">
        <f>CM324</f>
        <v>4.6951952022992867</v>
      </c>
      <c r="CP324" s="23">
        <f>IF(ISERROR((CO324/CM324-1)*100),"NA",IF(((CO324/CM324-1)*100)&gt;100,"NM",IF(((CO324/CM324-1)*100)&lt;-50,"NM",(CO324/CM324-1)*100)))</f>
        <v>0</v>
      </c>
      <c r="CQ324" s="47">
        <f>CO324</f>
        <v>4.6951952022992867</v>
      </c>
      <c r="CR324" s="23">
        <f>IF(ISERROR((CQ324/CO324-1)*100),"NA",IF(((CQ324/CO324-1)*100)&gt;100,"NM",IF(((CQ324/CO324-1)*100)&lt;-50,"NM",(CQ324/CO324-1)*100)))</f>
        <v>0</v>
      </c>
      <c r="CS324" s="23">
        <f>IF(ISERROR(((CQ324/CG324)^0.2-1)*100),"NA",IF((((CQ324/CG324)^0.2-1)*100)&gt;100,"NM",IF((((CQ324/CG324)^0.2-1)*100)&lt;-50,"NM",((CQ324/CG324)^0.2-1)*100)))</f>
        <v>-1.8995105041386129E-2</v>
      </c>
    </row>
    <row r="325" spans="1:97" ht="12.75" customHeight="1" x14ac:dyDescent="0.2">
      <c r="A325" s="34" t="s">
        <v>110</v>
      </c>
      <c r="B325" s="35">
        <f>B323-B324</f>
        <v>2.4360363863170607</v>
      </c>
      <c r="C325" s="59"/>
      <c r="D325" s="35">
        <f t="shared" ref="D325:Z325" si="2040">D323-D324</f>
        <v>2.6538893149800176</v>
      </c>
      <c r="E325" s="59"/>
      <c r="F325" s="35">
        <f t="shared" si="2040"/>
        <v>2.2680601187272567</v>
      </c>
      <c r="G325" s="59"/>
      <c r="H325" s="35">
        <f t="shared" si="2040"/>
        <v>1.502986158184159</v>
      </c>
      <c r="I325" s="59"/>
      <c r="J325" s="35">
        <f t="shared" si="2040"/>
        <v>2.2755691919252454</v>
      </c>
      <c r="K325" s="23">
        <f t="shared" si="2015"/>
        <v>-6.5872248580990505</v>
      </c>
      <c r="L325" s="35">
        <f t="shared" si="2040"/>
        <v>1.8418814407500452</v>
      </c>
      <c r="M325" s="23">
        <f t="shared" si="2015"/>
        <v>-30.596900543159478</v>
      </c>
      <c r="N325" s="35">
        <f t="shared" si="2040"/>
        <v>1.8607783786323742</v>
      </c>
      <c r="O325" s="23">
        <f t="shared" si="2015"/>
        <v>-17.95727268126528</v>
      </c>
      <c r="P325" s="35">
        <f t="shared" si="2040"/>
        <v>1.2028579531988806</v>
      </c>
      <c r="Q325" s="23">
        <f t="shared" si="2015"/>
        <v>-19.968793681232565</v>
      </c>
      <c r="R325" s="35">
        <f t="shared" si="2040"/>
        <v>1.609230769230769</v>
      </c>
      <c r="S325" s="23">
        <f t="shared" si="2015"/>
        <v>-29.282274740708747</v>
      </c>
      <c r="T325" s="35">
        <f t="shared" si="2040"/>
        <v>1.4672587451437007</v>
      </c>
      <c r="U325" s="23">
        <f t="shared" si="2015"/>
        <v>-20.339131896230622</v>
      </c>
      <c r="V325" s="35">
        <f t="shared" si="2040"/>
        <v>2.8796019373792445</v>
      </c>
      <c r="W325" s="23">
        <f t="shared" si="2015"/>
        <v>54.75254713007147</v>
      </c>
      <c r="X325" s="35">
        <f t="shared" si="2040"/>
        <v>1.7219087252673511</v>
      </c>
      <c r="Y325" s="23">
        <f t="shared" si="2015"/>
        <v>43.151460294052747</v>
      </c>
      <c r="Z325" s="35">
        <f t="shared" si="2040"/>
        <v>1.6223151098787403</v>
      </c>
      <c r="AA325" s="23">
        <f>IF(ISERROR((Z325/R325-1)*100),"NA",IF(((Z325/R325-1)*100)&gt;100,"NM",IF(((Z325/R325-1)*100)&lt;-50,"NM",(Z325/R325-1)*100)))</f>
        <v>0.81308044179553285</v>
      </c>
      <c r="AB325" s="35">
        <f t="shared" ref="AB325:AD325" si="2041">AB323-AB324</f>
        <v>1.5616745287437279</v>
      </c>
      <c r="AC325" s="23">
        <f>IF(ISERROR((AB325/T325-1)*100),"NA",IF(((AB325/T325-1)*100)&gt;100,"NM",IF(((AB325/T325-1)*100)&lt;-50,"NM",(AB325/T325-1)*100)))</f>
        <v>6.4348421103314291</v>
      </c>
      <c r="AD325" s="35">
        <f t="shared" si="2041"/>
        <v>1.7787394378019448</v>
      </c>
      <c r="AE325" s="23">
        <f>IF(ISERROR((AD325/V325-1)*100),"NA",IF(((AD325/V325-1)*100)&gt;100,"NM",IF(((AD325/V325-1)*100)&lt;-50,"NM",(AD325/V325-1)*100)))</f>
        <v>-38.229676306552498</v>
      </c>
      <c r="AF325" s="35">
        <f t="shared" ref="AF325:AH325" si="2042">AF323-AF324</f>
        <v>1.989439618463634</v>
      </c>
      <c r="AG325" s="23">
        <f>IF(ISERROR((AF325/X325-1)*100),"NA",IF(((AF325/X325-1)*100)&gt;100,"NM",IF(((AF325/X325-1)*100)&lt;-50,"NM",(AF325/X325-1)*100)))</f>
        <v>15.536880048897196</v>
      </c>
      <c r="AH325" s="35">
        <f t="shared" si="2042"/>
        <v>2.0068380008451463</v>
      </c>
      <c r="AI325" s="23">
        <f>IF(ISERROR((AH325/Z325-1)*100),"NA",IF(((AH325/Z325-1)*100)&gt;100,"NM",IF(((AH325/Z325-1)*100)&lt;-50,"NM",(AH325/Z325-1)*100)))</f>
        <v>23.702108710258329</v>
      </c>
      <c r="AJ325" s="35">
        <f t="shared" ref="AJ325:AL325" si="2043">AJ323-AJ324</f>
        <v>1.9855761853613645</v>
      </c>
      <c r="AK325" s="23">
        <f>IF(ISERROR((AJ325/AB325-1)*100),"NA",IF(((AJ325/AB325-1)*100)&gt;100,"NM",IF(((AJ325/AB325-1)*100)&lt;-50,"NM",(AJ325/AB325-1)*100)))</f>
        <v>27.144046266710873</v>
      </c>
      <c r="AL325" s="35">
        <f t="shared" si="2043"/>
        <v>1.8796357437921341</v>
      </c>
      <c r="AM325" s="23">
        <f>IF(ISERROR((AL325/AD325-1)*100),"NA",IF(((AL325/AD325-1)*100)&gt;100,"NM",IF(((AL325/AD325-1)*100)&lt;-50,"NM",(AL325/AD325-1)*100)))</f>
        <v>5.6723488469379468</v>
      </c>
      <c r="AN325" s="409">
        <f t="shared" ref="AN325:AP325" si="2044">AN323-AN324</f>
        <v>2.004809043499983</v>
      </c>
      <c r="AO325" s="23">
        <f>IF(ISERROR((AN325/AF325-1)*100),"NA",IF(((AN325/AF325-1)*100)&gt;100,"NM",IF(((AN325/AF325-1)*100)&lt;-50,"NM",(AN325/AF325-1)*100)))</f>
        <v>0.77255046565414265</v>
      </c>
      <c r="AP325" s="409">
        <f t="shared" si="2044"/>
        <v>1.7885377442185995</v>
      </c>
      <c r="AQ325" s="23">
        <f t="shared" si="2017"/>
        <v>-10.877821554834687</v>
      </c>
      <c r="AR325" s="409">
        <f t="shared" ref="AR325:AT325" si="2045">AR323-AR324</f>
        <v>1.8810184911679562</v>
      </c>
      <c r="AS325" s="23">
        <f t="shared" si="2019"/>
        <v>-5.2658616155984657</v>
      </c>
      <c r="AT325" s="409">
        <f t="shared" si="2045"/>
        <v>1.8691293209778932</v>
      </c>
      <c r="AU325" s="23">
        <f t="shared" si="2020"/>
        <v>-0.55896057781090747</v>
      </c>
      <c r="AV325" s="409">
        <f t="shared" ref="AV325:AX325" si="2046">AV323-AV324</f>
        <v>2.2941352814023572</v>
      </c>
      <c r="AW325" s="23">
        <f t="shared" si="2022"/>
        <v>14.431610773127312</v>
      </c>
      <c r="AX325" s="409">
        <f t="shared" si="2046"/>
        <v>1.8643100360186597</v>
      </c>
      <c r="AY325" s="23">
        <f t="shared" si="2023"/>
        <v>4.2365497762064219</v>
      </c>
      <c r="AZ325" s="409">
        <f t="shared" ref="AZ325" si="2047">AZ323-AZ324</f>
        <v>1.8809712594499972</v>
      </c>
      <c r="BA325" s="23">
        <f t="shared" si="2025"/>
        <v>-2.5109651064392224E-3</v>
      </c>
      <c r="BB325" s="409">
        <f t="shared" ref="BB325:BD325" si="2048">BB323-BB324</f>
        <v>2.0774907170946459</v>
      </c>
      <c r="BC325" s="23">
        <f t="shared" si="2027"/>
        <v>11.147510970923191</v>
      </c>
      <c r="BD325" s="409">
        <f t="shared" si="2048"/>
        <v>2.0630157539384841</v>
      </c>
      <c r="BE325" s="23">
        <f t="shared" si="2028"/>
        <v>-10.074363501466854</v>
      </c>
      <c r="BF325" s="35">
        <f t="shared" ref="BF325" si="2049">BF323-BF324</f>
        <v>2.0630157539384841</v>
      </c>
      <c r="BG325" s="23">
        <f t="shared" si="2030"/>
        <v>10.65840520518635</v>
      </c>
      <c r="BH325" s="35">
        <f t="shared" ref="BH325" si="2050">BH323-BH324</f>
        <v>2.0630157539384841</v>
      </c>
      <c r="BI325" s="23">
        <f t="shared" si="2031"/>
        <v>9.678217759782104</v>
      </c>
      <c r="BJ325" s="35">
        <f t="shared" ref="BJ325" si="2051">BJ323-BJ324</f>
        <v>2.0630157539384841</v>
      </c>
      <c r="BK325" s="23">
        <f t="shared" si="2032"/>
        <v>-0.69675224235923316</v>
      </c>
      <c r="BL325" s="35">
        <f t="shared" ref="BL325" si="2052">BL323-BL324</f>
        <v>2.0380157539384838</v>
      </c>
      <c r="BM325" s="23">
        <f t="shared" si="2034"/>
        <v>-1.2118181818182028</v>
      </c>
      <c r="BN325" s="10"/>
      <c r="BO325" s="138"/>
      <c r="BP325" s="10"/>
      <c r="BQ325" s="152"/>
      <c r="BR325" s="152"/>
      <c r="BS325" s="152"/>
      <c r="BT325" s="10"/>
      <c r="BU325" s="35">
        <f t="shared" ref="BU325:CA325" si="2053">BU323-BU324</f>
        <v>2.2050312951372177</v>
      </c>
      <c r="BV325" s="23" t="str">
        <f>IF(ISERROR((BU325/BS325-1)*100),"NA",IF(((BU325/BS325-1)*100)&gt;100,"NM",IF(((BU325/BS325-1)*100)&lt;-50,"NM",(BU325/BS325-1)*100)))</f>
        <v>NA</v>
      </c>
      <c r="BW325" s="35">
        <f t="shared" si="2053"/>
        <v>1.7932871939587889</v>
      </c>
      <c r="BX325" s="23">
        <f>IF(ISERROR((BW325/BU325-1)*100),"NA",IF(((BW325/BU325-1)*100)&gt;100,"NM",IF(((BW325/BU325-1)*100)&lt;-50,"NM",(BW325/BU325-1)*100)))</f>
        <v>-18.672936846132437</v>
      </c>
      <c r="BY325" s="35">
        <f t="shared" si="2053"/>
        <v>1.9311198279714468</v>
      </c>
      <c r="BZ325" s="23">
        <f>IF(ISERROR((BY325/BW325-1)*100),"NA",IF(((BY325/BW325-1)*100)&gt;100,"NM",IF(((BY325/BW325-1)*100)&lt;-50,"NM",(BY325/BW325-1)*100)))</f>
        <v>7.6860323587313539</v>
      </c>
      <c r="CA325" s="35">
        <f t="shared" si="2053"/>
        <v>1.7611719826700067</v>
      </c>
      <c r="CB325" s="23">
        <f>IF(ISERROR((CA325/BY325-1)*100),"NA",IF(((CA325/BY325-1)*100)&gt;100,"NM",IF(((CA325/BY325-1)*100)&lt;-50,"NM",(CA325/BY325-1)*100)))</f>
        <v>-8.8004816086406414</v>
      </c>
      <c r="CC325" s="35">
        <f t="shared" ref="CC325" si="2054">CC323-CC324</f>
        <v>1.9954372148259267</v>
      </c>
      <c r="CD325" s="23">
        <f>IF(ISERROR((CC325/CA325-1)*100),"NA",IF(((CC325/CA325-1)*100)&gt;100,"NM",IF(((CC325/CA325-1)*100)&lt;-50,"NM",(CC325/CA325-1)*100)))</f>
        <v>13.301666984320558</v>
      </c>
      <c r="CE325" s="35">
        <f t="shared" ref="CE325" si="2055">CE323-CE324</f>
        <v>1.9627069857185804</v>
      </c>
      <c r="CF325" s="23">
        <f>IF(ISERROR((CE325/CC325-1)*100),"NA",IF(((CE325/CC325-1)*100)&gt;100,"NM",IF(((CE325/CC325-1)*100)&lt;-50,"NM",(CE325/CC325-1)*100)))</f>
        <v>-1.64025351758319</v>
      </c>
      <c r="CG325" s="35">
        <f t="shared" ref="CG325" si="2056">CG323-CG324</f>
        <v>1.9707986281234691</v>
      </c>
      <c r="CH325" s="23">
        <f>IF(ISERROR((CG325/CE325-1)*100),"NA",IF(((CG325/CE325-1)*100)&gt;100,"NM",IF(((CG325/CE325-1)*100)&lt;-50,"NM",(CG325/CE325-1)*100)))</f>
        <v>0.41226950654207339</v>
      </c>
      <c r="CI325" s="35">
        <f t="shared" ref="CI325" si="2057">CI323-CI324</f>
        <v>2.0568020329580881</v>
      </c>
      <c r="CJ325" s="23">
        <f>IF(ISERROR((CI325/CG325-1)*100),"NA",IF(((CI325/CG325-1)*100)&gt;100,"NM",IF(((CI325/CG325-1)*100)&lt;-50,"NM",(CI325/CG325-1)*100)))</f>
        <v>4.3638859702530119</v>
      </c>
      <c r="CK325" s="35">
        <f>CK323-CK324</f>
        <v>2.0568020329580881</v>
      </c>
      <c r="CL325" s="23">
        <f>IF(ISERROR((CK325/CI325-1)*100),"NA",IF(((CK325/CI325-1)*100)&gt;100,"NM",IF(((CK325/CI325-1)*100)&lt;-50,"NM",(CK325/CI325-1)*100)))</f>
        <v>0</v>
      </c>
      <c r="CM325" s="35">
        <f>CM323-CM324</f>
        <v>2.0568020329580881</v>
      </c>
      <c r="CN325" s="23">
        <f>IF(ISERROR((CM325/CK325-1)*100),"NA",IF(((CM325/CK325-1)*100)&gt;100,"NM",IF(((CM325/CK325-1)*100)&lt;-50,"NM",(CM325/CK325-1)*100)))</f>
        <v>0</v>
      </c>
      <c r="CO325" s="35">
        <f>CO323-CO324</f>
        <v>2.0568020329580881</v>
      </c>
      <c r="CP325" s="23">
        <f>IF(ISERROR((CO325/CM325-1)*100),"NA",IF(((CO325/CM325-1)*100)&gt;100,"NM",IF(((CO325/CM325-1)*100)&lt;-50,"NM",(CO325/CM325-1)*100)))</f>
        <v>0</v>
      </c>
      <c r="CQ325" s="35">
        <f>CQ323-CQ324</f>
        <v>2.0568020329580881</v>
      </c>
      <c r="CR325" s="23">
        <f>IF(ISERROR((CQ325/CO325-1)*100),"NA",IF(((CQ325/CO325-1)*100)&gt;100,"NM",IF(((CQ325/CO325-1)*100)&lt;-50,"NM",(CQ325/CO325-1)*100)))</f>
        <v>0</v>
      </c>
      <c r="CS325" s="23">
        <f>IF(ISERROR(((CQ325/CG325)^0.2-1)*100),"NA",IF((((CQ325/CG325)^0.2-1)*100)&gt;100,"NM",IF((((CQ325/CG325)^0.2-1)*100)&lt;-50,"NM",((CQ325/CG325)^0.2-1)*100)))</f>
        <v>0.85792949634413418</v>
      </c>
    </row>
    <row r="326" spans="1:97" ht="12.75" customHeight="1" x14ac:dyDescent="0.2">
      <c r="A326" s="34"/>
      <c r="B326" s="37"/>
      <c r="C326" s="24"/>
      <c r="D326" s="37"/>
      <c r="E326" s="24"/>
      <c r="F326" s="37"/>
      <c r="G326" s="24"/>
      <c r="H326" s="37"/>
      <c r="I326" s="24"/>
      <c r="J326" s="37"/>
      <c r="K326" s="177"/>
      <c r="L326" s="37"/>
      <c r="M326" s="177"/>
      <c r="N326" s="37"/>
      <c r="O326" s="177"/>
      <c r="P326" s="37"/>
      <c r="Q326" s="177"/>
      <c r="R326" s="37"/>
      <c r="S326" s="177"/>
      <c r="T326" s="37"/>
      <c r="U326" s="177"/>
      <c r="V326" s="37"/>
      <c r="W326" s="177"/>
      <c r="X326" s="37"/>
      <c r="Y326" s="177"/>
      <c r="Z326" s="37"/>
      <c r="AA326" s="177"/>
      <c r="AB326" s="37"/>
      <c r="AC326" s="177"/>
      <c r="AD326" s="37"/>
      <c r="AE326" s="177"/>
      <c r="AF326" s="37"/>
      <c r="AG326" s="177"/>
      <c r="AH326" s="37"/>
      <c r="AI326" s="177"/>
      <c r="AJ326" s="37"/>
      <c r="AK326" s="177"/>
      <c r="AL326" s="37"/>
      <c r="AM326" s="177"/>
      <c r="AN326" s="411"/>
      <c r="AO326" s="177"/>
      <c r="AP326" s="411"/>
      <c r="AQ326" s="177"/>
      <c r="AR326" s="411"/>
      <c r="AS326" s="177"/>
      <c r="AT326" s="411"/>
      <c r="AU326" s="177"/>
      <c r="AV326" s="411"/>
      <c r="AW326" s="177"/>
      <c r="AX326" s="411"/>
      <c r="AY326" s="177"/>
      <c r="AZ326" s="411"/>
      <c r="BA326" s="177"/>
      <c r="BB326" s="411"/>
      <c r="BC326" s="177"/>
      <c r="BD326" s="411"/>
      <c r="BE326" s="177"/>
      <c r="BF326" s="37"/>
      <c r="BG326" s="177"/>
      <c r="BH326" s="37"/>
      <c r="BI326" s="177"/>
      <c r="BJ326" s="37"/>
      <c r="BK326" s="177"/>
      <c r="BL326" s="37"/>
      <c r="BM326" s="177"/>
      <c r="BN326" s="10"/>
      <c r="BO326" s="138"/>
      <c r="BP326" s="10"/>
      <c r="BQ326" s="10"/>
      <c r="BR326" s="10"/>
      <c r="BS326" s="10"/>
      <c r="BT326" s="10"/>
      <c r="BU326" s="37"/>
      <c r="BV326" s="177"/>
      <c r="BW326" s="37"/>
      <c r="BX326" s="177"/>
      <c r="BY326" s="37"/>
      <c r="BZ326" s="177"/>
      <c r="CA326" s="37"/>
      <c r="CB326" s="177"/>
      <c r="CC326" s="37"/>
      <c r="CD326" s="177"/>
      <c r="CE326" s="37"/>
      <c r="CF326" s="177"/>
      <c r="CG326" s="37"/>
      <c r="CH326" s="177"/>
      <c r="CI326" s="37"/>
      <c r="CJ326" s="177"/>
      <c r="CK326" s="37"/>
      <c r="CL326" s="177"/>
      <c r="CM326" s="37"/>
      <c r="CN326" s="177"/>
      <c r="CO326" s="37"/>
      <c r="CP326" s="177"/>
      <c r="CQ326" s="37"/>
      <c r="CR326" s="177"/>
      <c r="CS326" s="177"/>
    </row>
    <row r="327" spans="1:97" ht="12.75" customHeight="1" x14ac:dyDescent="0.2">
      <c r="A327" s="40" t="s">
        <v>111</v>
      </c>
      <c r="B327" s="37"/>
      <c r="C327" s="24"/>
      <c r="D327" s="37"/>
      <c r="E327" s="24"/>
      <c r="F327" s="37"/>
      <c r="G327" s="24"/>
      <c r="H327" s="37"/>
      <c r="I327" s="24"/>
      <c r="J327" s="37"/>
      <c r="K327" s="177"/>
      <c r="L327" s="37"/>
      <c r="M327" s="177"/>
      <c r="N327" s="37"/>
      <c r="O327" s="177"/>
      <c r="P327" s="37"/>
      <c r="Q327" s="177"/>
      <c r="R327" s="37"/>
      <c r="S327" s="177"/>
      <c r="T327" s="37"/>
      <c r="U327" s="177"/>
      <c r="V327" s="37"/>
      <c r="W327" s="177"/>
      <c r="X327" s="37"/>
      <c r="Y327" s="177"/>
      <c r="Z327" s="37"/>
      <c r="AA327" s="177"/>
      <c r="AB327" s="37"/>
      <c r="AC327" s="177"/>
      <c r="AD327" s="37"/>
      <c r="AE327" s="177"/>
      <c r="AF327" s="37"/>
      <c r="AG327" s="177"/>
      <c r="AH327" s="37"/>
      <c r="AI327" s="177"/>
      <c r="AJ327" s="37"/>
      <c r="AK327" s="177"/>
      <c r="AL327" s="37"/>
      <c r="AM327" s="177"/>
      <c r="AN327" s="411"/>
      <c r="AO327" s="177"/>
      <c r="AP327" s="411"/>
      <c r="AQ327" s="177"/>
      <c r="AR327" s="411"/>
      <c r="AS327" s="177"/>
      <c r="AT327" s="411"/>
      <c r="AU327" s="177"/>
      <c r="AV327" s="411"/>
      <c r="AW327" s="177"/>
      <c r="AX327" s="411"/>
      <c r="AY327" s="177"/>
      <c r="AZ327" s="411"/>
      <c r="BA327" s="177"/>
      <c r="BB327" s="411"/>
      <c r="BC327" s="177"/>
      <c r="BD327" s="411"/>
      <c r="BE327" s="177"/>
      <c r="BF327" s="37"/>
      <c r="BG327" s="177"/>
      <c r="BH327" s="37"/>
      <c r="BI327" s="177"/>
      <c r="BJ327" s="37"/>
      <c r="BK327" s="177"/>
      <c r="BL327" s="37"/>
      <c r="BM327" s="177"/>
      <c r="BN327" s="10"/>
      <c r="BO327" s="138"/>
      <c r="BP327" s="10"/>
      <c r="BQ327" s="10"/>
      <c r="BR327" s="10"/>
      <c r="BS327" s="10"/>
      <c r="BT327" s="10"/>
      <c r="BU327" s="37"/>
      <c r="BV327" s="177"/>
      <c r="BW327" s="37"/>
      <c r="BX327" s="177"/>
      <c r="BY327" s="37"/>
      <c r="BZ327" s="177"/>
      <c r="CA327" s="37"/>
      <c r="CB327" s="177"/>
      <c r="CC327" s="37"/>
      <c r="CD327" s="177"/>
      <c r="CE327" s="37"/>
      <c r="CF327" s="177"/>
      <c r="CG327" s="37"/>
      <c r="CH327" s="177"/>
      <c r="CI327" s="37"/>
      <c r="CJ327" s="177"/>
      <c r="CK327" s="37"/>
      <c r="CL327" s="177"/>
      <c r="CM327" s="37"/>
      <c r="CN327" s="177"/>
      <c r="CO327" s="37"/>
      <c r="CP327" s="177"/>
      <c r="CQ327" s="37"/>
      <c r="CR327" s="177"/>
      <c r="CS327" s="177"/>
    </row>
    <row r="328" spans="1:97" ht="12.75" customHeight="1" x14ac:dyDescent="0.2">
      <c r="A328" s="34" t="s">
        <v>326</v>
      </c>
      <c r="B328" s="37">
        <f>B317/B300*400</f>
        <v>3.4291555864391379</v>
      </c>
      <c r="C328" s="59"/>
      <c r="D328" s="37">
        <f>D317/D300*400</f>
        <v>3.9497502527502233</v>
      </c>
      <c r="E328" s="59"/>
      <c r="F328" s="37">
        <f>F317/F300*400</f>
        <v>3.8365582696943643</v>
      </c>
      <c r="G328" s="59"/>
      <c r="H328" s="37">
        <f>H317/H300*400</f>
        <v>3.3646076885433085</v>
      </c>
      <c r="I328" s="59"/>
      <c r="J328" s="37">
        <f>J317/J300*400</f>
        <v>3.191461117107937</v>
      </c>
      <c r="K328" s="23">
        <f t="shared" ref="K328:Y328" si="2058">IF(ISERROR((J328/B328-1)*100),"NA",IF(((J328/B328-1)*100)&gt;100,"NM",IF(((J328/B328-1)*100)&lt;-50,"NM",(J328/B328-1)*100)))</f>
        <v>-6.9315743581650828</v>
      </c>
      <c r="L328" s="37">
        <f>L317/L300*400</f>
        <v>2.6406999080989082</v>
      </c>
      <c r="M328" s="23">
        <f t="shared" si="2058"/>
        <v>-33.142610567334465</v>
      </c>
      <c r="N328" s="37">
        <f>N317/N300*400</f>
        <v>3.4389626818469319</v>
      </c>
      <c r="O328" s="23">
        <f t="shared" si="2058"/>
        <v>-10.363340262237342</v>
      </c>
      <c r="P328" s="37">
        <f>P317/P300*400</f>
        <v>3.827227150019282</v>
      </c>
      <c r="Q328" s="23">
        <f t="shared" si="2058"/>
        <v>13.749581059664706</v>
      </c>
      <c r="R328" s="37">
        <f>R317/R300*400</f>
        <v>2.998580266677016</v>
      </c>
      <c r="S328" s="23">
        <f t="shared" si="2058"/>
        <v>-6.0436534663379282</v>
      </c>
      <c r="T328" s="37">
        <f>T317/T300*400</f>
        <v>2.961968250923217</v>
      </c>
      <c r="U328" s="23">
        <f t="shared" si="2058"/>
        <v>12.166029992237792</v>
      </c>
      <c r="V328" s="37">
        <f>V317/V300*400</f>
        <v>3.04262594606254</v>
      </c>
      <c r="W328" s="23">
        <f t="shared" si="2058"/>
        <v>-11.524892022717005</v>
      </c>
      <c r="X328" s="37">
        <f>X317/X300*400</f>
        <v>2.5223516406905064</v>
      </c>
      <c r="Y328" s="23">
        <f t="shared" si="2058"/>
        <v>-34.094540464424782</v>
      </c>
      <c r="Z328" s="37">
        <f>Z317/Z300*400</f>
        <v>2.1672764996109777</v>
      </c>
      <c r="AA328" s="23">
        <f>IF(ISERROR((Z328/R328-1)*100),"NA",IF(((Z328/R328-1)*100)&gt;100,"NM",IF(((Z328/R328-1)*100)&lt;-50,"NM",(Z328/R328-1)*100)))</f>
        <v>-27.72324544065907</v>
      </c>
      <c r="AB328" s="37">
        <f>AB317/AB300*400</f>
        <v>3.0829906751351452</v>
      </c>
      <c r="AC328" s="23">
        <f>IF(ISERROR((AB328/T328-1)*100),"NA",IF(((AB328/T328-1)*100)&gt;100,"NM",IF(((AB328/T328-1)*100)&lt;-50,"NM",(AB328/T328-1)*100)))</f>
        <v>4.0858785091368421</v>
      </c>
      <c r="AD328" s="37">
        <f>AD317/AD300*400</f>
        <v>2.3160661591489573</v>
      </c>
      <c r="AE328" s="23">
        <f>IF(ISERROR((AD328/V328-1)*100),"NA",IF(((AD328/V328-1)*100)&gt;100,"NM",IF(((AD328/V328-1)*100)&lt;-50,"NM",(AD328/V328-1)*100)))</f>
        <v>-23.879366040831385</v>
      </c>
      <c r="AF328" s="37">
        <f>AF317/AF300*400</f>
        <v>3.4612121783391459</v>
      </c>
      <c r="AG328" s="23">
        <f>IF(ISERROR((AF328/X328-1)*100),"NA",IF(((AF328/X328-1)*100)&gt;100,"NM",IF(((AF328/X328-1)*100)&lt;-50,"NM",(AF328/X328-1)*100)))</f>
        <v>37.221635655511598</v>
      </c>
      <c r="AH328" s="37">
        <f>AH317/AH300*400</f>
        <v>2.2412593743150913</v>
      </c>
      <c r="AI328" s="23">
        <f>IF(ISERROR((AH328/Z328-1)*100),"NA",IF(((AH328/Z328-1)*100)&gt;100,"NM",IF(((AH328/Z328-1)*100)&lt;-50,"NM",(AH328/Z328-1)*100)))</f>
        <v>3.4136334112141897</v>
      </c>
      <c r="AJ328" s="37">
        <f>AJ317/AJ300*400</f>
        <v>2.3032800154906377</v>
      </c>
      <c r="AK328" s="23">
        <f>IF(ISERROR((AJ328/AB328-1)*100),"NA",IF(((AJ328/AB328-1)*100)&gt;100,"NM",IF(((AJ328/AB328-1)*100)&lt;-50,"NM",(AJ328/AB328-1)*100)))</f>
        <v>-25.290723904324764</v>
      </c>
      <c r="AL328" s="37">
        <f>AL317/AL300*400</f>
        <v>1.6223073670182091</v>
      </c>
      <c r="AM328" s="23">
        <f>IF(ISERROR((AL328/AD328-1)*100),"NA",IF(((AL328/AD328-1)*100)&gt;100,"NM",IF(((AL328/AD328-1)*100)&lt;-50,"NM",(AL328/AD328-1)*100)))</f>
        <v>-29.954187163015721</v>
      </c>
      <c r="AN328" s="411">
        <f t="shared" ref="AN328:AP328" si="2059">AN317/AN300*400</f>
        <v>3.3557880156028461</v>
      </c>
      <c r="AO328" s="23">
        <f>IF(ISERROR((AN328/AF328-1)*100),"NA",IF(((AN328/AF328-1)*100)&gt;100,"NM",IF(((AN328/AF328-1)*100)&lt;-50,"NM",(AN328/AF328-1)*100)))</f>
        <v>-3.0458740263327955</v>
      </c>
      <c r="AP328" s="411">
        <f t="shared" si="2059"/>
        <v>2.3926297517449004</v>
      </c>
      <c r="AQ328" s="23">
        <f t="shared" ref="AQ328" si="2060">IF(ISERROR((AP328/AH328-1)*100),"NA",IF(((AP328/AH328-1)*100)&gt;100,"NM",IF(((AP328/AH328-1)*100)&lt;-50,"NM",(AP328/AH328-1)*100)))</f>
        <v>6.7538090041928678</v>
      </c>
      <c r="AR328" s="411">
        <f t="shared" ref="AR328:AT328" si="2061">AR317/AR300*400</f>
        <v>2.2701580343753602</v>
      </c>
      <c r="AS328" s="23">
        <f t="shared" ref="AS328" si="2062">IF(ISERROR((AR328/AJ328-1)*100),"NA",IF(((AR328/AJ328-1)*100)&gt;100,"NM",IF(((AR328/AJ328-1)*100)&lt;-50,"NM",(AR328/AJ328-1)*100)))</f>
        <v>-1.4380353622884146</v>
      </c>
      <c r="AT328" s="411">
        <f t="shared" si="2061"/>
        <v>1.7822664488341009</v>
      </c>
      <c r="AU328" s="23">
        <f t="shared" ref="AU328" si="2063">IF(ISERROR((AT328/AL328-1)*100),"NA",IF(((AT328/AL328-1)*100)&gt;100,"NM",IF(((AT328/AL328-1)*100)&lt;-50,"NM",(AT328/AL328-1)*100)))</f>
        <v>9.8599738291206496</v>
      </c>
      <c r="AV328" s="411">
        <f t="shared" ref="AV328:AX328" si="2064">AV317/AV300*400</f>
        <v>1.914882424114893</v>
      </c>
      <c r="AW328" s="23">
        <f t="shared" ref="AW328" si="2065">IF(ISERROR((AV328/AN328-1)*100),"NA",IF(((AV328/AN328-1)*100)&gt;100,"NM",IF(((AV328/AN328-1)*100)&lt;-50,"NM",(AV328/AN328-1)*100)))</f>
        <v>-42.937920535755403</v>
      </c>
      <c r="AX328" s="411">
        <f t="shared" si="2064"/>
        <v>2.1490669816537475</v>
      </c>
      <c r="AY328" s="23">
        <f t="shared" ref="AY328" si="2066">IF(ISERROR((AX328/AP328-1)*100),"NA",IF(((AX328/AP328-1)*100)&gt;100,"NM",IF(((AX328/AP328-1)*100)&lt;-50,"NM",(AX328/AP328-1)*100)))</f>
        <v>-10.179709999573783</v>
      </c>
      <c r="AZ328" s="411">
        <f t="shared" ref="AZ328" si="2067">AZ317/AZ300*400</f>
        <v>2.5566667100146949</v>
      </c>
      <c r="BA328" s="23">
        <f t="shared" ref="BA328" si="2068">IF(ISERROR((AZ328/AR328-1)*100),"NA",IF(((AZ328/AR328-1)*100)&gt;100,"NM",IF(((AZ328/AR328-1)*100)&lt;-50,"NM",(AZ328/AR328-1)*100)))</f>
        <v>12.620648928442035</v>
      </c>
      <c r="BB328" s="411">
        <f t="shared" ref="BB328:BD328" si="2069">BB317/BB300*400</f>
        <v>2.4922843999301225</v>
      </c>
      <c r="BC328" s="23">
        <f t="shared" ref="BC328" si="2070">IF(ISERROR((BB328/AT328-1)*100),"NA",IF(((BB328/AT328-1)*100)&gt;100,"NM",IF(((BB328/AT328-1)*100)&lt;-50,"NM",(BB328/AT328-1)*100)))</f>
        <v>39.837923872745939</v>
      </c>
      <c r="BD328" s="411">
        <f t="shared" si="2069"/>
        <v>2.5187703003569331</v>
      </c>
      <c r="BE328" s="23">
        <f t="shared" ref="BE328" si="2071">IF(ISERROR((BD328/AV328-1)*100),"NA",IF(((BD328/AV328-1)*100)&gt;100,"NM",IF(((BD328/AV328-1)*100)&lt;-50,"NM",(BD328/AV328-1)*100)))</f>
        <v>31.536551207376217</v>
      </c>
      <c r="BF328" s="114">
        <v>2.44</v>
      </c>
      <c r="BG328" s="23">
        <f t="shared" ref="BG328" si="2072">IF(ISERROR((BF328/AX328-1)*100),"NA",IF(((BF328/AX328-1)*100)&gt;100,"NM",IF(((BF328/AX328-1)*100)&lt;-50,"NM",(BF328/AX328-1)*100)))</f>
        <v>13.537643118148601</v>
      </c>
      <c r="BH328" s="114">
        <f>BF328</f>
        <v>2.44</v>
      </c>
      <c r="BI328" s="23">
        <f t="shared" ref="BI328" si="2073">IF(ISERROR((BH328/AZ328-1)*100),"NA",IF(((BH328/AZ328-1)*100)&gt;100,"NM",IF(((BH328/AZ328-1)*100)&lt;-50,"NM",(BH328/AZ328-1)*100)))</f>
        <v>-4.5632349949135342</v>
      </c>
      <c r="BJ328" s="114">
        <f>BH328</f>
        <v>2.44</v>
      </c>
      <c r="BK328" s="23">
        <f t="shared" ref="BK328" si="2074">IF(ISERROR((BJ328/BB328-1)*100),"NA",IF(((BJ328/BB328-1)*100)&gt;100,"NM",IF(((BJ328/BB328-1)*100)&lt;-50,"NM",(BJ328/BB328-1)*100)))</f>
        <v>-2.097850467289708</v>
      </c>
      <c r="BL328" s="114">
        <f>BJ328</f>
        <v>2.44</v>
      </c>
      <c r="BM328" s="23">
        <f t="shared" ref="BM328" si="2075">IF(ISERROR((BL328/BD328-1)*100),"NA",IF(((BL328/BD328-1)*100)&gt;100,"NM",IF(((BL328/BD328-1)*100)&lt;-50,"NM",(BL328/BD328-1)*100)))</f>
        <v>-3.1273316326530742</v>
      </c>
      <c r="BN328" s="10"/>
      <c r="BO328" s="138"/>
      <c r="BP328" s="10"/>
      <c r="BQ328" s="152"/>
      <c r="BR328" s="152"/>
      <c r="BS328" s="152"/>
      <c r="BT328" s="10"/>
      <c r="BU328" s="37">
        <f>BU317/BU300*100</f>
        <v>3.6714850573467461</v>
      </c>
      <c r="BV328" s="23" t="str">
        <f>IF(ISERROR((BU328/BS328-1)*100),"NA",IF(((BU328/BS328-1)*100)&gt;100,"NM",IF(((BU328/BS328-1)*100)&lt;-50,"NM",(BU328/BS328-1)*100)))</f>
        <v>NA</v>
      </c>
      <c r="BW328" s="37">
        <f>BW317/BW300*100</f>
        <v>3.2922907188882204</v>
      </c>
      <c r="BX328" s="23">
        <f>IF(ISERROR((BW328/BU328-1)*100),"NA",IF(((BW328/BU328-1)*100)&gt;100,"NM",IF(((BW328/BU328-1)*100)&lt;-50,"NM",(BW328/BU328-1)*100)))</f>
        <v>-10.328091563378338</v>
      </c>
      <c r="BY328" s="37">
        <f>BY317/BY300*100</f>
        <v>2.8865097180224857</v>
      </c>
      <c r="BZ328" s="23">
        <f>IF(ISERROR((BY328/BW328-1)*100),"NA",IF(((BY328/BW328-1)*100)&gt;100,"NM",IF(((BY328/BW328-1)*100)&lt;-50,"NM",(BY328/BW328-1)*100)))</f>
        <v>-12.325187400302351</v>
      </c>
      <c r="CA328" s="37">
        <f>CA317/CA300*100</f>
        <v>2.7864079813524523</v>
      </c>
      <c r="CB328" s="23">
        <f>IF(ISERROR((CA328/BY328-1)*100),"NA",IF(((CA328/BY328-1)*100)&gt;100,"NM",IF(((CA328/BY328-1)*100)&lt;-50,"NM",(CA328/BY328-1)*100)))</f>
        <v>-3.4679161495639099</v>
      </c>
      <c r="CC328" s="37">
        <f>CC317/CC300*100</f>
        <v>2.4039802544093511</v>
      </c>
      <c r="CD328" s="23">
        <f>IF(ISERROR((CC328/CA328-1)*100),"NA",IF(((CC328/CA328-1)*100)&gt;100,"NM",IF(((CC328/CA328-1)*100)&lt;-50,"NM",(CC328/CA328-1)*100)))</f>
        <v>-13.724757088783546</v>
      </c>
      <c r="CE328" s="37">
        <f>CE317/CE300*100</f>
        <v>2.0906038167360346</v>
      </c>
      <c r="CF328" s="23">
        <f>IF(ISERROR((CE328/CC328-1)*100),"NA",IF(((CE328/CC328-1)*100)&gt;100,"NM",IF(((CE328/CC328-1)*100)&lt;-50,"NM",(CE328/CC328-1)*100)))</f>
        <v>-13.035732597991412</v>
      </c>
      <c r="CG328" s="37">
        <f>CG317/CG300*100</f>
        <v>2.4288270068450526</v>
      </c>
      <c r="CH328" s="23">
        <f>IF(ISERROR((CG328/CE328-1)*100),"NA",IF(((CG328/CE328-1)*100)&gt;100,"NM",IF(((CG328/CE328-1)*100)&lt;-50,"NM",(CG328/CE328-1)*100)))</f>
        <v>16.178253737098338</v>
      </c>
      <c r="CI328" s="37">
        <f>CI317/CI300*100</f>
        <v>2.4400609928271511</v>
      </c>
      <c r="CJ328" s="23">
        <f>IF(ISERROR((CI328/CG328-1)*100),"NA",IF(((CI328/CG328-1)*100)&gt;100,"NM",IF(((CI328/CG328-1)*100)&lt;-50,"NM",(CI328/CG328-1)*100)))</f>
        <v>0.46252721788906381</v>
      </c>
      <c r="CK328" s="114">
        <f>CI328-0.01</f>
        <v>2.4300609928271513</v>
      </c>
      <c r="CL328" s="23">
        <f>IF(ISERROR((CK328/CI328-1)*100),"NA",IF(((CK328/CI328-1)*100)&gt;100,"NM",IF(((CK328/CI328-1)*100)&lt;-50,"NM",(CK328/CI328-1)*100)))</f>
        <v>-0.40982582113299193</v>
      </c>
      <c r="CM328" s="114">
        <f>CK328</f>
        <v>2.4300609928271513</v>
      </c>
      <c r="CN328" s="23">
        <f>IF(ISERROR((CM328/CK328-1)*100),"NA",IF(((CM328/CK328-1)*100)&gt;100,"NM",IF(((CM328/CK328-1)*100)&lt;-50,"NM",(CM328/CK328-1)*100)))</f>
        <v>0</v>
      </c>
      <c r="CO328" s="114">
        <f>CM328</f>
        <v>2.4300609928271513</v>
      </c>
      <c r="CP328" s="23">
        <f>IF(ISERROR((CO328/CM328-1)*100),"NA",IF(((CO328/CM328-1)*100)&gt;100,"NM",IF(((CO328/CM328-1)*100)&lt;-50,"NM",(CO328/CM328-1)*100)))</f>
        <v>0</v>
      </c>
      <c r="CQ328" s="114">
        <f>CO328</f>
        <v>2.4300609928271513</v>
      </c>
      <c r="CR328" s="23">
        <f>IF(ISERROR((CQ328/CO328-1)*100),"NA",IF(((CQ328/CO328-1)*100)&gt;100,"NM",IF(((CQ328/CO328-1)*100)&lt;-50,"NM",(CQ328/CO328-1)*100)))</f>
        <v>0</v>
      </c>
      <c r="CS328" s="23">
        <f>IF(ISERROR(((CQ328/CG328)^0.2-1)*100),"NA",IF((((CQ328/CG328)^0.2-1)*100)&gt;100,"NM",IF((((CQ328/CG328)^0.2-1)*100)&lt;-50,"NM",((CQ328/CG328)^0.2-1)*100)))</f>
        <v>1.0159103799955993E-2</v>
      </c>
    </row>
    <row r="329" spans="1:97" ht="12.75" customHeight="1" x14ac:dyDescent="0.2">
      <c r="A329" s="34"/>
      <c r="B329" s="37"/>
      <c r="C329" s="24"/>
      <c r="D329" s="37"/>
      <c r="E329" s="24"/>
      <c r="F329" s="37"/>
      <c r="G329" s="24"/>
      <c r="H329" s="37"/>
      <c r="I329" s="24"/>
      <c r="J329" s="37"/>
      <c r="K329" s="177"/>
      <c r="L329" s="37"/>
      <c r="M329" s="177"/>
      <c r="N329" s="37"/>
      <c r="O329" s="177"/>
      <c r="P329" s="37"/>
      <c r="Q329" s="177"/>
      <c r="R329" s="37"/>
      <c r="S329" s="177"/>
      <c r="T329" s="37"/>
      <c r="U329" s="177"/>
      <c r="V329" s="37"/>
      <c r="W329" s="177"/>
      <c r="X329" s="37"/>
      <c r="Y329" s="177"/>
      <c r="Z329" s="37"/>
      <c r="AA329" s="177"/>
      <c r="AB329" s="37"/>
      <c r="AC329" s="177"/>
      <c r="AD329" s="37"/>
      <c r="AE329" s="177"/>
      <c r="AF329" s="37"/>
      <c r="AG329" s="177"/>
      <c r="AH329" s="37"/>
      <c r="AI329" s="177"/>
      <c r="AJ329" s="37"/>
      <c r="AK329" s="177"/>
      <c r="AL329" s="37"/>
      <c r="AM329" s="177"/>
      <c r="AN329" s="411"/>
      <c r="AO329" s="177"/>
      <c r="AP329" s="411"/>
      <c r="AQ329" s="177"/>
      <c r="AR329" s="411"/>
      <c r="AS329" s="177"/>
      <c r="AT329" s="411"/>
      <c r="AU329" s="177"/>
      <c r="AV329" s="411"/>
      <c r="AW329" s="177"/>
      <c r="AX329" s="411"/>
      <c r="AY329" s="177"/>
      <c r="AZ329" s="411"/>
      <c r="BA329" s="177"/>
      <c r="BB329" s="411"/>
      <c r="BC329" s="177"/>
      <c r="BD329" s="411"/>
      <c r="BE329" s="177"/>
      <c r="BF329" s="37"/>
      <c r="BG329" s="177"/>
      <c r="BH329" s="37"/>
      <c r="BI329" s="177"/>
      <c r="BJ329" s="37"/>
      <c r="BK329" s="177"/>
      <c r="BL329" s="37"/>
      <c r="BM329" s="177"/>
      <c r="BN329" s="10"/>
      <c r="BO329" s="138"/>
      <c r="BP329" s="10"/>
      <c r="BQ329" s="10"/>
      <c r="BR329" s="10"/>
      <c r="BS329" s="10"/>
      <c r="BT329" s="10"/>
      <c r="BU329" s="37"/>
      <c r="BV329" s="177"/>
      <c r="BW329" s="37"/>
      <c r="BX329" s="177"/>
      <c r="BY329" s="37"/>
      <c r="BZ329" s="177"/>
      <c r="CA329" s="37"/>
      <c r="CB329" s="177"/>
      <c r="CC329" s="37"/>
      <c r="CD329" s="177"/>
      <c r="CE329" s="37"/>
      <c r="CF329" s="177"/>
      <c r="CG329" s="37"/>
      <c r="CH329" s="177"/>
      <c r="CI329" s="37"/>
      <c r="CJ329" s="177"/>
      <c r="CK329" s="37"/>
      <c r="CL329" s="177"/>
      <c r="CM329" s="37"/>
      <c r="CN329" s="177"/>
      <c r="CO329" s="37"/>
      <c r="CP329" s="177"/>
      <c r="CQ329" s="37"/>
      <c r="CR329" s="177"/>
      <c r="CS329" s="177"/>
    </row>
    <row r="330" spans="1:97" ht="12.75" customHeight="1" x14ac:dyDescent="0.2">
      <c r="A330" s="3" t="s">
        <v>124</v>
      </c>
      <c r="B330" s="35"/>
      <c r="D330" s="35"/>
      <c r="F330" s="35"/>
      <c r="H330" s="35"/>
      <c r="J330" s="35"/>
      <c r="L330" s="35"/>
      <c r="N330" s="35"/>
      <c r="P330" s="35"/>
      <c r="R330" s="35"/>
      <c r="T330" s="35"/>
      <c r="V330" s="35"/>
      <c r="X330" s="35"/>
      <c r="Z330" s="35"/>
      <c r="AB330" s="35"/>
      <c r="AD330" s="35"/>
      <c r="AF330" s="35"/>
      <c r="AH330" s="35"/>
      <c r="AJ330" s="35"/>
      <c r="AL330" s="35"/>
      <c r="AN330" s="409"/>
      <c r="AP330" s="409"/>
      <c r="AR330" s="409"/>
      <c r="AT330" s="409"/>
      <c r="AV330" s="409"/>
      <c r="AX330" s="409"/>
      <c r="AZ330" s="409"/>
      <c r="BB330" s="409"/>
      <c r="BD330" s="409"/>
      <c r="BF330" s="35"/>
      <c r="BH330" s="35"/>
      <c r="BJ330" s="35"/>
      <c r="BL330" s="35"/>
      <c r="BN330" s="10"/>
      <c r="BO330" s="138"/>
      <c r="BP330" s="10"/>
      <c r="BQ330" s="10"/>
      <c r="BR330" s="10"/>
      <c r="BS330" s="10"/>
      <c r="BT330" s="10"/>
      <c r="BU330" s="37"/>
      <c r="BW330" s="35"/>
      <c r="BY330" s="35"/>
      <c r="CA330" s="35"/>
      <c r="CC330" s="35"/>
      <c r="CE330" s="35"/>
      <c r="CG330" s="35"/>
      <c r="CI330" s="35"/>
      <c r="CK330" s="35"/>
      <c r="CM330" s="35"/>
      <c r="CO330" s="35"/>
      <c r="CQ330" s="35"/>
    </row>
    <row r="331" spans="1:97" ht="12.75" customHeight="1" x14ac:dyDescent="0.2">
      <c r="A331" s="31" t="s">
        <v>102</v>
      </c>
      <c r="B331" s="56">
        <f>B319</f>
        <v>159.35499999999999</v>
      </c>
      <c r="C331" s="59"/>
      <c r="D331" s="56">
        <f>D319</f>
        <v>162.27699999999999</v>
      </c>
      <c r="E331" s="59"/>
      <c r="F331" s="56">
        <f>F319</f>
        <v>164.005</v>
      </c>
      <c r="G331" s="59"/>
      <c r="H331" s="56">
        <f>H319</f>
        <v>165.50700000000001</v>
      </c>
      <c r="I331" s="59"/>
      <c r="J331" s="56">
        <f>J319</f>
        <v>159.86699999999999</v>
      </c>
      <c r="K331" s="23">
        <f>IF(ISERROR((J331/B331-1)*100),"NA",IF(((J331/B331-1)*100)&gt;100,"NM",IF(((J331/B331-1)*100)&lt;-50,"NM",(J331/B331-1)*100)))</f>
        <v>0.32129522136110644</v>
      </c>
      <c r="L331" s="56">
        <f>L319</f>
        <v>160.45099999999999</v>
      </c>
      <c r="M331" s="23">
        <f>IF(ISERROR((L331/D331-1)*100),"NA",IF(((L331/D331-1)*100)&gt;100,"NM",IF(((L331/D331-1)*100)&lt;-50,"NM",(L331/D331-1)*100)))</f>
        <v>-1.1252364783672308</v>
      </c>
      <c r="N331" s="56">
        <f>N319</f>
        <v>163.09800000000001</v>
      </c>
      <c r="O331" s="23">
        <f>IF(ISERROR((N331/F331-1)*100),"NA",IF(((N331/F331-1)*100)&gt;100,"NM",IF(((N331/F331-1)*100)&lt;-50,"NM",(N331/F331-1)*100)))</f>
        <v>-0.55303191975852872</v>
      </c>
      <c r="P331" s="56">
        <f>P319</f>
        <v>166.1</v>
      </c>
      <c r="Q331" s="23">
        <f>IF(ISERROR((P331/H331-1)*100),"NA",IF(((P331/H331-1)*100)&gt;100,"NM",IF(((P331/H331-1)*100)&lt;-50,"NM",(P331/H331-1)*100)))</f>
        <v>0.35829300271286169</v>
      </c>
      <c r="R331" s="56">
        <f>R319</f>
        <v>162.30000000000001</v>
      </c>
      <c r="S331" s="23">
        <f>IF(ISERROR((R331/J331-1)*100),"NA",IF(((R331/J331-1)*100)&gt;100,"NM",IF(((R331/J331-1)*100)&lt;-50,"NM",(R331/J331-1)*100)))</f>
        <v>1.5218900711216232</v>
      </c>
      <c r="T331" s="56">
        <f>T319</f>
        <v>163.80000000000001</v>
      </c>
      <c r="U331" s="23">
        <f>IF(ISERROR((T331/L331-1)*100),"NA",IF(((T331/L331-1)*100)&gt;100,"NM",IF(((T331/L331-1)*100)&lt;-50,"NM",(T331/L331-1)*100)))</f>
        <v>2.0872415877744688</v>
      </c>
      <c r="V331" s="56">
        <f>V319</f>
        <v>162.5</v>
      </c>
      <c r="W331" s="23">
        <f>IF(ISERROR((V331/N331-1)*100),"NA",IF(((V331/N331-1)*100)&gt;100,"NM",IF(((V331/N331-1)*100)&lt;-50,"NM",(V331/N331-1)*100)))</f>
        <v>-0.36665072533078602</v>
      </c>
      <c r="X331" s="56">
        <f>X319</f>
        <v>165.1</v>
      </c>
      <c r="Y331" s="23">
        <f>IF(ISERROR((X331/P331-1)*100),"NA",IF(((X331/P331-1)*100)&gt;100,"NM",IF(((X331/P331-1)*100)&lt;-50,"NM",(X331/P331-1)*100)))</f>
        <v>-0.60204695966284971</v>
      </c>
      <c r="Z331" s="56">
        <f>Z319</f>
        <v>162.1</v>
      </c>
      <c r="AA331" s="23">
        <f>IF(ISERROR((Z331/R331-1)*100),"NA",IF(((Z331/R331-1)*100)&gt;100,"NM",IF(((Z331/R331-1)*100)&lt;-50,"NM",(Z331/R331-1)*100)))</f>
        <v>-0.12322858903266454</v>
      </c>
      <c r="AB331" s="56">
        <f>AB319</f>
        <v>163.9</v>
      </c>
      <c r="AC331" s="23">
        <f>IF(ISERROR((AB331/T331-1)*100),"NA",IF(((AB331/T331-1)*100)&gt;100,"NM",IF(((AB331/T331-1)*100)&lt;-50,"NM",(AB331/T331-1)*100)))</f>
        <v>6.1050061050060833E-2</v>
      </c>
      <c r="AD331" s="56">
        <f>AD319</f>
        <v>164.8</v>
      </c>
      <c r="AE331" s="23">
        <f>IF(ISERROR((AD331/V331-1)*100),"NA",IF(((AD331/V331-1)*100)&gt;100,"NM",IF(((AD331/V331-1)*100)&lt;-50,"NM",(AD331/V331-1)*100)))</f>
        <v>1.4153846153846183</v>
      </c>
      <c r="AF331" s="56">
        <f>AF319</f>
        <v>157.9</v>
      </c>
      <c r="AG331" s="23">
        <f>IF(ISERROR((AF331/X331-1)*100),"NA",IF(((AF331/X331-1)*100)&gt;100,"NM",IF(((AF331/X331-1)*100)&lt;-50,"NM",(AF331/X331-1)*100)))</f>
        <v>-4.3609933373712888</v>
      </c>
      <c r="AH331" s="56">
        <f>AH319</f>
        <v>155.4</v>
      </c>
      <c r="AI331" s="23">
        <f>IF(ISERROR((AH331/Z331-1)*100),"NA",IF(((AH331/Z331-1)*100)&gt;100,"NM",IF(((AH331/Z331-1)*100)&lt;-50,"NM",(AH331/Z331-1)*100)))</f>
        <v>-4.1332510795805018</v>
      </c>
      <c r="AJ331" s="56">
        <f>AJ319</f>
        <v>154.6</v>
      </c>
      <c r="AK331" s="23">
        <f>IF(ISERROR((AJ331/AB331-1)*100),"NA",IF(((AJ331/AB331-1)*100)&gt;100,"NM",IF(((AJ331/AB331-1)*100)&lt;-50,"NM",(AJ331/AB331-1)*100)))</f>
        <v>-5.6741915802318577</v>
      </c>
      <c r="AL331" s="56">
        <f>AL319</f>
        <v>157</v>
      </c>
      <c r="AM331" s="23">
        <f>IF(ISERROR((AL331/AD331-1)*100),"NA",IF(((AL331/AD331-1)*100)&gt;100,"NM",IF(((AL331/AD331-1)*100)&lt;-50,"NM",(AL331/AD331-1)*100)))</f>
        <v>-4.7330097087378675</v>
      </c>
      <c r="AN331" s="413">
        <f t="shared" ref="AN331:AP331" si="2076">AN319</f>
        <v>151.9</v>
      </c>
      <c r="AO331" s="23">
        <f>IF(ISERROR((AN331/AF331-1)*100),"NA",IF(((AN331/AF331-1)*100)&gt;100,"NM",IF(((AN331/AF331-1)*100)&lt;-50,"NM",(AN331/AF331-1)*100)))</f>
        <v>-3.799873337555415</v>
      </c>
      <c r="AP331" s="413">
        <f t="shared" si="2076"/>
        <v>149.69999999999999</v>
      </c>
      <c r="AQ331" s="23">
        <f t="shared" ref="AQ331:AQ335" si="2077">IF(ISERROR((AP331/AH331-1)*100),"NA",IF(((AP331/AH331-1)*100)&gt;100,"NM",IF(((AP331/AH331-1)*100)&lt;-50,"NM",(AP331/AH331-1)*100)))</f>
        <v>-3.6679536679536828</v>
      </c>
      <c r="AR331" s="413">
        <f t="shared" ref="AR331:AT331" si="2078">AR319</f>
        <v>150.80000000000001</v>
      </c>
      <c r="AS331" s="23">
        <f t="shared" ref="AS331:AS335" si="2079">IF(ISERROR((AR331/AJ331-1)*100),"NA",IF(((AR331/AJ331-1)*100)&gt;100,"NM",IF(((AR331/AJ331-1)*100)&lt;-50,"NM",(AR331/AJ331-1)*100)))</f>
        <v>-2.4579560155239211</v>
      </c>
      <c r="AT331" s="413">
        <f t="shared" si="2078"/>
        <v>153.1</v>
      </c>
      <c r="AU331" s="23">
        <f t="shared" ref="AU331:AU335" si="2080">IF(ISERROR((AT331/AL331-1)*100),"NA",IF(((AT331/AL331-1)*100)&gt;100,"NM",IF(((AT331/AL331-1)*100)&lt;-50,"NM",(AT331/AL331-1)*100)))</f>
        <v>-2.4840764331210186</v>
      </c>
      <c r="AV331" s="413">
        <f t="shared" ref="AV331:AX331" si="2081">AV319</f>
        <v>150.4</v>
      </c>
      <c r="AW331" s="23">
        <f t="shared" ref="AW331:AW335" si="2082">IF(ISERROR((AV331/AN331-1)*100),"NA",IF(((AV331/AN331-1)*100)&gt;100,"NM",IF(((AV331/AN331-1)*100)&lt;-50,"NM",(AV331/AN331-1)*100)))</f>
        <v>-0.98749177090190488</v>
      </c>
      <c r="AX331" s="413">
        <f t="shared" si="2081"/>
        <v>149.69999999999999</v>
      </c>
      <c r="AY331" s="23">
        <f t="shared" ref="AY331:AY335" si="2083">IF(ISERROR((AX331/AP331-1)*100),"NA",IF(((AX331/AP331-1)*100)&gt;100,"NM",IF(((AX331/AP331-1)*100)&lt;-50,"NM",(AX331/AP331-1)*100)))</f>
        <v>0</v>
      </c>
      <c r="AZ331" s="413">
        <f t="shared" ref="AZ331" si="2084">AZ319</f>
        <v>149.9</v>
      </c>
      <c r="BA331" s="23">
        <f t="shared" ref="BA331:BA335" si="2085">IF(ISERROR((AZ331/AR331-1)*100),"NA",IF(((AZ331/AR331-1)*100)&gt;100,"NM",IF(((AZ331/AR331-1)*100)&lt;-50,"NM",(AZ331/AR331-1)*100)))</f>
        <v>-0.59681697612732343</v>
      </c>
      <c r="BB331" s="413">
        <f t="shared" ref="BB331:BD331" si="2086">BB319</f>
        <v>149.9</v>
      </c>
      <c r="BC331" s="23">
        <f t="shared" ref="BC331:BC335" si="2087">IF(ISERROR((BB331/AT331-1)*100),"NA",IF(((BB331/AT331-1)*100)&gt;100,"NM",IF(((BB331/AT331-1)*100)&lt;-50,"NM",(BB331/AT331-1)*100)))</f>
        <v>-2.09013716525146</v>
      </c>
      <c r="BD331" s="413">
        <f t="shared" si="2086"/>
        <v>150</v>
      </c>
      <c r="BE331" s="23">
        <f t="shared" ref="BE331:BE335" si="2088">IF(ISERROR((BD331/AV331-1)*100),"NA",IF(((BD331/AV331-1)*100)&gt;100,"NM",IF(((BD331/AV331-1)*100)&lt;-50,"NM",(BD331/AV331-1)*100)))</f>
        <v>-0.26595744680851796</v>
      </c>
      <c r="BF331" s="56">
        <f>BF319</f>
        <v>150.78857605026258</v>
      </c>
      <c r="BG331" s="23">
        <f t="shared" ref="BG331:BG335" si="2089">IF(ISERROR((BF331/AX331-1)*100),"NA",IF(((BF331/AX331-1)*100)&gt;100,"NM",IF(((BF331/AX331-1)*100)&lt;-50,"NM",(BF331/AX331-1)*100)))</f>
        <v>0.72717171026224214</v>
      </c>
      <c r="BH331" s="56">
        <f t="shared" ref="BH331" si="2090">BH319</f>
        <v>151.73100465057675</v>
      </c>
      <c r="BI331" s="23">
        <f t="shared" ref="BI331:BI335" si="2091">IF(ISERROR((BH331/AZ331-1)*100),"NA",IF(((BH331/AZ331-1)*100)&gt;100,"NM",IF(((BH331/AZ331-1)*100)&lt;-50,"NM",(BH331/AZ331-1)*100)))</f>
        <v>1.2214840897776913</v>
      </c>
      <c r="BJ331" s="56">
        <f t="shared" ref="BJ331" si="2092">BJ319</f>
        <v>152.67932342964284</v>
      </c>
      <c r="BK331" s="23">
        <f t="shared" ref="BK331:BK335" si="2093">IF(ISERROR((BJ331/BB331-1)*100),"NA",IF(((BJ331/BB331-1)*100)&gt;100,"NM",IF(((BJ331/BB331-1)*100)&lt;-50,"NM",(BJ331/BB331-1)*100)))</f>
        <v>1.8541183653387749</v>
      </c>
      <c r="BL331" s="56">
        <f t="shared" ref="BL331" si="2094">BL319</f>
        <v>154.43349694428358</v>
      </c>
      <c r="BM331" s="23">
        <f t="shared" ref="BM331:BM335" si="2095">IF(ISERROR((BL331/BD331-1)*100),"NA",IF(((BL331/BD331-1)*100)&gt;100,"NM",IF(((BL331/BD331-1)*100)&lt;-50,"NM",(BL331/BD331-1)*100)))</f>
        <v>2.9556646295223921</v>
      </c>
      <c r="BN331" s="35"/>
      <c r="BO331" s="137"/>
      <c r="BP331" s="35"/>
      <c r="BQ331" s="48"/>
      <c r="BR331" s="35"/>
      <c r="BS331" s="48"/>
      <c r="BT331" s="35"/>
      <c r="BU331" s="56">
        <f>BU319</f>
        <v>651.14400000000001</v>
      </c>
      <c r="BV331" s="23" t="str">
        <f>IF(ISERROR((BU331/BS331-1)*100),"NA",IF(((BU331/BS331-1)*100)&gt;100,"NM",IF(((BU331/BS331-1)*100)&lt;-50,"NM",(BU331/BS331-1)*100)))</f>
        <v>NA</v>
      </c>
      <c r="BW331" s="56">
        <f>BW319</f>
        <v>649.51599999999996</v>
      </c>
      <c r="BX331" s="23">
        <f>IF(ISERROR((BW331/BU331-1)*100),"NA",IF(((BW331/BU331-1)*100)&gt;100,"NM",IF(((BW331/BU331-1)*100)&lt;-50,"NM",(BW331/BU331-1)*100)))</f>
        <v>-0.25002150062045647</v>
      </c>
      <c r="BY331" s="56">
        <f>BY319</f>
        <v>653.70000000000005</v>
      </c>
      <c r="BZ331" s="23">
        <f>IF(ISERROR((BY331/BW331-1)*100),"NA",IF(((BY331/BW331-1)*100)&gt;100,"NM",IF(((BY331/BW331-1)*100)&lt;-50,"NM",(BY331/BW331-1)*100)))</f>
        <v>0.64417196805006682</v>
      </c>
      <c r="CA331" s="56">
        <f>CA319</f>
        <v>648.70000000000005</v>
      </c>
      <c r="CB331" s="23">
        <f>IF(ISERROR((CA331/BY331-1)*100),"NA",IF(((CA331/BY331-1)*100)&gt;100,"NM",IF(((CA331/BY331-1)*100)&lt;-50,"NM",(CA331/BY331-1)*100)))</f>
        <v>-0.76487685482636847</v>
      </c>
      <c r="CC331" s="56">
        <f>CC319</f>
        <v>618.9</v>
      </c>
      <c r="CD331" s="23">
        <f>IF(ISERROR((CC331/CA331-1)*100),"NA",IF(((CC331/CA331-1)*100)&gt;100,"NM",IF(((CC331/CA331-1)*100)&lt;-50,"NM",(CC331/CA331-1)*100)))</f>
        <v>-4.5938029905965845</v>
      </c>
      <c r="CE331" s="56">
        <f>CE319</f>
        <v>604</v>
      </c>
      <c r="CF331" s="23">
        <f>IF(ISERROR((CE331/CC331-1)*100),"NA",IF(((CE331/CC331-1)*100)&gt;100,"NM",IF(((CE331/CC331-1)*100)&lt;-50,"NM",(CE331/CC331-1)*100)))</f>
        <v>-2.4074971724026506</v>
      </c>
      <c r="CG331" s="56">
        <f>CG319</f>
        <v>599.5</v>
      </c>
      <c r="CH331" s="23">
        <f>IF(ISERROR((CG331/CE331-1)*100),"NA",IF(((CG331/CE331-1)*100)&gt;100,"NM",IF(((CG331/CE331-1)*100)&lt;-50,"NM",(CG331/CE331-1)*100)))</f>
        <v>-0.74503311258278249</v>
      </c>
      <c r="CI331" s="56">
        <f>CI319</f>
        <v>609.63240107476577</v>
      </c>
      <c r="CJ331" s="23">
        <f>IF(ISERROR((CI331/CG331-1)*100),"NA",IF(((CI331/CG331-1)*100)&gt;100,"NM",IF(((CI331/CG331-1)*100)&lt;-50,"NM",(CI331/CG331-1)*100)))</f>
        <v>1.6901419640977133</v>
      </c>
      <c r="CK331" s="56">
        <f>CK319</f>
        <v>624.86738152425426</v>
      </c>
      <c r="CL331" s="23">
        <f>IF(ISERROR((CK331/CI331-1)*100),"NA",IF(((CK331/CI331-1)*100)&gt;100,"NM",IF(((CK331/CI331-1)*100)&lt;-50,"NM",(CK331/CI331-1)*100)))</f>
        <v>2.4990437553236378</v>
      </c>
      <c r="CM331" s="56">
        <f>CM319</f>
        <v>640.48906606236051</v>
      </c>
      <c r="CN331" s="23">
        <f>IF(ISERROR((CM331/CK331-1)*100),"NA",IF(((CM331/CK331-1)*100)&gt;100,"NM",IF(((CM331/CK331-1)*100)&lt;-50,"NM",(CM331/CK331-1)*100)))</f>
        <v>2.4999999999999911</v>
      </c>
      <c r="CO331" s="56">
        <f>CO319</f>
        <v>656.50129271391938</v>
      </c>
      <c r="CP331" s="23">
        <f>IF(ISERROR((CO331/CM331-1)*100),"NA",IF(((CO331/CM331-1)*100)&gt;100,"NM",IF(((CO331/CM331-1)*100)&lt;-50,"NM",(CO331/CM331-1)*100)))</f>
        <v>2.4999999999999689</v>
      </c>
      <c r="CQ331" s="56">
        <f>CQ319</f>
        <v>672.91382503176749</v>
      </c>
      <c r="CR331" s="23">
        <f>IF(ISERROR((CQ331/CO331-1)*100),"NA",IF(((CQ331/CO331-1)*100)&gt;100,"NM",IF(((CQ331/CO331-1)*100)&lt;-50,"NM",(CQ331/CO331-1)*100)))</f>
        <v>2.5000000000000133</v>
      </c>
      <c r="CS331" s="23">
        <f>IF(ISERROR(((CQ331/CG331)^0.2-1)*100),"NA",IF((((CQ331/CG331)^0.2-1)*100)&gt;100,"NM",IF((((CQ331/CG331)^0.2-1)*100)&lt;-50,"NM",((CQ331/CG331)^0.2-1)*100)))</f>
        <v>2.3373231075529244</v>
      </c>
    </row>
    <row r="332" spans="1:97" ht="12.75" customHeight="1" x14ac:dyDescent="0.2">
      <c r="A332" s="4" t="s">
        <v>161</v>
      </c>
      <c r="B332" s="49">
        <v>75.057000000000002</v>
      </c>
      <c r="C332" s="59"/>
      <c r="D332" s="49">
        <v>78.704999999999998</v>
      </c>
      <c r="E332" s="59"/>
      <c r="F332" s="49">
        <v>75.98</v>
      </c>
      <c r="G332" s="59"/>
      <c r="H332" s="49">
        <v>78.409000000000006</v>
      </c>
      <c r="I332" s="59"/>
      <c r="J332" s="49">
        <v>78.034000000000006</v>
      </c>
      <c r="K332" s="23">
        <f t="shared" ref="K332:Y335" si="2096">IF(ISERROR((J332/B332-1)*100),"NA",IF(((J332/B332-1)*100)&gt;100,"NM",IF(((J332/B332-1)*100)&lt;-50,"NM",(J332/B332-1)*100)))</f>
        <v>3.9663189309458113</v>
      </c>
      <c r="L332" s="49">
        <v>75.8</v>
      </c>
      <c r="M332" s="23">
        <f t="shared" si="2096"/>
        <v>-3.6909980306206736</v>
      </c>
      <c r="N332" s="49">
        <v>76.536000000000001</v>
      </c>
      <c r="O332" s="23">
        <f t="shared" si="2096"/>
        <v>0.7317715188207341</v>
      </c>
      <c r="P332" s="49">
        <v>76.599999999999994</v>
      </c>
      <c r="Q332" s="23">
        <f t="shared" si="2096"/>
        <v>-2.3071331097195613</v>
      </c>
      <c r="R332" s="49">
        <v>67</v>
      </c>
      <c r="S332" s="23">
        <f t="shared" si="2096"/>
        <v>-14.139990260655622</v>
      </c>
      <c r="T332" s="49">
        <v>69.8</v>
      </c>
      <c r="U332" s="23">
        <f t="shared" si="2096"/>
        <v>-7.9155672823219003</v>
      </c>
      <c r="V332" s="49">
        <v>64</v>
      </c>
      <c r="W332" s="23">
        <f t="shared" si="2096"/>
        <v>-16.379220236228708</v>
      </c>
      <c r="X332" s="49">
        <v>65.900000000000006</v>
      </c>
      <c r="Y332" s="23">
        <f t="shared" si="2096"/>
        <v>-13.968668407310691</v>
      </c>
      <c r="Z332" s="49">
        <v>68.3</v>
      </c>
      <c r="AA332" s="23">
        <f>IF(ISERROR((Z332/R332-1)*100),"NA",IF(((Z332/R332-1)*100)&gt;100,"NM",IF(((Z332/R332-1)*100)&lt;-50,"NM",(Z332/R332-1)*100)))</f>
        <v>1.9402985074626899</v>
      </c>
      <c r="AB332" s="49">
        <v>64.400000000000006</v>
      </c>
      <c r="AC332" s="23">
        <f>IF(ISERROR((AB332/T332-1)*100),"NA",IF(((AB332/T332-1)*100)&gt;100,"NM",IF(((AB332/T332-1)*100)&lt;-50,"NM",(AB332/T332-1)*100)))</f>
        <v>-7.7363896848137381</v>
      </c>
      <c r="AD332" s="49">
        <v>62.3</v>
      </c>
      <c r="AE332" s="23">
        <f>IF(ISERROR((AD332/V332-1)*100),"NA",IF(((AD332/V332-1)*100)&gt;100,"NM",IF(((AD332/V332-1)*100)&lt;-50,"NM",(AD332/V332-1)*100)))</f>
        <v>-2.6562500000000044</v>
      </c>
      <c r="AF332" s="49">
        <v>60.8</v>
      </c>
      <c r="AG332" s="23">
        <f>IF(ISERROR((AF332/X332-1)*100),"NA",IF(((AF332/X332-1)*100)&gt;100,"NM",IF(((AF332/X332-1)*100)&lt;-50,"NM",(AF332/X332-1)*100)))</f>
        <v>-7.7389984825493308</v>
      </c>
      <c r="AH332" s="49">
        <v>61.4</v>
      </c>
      <c r="AI332" s="23">
        <f>IF(ISERROR((AH332/Z332-1)*100),"NA",IF(((AH332/Z332-1)*100)&gt;100,"NM",IF(((AH332/Z332-1)*100)&lt;-50,"NM",(AH332/Z332-1)*100)))</f>
        <v>-10.102489019033678</v>
      </c>
      <c r="AJ332" s="49">
        <v>60</v>
      </c>
      <c r="AK332" s="23">
        <f>IF(ISERROR((AJ332/AB332-1)*100),"NA",IF(((AJ332/AB332-1)*100)&gt;100,"NM",IF(((AJ332/AB332-1)*100)&lt;-50,"NM",(AJ332/AB332-1)*100)))</f>
        <v>-6.8322981366459761</v>
      </c>
      <c r="AL332" s="49">
        <v>59.1</v>
      </c>
      <c r="AM332" s="23">
        <f>IF(ISERROR((AL332/AD332-1)*100),"NA",IF(((AL332/AD332-1)*100)&gt;100,"NM",IF(((AL332/AD332-1)*100)&lt;-50,"NM",(AL332/AD332-1)*100)))</f>
        <v>-5.13643659711075</v>
      </c>
      <c r="AN332" s="158">
        <v>58.4</v>
      </c>
      <c r="AO332" s="23">
        <f>IF(ISERROR((AN332/AF332-1)*100),"NA",IF(((AN332/AF332-1)*100)&gt;100,"NM",IF(((AN332/AF332-1)*100)&lt;-50,"NM",(AN332/AF332-1)*100)))</f>
        <v>-3.9473684210526327</v>
      </c>
      <c r="AP332" s="158">
        <v>61.4</v>
      </c>
      <c r="AQ332" s="23">
        <f t="shared" si="2077"/>
        <v>0</v>
      </c>
      <c r="AR332" s="158">
        <v>55.3</v>
      </c>
      <c r="AS332" s="23">
        <f t="shared" si="2079"/>
        <v>-7.8333333333333366</v>
      </c>
      <c r="AT332" s="158">
        <v>57</v>
      </c>
      <c r="AU332" s="23">
        <f t="shared" si="2080"/>
        <v>-3.5532994923857864</v>
      </c>
      <c r="AV332" s="158">
        <v>56.2</v>
      </c>
      <c r="AW332" s="23">
        <f t="shared" si="2082"/>
        <v>-3.7671232876712257</v>
      </c>
      <c r="AX332" s="158">
        <v>58.4</v>
      </c>
      <c r="AY332" s="23">
        <f t="shared" si="2083"/>
        <v>-4.8859934853420217</v>
      </c>
      <c r="AZ332" s="158">
        <v>49.5</v>
      </c>
      <c r="BA332" s="23">
        <f t="shared" si="2085"/>
        <v>-10.488245931283902</v>
      </c>
      <c r="BB332" s="158">
        <v>47.2</v>
      </c>
      <c r="BC332" s="23">
        <f t="shared" si="2087"/>
        <v>-17.192982456140349</v>
      </c>
      <c r="BD332" s="158">
        <f>50+0.4</f>
        <v>50.4</v>
      </c>
      <c r="BE332" s="23">
        <f t="shared" si="2088"/>
        <v>-10.320284697508908</v>
      </c>
      <c r="BF332" s="36">
        <f t="shared" ref="BF332" si="2097">BF$320*BF338/100</f>
        <v>60.131306948601832</v>
      </c>
      <c r="BG332" s="23">
        <f t="shared" si="2089"/>
        <v>2.9645666928113545</v>
      </c>
      <c r="BH332" s="36">
        <f t="shared" ref="BH332" si="2098">BH$320*BH338/100</f>
        <v>57.284477388048245</v>
      </c>
      <c r="BI332" s="23">
        <f t="shared" si="2091"/>
        <v>15.726216945552007</v>
      </c>
      <c r="BJ332" s="36">
        <f t="shared" ref="BJ332" si="2099">BJ$320*BJ338/100</f>
        <v>57.661406080370952</v>
      </c>
      <c r="BK332" s="23">
        <f t="shared" si="2093"/>
        <v>22.163995932989302</v>
      </c>
      <c r="BL332" s="36">
        <f t="shared" ref="BL332" si="2100">BL$320*BL338/100</f>
        <v>56.513669887614142</v>
      </c>
      <c r="BM332" s="23">
        <f t="shared" si="2095"/>
        <v>12.13029739605982</v>
      </c>
      <c r="BN332" s="10"/>
      <c r="BO332" s="137"/>
      <c r="BP332" s="10"/>
      <c r="BQ332" s="49">
        <v>276</v>
      </c>
      <c r="BR332" s="32"/>
      <c r="BS332" s="49">
        <v>295.5</v>
      </c>
      <c r="BT332" s="10"/>
      <c r="BU332" s="56">
        <f>B332+D332+F332+H332</f>
        <v>308.15100000000001</v>
      </c>
      <c r="BV332" s="23">
        <f>IF(ISERROR((BU332/BS332-1)*100),"NA",IF(((BU332/BS332-1)*100)&gt;100,"NM",IF(((BU332/BS332-1)*100)&lt;-50,"NM",(BU332/BS332-1)*100)))</f>
        <v>4.2812182741116755</v>
      </c>
      <c r="BW332" s="56">
        <f>J332+L332+N332+P332</f>
        <v>306.97000000000003</v>
      </c>
      <c r="BX332" s="23">
        <f>IF(ISERROR((BW332/BU332-1)*100),"NA",IF(((BW332/BU332-1)*100)&gt;100,"NM",IF(((BW332/BU332-1)*100)&lt;-50,"NM",(BW332/BU332-1)*100)))</f>
        <v>-0.38325366459949217</v>
      </c>
      <c r="BY332" s="56">
        <f>R332+T332+V332+X332</f>
        <v>266.70000000000005</v>
      </c>
      <c r="BZ332" s="23">
        <f>IF(ISERROR((BY332/BW332-1)*100),"NA",IF(((BY332/BW332-1)*100)&gt;100,"NM",IF(((BY332/BW332-1)*100)&lt;-50,"NM",(BY332/BW332-1)*100)))</f>
        <v>-13.11854578623317</v>
      </c>
      <c r="CA332" s="56">
        <f>Z332+AB332+AD332+AF332</f>
        <v>255.8</v>
      </c>
      <c r="CB332" s="23">
        <f>IF(ISERROR((CA332/BY332-1)*100),"NA",IF(((CA332/BY332-1)*100)&gt;100,"NM",IF(((CA332/BY332-1)*100)&lt;-50,"NM",(CA332/BY332-1)*100)))</f>
        <v>-4.0869891263592191</v>
      </c>
      <c r="CC332" s="56">
        <f>AH332+AJ332+AL332+AN332</f>
        <v>238.9</v>
      </c>
      <c r="CD332" s="23">
        <f>IF(ISERROR((CC332/CA332-1)*100),"NA",IF(((CC332/CA332-1)*100)&gt;100,"NM",IF(((CC332/CA332-1)*100)&lt;-50,"NM",(CC332/CA332-1)*100)))</f>
        <v>-6.6067240031274395</v>
      </c>
      <c r="CE332" s="56">
        <f>AP332+AR332+AT332+AV332</f>
        <v>229.89999999999998</v>
      </c>
      <c r="CF332" s="23">
        <f>IF(ISERROR((CE332/CC332-1)*100),"NA",IF(((CE332/CC332-1)*100)&gt;100,"NM",IF(((CE332/CC332-1)*100)&lt;-50,"NM",(CE332/CC332-1)*100)))</f>
        <v>-3.7672666387610021</v>
      </c>
      <c r="CG332" s="56">
        <f>AX332+AZ332+BB332+BD332</f>
        <v>205.50000000000003</v>
      </c>
      <c r="CH332" s="23">
        <f>IF(ISERROR((CG332/CE332-1)*100),"NA",IF(((CG332/CE332-1)*100)&gt;100,"NM",IF(((CG332/CE332-1)*100)&lt;-50,"NM",(CG332/CE332-1)*100)))</f>
        <v>-10.613310134841214</v>
      </c>
      <c r="CI332" s="56">
        <f>BF332+BH332+BJ332+BL332</f>
        <v>231.59086030463516</v>
      </c>
      <c r="CJ332" s="23">
        <f>IF(ISERROR((CI332/CG332-1)*100),"NA",IF(((CI332/CG332-1)*100)&gt;100,"NM",IF(((CI332/CG332-1)*100)&lt;-50,"NM",(CI332/CG332-1)*100)))</f>
        <v>12.696282386683766</v>
      </c>
      <c r="CK332" s="36">
        <f>CK$320*CK338/100</f>
        <v>237.21685835231057</v>
      </c>
      <c r="CL332" s="23">
        <f>IF(ISERROR((CK332/CI332-1)*100),"NA",IF(((CK332/CI332-1)*100)&gt;100,"NM",IF(((CK332/CI332-1)*100)&lt;-50,"NM",(CK332/CI332-1)*100)))</f>
        <v>2.4292832801238173</v>
      </c>
      <c r="CM332" s="36">
        <f>CM$320*CM338/100</f>
        <v>243.28288493461451</v>
      </c>
      <c r="CN332" s="23">
        <f>IF(ISERROR((CM332/CK332-1)*100),"NA",IF(((CM332/CK332-1)*100)&gt;100,"NM",IF(((CM332/CK332-1)*100)&lt;-50,"NM",(CM332/CK332-1)*100)))</f>
        <v>2.5571650448615202</v>
      </c>
      <c r="CO332" s="36">
        <f>CO$320*CO338/100</f>
        <v>249.50604882469304</v>
      </c>
      <c r="CP332" s="23">
        <f>IF(ISERROR((CO332/CM332-1)*100),"NA",IF(((CO332/CM332-1)*100)&gt;100,"NM",IF(((CO332/CM332-1)*100)&lt;-50,"NM",(CO332/CM332-1)*100)))</f>
        <v>2.5579949414654024</v>
      </c>
      <c r="CQ332" s="36">
        <f>CQ$320*CQ338/100</f>
        <v>255.89051397901261</v>
      </c>
      <c r="CR332" s="23">
        <f>IF(ISERROR((CQ332/CO332-1)*100),"NA",IF(((CQ332/CO332-1)*100)&gt;100,"NM",IF(((CQ332/CO332-1)*100)&lt;-50,"NM",(CQ332/CO332-1)*100)))</f>
        <v>2.5588418334520524</v>
      </c>
      <c r="CS332" s="23">
        <f>IF(ISERROR(((CQ332/CG332)^0.2-1)*100),"NA",IF((((CQ332/CG332)^0.2-1)*100)&gt;100,"NM",IF((((CQ332/CG332)^0.2-1)*100)&lt;-50,"NM",((CQ332/CG332)^0.2-1)*100)))</f>
        <v>4.4836828092243097</v>
      </c>
    </row>
    <row r="333" spans="1:97" ht="12.75" customHeight="1" x14ac:dyDescent="0.2">
      <c r="A333" s="4" t="s">
        <v>162</v>
      </c>
      <c r="B333" s="49">
        <v>9.69</v>
      </c>
      <c r="C333" s="59"/>
      <c r="D333" s="49">
        <v>7.0709999999999997</v>
      </c>
      <c r="E333" s="59"/>
      <c r="F333" s="49">
        <v>5.1230000000000002</v>
      </c>
      <c r="G333" s="59"/>
      <c r="H333" s="49">
        <v>8.8490000000000002</v>
      </c>
      <c r="I333" s="59"/>
      <c r="J333" s="49">
        <v>10.089</v>
      </c>
      <c r="K333" s="23">
        <f t="shared" si="2096"/>
        <v>4.117647058823537</v>
      </c>
      <c r="L333" s="49">
        <v>5.92</v>
      </c>
      <c r="M333" s="23">
        <f t="shared" si="2096"/>
        <v>-16.277754207325689</v>
      </c>
      <c r="N333" s="49">
        <v>8.3559999999999999</v>
      </c>
      <c r="O333" s="23">
        <f t="shared" si="2096"/>
        <v>63.107554167479975</v>
      </c>
      <c r="P333" s="49">
        <v>6.1</v>
      </c>
      <c r="Q333" s="23">
        <f t="shared" si="2096"/>
        <v>-31.065657136399594</v>
      </c>
      <c r="R333" s="49">
        <v>7.7</v>
      </c>
      <c r="S333" s="23">
        <f t="shared" si="2096"/>
        <v>-23.679254633759538</v>
      </c>
      <c r="T333" s="49">
        <v>5.9</v>
      </c>
      <c r="U333" s="23">
        <f t="shared" si="2096"/>
        <v>-0.33783783783782884</v>
      </c>
      <c r="V333" s="49">
        <v>4.8</v>
      </c>
      <c r="W333" s="23">
        <f t="shared" si="2096"/>
        <v>-42.556247008137873</v>
      </c>
      <c r="X333" s="49">
        <v>4.9000000000000004</v>
      </c>
      <c r="Y333" s="23">
        <f t="shared" si="2096"/>
        <v>-19.672131147540973</v>
      </c>
      <c r="Z333" s="49">
        <v>6.2</v>
      </c>
      <c r="AA333" s="23">
        <f>IF(ISERROR((Z333/R333-1)*100),"NA",IF(((Z333/R333-1)*100)&gt;100,"NM",IF(((Z333/R333-1)*100)&lt;-50,"NM",(Z333/R333-1)*100)))</f>
        <v>-19.480519480519476</v>
      </c>
      <c r="AB333" s="49">
        <v>6</v>
      </c>
      <c r="AC333" s="23">
        <f>IF(ISERROR((AB333/T333-1)*100),"NA",IF(((AB333/T333-1)*100)&gt;100,"NM",IF(((AB333/T333-1)*100)&lt;-50,"NM",(AB333/T333-1)*100)))</f>
        <v>1.6949152542372836</v>
      </c>
      <c r="AD333" s="49">
        <v>6.2</v>
      </c>
      <c r="AE333" s="23">
        <f>IF(ISERROR((AD333/V333-1)*100),"NA",IF(((AD333/V333-1)*100)&gt;100,"NM",IF(((AD333/V333-1)*100)&lt;-50,"NM",(AD333/V333-1)*100)))</f>
        <v>29.166666666666675</v>
      </c>
      <c r="AF333" s="49">
        <v>3.5</v>
      </c>
      <c r="AG333" s="23">
        <f>IF(ISERROR((AF333/X333-1)*100),"NA",IF(((AF333/X333-1)*100)&gt;100,"NM",IF(((AF333/X333-1)*100)&lt;-50,"NM",(AF333/X333-1)*100)))</f>
        <v>-28.57142857142858</v>
      </c>
      <c r="AH333" s="49">
        <v>9.8000000000000007</v>
      </c>
      <c r="AI333" s="23">
        <f>IF(ISERROR((AH333/Z333-1)*100),"NA",IF(((AH333/Z333-1)*100)&gt;100,"NM",IF(((AH333/Z333-1)*100)&lt;-50,"NM",(AH333/Z333-1)*100)))</f>
        <v>58.06451612903227</v>
      </c>
      <c r="AJ333" s="49">
        <v>5.3</v>
      </c>
      <c r="AK333" s="23">
        <f>IF(ISERROR((AJ333/AB333-1)*100),"NA",IF(((AJ333/AB333-1)*100)&gt;100,"NM",IF(((AJ333/AB333-1)*100)&lt;-50,"NM",(AJ333/AB333-1)*100)))</f>
        <v>-11.66666666666667</v>
      </c>
      <c r="AL333" s="49">
        <v>7.1</v>
      </c>
      <c r="AM333" s="23">
        <f>IF(ISERROR((AL333/AD333-1)*100),"NA",IF(((AL333/AD333-1)*100)&gt;100,"NM",IF(((AL333/AD333-1)*100)&lt;-50,"NM",(AL333/AD333-1)*100)))</f>
        <v>14.516129032258052</v>
      </c>
      <c r="AN333" s="158">
        <v>7.5</v>
      </c>
      <c r="AO333" s="23" t="str">
        <f>IF(ISERROR((AN333/AF333-1)*100),"NA",IF(((AN333/AF333-1)*100)&gt;100,"NM",IF(((AN333/AF333-1)*100)&lt;-50,"NM",(AN333/AF333-1)*100)))</f>
        <v>NM</v>
      </c>
      <c r="AP333" s="158">
        <v>6.8</v>
      </c>
      <c r="AQ333" s="23">
        <f t="shared" si="2077"/>
        <v>-30.612244897959194</v>
      </c>
      <c r="AR333" s="158">
        <v>7.4</v>
      </c>
      <c r="AS333" s="23">
        <f t="shared" si="2079"/>
        <v>39.622641509433976</v>
      </c>
      <c r="AT333" s="158">
        <v>6.5</v>
      </c>
      <c r="AU333" s="23">
        <f t="shared" si="2080"/>
        <v>-8.4507042253521121</v>
      </c>
      <c r="AV333" s="158">
        <v>7</v>
      </c>
      <c r="AW333" s="23">
        <f t="shared" si="2082"/>
        <v>-6.6666666666666652</v>
      </c>
      <c r="AX333" s="158">
        <v>6.8</v>
      </c>
      <c r="AY333" s="23">
        <f t="shared" si="2083"/>
        <v>0</v>
      </c>
      <c r="AZ333" s="158">
        <v>5.3</v>
      </c>
      <c r="BA333" s="23">
        <f t="shared" si="2085"/>
        <v>-28.37837837837839</v>
      </c>
      <c r="BB333" s="158">
        <v>4.5</v>
      </c>
      <c r="BC333" s="23">
        <f t="shared" si="2087"/>
        <v>-30.76923076923077</v>
      </c>
      <c r="BD333" s="158">
        <f>5+0.2</f>
        <v>5.2</v>
      </c>
      <c r="BE333" s="23">
        <f t="shared" si="2088"/>
        <v>-25.714285714285712</v>
      </c>
      <c r="BF333" s="36">
        <f t="shared" ref="BF333" si="2101">BF$320*BF339/100</f>
        <v>7.3075308238851315</v>
      </c>
      <c r="BG333" s="23">
        <f t="shared" si="2089"/>
        <v>7.4636885865460467</v>
      </c>
      <c r="BH333" s="36">
        <f t="shared" ref="BH333" si="2102">BH$320*BH339/100</f>
        <v>7.3483200573236767</v>
      </c>
      <c r="BI333" s="23">
        <f t="shared" si="2091"/>
        <v>38.647548251390141</v>
      </c>
      <c r="BJ333" s="36">
        <f t="shared" ref="BJ333" si="2103">BJ$320*BJ339/100</f>
        <v>4.5632641722357512</v>
      </c>
      <c r="BK333" s="23">
        <f t="shared" si="2093"/>
        <v>1.4058704941278144</v>
      </c>
      <c r="BL333" s="36">
        <f t="shared" ref="BL333" si="2104">BL$320*BL339/100</f>
        <v>5.280702307557835</v>
      </c>
      <c r="BM333" s="23">
        <f t="shared" si="2095"/>
        <v>1.5519674530352745</v>
      </c>
      <c r="BN333" s="10"/>
      <c r="BO333" s="137"/>
      <c r="BP333" s="10"/>
      <c r="BQ333" s="49">
        <v>29</v>
      </c>
      <c r="BR333" s="32"/>
      <c r="BS333" s="49">
        <v>29.8</v>
      </c>
      <c r="BT333" s="10"/>
      <c r="BU333" s="56">
        <f>B333+D333+F333+H333</f>
        <v>30.733000000000001</v>
      </c>
      <c r="BV333" s="23">
        <f>IF(ISERROR((BU333/BS333-1)*100),"NA",IF(((BU333/BS333-1)*100)&gt;100,"NM",IF(((BU333/BS333-1)*100)&lt;-50,"NM",(BU333/BS333-1)*100)))</f>
        <v>3.1308724832214807</v>
      </c>
      <c r="BW333" s="56">
        <f>J333+L333+N333+P333</f>
        <v>30.465000000000003</v>
      </c>
      <c r="BX333" s="23">
        <f>IF(ISERROR((BW333/BU333-1)*100),"NA",IF(((BW333/BU333-1)*100)&gt;100,"NM",IF(((BW333/BU333-1)*100)&lt;-50,"NM",(BW333/BU333-1)*100)))</f>
        <v>-0.87202681157061424</v>
      </c>
      <c r="BY333" s="56">
        <f>R333+T333+V333+X333</f>
        <v>23.300000000000004</v>
      </c>
      <c r="BZ333" s="23">
        <f>IF(ISERROR((BY333/BW333-1)*100),"NA",IF(((BY333/BW333-1)*100)&gt;100,"NM",IF(((BY333/BW333-1)*100)&lt;-50,"NM",(BY333/BW333-1)*100)))</f>
        <v>-23.518792056458228</v>
      </c>
      <c r="CA333" s="56">
        <f>Z333+AB333+AD333+AF333</f>
        <v>21.9</v>
      </c>
      <c r="CB333" s="23">
        <f>IF(ISERROR((CA333/BY333-1)*100),"NA",IF(((CA333/BY333-1)*100)&gt;100,"NM",IF(((CA333/BY333-1)*100)&lt;-50,"NM",(CA333/BY333-1)*100)))</f>
        <v>-6.0085836909871464</v>
      </c>
      <c r="CC333" s="56">
        <f>AH333+AJ333+AL333+AN333</f>
        <v>29.700000000000003</v>
      </c>
      <c r="CD333" s="23">
        <f>IF(ISERROR((CC333/CA333-1)*100),"NA",IF(((CC333/CA333-1)*100)&gt;100,"NM",IF(((CC333/CA333-1)*100)&lt;-50,"NM",(CC333/CA333-1)*100)))</f>
        <v>35.616438356164416</v>
      </c>
      <c r="CE333" s="56">
        <f>AP333+AR333+AT333+AV333</f>
        <v>27.7</v>
      </c>
      <c r="CF333" s="23">
        <f>IF(ISERROR((CE333/CC333-1)*100),"NA",IF(((CE333/CC333-1)*100)&gt;100,"NM",IF(((CE333/CC333-1)*100)&lt;-50,"NM",(CE333/CC333-1)*100)))</f>
        <v>-6.7340067340067478</v>
      </c>
      <c r="CG333" s="56">
        <f>AX333+AZ333+BB333+BD333</f>
        <v>21.8</v>
      </c>
      <c r="CH333" s="23">
        <f>IF(ISERROR((CG333/CE333-1)*100),"NA",IF(((CG333/CE333-1)*100)&gt;100,"NM",IF(((CG333/CE333-1)*100)&lt;-50,"NM",(CG333/CE333-1)*100)))</f>
        <v>-21.299638989169665</v>
      </c>
      <c r="CI333" s="56">
        <f>BF333+BH333+BJ333+BL333</f>
        <v>24.499817361002396</v>
      </c>
      <c r="CJ333" s="23">
        <f>IF(ISERROR((CI333/CG333-1)*100),"NA",IF(((CI333/CG333-1)*100)&gt;100,"NM",IF(((CI333/CG333-1)*100)&lt;-50,"NM",(CI333/CG333-1)*100)))</f>
        <v>12.384483307350447</v>
      </c>
      <c r="CK333" s="36">
        <f>CK$320*CK339/100</f>
        <v>25.094987327814096</v>
      </c>
      <c r="CL333" s="23">
        <f>IF(ISERROR((CK333/CI333-1)*100),"NA",IF(((CK333/CI333-1)*100)&gt;100,"NM",IF(((CK333/CI333-1)*100)&lt;-50,"NM",(CK333/CI333-1)*100)))</f>
        <v>2.4292832801237951</v>
      </c>
      <c r="CM333" s="36">
        <f>CM$320*CM339/100</f>
        <v>25.736707571773387</v>
      </c>
      <c r="CN333" s="23">
        <f>IF(ISERROR((CM333/CK333-1)*100),"NA",IF(((CM333/CK333-1)*100)&gt;100,"NM",IF(((CM333/CK333-1)*100)&lt;-50,"NM",(CM333/CK333-1)*100)))</f>
        <v>2.5571650448615202</v>
      </c>
      <c r="CO333" s="36">
        <f>CO$320*CO339/100</f>
        <v>26.395051249559089</v>
      </c>
      <c r="CP333" s="23">
        <f>IF(ISERROR((CO333/CM333-1)*100),"NA",IF(((CO333/CM333-1)*100)&gt;100,"NM",IF(((CO333/CM333-1)*100)&lt;-50,"NM",(CO333/CM333-1)*100)))</f>
        <v>2.5579949414653802</v>
      </c>
      <c r="CQ333" s="36">
        <f>CQ$320*CQ339/100</f>
        <v>27.070458862893918</v>
      </c>
      <c r="CR333" s="23">
        <f>IF(ISERROR((CQ333/CO333-1)*100),"NA",IF(((CQ333/CO333-1)*100)&gt;100,"NM",IF(((CQ333/CO333-1)*100)&lt;-50,"NM",(CQ333/CO333-1)*100)))</f>
        <v>2.5588418334520746</v>
      </c>
      <c r="CS333" s="23">
        <f>IF(ISERROR(((CQ333/CG333)^0.2-1)*100),"NA",IF((((CQ333/CG333)^0.2-1)*100)&gt;100,"NM",IF((((CQ333/CG333)^0.2-1)*100)&lt;-50,"NM",((CQ333/CG333)^0.2-1)*100)))</f>
        <v>4.4258032963032212</v>
      </c>
    </row>
    <row r="334" spans="1:97" ht="12.75" customHeight="1" x14ac:dyDescent="0.2">
      <c r="A334" s="4" t="s">
        <v>158</v>
      </c>
      <c r="B334" s="49">
        <f>46.661+1.89</f>
        <v>48.551000000000002</v>
      </c>
      <c r="C334" s="59"/>
      <c r="D334" s="49">
        <f>64.605+4.262</f>
        <v>68.867000000000004</v>
      </c>
      <c r="E334" s="59"/>
      <c r="F334" s="49">
        <f>71.583-18.703</f>
        <v>52.879999999999995</v>
      </c>
      <c r="G334" s="59"/>
      <c r="H334" s="49">
        <f>30.363+18.906</f>
        <v>49.268999999999998</v>
      </c>
      <c r="I334" s="59"/>
      <c r="J334" s="49">
        <f>47.57+4.386</f>
        <v>51.956000000000003</v>
      </c>
      <c r="K334" s="23">
        <f t="shared" si="2096"/>
        <v>7.0132438054828938</v>
      </c>
      <c r="L334" s="49">
        <f>47.359+0.237</f>
        <v>47.596000000000004</v>
      </c>
      <c r="M334" s="23">
        <f t="shared" si="2096"/>
        <v>-30.887072182612862</v>
      </c>
      <c r="N334" s="49">
        <f>60.167-3.448</f>
        <v>56.719000000000001</v>
      </c>
      <c r="O334" s="23">
        <f t="shared" si="2096"/>
        <v>7.2598335854765716</v>
      </c>
      <c r="P334" s="49">
        <f>57.2-4.6</f>
        <v>52.6</v>
      </c>
      <c r="Q334" s="23">
        <f t="shared" si="2096"/>
        <v>6.7608435324443494</v>
      </c>
      <c r="R334" s="49">
        <f>44.9+2.7</f>
        <v>47.6</v>
      </c>
      <c r="S334" s="23">
        <f t="shared" si="2096"/>
        <v>-8.3840172453614628</v>
      </c>
      <c r="T334" s="49">
        <f>48.4+4.9</f>
        <v>53.3</v>
      </c>
      <c r="U334" s="23">
        <f t="shared" si="2096"/>
        <v>11.984200352970831</v>
      </c>
      <c r="V334" s="49">
        <f>70.2-36.4</f>
        <v>33.800000000000004</v>
      </c>
      <c r="W334" s="23">
        <f t="shared" si="2096"/>
        <v>-40.407976163190462</v>
      </c>
      <c r="X334" s="49">
        <f>39.1+6.4</f>
        <v>45.5</v>
      </c>
      <c r="Y334" s="23">
        <f t="shared" si="2096"/>
        <v>-13.498098859315588</v>
      </c>
      <c r="Z334" s="49">
        <f>33.4+7.1</f>
        <v>40.5</v>
      </c>
      <c r="AA334" s="23">
        <f>IF(ISERROR((Z334/R334-1)*100),"NA",IF(((Z334/R334-1)*100)&gt;100,"NM",IF(((Z334/R334-1)*100)&lt;-50,"NM",(Z334/R334-1)*100)))</f>
        <v>-14.915966386554624</v>
      </c>
      <c r="AB334" s="49">
        <f>45.1+1.5</f>
        <v>46.6</v>
      </c>
      <c r="AC334" s="23">
        <f>IF(ISERROR((AB334/T334-1)*100),"NA",IF(((AB334/T334-1)*100)&gt;100,"NM",IF(((AB334/T334-1)*100)&lt;-50,"NM",(AB334/T334-1)*100)))</f>
        <v>-12.570356472795485</v>
      </c>
      <c r="AD334" s="49">
        <f>42+7.1</f>
        <v>49.1</v>
      </c>
      <c r="AE334" s="23">
        <f>IF(ISERROR((AD334/V334-1)*100),"NA",IF(((AD334/V334-1)*100)&gt;100,"NM",IF(((AD334/V334-1)*100)&lt;-50,"NM",(AD334/V334-1)*100)))</f>
        <v>45.266272189349088</v>
      </c>
      <c r="AF334" s="49">
        <f>45.9-5.5</f>
        <v>40.4</v>
      </c>
      <c r="AG334" s="23">
        <f>IF(ISERROR((AF334/X334-1)*100),"NA",IF(((AF334/X334-1)*100)&gt;100,"NM",IF(((AF334/X334-1)*100)&lt;-50,"NM",(AF334/X334-1)*100)))</f>
        <v>-11.208791208791213</v>
      </c>
      <c r="AH334" s="49">
        <f>43.2-0.1</f>
        <v>43.1</v>
      </c>
      <c r="AI334" s="23">
        <f>IF(ISERROR((AH334/Z334-1)*100),"NA",IF(((AH334/Z334-1)*100)&gt;100,"NM",IF(((AH334/Z334-1)*100)&lt;-50,"NM",(AH334/Z334-1)*100)))</f>
        <v>6.419753086419755</v>
      </c>
      <c r="AJ334" s="49">
        <f>42+14.6</f>
        <v>56.6</v>
      </c>
      <c r="AK334" s="23">
        <f>IF(ISERROR((AJ334/AB334-1)*100),"NA",IF(((AJ334/AB334-1)*100)&gt;100,"NM",IF(((AJ334/AB334-1)*100)&lt;-50,"NM",(AJ334/AB334-1)*100)))</f>
        <v>21.459227467811147</v>
      </c>
      <c r="AL334" s="49">
        <f>43.8+29.4</f>
        <v>73.199999999999989</v>
      </c>
      <c r="AM334" s="23">
        <f>IF(ISERROR((AL334/AD334-1)*100),"NA",IF(((AL334/AD334-1)*100)&gt;100,"NM",IF(((AL334/AD334-1)*100)&lt;-50,"NM",(AL334/AD334-1)*100)))</f>
        <v>49.083503054989784</v>
      </c>
      <c r="AN334" s="158">
        <f>33.7-5.5</f>
        <v>28.200000000000003</v>
      </c>
      <c r="AO334" s="23">
        <f>IF(ISERROR((AN334/AF334-1)*100),"NA",IF(((AN334/AF334-1)*100)&gt;100,"NM",IF(((AN334/AF334-1)*100)&lt;-50,"NM",(AN334/AF334-1)*100)))</f>
        <v>-30.198019801980191</v>
      </c>
      <c r="AP334" s="158">
        <f>34+7.9</f>
        <v>41.9</v>
      </c>
      <c r="AQ334" s="23">
        <f t="shared" si="2077"/>
        <v>-2.784222737819031</v>
      </c>
      <c r="AR334" s="158">
        <f>32.5+4</f>
        <v>36.5</v>
      </c>
      <c r="AS334" s="23">
        <f t="shared" si="2079"/>
        <v>-35.512367491166074</v>
      </c>
      <c r="AT334" s="158">
        <f>20.8+122.1</f>
        <v>142.9</v>
      </c>
      <c r="AU334" s="23">
        <f t="shared" si="2080"/>
        <v>95.218579234972722</v>
      </c>
      <c r="AV334" s="158">
        <f>7.1+35.2</f>
        <v>42.300000000000004</v>
      </c>
      <c r="AW334" s="23">
        <f t="shared" si="2082"/>
        <v>50</v>
      </c>
      <c r="AX334" s="158">
        <f>40+7.9</f>
        <v>47.9</v>
      </c>
      <c r="AY334" s="23">
        <f t="shared" si="2083"/>
        <v>14.319809069212418</v>
      </c>
      <c r="AZ334" s="158">
        <f>43.4+1</f>
        <v>44.4</v>
      </c>
      <c r="BA334" s="23">
        <f t="shared" si="2085"/>
        <v>21.643835616438345</v>
      </c>
      <c r="BB334" s="158">
        <f>37.4+143.1</f>
        <v>180.5</v>
      </c>
      <c r="BC334" s="23">
        <f t="shared" si="2087"/>
        <v>26.312106368089559</v>
      </c>
      <c r="BD334" s="158">
        <f>41+8+0.4</f>
        <v>49.4</v>
      </c>
      <c r="BE334" s="23">
        <f t="shared" si="2088"/>
        <v>16.784869976359328</v>
      </c>
      <c r="BF334" s="36">
        <f t="shared" ref="BF334" si="2105">BF332*BF340/100</f>
        <v>49.320027445856638</v>
      </c>
      <c r="BG334" s="23">
        <f t="shared" si="2089"/>
        <v>2.9645666928113545</v>
      </c>
      <c r="BH334" s="36">
        <f t="shared" ref="BH334" si="2106">BH332*BH340/100</f>
        <v>45.839352693463532</v>
      </c>
      <c r="BI334" s="23">
        <f t="shared" si="2091"/>
        <v>3.2417853456385926</v>
      </c>
      <c r="BJ334" s="36">
        <f t="shared" ref="BJ334" si="2107">BJ332*BJ340/100</f>
        <v>46.140973098422862</v>
      </c>
      <c r="BK334" s="23" t="str">
        <f t="shared" si="2093"/>
        <v>NM</v>
      </c>
      <c r="BL334" s="36">
        <f t="shared" ref="BL334" si="2108">BL332*BL340/100</f>
        <v>46.07025335632764</v>
      </c>
      <c r="BM334" s="23">
        <f t="shared" si="2095"/>
        <v>-6.7403778211991057</v>
      </c>
      <c r="BN334" s="10"/>
      <c r="BO334" s="137"/>
      <c r="BP334" s="10"/>
      <c r="BQ334" s="49">
        <f>205.2+50.4</f>
        <v>255.6</v>
      </c>
      <c r="BR334" s="32"/>
      <c r="BS334" s="49">
        <f>241.5-27.6</f>
        <v>213.9</v>
      </c>
      <c r="BT334" s="10"/>
      <c r="BU334" s="56">
        <f>B334+D334+F334+H334</f>
        <v>219.56700000000001</v>
      </c>
      <c r="BV334" s="23">
        <f>IF(ISERROR((BU334/BS334-1)*100),"NA",IF(((BU334/BS334-1)*100)&gt;100,"NM",IF(((BU334/BS334-1)*100)&lt;-50,"NM",(BU334/BS334-1)*100)))</f>
        <v>2.6493688639551261</v>
      </c>
      <c r="BW334" s="56">
        <f>J334+L334+N334+P334</f>
        <v>208.87100000000001</v>
      </c>
      <c r="BX334" s="23">
        <f>IF(ISERROR((BW334/BU334-1)*100),"NA",IF(((BW334/BU334-1)*100)&gt;100,"NM",IF(((BW334/BU334-1)*100)&lt;-50,"NM",(BW334/BU334-1)*100)))</f>
        <v>-4.8714059945255901</v>
      </c>
      <c r="BY334" s="56">
        <f>R334+T334+V334+X334</f>
        <v>180.20000000000002</v>
      </c>
      <c r="BZ334" s="23">
        <f>IF(ISERROR((BY334/BW334-1)*100),"NA",IF(((BY334/BW334-1)*100)&gt;100,"NM",IF(((BY334/BW334-1)*100)&lt;-50,"NM",(BY334/BW334-1)*100)))</f>
        <v>-13.726654250709769</v>
      </c>
      <c r="CA334" s="56">
        <f>Z334+AB334+AD334+AF334</f>
        <v>176.6</v>
      </c>
      <c r="CB334" s="23">
        <f>IF(ISERROR((CA334/BY334-1)*100),"NA",IF(((CA334/BY334-1)*100)&gt;100,"NM",IF(((CA334/BY334-1)*100)&lt;-50,"NM",(CA334/BY334-1)*100)))</f>
        <v>-1.9977802441731529</v>
      </c>
      <c r="CC334" s="56">
        <f>AH334+AJ334+AL334+AN334</f>
        <v>201.09999999999997</v>
      </c>
      <c r="CD334" s="23">
        <f>IF(ISERROR((CC334/CA334-1)*100),"NA",IF(((CC334/CA334-1)*100)&gt;100,"NM",IF(((CC334/CA334-1)*100)&lt;-50,"NM",(CC334/CA334-1)*100)))</f>
        <v>13.873159682899194</v>
      </c>
      <c r="CE334" s="56">
        <f>AP334+AR334+AT334+AV334</f>
        <v>263.60000000000002</v>
      </c>
      <c r="CF334" s="23">
        <f>IF(ISERROR((CE334/CC334-1)*100),"NA",IF(((CE334/CC334-1)*100)&gt;100,"NM",IF(((CE334/CC334-1)*100)&lt;-50,"NM",(CE334/CC334-1)*100)))</f>
        <v>31.079065141720562</v>
      </c>
      <c r="CG334" s="56">
        <f>AX334+AZ334+BB334+BD334</f>
        <v>322.2</v>
      </c>
      <c r="CH334" s="23">
        <f>IF(ISERROR((CG334/CE334-1)*100),"NA",IF(((CG334/CE334-1)*100)&gt;100,"NM",IF(((CG334/CE334-1)*100)&lt;-50,"NM",(CG334/CE334-1)*100)))</f>
        <v>22.230652503793614</v>
      </c>
      <c r="CI334" s="56">
        <f>BF334+BH334+BJ334+BL334</f>
        <v>187.37060659407067</v>
      </c>
      <c r="CJ334" s="23">
        <f>IF(ISERROR((CI334/CG334-1)*100),"NA",IF(((CI334/CG334-1)*100)&gt;100,"NM",IF(((CI334/CG334-1)*100)&lt;-50,"NM",(CI334/CG334-1)*100)))</f>
        <v>-41.84649081499979</v>
      </c>
      <c r="CK334" s="36">
        <f>CK332*CK340/100</f>
        <v>194.29453799545013</v>
      </c>
      <c r="CL334" s="23">
        <f>IF(ISERROR((CK334/CI334-1)*100),"NA",IF(((CK334/CI334-1)*100)&gt;100,"NM",IF(((CK334/CI334-1)*100)&lt;-50,"NM",(CK334/CI334-1)*100)))</f>
        <v>3.6953135431641249</v>
      </c>
      <c r="CM334" s="36">
        <f>CM332*CM340/100</f>
        <v>201.6957988544911</v>
      </c>
      <c r="CN334" s="23">
        <f>IF(ISERROR((CM334/CK334-1)*100),"NA",IF(((CM334/CK334-1)*100)&gt;100,"NM",IF(((CM334/CK334-1)*100)&lt;-50,"NM",(CM334/CK334-1)*100)))</f>
        <v>3.8092994972479755</v>
      </c>
      <c r="CO334" s="36">
        <f>CO332*CO340/100</f>
        <v>209.35022767458412</v>
      </c>
      <c r="CP334" s="23">
        <f>IF(ISERROR((CO334/CM334-1)*100),"NA",IF(((CO334/CM334-1)*100)&gt;100,"NM",IF(((CO334/CM334-1)*100)&lt;-50,"NM",(CO334/CM334-1)*100)))</f>
        <v>3.795036318835332</v>
      </c>
      <c r="CQ334" s="36">
        <f>CQ332*CQ340/100</f>
        <v>217.26607401853869</v>
      </c>
      <c r="CR334" s="23">
        <f>IF(ISERROR((CQ334/CO334-1)*100),"NA",IF(((CQ334/CO334-1)*100)&gt;100,"NM",IF(((CQ334/CO334-1)*100)&lt;-50,"NM",(CQ334/CO334-1)*100)))</f>
        <v>3.7811501004235915</v>
      </c>
      <c r="CS334" s="23">
        <f>IF(ISERROR(((CQ334/CG334)^0.2-1)*100),"NA",IF((((CQ334/CG334)^0.2-1)*100)&gt;100,"NM",IF((((CQ334/CG334)^0.2-1)*100)&lt;-50,"NM",((CQ334/CG334)^0.2-1)*100)))</f>
        <v>-7.5784439673062698</v>
      </c>
    </row>
    <row r="335" spans="1:97" ht="12.75" customHeight="1" x14ac:dyDescent="0.2">
      <c r="A335" s="4" t="s">
        <v>11</v>
      </c>
      <c r="B335" s="36">
        <f>SUM(B331:B334)</f>
        <v>292.65299999999996</v>
      </c>
      <c r="C335" s="59"/>
      <c r="D335" s="36">
        <f>SUM(D331:D334)</f>
        <v>316.91999999999996</v>
      </c>
      <c r="E335" s="59"/>
      <c r="F335" s="36">
        <f>SUM(F331:F334)</f>
        <v>297.988</v>
      </c>
      <c r="G335" s="59"/>
      <c r="H335" s="36">
        <f>SUM(H331:H334)</f>
        <v>302.03399999999999</v>
      </c>
      <c r="I335" s="59"/>
      <c r="J335" s="36">
        <f>SUM(J331:J334)</f>
        <v>299.94600000000003</v>
      </c>
      <c r="K335" s="23">
        <f t="shared" si="2096"/>
        <v>2.492029810048102</v>
      </c>
      <c r="L335" s="36">
        <f>SUM(L331:L334)</f>
        <v>289.76699999999994</v>
      </c>
      <c r="M335" s="23">
        <f t="shared" si="2096"/>
        <v>-8.5677773570617237</v>
      </c>
      <c r="N335" s="36">
        <f>SUM(N331:N334)</f>
        <v>304.709</v>
      </c>
      <c r="O335" s="23">
        <f t="shared" si="2096"/>
        <v>2.2554599514074347</v>
      </c>
      <c r="P335" s="36">
        <f>SUM(P331:P334)</f>
        <v>301.39999999999998</v>
      </c>
      <c r="Q335" s="23">
        <f t="shared" si="2096"/>
        <v>-0.20991014256673823</v>
      </c>
      <c r="R335" s="36">
        <f>SUM(R331:R334)</f>
        <v>284.60000000000002</v>
      </c>
      <c r="S335" s="23">
        <f t="shared" si="2096"/>
        <v>-5.1162542590999731</v>
      </c>
      <c r="T335" s="36">
        <f>SUM(T331:T334)</f>
        <v>292.8</v>
      </c>
      <c r="U335" s="23">
        <f t="shared" si="2096"/>
        <v>1.0467030407189437</v>
      </c>
      <c r="V335" s="36">
        <f>SUM(V331:V334)</f>
        <v>265.10000000000002</v>
      </c>
      <c r="W335" s="23">
        <f t="shared" si="2096"/>
        <v>-12.99895966315402</v>
      </c>
      <c r="X335" s="36">
        <f>SUM(X331:X334)</f>
        <v>281.39999999999998</v>
      </c>
      <c r="Y335" s="23">
        <f t="shared" si="2096"/>
        <v>-6.6357000663569981</v>
      </c>
      <c r="Z335" s="36">
        <f>SUM(Z331:Z334)</f>
        <v>277.09999999999997</v>
      </c>
      <c r="AA335" s="23">
        <f>IF(ISERROR((Z335/R335-1)*100),"NA",IF(((Z335/R335-1)*100)&gt;100,"NM",IF(((Z335/R335-1)*100)&lt;-50,"NM",(Z335/R335-1)*100)))</f>
        <v>-2.6352775825720487</v>
      </c>
      <c r="AB335" s="36">
        <f>SUM(AB331:AB334)</f>
        <v>280.90000000000003</v>
      </c>
      <c r="AC335" s="23">
        <f>IF(ISERROR((AB335/T335-1)*100),"NA",IF(((AB335/T335-1)*100)&gt;100,"NM",IF(((AB335/T335-1)*100)&lt;-50,"NM",(AB335/T335-1)*100)))</f>
        <v>-4.0642076502732216</v>
      </c>
      <c r="AD335" s="36">
        <f>SUM(AD331:AD334)</f>
        <v>282.40000000000003</v>
      </c>
      <c r="AE335" s="23">
        <f>IF(ISERROR((AD335/V335-1)*100),"NA",IF(((AD335/V335-1)*100)&gt;100,"NM",IF(((AD335/V335-1)*100)&lt;-50,"NM",(AD335/V335-1)*100)))</f>
        <v>6.5258393059222985</v>
      </c>
      <c r="AF335" s="36">
        <f>SUM(AF331:AF334)</f>
        <v>262.59999999999997</v>
      </c>
      <c r="AG335" s="23">
        <f>IF(ISERROR((AF335/X335-1)*100),"NA",IF(((AF335/X335-1)*100)&gt;100,"NM",IF(((AF335/X335-1)*100)&lt;-50,"NM",(AF335/X335-1)*100)))</f>
        <v>-6.6808813077469882</v>
      </c>
      <c r="AH335" s="36">
        <f>SUM(AH331:AH334)</f>
        <v>269.70000000000005</v>
      </c>
      <c r="AI335" s="23">
        <f>IF(ISERROR((AH335/Z335-1)*100),"NA",IF(((AH335/Z335-1)*100)&gt;100,"NM",IF(((AH335/Z335-1)*100)&lt;-50,"NM",(AH335/Z335-1)*100)))</f>
        <v>-2.6705160591843802</v>
      </c>
      <c r="AJ335" s="36">
        <f>SUM(AJ331:AJ334)</f>
        <v>276.5</v>
      </c>
      <c r="AK335" s="23">
        <f>IF(ISERROR((AJ335/AB335-1)*100),"NA",IF(((AJ335/AB335-1)*100)&gt;100,"NM",IF(((AJ335/AB335-1)*100)&lt;-50,"NM",(AJ335/AB335-1)*100)))</f>
        <v>-1.5663937344250756</v>
      </c>
      <c r="AL335" s="36">
        <f>SUM(AL331:AL334)</f>
        <v>296.39999999999998</v>
      </c>
      <c r="AM335" s="23">
        <f>IF(ISERROR((AL335/AD335-1)*100),"NA",IF(((AL335/AD335-1)*100)&gt;100,"NM",IF(((AL335/AD335-1)*100)&lt;-50,"NM",(AL335/AD335-1)*100)))</f>
        <v>4.9575070821529454</v>
      </c>
      <c r="AN335" s="410">
        <f t="shared" ref="AN335:AP335" si="2109">SUM(AN331:AN334)</f>
        <v>246</v>
      </c>
      <c r="AO335" s="23">
        <f>IF(ISERROR((AN335/AF335-1)*100),"NA",IF(((AN335/AF335-1)*100)&gt;100,"NM",IF(((AN335/AF335-1)*100)&lt;-50,"NM",(AN335/AF335-1)*100)))</f>
        <v>-6.3214013709063099</v>
      </c>
      <c r="AP335" s="410">
        <f t="shared" si="2109"/>
        <v>259.8</v>
      </c>
      <c r="AQ335" s="23">
        <f t="shared" si="2077"/>
        <v>-3.6707452725250445</v>
      </c>
      <c r="AR335" s="410">
        <f t="shared" ref="AR335:AT335" si="2110">SUM(AR331:AR334)</f>
        <v>250.00000000000003</v>
      </c>
      <c r="AS335" s="23">
        <f t="shared" si="2079"/>
        <v>-9.5840867992766583</v>
      </c>
      <c r="AT335" s="410">
        <f t="shared" si="2110"/>
        <v>359.5</v>
      </c>
      <c r="AU335" s="23">
        <f t="shared" si="2080"/>
        <v>21.288798920377872</v>
      </c>
      <c r="AV335" s="410">
        <f t="shared" ref="AV335:AX335" si="2111">SUM(AV331:AV334)</f>
        <v>255.90000000000003</v>
      </c>
      <c r="AW335" s="23">
        <f t="shared" si="2082"/>
        <v>4.0243902439024426</v>
      </c>
      <c r="AX335" s="410">
        <f t="shared" si="2111"/>
        <v>262.8</v>
      </c>
      <c r="AY335" s="23">
        <f t="shared" si="2083"/>
        <v>1.1547344110854452</v>
      </c>
      <c r="AZ335" s="410">
        <f t="shared" ref="AZ335" si="2112">SUM(AZ331:AZ334)</f>
        <v>249.10000000000002</v>
      </c>
      <c r="BA335" s="23">
        <f t="shared" si="2085"/>
        <v>-0.36000000000000476</v>
      </c>
      <c r="BB335" s="410">
        <f t="shared" ref="BB335:BD335" si="2113">SUM(BB331:BB334)</f>
        <v>382.1</v>
      </c>
      <c r="BC335" s="23">
        <f t="shared" si="2087"/>
        <v>6.2865090403338098</v>
      </c>
      <c r="BD335" s="410">
        <f t="shared" si="2113"/>
        <v>255</v>
      </c>
      <c r="BE335" s="23">
        <f t="shared" si="2088"/>
        <v>-0.3516998827667206</v>
      </c>
      <c r="BF335" s="36">
        <f t="shared" ref="BF335" si="2114">SUM(BF331:BF334)</f>
        <v>267.54744126860618</v>
      </c>
      <c r="BG335" s="23">
        <f t="shared" si="2089"/>
        <v>1.8064845009917008</v>
      </c>
      <c r="BH335" s="36">
        <f t="shared" ref="BH335" si="2115">SUM(BH331:BH334)</f>
        <v>262.20315478941222</v>
      </c>
      <c r="BI335" s="23">
        <f t="shared" si="2091"/>
        <v>5.2601986308358883</v>
      </c>
      <c r="BJ335" s="36">
        <f t="shared" ref="BJ335" si="2116">SUM(BJ331:BJ334)</f>
        <v>261.04496678067238</v>
      </c>
      <c r="BK335" s="23">
        <f t="shared" si="2093"/>
        <v>-31.681505684199852</v>
      </c>
      <c r="BL335" s="36">
        <f t="shared" ref="BL335" si="2117">SUM(BL331:BL334)</f>
        <v>262.29812249578322</v>
      </c>
      <c r="BM335" s="23">
        <f t="shared" si="2095"/>
        <v>2.8620088218757722</v>
      </c>
      <c r="BN335" s="10"/>
      <c r="BO335" s="137"/>
      <c r="BP335" s="10"/>
      <c r="BQ335" s="56">
        <f>SUM(BQ332:BQ334)</f>
        <v>560.6</v>
      </c>
      <c r="BR335" s="10"/>
      <c r="BS335" s="56">
        <f>SUM(BS332:BS334)</f>
        <v>539.20000000000005</v>
      </c>
      <c r="BT335" s="10"/>
      <c r="BU335" s="36">
        <f>SUM(BU331:BU334)</f>
        <v>1209.595</v>
      </c>
      <c r="BV335" s="23" t="str">
        <f>IF(ISERROR((BU335/BS335-1)*100),"NA",IF(((BU335/BS335-1)*100)&gt;100,"NM",IF(((BU335/BS335-1)*100)&lt;-50,"NM",(BU335/BS335-1)*100)))</f>
        <v>NM</v>
      </c>
      <c r="BW335" s="36">
        <f>SUM(BW331:BW334)</f>
        <v>1195.8220000000001</v>
      </c>
      <c r="BX335" s="23">
        <f>IF(ISERROR((BW335/BU335-1)*100),"NA",IF(((BW335/BU335-1)*100)&gt;100,"NM",IF(((BW335/BU335-1)*100)&lt;-50,"NM",(BW335/BU335-1)*100)))</f>
        <v>-1.1386455797188222</v>
      </c>
      <c r="BY335" s="36">
        <f>SUM(BY331:BY334)</f>
        <v>1123.9000000000001</v>
      </c>
      <c r="BZ335" s="23">
        <f>IF(ISERROR((BY335/BW335-1)*100),"NA",IF(((BY335/BW335-1)*100)&gt;100,"NM",IF(((BY335/BW335-1)*100)&lt;-50,"NM",(BY335/BW335-1)*100)))</f>
        <v>-6.0144402762284059</v>
      </c>
      <c r="CA335" s="36">
        <f>SUM(CA331:CA334)</f>
        <v>1103</v>
      </c>
      <c r="CB335" s="23">
        <f>IF(ISERROR((CA335/BY335-1)*100),"NA",IF(((CA335/BY335-1)*100)&gt;100,"NM",IF(((CA335/BY335-1)*100)&lt;-50,"NM",(CA335/BY335-1)*100)))</f>
        <v>-1.8595960494706021</v>
      </c>
      <c r="CC335" s="36">
        <f>SUM(CC331:CC334)</f>
        <v>1088.5999999999999</v>
      </c>
      <c r="CD335" s="23">
        <f>IF(ISERROR((CC335/CA335-1)*100),"NA",IF(((CC335/CA335-1)*100)&gt;100,"NM",IF(((CC335/CA335-1)*100)&lt;-50,"NM",(CC335/CA335-1)*100)))</f>
        <v>-1.3055303717135147</v>
      </c>
      <c r="CE335" s="36">
        <f>SUM(CE331:CE334)</f>
        <v>1125.2</v>
      </c>
      <c r="CF335" s="23">
        <f>IF(ISERROR((CE335/CC335-1)*100),"NA",IF(((CE335/CC335-1)*100)&gt;100,"NM",IF(((CE335/CC335-1)*100)&lt;-50,"NM",(CE335/CC335-1)*100)))</f>
        <v>3.3621164798824266</v>
      </c>
      <c r="CG335" s="36">
        <f>SUM(CG331:CG334)</f>
        <v>1149</v>
      </c>
      <c r="CH335" s="23">
        <f>IF(ISERROR((CG335/CE335-1)*100),"NA",IF(((CG335/CE335-1)*100)&gt;100,"NM",IF(((CG335/CE335-1)*100)&lt;-50,"NM",(CG335/CE335-1)*100)))</f>
        <v>2.1151795236402426</v>
      </c>
      <c r="CI335" s="36">
        <f>SUM(CI331:CI334)</f>
        <v>1053.093685334474</v>
      </c>
      <c r="CJ335" s="23">
        <f>IF(ISERROR((CI335/CG335-1)*100),"NA",IF(((CI335/CG335-1)*100)&gt;100,"NM",IF(((CI335/CG335-1)*100)&lt;-50,"NM",(CI335/CG335-1)*100)))</f>
        <v>-8.3469377428656237</v>
      </c>
      <c r="CK335" s="36">
        <f>SUM(CK331:CK334)</f>
        <v>1081.4737651998291</v>
      </c>
      <c r="CL335" s="23">
        <f>IF(ISERROR((CK335/CI335-1)*100),"NA",IF(((CK335/CI335-1)*100)&gt;100,"NM",IF(((CK335/CI335-1)*100)&lt;-50,"NM",(CK335/CI335-1)*100)))</f>
        <v>2.6949245124702648</v>
      </c>
      <c r="CM335" s="36">
        <f>SUM(CM331:CM334)</f>
        <v>1111.2044574232395</v>
      </c>
      <c r="CN335" s="23">
        <f>IF(ISERROR((CM335/CK335-1)*100),"NA",IF(((CM335/CK335-1)*100)&gt;100,"NM",IF(((CM335/CK335-1)*100)&lt;-50,"NM",(CM335/CK335-1)*100)))</f>
        <v>2.7490904708092456</v>
      </c>
      <c r="CO335" s="36">
        <f>SUM(CO331:CO334)</f>
        <v>1141.7526204627557</v>
      </c>
      <c r="CP335" s="23">
        <f>IF(ISERROR((CO335/CM335-1)*100),"NA",IF(((CO335/CM335-1)*100)&gt;100,"NM",IF(((CO335/CM335-1)*100)&lt;-50,"NM",(CO335/CM335-1)*100)))</f>
        <v>2.7491037167322041</v>
      </c>
      <c r="CQ335" s="36">
        <f>SUM(CQ331:CQ334)</f>
        <v>1173.1408718922125</v>
      </c>
      <c r="CR335" s="23">
        <f>IF(ISERROR((CQ335/CO335-1)*100),"NA",IF(((CQ335/CO335-1)*100)&gt;100,"NM",IF(((CQ335/CO335-1)*100)&lt;-50,"NM",(CQ335/CO335-1)*100)))</f>
        <v>2.7491289152228982</v>
      </c>
      <c r="CS335" s="23">
        <f>IF(ISERROR(((CQ335/CG335)^0.2-1)*100),"NA",IF((((CQ335/CG335)^0.2-1)*100)&gt;100,"NM",IF((((CQ335/CG335)^0.2-1)*100)&lt;-50,"NM",((CQ335/CG335)^0.2-1)*100)))</f>
        <v>0.41671904883984201</v>
      </c>
    </row>
    <row r="336" spans="1:97" ht="12.75" customHeight="1" x14ac:dyDescent="0.2">
      <c r="B336" s="35"/>
      <c r="D336" s="35"/>
      <c r="F336" s="35"/>
      <c r="H336" s="35"/>
      <c r="J336" s="35"/>
      <c r="L336" s="35"/>
      <c r="N336" s="35"/>
      <c r="P336" s="35"/>
      <c r="R336" s="35"/>
      <c r="T336" s="35"/>
      <c r="V336" s="35"/>
      <c r="X336" s="35"/>
      <c r="Z336" s="35"/>
      <c r="AB336" s="35"/>
      <c r="AD336" s="35"/>
      <c r="AF336" s="35"/>
      <c r="AH336" s="35"/>
      <c r="AJ336" s="35"/>
      <c r="AL336" s="35"/>
      <c r="AN336" s="409"/>
      <c r="AP336" s="409"/>
      <c r="AR336" s="409"/>
      <c r="AT336" s="409"/>
      <c r="AV336" s="409"/>
      <c r="AX336" s="409"/>
      <c r="AZ336" s="409"/>
      <c r="BB336" s="409"/>
      <c r="BD336" s="409"/>
      <c r="BF336" s="35"/>
      <c r="BH336" s="35"/>
      <c r="BJ336" s="35"/>
      <c r="BL336" s="35"/>
      <c r="BN336" s="10"/>
      <c r="BO336" s="138"/>
      <c r="BP336" s="10"/>
      <c r="BQ336" s="10"/>
      <c r="BR336" s="10"/>
      <c r="BS336" s="10"/>
      <c r="BT336" s="10"/>
      <c r="BU336" s="37"/>
      <c r="BW336" s="35"/>
      <c r="BY336" s="35"/>
      <c r="CA336" s="35"/>
      <c r="CC336" s="35"/>
      <c r="CE336" s="35"/>
      <c r="CG336" s="35"/>
      <c r="CI336" s="35"/>
      <c r="CK336" s="35"/>
      <c r="CM336" s="35"/>
      <c r="CO336" s="35"/>
      <c r="CQ336" s="35"/>
    </row>
    <row r="337" spans="1:97" ht="12.75" customHeight="1" x14ac:dyDescent="0.2">
      <c r="A337" s="11" t="s">
        <v>125</v>
      </c>
      <c r="B337" s="35"/>
      <c r="D337" s="35"/>
      <c r="F337" s="35"/>
      <c r="H337" s="35"/>
      <c r="J337" s="35"/>
      <c r="L337" s="35"/>
      <c r="N337" s="35"/>
      <c r="P337" s="35"/>
      <c r="R337" s="35"/>
      <c r="T337" s="35"/>
      <c r="V337" s="35"/>
      <c r="X337" s="35"/>
      <c r="Z337" s="35"/>
      <c r="AB337" s="35"/>
      <c r="AD337" s="35"/>
      <c r="AF337" s="35"/>
      <c r="AH337" s="35"/>
      <c r="AJ337" s="35"/>
      <c r="AL337" s="35"/>
      <c r="AN337" s="409"/>
      <c r="AP337" s="409"/>
      <c r="AR337" s="409"/>
      <c r="AT337" s="409"/>
      <c r="AV337" s="409"/>
      <c r="AX337" s="409"/>
      <c r="AZ337" s="409"/>
      <c r="BB337" s="409"/>
      <c r="BD337" s="409"/>
      <c r="BF337" s="35"/>
      <c r="BH337" s="35"/>
      <c r="BJ337" s="35"/>
      <c r="BL337" s="35"/>
      <c r="BN337" s="10"/>
      <c r="BO337" s="138"/>
      <c r="BP337" s="10"/>
      <c r="BQ337" s="10"/>
      <c r="BR337" s="10"/>
      <c r="BS337" s="10"/>
      <c r="BT337" s="10"/>
      <c r="BU337" s="37"/>
      <c r="BW337" s="35"/>
      <c r="BY337" s="35"/>
      <c r="CA337" s="35"/>
      <c r="CC337" s="35"/>
      <c r="CE337" s="35"/>
      <c r="CG337" s="35"/>
      <c r="CI337" s="35"/>
      <c r="CK337" s="35"/>
      <c r="CM337" s="35"/>
      <c r="CO337" s="35"/>
      <c r="CQ337" s="35"/>
    </row>
    <row r="338" spans="1:97" ht="12.75" customHeight="1" x14ac:dyDescent="0.2">
      <c r="A338" s="4" t="s">
        <v>126</v>
      </c>
      <c r="B338" s="35">
        <f>B332/B320*100</f>
        <v>20.379808358064686</v>
      </c>
      <c r="C338" s="59"/>
      <c r="D338" s="35">
        <f>D332/D320*100</f>
        <v>19.782581374890032</v>
      </c>
      <c r="E338" s="59"/>
      <c r="F338" s="35">
        <f>F332/F320*100</f>
        <v>19.897813545073863</v>
      </c>
      <c r="G338" s="59"/>
      <c r="H338" s="35">
        <f>H332/H320*100</f>
        <v>22.990672839813872</v>
      </c>
      <c r="I338" s="59"/>
      <c r="J338" s="35">
        <f>J332/J320*100</f>
        <v>21.979860573199073</v>
      </c>
      <c r="K338" s="23">
        <f t="shared" ref="K338:Y340" si="2118">IF(ISERROR((J338/B338-1)*100),"NA",IF(((J338/B338-1)*100)&gt;100,"NM",IF(((J338/B338-1)*100)&lt;-50,"NM",(J338/B338-1)*100)))</f>
        <v>7.8511641867388571</v>
      </c>
      <c r="L338" s="35">
        <f>L332/L320*100</f>
        <v>23.457470183017779</v>
      </c>
      <c r="M338" s="23">
        <f t="shared" si="2118"/>
        <v>18.576386663028078</v>
      </c>
      <c r="N338" s="35">
        <f>N332/N320*100</f>
        <v>21.390123249769434</v>
      </c>
      <c r="O338" s="23">
        <f t="shared" si="2118"/>
        <v>7.4998677684615433</v>
      </c>
      <c r="P338" s="35">
        <f>P332/P320*100</f>
        <v>21.524169731847056</v>
      </c>
      <c r="Q338" s="23">
        <f t="shared" si="2118"/>
        <v>-6.3786872101768699</v>
      </c>
      <c r="R338" s="35">
        <f>R332/R320*100</f>
        <v>19.982105577095137</v>
      </c>
      <c r="S338" s="23">
        <f t="shared" si="2118"/>
        <v>-9.0890248800753461</v>
      </c>
      <c r="T338" s="35">
        <f>T332/T320*100</f>
        <v>20.97355769230769</v>
      </c>
      <c r="U338" s="23">
        <f t="shared" si="2118"/>
        <v>-10.589004148061697</v>
      </c>
      <c r="V338" s="35">
        <f>V332/V320*100</f>
        <v>16.745159602302458</v>
      </c>
      <c r="W338" s="23">
        <f t="shared" si="2118"/>
        <v>-21.715459949568295</v>
      </c>
      <c r="X338" s="35">
        <f>X332/X320*100</f>
        <v>20.066991473812426</v>
      </c>
      <c r="Y338" s="23">
        <f t="shared" si="2118"/>
        <v>-6.7699626800405532</v>
      </c>
      <c r="Z338" s="35">
        <f>Z332/Z320*100</f>
        <v>22.160934458144059</v>
      </c>
      <c r="AA338" s="23">
        <f>IF(ISERROR((Z338/R338-1)*100),"NA",IF(((Z338/R338-1)*100)&gt;100,"NM",IF(((Z338/R338-1)*100)&lt;-50,"NM",(Z338/R338-1)*100)))</f>
        <v>10.903900355458273</v>
      </c>
      <c r="AB338" s="35">
        <f>AB332/AB320*100</f>
        <v>18.704618065640432</v>
      </c>
      <c r="AC338" s="23">
        <f>IF(ISERROR((AB338/T338-1)*100),"NA",IF(((AB338/T338-1)*100)&gt;100,"NM",IF(((AB338/T338-1)*100)&lt;-50,"NM",(AB338/T338-1)*100)))</f>
        <v>-10.818096099639884</v>
      </c>
      <c r="AD338" s="35">
        <f>AD332/AD320*100</f>
        <v>19.335816263190562</v>
      </c>
      <c r="AE338" s="23">
        <f>IF(ISERROR((AD338/V338-1)*100),"NA",IF(((AD338/V338-1)*100)&gt;100,"NM",IF(((AD338/V338-1)*100)&lt;-50,"NM",(AD338/V338-1)*100)))</f>
        <v>15.471077746741146</v>
      </c>
      <c r="AF338" s="35">
        <f>AF332/AF320*100</f>
        <v>16.630196936542667</v>
      </c>
      <c r="AG338" s="23">
        <f>IF(ISERROR((AF338/X338-1)*100),"NA",IF(((AF338/X338-1)*100)&gt;100,"NM",IF(((AF338/X338-1)*100)&lt;-50,"NM",(AF338/X338-1)*100)))</f>
        <v>-17.126605857957333</v>
      </c>
      <c r="AH338" s="35">
        <f>AH332/AH320*100</f>
        <v>19.610348131587347</v>
      </c>
      <c r="AI338" s="23">
        <f>IF(ISERROR((AH338/Z338-1)*100),"NA",IF(((AH338/Z338-1)*100)&gt;100,"NM",IF(((AH338/Z338-1)*100)&lt;-50,"NM",(AH338/Z338-1)*100)))</f>
        <v>-11.509380759074361</v>
      </c>
      <c r="AJ338" s="35">
        <f>AJ332/AJ320*100</f>
        <v>19.096117122851684</v>
      </c>
      <c r="AK338" s="23">
        <f>IF(ISERROR((AJ338/AB338-1)*100),"NA",IF(((AJ338/AB338-1)*100)&gt;100,"NM",IF(((AJ338/AB338-1)*100)&lt;-50,"NM",(AJ338/AB338-1)*100)))</f>
        <v>2.0930609533825084</v>
      </c>
      <c r="AL338" s="35">
        <f>AL332/AL320*100</f>
        <v>20.693277310924369</v>
      </c>
      <c r="AM338" s="23">
        <f>IF(ISERROR((AL338/AD338-1)*100),"NA",IF(((AL338/AD338-1)*100)&gt;100,"NM",IF(((AL338/AD338-1)*100)&lt;-50,"NM",(AL338/AD338-1)*100)))</f>
        <v>7.0204486288897749</v>
      </c>
      <c r="AN338" s="409">
        <f t="shared" ref="AN338:AP338" si="2119">AN332/AN320*100</f>
        <v>16.762342135476466</v>
      </c>
      <c r="AO338" s="23">
        <f>IF(ISERROR((AN338/AF338-1)*100),"NA",IF(((AN338/AF338-1)*100)&gt;100,"NM",IF(((AN338/AF338-1)*100)&lt;-50,"NM",(AN338/AF338-1)*100)))</f>
        <v>0.79460994622033709</v>
      </c>
      <c r="AP338" s="409">
        <f t="shared" si="2119"/>
        <v>20.405450315719509</v>
      </c>
      <c r="AQ338" s="23">
        <f t="shared" ref="AQ338:AQ340" si="2120">IF(ISERROR((AP338/AH338-1)*100),"NA",IF(((AP338/AH338-1)*100)&gt;100,"NM",IF(((AP338/AH338-1)*100)&lt;-50,"NM",(AP338/AH338-1)*100)))</f>
        <v>4.0545031571951107</v>
      </c>
      <c r="AR338" s="409">
        <f t="shared" ref="AR338:AT338" si="2121">AR332/AR320*100</f>
        <v>18.414918414918414</v>
      </c>
      <c r="AS338" s="23">
        <f t="shared" ref="AS338:AS340" si="2122">IF(ISERROR((AR338/AJ338-1)*100),"NA",IF(((AR338/AJ338-1)*100)&gt;100,"NM",IF(((AR338/AJ338-1)*100)&lt;-50,"NM",(AR338/AJ338-1)*100)))</f>
        <v>-3.5672105672105547</v>
      </c>
      <c r="AT338" s="409">
        <f t="shared" si="2121"/>
        <v>20.120014119308159</v>
      </c>
      <c r="AU338" s="23">
        <f t="shared" ref="AU338:AU340" si="2123">IF(ISERROR((AT338/AL338-1)*100),"NA",IF(((AT338/AL338-1)*100)&gt;100,"NM",IF(((AT338/AL338-1)*100)&lt;-50,"NM",(AT338/AL338-1)*100)))</f>
        <v>-2.7702870985717332</v>
      </c>
      <c r="AV338" s="409">
        <f t="shared" ref="AV338:AX338" si="2124">AV332/AV320*100</f>
        <v>18.777146675576343</v>
      </c>
      <c r="AW338" s="23">
        <f t="shared" ref="AW338:AW340" si="2125">IF(ISERROR((AV338/AN338-1)*100),"NA",IF(((AV338/AN338-1)*100)&gt;100,"NM",IF(((AV338/AN338-1)*100)&lt;-50,"NM",(AV338/AN338-1)*100)))</f>
        <v>12.019827085116397</v>
      </c>
      <c r="AX338" s="409">
        <f t="shared" si="2124"/>
        <v>19.830220713073004</v>
      </c>
      <c r="AY338" s="23">
        <f t="shared" ref="AY338:AY340" si="2126">IF(ISERROR((AX338/AP338-1)*100),"NA",IF(((AX338/AP338-1)*100)&gt;100,"NM",IF(((AX338/AP338-1)*100)&lt;-50,"NM",(AX338/AP338-1)*100)))</f>
        <v>-2.8189997953800283</v>
      </c>
      <c r="AZ338" s="409">
        <f t="shared" ref="AZ338" si="2127">AZ332/AZ320*100</f>
        <v>15.895953757225435</v>
      </c>
      <c r="BA338" s="23">
        <f t="shared" ref="BA338:BA340" si="2128">IF(ISERROR((AZ338/AR338-1)*100),"NA",IF(((AZ338/AR338-1)*100)&gt;100,"NM",IF(((AZ338/AR338-1)*100)&lt;-50,"NM",(AZ338/AR338-1)*100)))</f>
        <v>-13.678934660130226</v>
      </c>
      <c r="BB338" s="409">
        <f t="shared" ref="BB338:BD338" si="2129">BB332/BB320*100</f>
        <v>14.941437163659387</v>
      </c>
      <c r="BC338" s="23">
        <f t="shared" ref="BC338:BC340" si="2130">IF(ISERROR((BB338/AT338-1)*100),"NA",IF(((BB338/AT338-1)*100)&gt;100,"NM",IF(((BB338/AT338-1)*100)&lt;-50,"NM",(BB338/AT338-1)*100)))</f>
        <v>-25.738435991847307</v>
      </c>
      <c r="BD338" s="409">
        <f t="shared" si="2129"/>
        <v>15.849056603773585</v>
      </c>
      <c r="BE338" s="23">
        <f t="shared" ref="BE338:BE340" si="2131">IF(ISERROR((BD338/AV338-1)*100),"NA",IF(((BD338/AV338-1)*100)&gt;100,"NM",IF(((BD338/AV338-1)*100)&lt;-50,"NM",(BD338/AV338-1)*100)))</f>
        <v>-15.593903175988711</v>
      </c>
      <c r="BF338" s="114">
        <v>19</v>
      </c>
      <c r="BG338" s="23">
        <f t="shared" ref="BG338:BG340" si="2132">IF(ISERROR((BF338/AX338-1)*100),"NA",IF(((BF338/AX338-1)*100)&gt;100,"NM",IF(((BF338/AX338-1)*100)&lt;-50,"NM",(BF338/AX338-1)*100)))</f>
        <v>-4.1866438356164331</v>
      </c>
      <c r="BH338" s="114">
        <v>18</v>
      </c>
      <c r="BI338" s="23">
        <f t="shared" ref="BI338:BI340" si="2133">IF(ISERROR((BH338/AZ338-1)*100),"NA",IF(((BH338/AZ338-1)*100)&gt;100,"NM",IF(((BH338/AZ338-1)*100)&lt;-50,"NM",(BH338/AZ338-1)*100)))</f>
        <v>13.236363636363624</v>
      </c>
      <c r="BJ338" s="114">
        <f>BH338</f>
        <v>18</v>
      </c>
      <c r="BK338" s="23">
        <f t="shared" ref="BK338:BK340" si="2134">IF(ISERROR((BJ338/BB338-1)*100),"NA",IF(((BJ338/BB338-1)*100)&gt;100,"NM",IF(((BJ338/BB338-1)*100)&lt;-50,"NM",(BJ338/BB338-1)*100)))</f>
        <v>20.470338983050841</v>
      </c>
      <c r="BL338" s="114">
        <f>BJ338-0.5</f>
        <v>17.5</v>
      </c>
      <c r="BM338" s="23">
        <f t="shared" ref="BM338:BM340" si="2135">IF(ISERROR((BL338/BD338-1)*100),"NA",IF(((BL338/BD338-1)*100)&gt;100,"NM",IF(((BL338/BD338-1)*100)&lt;-50,"NM",(BL338/BD338-1)*100)))</f>
        <v>10.416666666666675</v>
      </c>
      <c r="BN338" s="10"/>
      <c r="BO338" s="138"/>
      <c r="BP338" s="10"/>
      <c r="BQ338" s="152"/>
      <c r="BR338" s="152"/>
      <c r="BS338" s="152"/>
      <c r="BT338" s="10"/>
      <c r="BU338" s="35">
        <f>BU332/BU320*100</f>
        <v>20.69462250485045</v>
      </c>
      <c r="BV338" s="23" t="str">
        <f>IF(ISERROR((BU338/BS338-1)*100),"NA",IF(((BU338/BS338-1)*100)&gt;100,"NM",IF(((BU338/BS338-1)*100)&lt;-50,"NM",(BU338/BS338-1)*100)))</f>
        <v>NA</v>
      </c>
      <c r="BW338" s="35">
        <f>BW332/BW320*100</f>
        <v>22.05478743429618</v>
      </c>
      <c r="BX338" s="23">
        <f>IF(ISERROR((BW338/BU338-1)*100),"NA",IF(((BW338/BU338-1)*100)&gt;100,"NM",IF(((BW338/BU338-1)*100)&lt;-50,"NM",(BW338/BU338-1)*100)))</f>
        <v>6.5725525030810861</v>
      </c>
      <c r="BY338" s="35">
        <f>BY332/BY320*100</f>
        <v>19.344309857111774</v>
      </c>
      <c r="BZ338" s="23">
        <f>IF(ISERROR((BY338/BW338-1)*100),"NA",IF(((BY338/BW338-1)*100)&gt;100,"NM",IF(((BY338/BW338-1)*100)&lt;-50,"NM",(BY338/BW338-1)*100)))</f>
        <v>-12.28974700055142</v>
      </c>
      <c r="CA338" s="35">
        <f>CA332/CA320*100</f>
        <v>19.085279415056327</v>
      </c>
      <c r="CB338" s="23">
        <f>IF(ISERROR((CA338/BY338-1)*100),"NA",IF(((CA338/BY338-1)*100)&gt;100,"NM",IF(((CA338/BY338-1)*100)&lt;-50,"NM",(CA338/BY338-1)*100)))</f>
        <v>-1.3390523826840806</v>
      </c>
      <c r="CC338" s="35">
        <f>CC332/CC320*100</f>
        <v>18.940775390470151</v>
      </c>
      <c r="CD338" s="23">
        <f>IF(ISERROR((CC338/CA338-1)*100),"NA",IF(((CC338/CA338-1)*100)&gt;100,"NM",IF(((CC338/CA338-1)*100)&lt;-50,"NM",(CC338/CA338-1)*100)))</f>
        <v>-0.75714911709481303</v>
      </c>
      <c r="CE338" s="35">
        <f>CE332/CE320*100</f>
        <v>19.42051022132117</v>
      </c>
      <c r="CF338" s="23">
        <f>IF(ISERROR((CE338/CC338-1)*100),"NA",IF(((CE338/CC338-1)*100)&gt;100,"NM",IF(((CE338/CC338-1)*100)&lt;-50,"NM",(CE338/CC338-1)*100)))</f>
        <v>2.5328151617931782</v>
      </c>
      <c r="CG338" s="35">
        <f>CG332/CG320*100</f>
        <v>16.575254073237623</v>
      </c>
      <c r="CH338" s="23">
        <f>IF(ISERROR((CG338/CE338-1)*100),"NA",IF(((CG338/CE338-1)*100)&gt;100,"NM",IF(((CG338/CE338-1)*100)&lt;-50,"NM",(CG338/CE338-1)*100)))</f>
        <v>-14.650779591567209</v>
      </c>
      <c r="CI338" s="35">
        <f>CI332/CI320*100</f>
        <v>18.121292990673602</v>
      </c>
      <c r="CJ338" s="23">
        <f>IF(ISERROR((CI338/CG338-1)*100),"NA",IF(((CI338/CG338-1)*100)&gt;100,"NM",IF(((CI338/CG338-1)*100)&lt;-50,"NM",(CI338/CG338-1)*100)))</f>
        <v>9.3273919700103569</v>
      </c>
      <c r="CK338" s="114">
        <f>CI338</f>
        <v>18.121292990673602</v>
      </c>
      <c r="CL338" s="23">
        <f>IF(ISERROR((CK338/CI338-1)*100),"NA",IF(((CK338/CI338-1)*100)&gt;100,"NM",IF(((CK338/CI338-1)*100)&lt;-50,"NM",(CK338/CI338-1)*100)))</f>
        <v>0</v>
      </c>
      <c r="CM338" s="114">
        <f>CK338</f>
        <v>18.121292990673602</v>
      </c>
      <c r="CN338" s="23">
        <f>IF(ISERROR((CM338/CK338-1)*100),"NA",IF(((CM338/CK338-1)*100)&gt;100,"NM",IF(((CM338/CK338-1)*100)&lt;-50,"NM",(CM338/CK338-1)*100)))</f>
        <v>0</v>
      </c>
      <c r="CO338" s="114">
        <f>CM338</f>
        <v>18.121292990673602</v>
      </c>
      <c r="CP338" s="23">
        <f>IF(ISERROR((CO338/CM338-1)*100),"NA",IF(((CO338/CM338-1)*100)&gt;100,"NM",IF(((CO338/CM338-1)*100)&lt;-50,"NM",(CO338/CM338-1)*100)))</f>
        <v>0</v>
      </c>
      <c r="CQ338" s="114">
        <f>CO338</f>
        <v>18.121292990673602</v>
      </c>
      <c r="CR338" s="23">
        <f>IF(ISERROR((CQ338/CO338-1)*100),"NA",IF(((CQ338/CO338-1)*100)&gt;100,"NM",IF(((CQ338/CO338-1)*100)&lt;-50,"NM",(CQ338/CO338-1)*100)))</f>
        <v>0</v>
      </c>
      <c r="CS338" s="23">
        <f>IF(ISERROR(((CQ338/CG338)^0.2-1)*100),"NA",IF((((CQ338/CG338)^0.2-1)*100)&gt;100,"NM",IF((((CQ338/CG338)^0.2-1)*100)&lt;-50,"NM",((CQ338/CG338)^0.2-1)*100)))</f>
        <v>1.7995357904525555</v>
      </c>
    </row>
    <row r="339" spans="1:97" ht="12.75" customHeight="1" x14ac:dyDescent="0.2">
      <c r="A339" s="4" t="s">
        <v>172</v>
      </c>
      <c r="B339" s="35">
        <f>B333/B320*100</f>
        <v>2.6310716254266331</v>
      </c>
      <c r="C339" s="59"/>
      <c r="D339" s="35">
        <f>D333/D320*100</f>
        <v>1.7773030036445894</v>
      </c>
      <c r="E339" s="59"/>
      <c r="F339" s="35">
        <f>F333/F320*100</f>
        <v>1.3416227795658515</v>
      </c>
      <c r="G339" s="59"/>
      <c r="H339" s="35">
        <f>H333/H320*100</f>
        <v>2.5946570414048504</v>
      </c>
      <c r="I339" s="59"/>
      <c r="J339" s="35">
        <f>J333/J320*100</f>
        <v>2.8417717062178722</v>
      </c>
      <c r="K339" s="23">
        <f t="shared" si="2118"/>
        <v>8.0081468993484339</v>
      </c>
      <c r="L339" s="35">
        <f>L333/L320*100</f>
        <v>1.8320346105998055</v>
      </c>
      <c r="M339" s="23">
        <f t="shared" si="2118"/>
        <v>3.0794752972893136</v>
      </c>
      <c r="N339" s="35">
        <f>N333/N320*100</f>
        <v>2.3353176266733744</v>
      </c>
      <c r="O339" s="23">
        <f t="shared" si="2118"/>
        <v>74.066634991773327</v>
      </c>
      <c r="P339" s="35">
        <f>P333/P320*100</f>
        <v>1.7140657358259406</v>
      </c>
      <c r="Q339" s="23">
        <f t="shared" si="2118"/>
        <v>-33.938639732599221</v>
      </c>
      <c r="R339" s="35">
        <f>R333/R320*100</f>
        <v>2.2964509394572024</v>
      </c>
      <c r="S339" s="23">
        <f t="shared" si="2118"/>
        <v>-19.189464289741977</v>
      </c>
      <c r="T339" s="35">
        <f>T333/T320*100</f>
        <v>1.7728365384615383</v>
      </c>
      <c r="U339" s="23">
        <f t="shared" si="2118"/>
        <v>-3.2312747693607036</v>
      </c>
      <c r="V339" s="35">
        <f>V333/V320*100</f>
        <v>1.2558869701726845</v>
      </c>
      <c r="W339" s="23">
        <f t="shared" si="2118"/>
        <v>-46.222006127634252</v>
      </c>
      <c r="X339" s="35">
        <f>X333/X320*100</f>
        <v>1.4920828258221683</v>
      </c>
      <c r="Y339" s="23">
        <f t="shared" si="2118"/>
        <v>-12.950664922824995</v>
      </c>
      <c r="Z339" s="35">
        <f>Z333/Z320*100</f>
        <v>2.0116807268007784</v>
      </c>
      <c r="AA339" s="23">
        <f>IF(ISERROR((Z339/R339-1)*100),"NA",IF(((Z339/R339-1)*100)&gt;100,"NM",IF(((Z339/R339-1)*100)&lt;-50,"NM",(Z339/R339-1)*100)))</f>
        <v>-12.400448351129734</v>
      </c>
      <c r="AB339" s="35">
        <f>AB333/AB320*100</f>
        <v>1.7426662794074936</v>
      </c>
      <c r="AC339" s="23">
        <f>IF(ISERROR((AB339/T339-1)*100),"NA",IF(((AB339/T339-1)*100)&gt;100,"NM",IF(((AB339/T339-1)*100)&lt;-50,"NM",(AB339/T339-1)*100)))</f>
        <v>-1.7018071547773017</v>
      </c>
      <c r="AD339" s="35">
        <f>AD333/AD320*100</f>
        <v>1.924270639354438</v>
      </c>
      <c r="AE339" s="23">
        <f>IF(ISERROR((AD339/V339-1)*100),"NA",IF(((AD339/V339-1)*100)&gt;100,"NM",IF(((AD339/V339-1)*100)&lt;-50,"NM",(AD339/V339-1)*100)))</f>
        <v>53.220049658597127</v>
      </c>
      <c r="AF339" s="35">
        <f>AF333/AF320*100</f>
        <v>0.95733041575492339</v>
      </c>
      <c r="AG339" s="23">
        <f>IF(ISERROR((AF339/X339-1)*100),"NA",IF(((AF339/X339-1)*100)&gt;100,"NM",IF(((AF339/X339-1)*100)&lt;-50,"NM",(AF339/X339-1)*100)))</f>
        <v>-35.839324788996571</v>
      </c>
      <c r="AH339" s="35">
        <f>AH333/AH320*100</f>
        <v>3.1299904183966785</v>
      </c>
      <c r="AI339" s="23">
        <f>IF(ISERROR((AH339/Z339-1)*100),"NA",IF(((AH339/Z339-1)*100)&gt;100,"NM",IF(((AH339/Z339-1)*100)&lt;-50,"NM",(AH339/Z339-1)*100)))</f>
        <v>55.590814024170413</v>
      </c>
      <c r="AJ339" s="35">
        <f>AJ333/AJ320*100</f>
        <v>1.6868236791852322</v>
      </c>
      <c r="AK339" s="23">
        <f>IF(ISERROR((AJ339/AB339-1)*100),"NA",IF(((AJ339/AB339-1)*100)&gt;100,"NM",IF(((AJ339/AB339-1)*100)&lt;-50,"NM",(AJ339/AB339-1)*100)))</f>
        <v>-3.2044345427540977</v>
      </c>
      <c r="AL339" s="35">
        <f>AL333/AL320*100</f>
        <v>2.4859943977591037</v>
      </c>
      <c r="AM339" s="23">
        <f>IF(ISERROR((AL339/AD339-1)*100),"NA",IF(((AL339/AD339-1)*100)&gt;100,"NM",IF(((AL339/AD339-1)*100)&lt;-50,"NM",(AL339/AD339-1)*100)))</f>
        <v>29.191515315803752</v>
      </c>
      <c r="AN339" s="409">
        <f t="shared" ref="AN339:AP339" si="2136">AN333/AN320*100</f>
        <v>2.1526980482204365</v>
      </c>
      <c r="AO339" s="23" t="str">
        <f>IF(ISERROR((AN339/AF339-1)*100),"NA",IF(((AN339/AF339-1)*100)&gt;100,"NM",IF(((AN339/AF339-1)*100)&lt;-50,"NM",(AN339/AF339-1)*100)))</f>
        <v>NM</v>
      </c>
      <c r="AP339" s="409">
        <f t="shared" si="2136"/>
        <v>2.2598870056497176</v>
      </c>
      <c r="AQ339" s="23">
        <f t="shared" si="2120"/>
        <v>-27.798916176640141</v>
      </c>
      <c r="AR339" s="409">
        <f t="shared" ref="AR339:AT339" si="2137">AR333/AR320*100</f>
        <v>2.4642024642024642</v>
      </c>
      <c r="AS339" s="23">
        <f t="shared" si="2122"/>
        <v>46.085361179700811</v>
      </c>
      <c r="AT339" s="409">
        <f t="shared" si="2137"/>
        <v>2.294387575008825</v>
      </c>
      <c r="AU339" s="23">
        <f t="shared" si="2123"/>
        <v>-7.7074519123210727</v>
      </c>
      <c r="AV339" s="409">
        <f t="shared" ref="AV339:AX339" si="2138">AV333/AV320*100</f>
        <v>2.3387905111927831</v>
      </c>
      <c r="AW339" s="23">
        <f t="shared" si="2125"/>
        <v>8.6446152132753973</v>
      </c>
      <c r="AX339" s="409">
        <f t="shared" si="2138"/>
        <v>2.3089983022071308</v>
      </c>
      <c r="AY339" s="23">
        <f t="shared" si="2126"/>
        <v>2.1731748726655287</v>
      </c>
      <c r="AZ339" s="409">
        <f t="shared" ref="AZ339" si="2139">AZ333/AZ320*100</f>
        <v>1.7019910083493899</v>
      </c>
      <c r="BA339" s="23">
        <f t="shared" si="2128"/>
        <v>-30.931364890902469</v>
      </c>
      <c r="BB339" s="409">
        <f t="shared" ref="BB339:BD339" si="2140">BB333/BB320*100</f>
        <v>1.4245014245014245</v>
      </c>
      <c r="BC339" s="23">
        <f t="shared" si="2130"/>
        <v>-37.913653298268692</v>
      </c>
      <c r="BD339" s="409">
        <f t="shared" si="2140"/>
        <v>1.6352201257861636</v>
      </c>
      <c r="BE339" s="23">
        <f t="shared" si="2131"/>
        <v>-30.082659478885887</v>
      </c>
      <c r="BF339" s="47">
        <f>AX339</f>
        <v>2.3089983022071308</v>
      </c>
      <c r="BG339" s="23">
        <f t="shared" si="2132"/>
        <v>0</v>
      </c>
      <c r="BH339" s="47">
        <f>BF339</f>
        <v>2.3089983022071308</v>
      </c>
      <c r="BI339" s="23">
        <f t="shared" si="2133"/>
        <v>35.664541756094437</v>
      </c>
      <c r="BJ339" s="47">
        <f>BB339</f>
        <v>1.4245014245014245</v>
      </c>
      <c r="BK339" s="23">
        <f t="shared" si="2134"/>
        <v>0</v>
      </c>
      <c r="BL339" s="47">
        <f>BD339</f>
        <v>1.6352201257861636</v>
      </c>
      <c r="BM339" s="23">
        <f t="shared" si="2135"/>
        <v>0</v>
      </c>
      <c r="BN339" s="10"/>
      <c r="BO339" s="138"/>
      <c r="BP339" s="10"/>
      <c r="BQ339" s="152"/>
      <c r="BR339" s="152"/>
      <c r="BS339" s="152"/>
      <c r="BT339" s="10"/>
      <c r="BU339" s="35">
        <f>BU333/BU320*100</f>
        <v>2.0639486272689975</v>
      </c>
      <c r="BV339" s="23" t="str">
        <f>IF(ISERROR((BU339/BS339-1)*100),"NA",IF(((BU339/BS339-1)*100)&gt;100,"NM",IF(((BU339/BS339-1)*100)&lt;-50,"NM",(BU339/BS339-1)*100)))</f>
        <v>NA</v>
      </c>
      <c r="BW339" s="35">
        <f>BW333/BW320*100</f>
        <v>2.1888103045438743</v>
      </c>
      <c r="BX339" s="23">
        <f>IF(ISERROR((BW339/BU339-1)*100),"NA",IF(((BW339/BU339-1)*100)&gt;100,"NM",IF(((BW339/BU339-1)*100)&lt;-50,"NM",(BW339/BU339-1)*100)))</f>
        <v>6.0496504430971543</v>
      </c>
      <c r="BY339" s="35">
        <f>BY333/BY320*100</f>
        <v>1.6899978240371367</v>
      </c>
      <c r="BZ339" s="23">
        <f>IF(ISERROR((BY339/BW339-1)*100),"NA",IF(((BY339/BW339-1)*100)&gt;100,"NM",IF(((BY339/BW339-1)*100)&lt;-50,"NM",(BY339/BW339-1)*100)))</f>
        <v>-22.7892056004682</v>
      </c>
      <c r="CA339" s="35">
        <f>CA333/CA320*100</f>
        <v>1.6339625456987239</v>
      </c>
      <c r="CB339" s="23">
        <f>IF(ISERROR((CA339/BY339-1)*100),"NA",IF(((CA339/BY339-1)*100)&gt;100,"NM",IF(((CA339/BY339-1)*100)&lt;-50,"NM",(CA339/BY339-1)*100)))</f>
        <v>-3.3157012122390417</v>
      </c>
      <c r="CC339" s="35">
        <f>CC333/CC320*100</f>
        <v>2.3547133909458497</v>
      </c>
      <c r="CD339" s="23">
        <f>IF(ISERROR((CC339/CA339-1)*100),"NA",IF(((CC339/CA339-1)*100)&gt;100,"NM",IF(((CC339/CA339-1)*100)&lt;-50,"NM",(CC339/CA339-1)*100)))</f>
        <v>44.110609949074096</v>
      </c>
      <c r="CE339" s="35">
        <f>CE333/CE320*100</f>
        <v>2.3399222841696234</v>
      </c>
      <c r="CF339" s="23">
        <f>IF(ISERROR((CE339/CC339-1)*100),"NA",IF(((CE339/CC339-1)*100)&gt;100,"NM",IF(((CE339/CC339-1)*100)&lt;-50,"NM",(CE339/CC339-1)*100)))</f>
        <v>-0.62814892177960324</v>
      </c>
      <c r="CG339" s="35">
        <f>CG333/CG320*100</f>
        <v>1.7583481206646232</v>
      </c>
      <c r="CH339" s="23">
        <f>IF(ISERROR((CG339/CE339-1)*100),"NA",IF(((CG339/CE339-1)*100)&gt;100,"NM",IF(((CG339/CE339-1)*100)&lt;-50,"NM",(CG339/CE339-1)*100)))</f>
        <v>-24.854422193401415</v>
      </c>
      <c r="CI339" s="35">
        <f>CI333/CI320*100</f>
        <v>1.9170375205339238</v>
      </c>
      <c r="CJ339" s="23">
        <f>IF(ISERROR((CI339/CG339-1)*100),"NA",IF(((CI339/CG339-1)*100)&gt;100,"NM",IF(((CI339/CG339-1)*100)&lt;-50,"NM",(CI339/CG339-1)*100)))</f>
        <v>9.0249136677962749</v>
      </c>
      <c r="CK339" s="47">
        <f>CI339</f>
        <v>1.9170375205339238</v>
      </c>
      <c r="CL339" s="23">
        <f>IF(ISERROR((CK339/CI339-1)*100),"NA",IF(((CK339/CI339-1)*100)&gt;100,"NM",IF(((CK339/CI339-1)*100)&lt;-50,"NM",(CK339/CI339-1)*100)))</f>
        <v>0</v>
      </c>
      <c r="CM339" s="47">
        <f>CK339</f>
        <v>1.9170375205339238</v>
      </c>
      <c r="CN339" s="23">
        <f>IF(ISERROR((CM339/CK339-1)*100),"NA",IF(((CM339/CK339-1)*100)&gt;100,"NM",IF(((CM339/CK339-1)*100)&lt;-50,"NM",(CM339/CK339-1)*100)))</f>
        <v>0</v>
      </c>
      <c r="CO339" s="47">
        <f>CM339</f>
        <v>1.9170375205339238</v>
      </c>
      <c r="CP339" s="23">
        <f>IF(ISERROR((CO339/CM339-1)*100),"NA",IF(((CO339/CM339-1)*100)&gt;100,"NM",IF(((CO339/CM339-1)*100)&lt;-50,"NM",(CO339/CM339-1)*100)))</f>
        <v>0</v>
      </c>
      <c r="CQ339" s="47">
        <f>CO339</f>
        <v>1.9170375205339238</v>
      </c>
      <c r="CR339" s="23">
        <f>IF(ISERROR((CQ339/CO339-1)*100),"NA",IF(((CQ339/CO339-1)*100)&gt;100,"NM",IF(((CQ339/CO339-1)*100)&lt;-50,"NM",(CQ339/CO339-1)*100)))</f>
        <v>0</v>
      </c>
      <c r="CS339" s="23">
        <f>IF(ISERROR(((CQ339/CG339)^0.2-1)*100),"NA",IF((((CQ339/CG339)^0.2-1)*100)&gt;100,"NM",IF((((CQ339/CG339)^0.2-1)*100)&lt;-50,"NM",((CQ339/CG339)^0.2-1)*100)))</f>
        <v>1.7431431807289899</v>
      </c>
    </row>
    <row r="340" spans="1:97" ht="12.75" customHeight="1" x14ac:dyDescent="0.2">
      <c r="A340" s="4" t="s">
        <v>127</v>
      </c>
      <c r="B340" s="35">
        <f t="shared" ref="B340:N340" si="2141">B334/B332*100</f>
        <v>64.685505682348094</v>
      </c>
      <c r="C340" s="59"/>
      <c r="D340" s="35">
        <f t="shared" si="2141"/>
        <v>87.500158820913541</v>
      </c>
      <c r="E340" s="59"/>
      <c r="F340" s="35">
        <f t="shared" si="2141"/>
        <v>69.597262437483536</v>
      </c>
      <c r="G340" s="59"/>
      <c r="H340" s="35">
        <f t="shared" si="2141"/>
        <v>62.835898940172676</v>
      </c>
      <c r="I340" s="59"/>
      <c r="J340" s="35">
        <f t="shared" si="2141"/>
        <v>66.581233821154882</v>
      </c>
      <c r="K340" s="23">
        <f t="shared" si="2118"/>
        <v>2.9306845773397372</v>
      </c>
      <c r="L340" s="35">
        <f t="shared" si="2141"/>
        <v>62.791556728232202</v>
      </c>
      <c r="M340" s="23">
        <f t="shared" si="2118"/>
        <v>-28.238351136313256</v>
      </c>
      <c r="N340" s="35">
        <f t="shared" si="2141"/>
        <v>74.107609490958509</v>
      </c>
      <c r="O340" s="23">
        <f t="shared" si="2118"/>
        <v>6.4806385991495574</v>
      </c>
      <c r="P340" s="35">
        <f>P334/P332*100</f>
        <v>68.668407310704964</v>
      </c>
      <c r="Q340" s="23">
        <f t="shared" si="2118"/>
        <v>9.2821276832301578</v>
      </c>
      <c r="R340" s="35">
        <f>R334/R332*100</f>
        <v>71.044776119402982</v>
      </c>
      <c r="S340" s="23">
        <f t="shared" si="2118"/>
        <v>6.7039044518725888</v>
      </c>
      <c r="T340" s="35">
        <f>T334/T332*100</f>
        <v>76.361031518624642</v>
      </c>
      <c r="U340" s="23">
        <f t="shared" si="2118"/>
        <v>21.610349380446813</v>
      </c>
      <c r="V340" s="35">
        <f>V334/V332*100</f>
        <v>52.812500000000007</v>
      </c>
      <c r="W340" s="23">
        <f t="shared" si="2118"/>
        <v>-28.735388494155391</v>
      </c>
      <c r="X340" s="35">
        <f>X334/X332*100</f>
        <v>69.04400606980272</v>
      </c>
      <c r="Y340" s="23">
        <f t="shared" si="2118"/>
        <v>0.54697461876211939</v>
      </c>
      <c r="Z340" s="35">
        <f>Z334/Z332*100</f>
        <v>59.297218155197662</v>
      </c>
      <c r="AA340" s="23">
        <f>IF(ISERROR((Z340/R340-1)*100),"NA",IF(((Z340/R340-1)*100)&gt;100,"NM",IF(((Z340/R340-1)*100)&lt;-50,"NM",(Z340/R340-1)*100)))</f>
        <v>-16.535428226927664</v>
      </c>
      <c r="AB340" s="35">
        <f>AB334/AB332*100</f>
        <v>72.360248447204967</v>
      </c>
      <c r="AC340" s="23">
        <f>IF(ISERROR((AB340/T340-1)*100),"NA",IF(((AB340/T340-1)*100)&gt;100,"NM",IF(((AB340/T340-1)*100)&lt;-50,"NM",(AB340/T340-1)*100)))</f>
        <v>-5.2392994068497849</v>
      </c>
      <c r="AD340" s="35">
        <f>AD334/AD332*100</f>
        <v>78.812199036918145</v>
      </c>
      <c r="AE340" s="23">
        <f>IF(ISERROR((AD340/V340-1)*100),"NA",IF(((AD340/V340-1)*100)&gt;100,"NM",IF(((AD340/V340-1)*100)&lt;-50,"NM",(AD340/V340-1)*100)))</f>
        <v>49.230199359844981</v>
      </c>
      <c r="AF340" s="35">
        <f>AF334/AF332*100</f>
        <v>66.44736842105263</v>
      </c>
      <c r="AG340" s="23">
        <f>IF(ISERROR((AF340/X340-1)*100),"NA",IF(((AF340/X340-1)*100)&gt;100,"NM",IF(((AF340/X340-1)*100)&lt;-50,"NM",(AF340/X340-1)*100)))</f>
        <v>-3.7608444187391399</v>
      </c>
      <c r="AH340" s="35">
        <f>AH334/AH332*100</f>
        <v>70.195439739413686</v>
      </c>
      <c r="AI340" s="23">
        <f>IF(ISERROR((AH340/Z340-1)*100),"NA",IF(((AH340/Z340-1)*100)&gt;100,"NM",IF(((AH340/Z340-1)*100)&lt;-50,"NM",(AH340/Z340-1)*100)))</f>
        <v>18.378976153134687</v>
      </c>
      <c r="AJ340" s="35">
        <f>AJ334/AJ332*100</f>
        <v>94.333333333333343</v>
      </c>
      <c r="AK340" s="23">
        <f>IF(ISERROR((AJ340/AB340-1)*100),"NA",IF(((AJ340/AB340-1)*100)&gt;100,"NM",IF(((AJ340/AB340-1)*100)&lt;-50,"NM",(AJ340/AB340-1)*100)))</f>
        <v>30.366237482117331</v>
      </c>
      <c r="AL340" s="35">
        <f>AL334/AL332*100</f>
        <v>123.85786802030454</v>
      </c>
      <c r="AM340" s="23">
        <f>IF(ISERROR((AL340/AD340-1)*100),"NA",IF(((AL340/AD340-1)*100)&gt;100,"NM",IF(((AL340/AD340-1)*100)&lt;-50,"NM",(AL340/AD340-1)*100)))</f>
        <v>57.155706266089034</v>
      </c>
      <c r="AN340" s="409">
        <f t="shared" ref="AN340:AP340" si="2142">AN334/AN332*100</f>
        <v>48.287671232876718</v>
      </c>
      <c r="AO340" s="23">
        <f>IF(ISERROR((AN340/AF340-1)*100),"NA",IF(((AN340/AF340-1)*100)&gt;100,"NM",IF(((AN340/AF340-1)*100)&lt;-50,"NM",(AN340/AF340-1)*100)))</f>
        <v>-27.329445273294439</v>
      </c>
      <c r="AP340" s="409">
        <f t="shared" si="2142"/>
        <v>68.241042345276867</v>
      </c>
      <c r="AQ340" s="23">
        <f t="shared" si="2120"/>
        <v>-2.7842227378190421</v>
      </c>
      <c r="AR340" s="409">
        <f t="shared" ref="AR340:AT340" si="2143">AR334/AR332*100</f>
        <v>66.003616636528022</v>
      </c>
      <c r="AS340" s="23">
        <f t="shared" si="2122"/>
        <v>-30.031501798733551</v>
      </c>
      <c r="AT340" s="409">
        <f t="shared" si="2143"/>
        <v>250.7017543859649</v>
      </c>
      <c r="AU340" s="23" t="str">
        <f t="shared" si="2123"/>
        <v>NM</v>
      </c>
      <c r="AV340" s="409">
        <f t="shared" ref="AV340:AX340" si="2144">AV334/AV332*100</f>
        <v>75.266903914590756</v>
      </c>
      <c r="AW340" s="23">
        <f t="shared" si="2125"/>
        <v>55.87188612099645</v>
      </c>
      <c r="AX340" s="409">
        <f t="shared" si="2144"/>
        <v>82.020547945205479</v>
      </c>
      <c r="AY340" s="23">
        <f t="shared" si="2126"/>
        <v>20.192402000850041</v>
      </c>
      <c r="AZ340" s="409">
        <f t="shared" ref="AZ340" si="2145">AZ334/AZ332*100</f>
        <v>89.696969696969703</v>
      </c>
      <c r="BA340" s="23">
        <f t="shared" si="2128"/>
        <v>35.897052718970542</v>
      </c>
      <c r="BB340" s="409">
        <f t="shared" ref="BB340:BD340" si="2146">BB334/BB332*100</f>
        <v>382.41525423728808</v>
      </c>
      <c r="BC340" s="23">
        <f t="shared" si="2130"/>
        <v>52.537925063158994</v>
      </c>
      <c r="BD340" s="409">
        <f t="shared" si="2146"/>
        <v>98.015873015873012</v>
      </c>
      <c r="BE340" s="23">
        <f t="shared" si="2131"/>
        <v>30.22439866411495</v>
      </c>
      <c r="BF340" s="114">
        <f>AX340</f>
        <v>82.020547945205479</v>
      </c>
      <c r="BG340" s="23">
        <f t="shared" si="2132"/>
        <v>0</v>
      </c>
      <c r="BH340" s="114">
        <f>BF340-2</f>
        <v>80.020547945205479</v>
      </c>
      <c r="BI340" s="23">
        <f t="shared" si="2133"/>
        <v>-10.787902628656054</v>
      </c>
      <c r="BJ340" s="114">
        <f>BF340-2</f>
        <v>80.020547945205479</v>
      </c>
      <c r="BK340" s="23" t="str">
        <f t="shared" si="2134"/>
        <v>NM</v>
      </c>
      <c r="BL340" s="114">
        <f>BJ340+1.5</f>
        <v>81.520547945205479</v>
      </c>
      <c r="BM340" s="23">
        <f t="shared" si="2135"/>
        <v>-16.829238533636513</v>
      </c>
      <c r="BN340" s="10"/>
      <c r="BO340" s="138"/>
      <c r="BP340" s="10"/>
      <c r="BQ340" s="152"/>
      <c r="BR340" s="152"/>
      <c r="BS340" s="152"/>
      <c r="BT340" s="10"/>
      <c r="BU340" s="35">
        <f>BU334/BU332*100</f>
        <v>71.253054508990715</v>
      </c>
      <c r="BV340" s="23" t="str">
        <f>IF(ISERROR((BU340/BS340-1)*100),"NA",IF(((BU340/BS340-1)*100)&gt;100,"NM",IF(((BU340/BS340-1)*100)&lt;-50,"NM",(BU340/BS340-1)*100)))</f>
        <v>NA</v>
      </c>
      <c r="BW340" s="35">
        <f>BW334/BW332*100</f>
        <v>68.042805485878105</v>
      </c>
      <c r="BX340" s="23">
        <f>IF(ISERROR((BW340/BU340-1)*100),"NA",IF(((BW340/BU340-1)*100)&gt;100,"NM",IF(((BW340/BU340-1)*100)&lt;-50,"NM",(BW340/BU340-1)*100)))</f>
        <v>-4.5054195153241388</v>
      </c>
      <c r="BY340" s="35">
        <f>BY334/BY332*100</f>
        <v>67.566554180727394</v>
      </c>
      <c r="BZ340" s="23">
        <f>IF(ISERROR((BY340/BW340-1)*100),"NA",IF(((BY340/BW340-1)*100)&gt;100,"NM",IF(((BY340/BW340-1)*100)&lt;-50,"NM",(BY340/BW340-1)*100)))</f>
        <v>-0.69992896640564961</v>
      </c>
      <c r="CA340" s="35">
        <f>CA334/CA332*100</f>
        <v>69.038311180609853</v>
      </c>
      <c r="CB340" s="23">
        <f>IF(ISERROR((CA340/BY340-1)*100),"NA",IF(((CA340/BY340-1)*100)&gt;100,"NM",IF(((CA340/BY340-1)*100)&lt;-50,"NM",(CA340/BY340-1)*100)))</f>
        <v>2.1782330292378083</v>
      </c>
      <c r="CC340" s="35">
        <f>CC334/CC332*100</f>
        <v>84.177480117203842</v>
      </c>
      <c r="CD340" s="23">
        <f>IF(ISERROR((CC340/CA340-1)*100),"NA",IF(((CC340/CA340-1)*100)&gt;100,"NM",IF(((CC340/CA340-1)*100)&lt;-50,"NM",(CC340/CA340-1)*100)))</f>
        <v>21.928649003288459</v>
      </c>
      <c r="CE340" s="35">
        <f>CE334/CE332*100</f>
        <v>114.65854719443239</v>
      </c>
      <c r="CF340" s="23">
        <f>IF(ISERROR((CE340/CC340-1)*100),"NA",IF(((CE340/CC340-1)*100)&gt;100,"NM",IF(((CE340/CC340-1)*100)&lt;-50,"NM",(CE340/CC340-1)*100)))</f>
        <v>36.210477000248133</v>
      </c>
      <c r="CG340" s="35">
        <f>CG334/CG332*100</f>
        <v>156.7883211678832</v>
      </c>
      <c r="CH340" s="23">
        <f>IF(ISERROR((CG340/CE340-1)*100),"NA",IF(((CG340/CE340-1)*100)&gt;100,"NM",IF(((CG340/CE340-1)*100)&lt;-50,"NM",(CG340/CE340-1)*100)))</f>
        <v>36.743683749986111</v>
      </c>
      <c r="CI340" s="35">
        <f>CI334/CI332*100</f>
        <v>80.905872687550342</v>
      </c>
      <c r="CJ340" s="23">
        <f>IF(ISERROR((CI340/CG340-1)*100),"NA",IF(((CI340/CG340-1)*100)&gt;100,"NM",IF(((CI340/CG340-1)*100)&lt;-50,"NM",(CI340/CG340-1)*100)))</f>
        <v>-48.398023472093122</v>
      </c>
      <c r="CK340" s="47">
        <f>CI340+1</f>
        <v>81.905872687550342</v>
      </c>
      <c r="CL340" s="23">
        <f>IF(ISERROR((CK340/CI340-1)*100),"NA",IF(((CK340/CI340-1)*100)&gt;100,"NM",IF(((CK340/CI340-1)*100)&lt;-50,"NM",(CK340/CI340-1)*100)))</f>
        <v>1.236004219201603</v>
      </c>
      <c r="CM340" s="47">
        <f>CK340+1</f>
        <v>82.905872687550342</v>
      </c>
      <c r="CN340" s="23">
        <f>IF(ISERROR((CM340/CK340-1)*100),"NA",IF(((CM340/CK340-1)*100)&gt;100,"NM",IF(((CM340/CK340-1)*100)&lt;-50,"NM",(CM340/CK340-1)*100)))</f>
        <v>1.2209136746698768</v>
      </c>
      <c r="CO340" s="47">
        <f>CM340+1</f>
        <v>83.905872687550342</v>
      </c>
      <c r="CP340" s="23">
        <f>IF(ISERROR((CO340/CM340-1)*100),"NA",IF(((CO340/CM340-1)*100)&gt;100,"NM",IF(((CO340/CM340-1)*100)&lt;-50,"NM",(CO340/CM340-1)*100)))</f>
        <v>1.2061871705623561</v>
      </c>
      <c r="CQ340" s="47">
        <f>CO340+1</f>
        <v>84.905872687550342</v>
      </c>
      <c r="CR340" s="23">
        <f>IF(ISERROR((CQ340/CO340-1)*100),"NA",IF(((CQ340/CO340-1)*100)&gt;100,"NM",IF(((CQ340/CO340-1)*100)&lt;-50,"NM",(CQ340/CO340-1)*100)))</f>
        <v>1.1918116908500753</v>
      </c>
      <c r="CS340" s="23">
        <f>IF(ISERROR(((CQ340/CG340)^0.2-1)*100),"NA",IF((((CQ340/CG340)^0.2-1)*100)&gt;100,"NM",IF((((CQ340/CG340)^0.2-1)*100)&lt;-50,"NM",((CQ340/CG340)^0.2-1)*100)))</f>
        <v>-11.544507670690251</v>
      </c>
    </row>
    <row r="341" spans="1:97" ht="12.75" customHeight="1" x14ac:dyDescent="0.2">
      <c r="B341" s="35"/>
      <c r="D341" s="35"/>
      <c r="F341" s="35"/>
      <c r="H341" s="35"/>
      <c r="J341" s="35"/>
      <c r="L341" s="35"/>
      <c r="N341" s="35"/>
      <c r="P341" s="35"/>
      <c r="R341" s="35"/>
      <c r="T341" s="35"/>
      <c r="V341" s="35"/>
      <c r="X341" s="35"/>
      <c r="Z341" s="35"/>
      <c r="AB341" s="35"/>
      <c r="AD341" s="35"/>
      <c r="AF341" s="35"/>
      <c r="AH341" s="35"/>
      <c r="AJ341" s="35"/>
      <c r="AL341" s="35"/>
      <c r="AN341" s="409"/>
      <c r="AP341" s="409"/>
      <c r="AR341" s="409"/>
      <c r="AT341" s="409"/>
      <c r="AV341" s="409"/>
      <c r="AX341" s="409"/>
      <c r="AZ341" s="409"/>
      <c r="BB341" s="409"/>
      <c r="BD341" s="409"/>
      <c r="BF341" s="35"/>
      <c r="BH341" s="35"/>
      <c r="BJ341" s="35"/>
      <c r="BL341" s="35"/>
      <c r="BN341" s="10"/>
      <c r="BO341" s="138"/>
      <c r="BP341" s="10"/>
      <c r="BQ341" s="10"/>
      <c r="BR341" s="10"/>
      <c r="BS341" s="10"/>
      <c r="BT341" s="10"/>
      <c r="BU341" s="37"/>
      <c r="BW341" s="35"/>
      <c r="BY341" s="35"/>
      <c r="CA341" s="35"/>
      <c r="CC341" s="35"/>
      <c r="CE341" s="35"/>
      <c r="CG341" s="35"/>
      <c r="CI341" s="35"/>
      <c r="CK341" s="35"/>
      <c r="CM341" s="35"/>
      <c r="CO341" s="35"/>
      <c r="CQ341" s="35"/>
    </row>
    <row r="342" spans="1:97" ht="12.75" customHeight="1" x14ac:dyDescent="0.2">
      <c r="A342" s="3" t="s">
        <v>128</v>
      </c>
      <c r="B342" s="72">
        <f>+B320-B335</f>
        <v>75.637999999999977</v>
      </c>
      <c r="C342" s="59"/>
      <c r="D342" s="72">
        <f>+D320-D335</f>
        <v>80.930000000000064</v>
      </c>
      <c r="E342" s="59"/>
      <c r="F342" s="72">
        <f>+F320-F335</f>
        <v>83.863</v>
      </c>
      <c r="G342" s="59"/>
      <c r="H342" s="72">
        <f>+H320-H335</f>
        <v>39.012999999999977</v>
      </c>
      <c r="I342" s="59"/>
      <c r="J342" s="72">
        <f>+J320-J335</f>
        <v>55.078999999999951</v>
      </c>
      <c r="K342" s="23">
        <f t="shared" ref="K342:Y343" si="2147">IF(ISERROR((J342/B342-1)*100),"NA",IF(((J342/B342-1)*100)&gt;100,"NM",IF(((J342/B342-1)*100)&lt;-50,"NM",(J342/B342-1)*100)))</f>
        <v>-27.180782146540139</v>
      </c>
      <c r="L342" s="72">
        <f>+L320-L335</f>
        <v>33.371000000000095</v>
      </c>
      <c r="M342" s="23" t="str">
        <f t="shared" si="2147"/>
        <v>NM</v>
      </c>
      <c r="N342" s="72">
        <f>+N320-N335</f>
        <v>53.100999999999942</v>
      </c>
      <c r="O342" s="23">
        <f t="shared" si="2147"/>
        <v>-36.68125394989454</v>
      </c>
      <c r="P342" s="72">
        <f>+P320-P335</f>
        <v>54.479000000000042</v>
      </c>
      <c r="Q342" s="23">
        <f t="shared" si="2147"/>
        <v>39.643195857791191</v>
      </c>
      <c r="R342" s="72">
        <f>+R320-R335</f>
        <v>50.699999999999989</v>
      </c>
      <c r="S342" s="23">
        <f t="shared" si="2147"/>
        <v>-7.9503985184915642</v>
      </c>
      <c r="T342" s="72">
        <f>+T320-T335</f>
        <v>40</v>
      </c>
      <c r="U342" s="23">
        <f t="shared" si="2147"/>
        <v>19.864553055047462</v>
      </c>
      <c r="V342" s="72">
        <f>+V320-V335</f>
        <v>117.09999999999997</v>
      </c>
      <c r="W342" s="23" t="str">
        <f t="shared" si="2147"/>
        <v>NM</v>
      </c>
      <c r="X342" s="72">
        <f>+X320-X335</f>
        <v>47</v>
      </c>
      <c r="Y342" s="23">
        <f t="shared" si="2147"/>
        <v>-13.728225554801</v>
      </c>
      <c r="Z342" s="72">
        <f>+Z320-Z335</f>
        <v>31.10000000000008</v>
      </c>
      <c r="AA342" s="23">
        <f>IF(ISERROR((Z342/R342-1)*100),"NA",IF(((Z342/R342-1)*100)&gt;100,"NM",IF(((Z342/R342-1)*100)&lt;-50,"NM",(Z342/R342-1)*100)))</f>
        <v>-38.658777120315413</v>
      </c>
      <c r="AB342" s="72">
        <f>+AB320-AB335</f>
        <v>63.39999999999992</v>
      </c>
      <c r="AC342" s="23">
        <f>IF(ISERROR((AB342/T342-1)*100),"NA",IF(((AB342/T342-1)*100)&gt;100,"NM",IF(((AB342/T342-1)*100)&lt;-50,"NM",(AB342/T342-1)*100)))</f>
        <v>58.499999999999794</v>
      </c>
      <c r="AD342" s="72">
        <f>+AD320-AD335</f>
        <v>39.800000000000011</v>
      </c>
      <c r="AE342" s="23" t="str">
        <f>IF(ISERROR((AD342/V342-1)*100),"NA",IF(((AD342/V342-1)*100)&gt;100,"NM",IF(((AD342/V342-1)*100)&lt;-50,"NM",(AD342/V342-1)*100)))</f>
        <v>NM</v>
      </c>
      <c r="AF342" s="72">
        <f>+AF320-AF335</f>
        <v>103.00000000000006</v>
      </c>
      <c r="AG342" s="23" t="str">
        <f>IF(ISERROR((AF342/X342-1)*100),"NA",IF(((AF342/X342-1)*100)&gt;100,"NM",IF(((AF342/X342-1)*100)&lt;-50,"NM",(AF342/X342-1)*100)))</f>
        <v>NM</v>
      </c>
      <c r="AH342" s="72">
        <f>+AH320-AH335</f>
        <v>43.399999999999977</v>
      </c>
      <c r="AI342" s="23">
        <f>IF(ISERROR((AH342/Z342-1)*100),"NA",IF(((AH342/Z342-1)*100)&gt;100,"NM",IF(((AH342/Z342-1)*100)&lt;-50,"NM",(AH342/Z342-1)*100)))</f>
        <v>39.549839228295383</v>
      </c>
      <c r="AJ342" s="72">
        <f>+AJ320-AJ335</f>
        <v>37.700000000000045</v>
      </c>
      <c r="AK342" s="23">
        <f>IF(ISERROR((AJ342/AB342-1)*100),"NA",IF(((AJ342/AB342-1)*100)&gt;100,"NM",IF(((AJ342/AB342-1)*100)&lt;-50,"NM",(AJ342/AB342-1)*100)))</f>
        <v>-40.536277602523519</v>
      </c>
      <c r="AL342" s="72">
        <f>+AL320-AL335</f>
        <v>-10.799999999999955</v>
      </c>
      <c r="AM342" s="23" t="str">
        <f>IF(ISERROR((AL342/AD342-1)*100),"NA",IF(((AL342/AD342-1)*100)&gt;100,"NM",IF(((AL342/AD342-1)*100)&lt;-50,"NM",(AL342/AD342-1)*100)))</f>
        <v>NM</v>
      </c>
      <c r="AN342" s="72">
        <f t="shared" ref="AN342:AP342" si="2148">+AN320-AN335</f>
        <v>102.39999999999998</v>
      </c>
      <c r="AO342" s="23">
        <f>IF(ISERROR((AN342/AF342-1)*100),"NA",IF(((AN342/AF342-1)*100)&gt;100,"NM",IF(((AN342/AF342-1)*100)&lt;-50,"NM",(AN342/AF342-1)*100)))</f>
        <v>-0.58252427184474209</v>
      </c>
      <c r="AP342" s="72">
        <f t="shared" si="2148"/>
        <v>41.099999999999966</v>
      </c>
      <c r="AQ342" s="23">
        <f t="shared" ref="AQ342:AQ343" si="2149">IF(ISERROR((AP342/AH342-1)*100),"NA",IF(((AP342/AH342-1)*100)&gt;100,"NM",IF(((AP342/AH342-1)*100)&lt;-50,"NM",(AP342/AH342-1)*100)))</f>
        <v>-5.2995391705069395</v>
      </c>
      <c r="AR342" s="72">
        <f t="shared" ref="AR342:AT342" si="2150">+AR320-AR335</f>
        <v>50.299999999999983</v>
      </c>
      <c r="AS342" s="23">
        <f t="shared" ref="AS342:AS343" si="2151">IF(ISERROR((AR342/AJ342-1)*100),"NA",IF(((AR342/AJ342-1)*100)&gt;100,"NM",IF(((AR342/AJ342-1)*100)&lt;-50,"NM",(AR342/AJ342-1)*100)))</f>
        <v>33.421750663129757</v>
      </c>
      <c r="AT342" s="72">
        <f t="shared" si="2150"/>
        <v>-76.200000000000045</v>
      </c>
      <c r="AU342" s="23" t="str">
        <f t="shared" ref="AU342:AU343" si="2152">IF(ISERROR((AT342/AL342-1)*100),"NA",IF(((AT342/AL342-1)*100)&gt;100,"NM",IF(((AT342/AL342-1)*100)&lt;-50,"NM",(AT342/AL342-1)*100)))</f>
        <v>NM</v>
      </c>
      <c r="AV342" s="72">
        <f t="shared" ref="AV342:AX342" si="2153">+AV320-AV335</f>
        <v>43.399999999999977</v>
      </c>
      <c r="AW342" s="23" t="str">
        <f t="shared" ref="AW342:AW343" si="2154">IF(ISERROR((AV342/AN342-1)*100),"NA",IF(((AV342/AN342-1)*100)&gt;100,"NM",IF(((AV342/AN342-1)*100)&lt;-50,"NM",(AV342/AN342-1)*100)))</f>
        <v>NM</v>
      </c>
      <c r="AX342" s="72">
        <f t="shared" si="2153"/>
        <v>31.699999999999989</v>
      </c>
      <c r="AY342" s="23">
        <f t="shared" ref="AY342:AY343" si="2155">IF(ISERROR((AX342/AP342-1)*100),"NA",IF(((AX342/AP342-1)*100)&gt;100,"NM",IF(((AX342/AP342-1)*100)&lt;-50,"NM",(AX342/AP342-1)*100)))</f>
        <v>-22.871046228710423</v>
      </c>
      <c r="AZ342" s="72">
        <f t="shared" ref="AZ342" si="2156">+AZ320-AZ335</f>
        <v>62.299999999999955</v>
      </c>
      <c r="BA342" s="23">
        <f t="shared" ref="BA342:BA343" si="2157">IF(ISERROR((AZ342/AR342-1)*100),"NA",IF(((AZ342/AR342-1)*100)&gt;100,"NM",IF(((AZ342/AR342-1)*100)&lt;-50,"NM",(AZ342/AR342-1)*100)))</f>
        <v>23.856858846918438</v>
      </c>
      <c r="BB342" s="72">
        <f t="shared" ref="BB342:BD342" si="2158">+BB320-BB335</f>
        <v>-66.200000000000045</v>
      </c>
      <c r="BC342" s="23">
        <f t="shared" ref="BC342:BC343" si="2159">IF(ISERROR((BB342/AT342-1)*100),"NA",IF(((BB342/AT342-1)*100)&gt;100,"NM",IF(((BB342/AT342-1)*100)&lt;-50,"NM",(BB342/AT342-1)*100)))</f>
        <v>-13.123359580052485</v>
      </c>
      <c r="BD342" s="72">
        <f t="shared" si="2158"/>
        <v>63</v>
      </c>
      <c r="BE342" s="23">
        <f t="shared" ref="BE342:BE343" si="2160">IF(ISERROR((BD342/AV342-1)*100),"NA",IF(((BD342/AV342-1)*100)&gt;100,"NM",IF(((BD342/AV342-1)*100)&lt;-50,"NM",(BD342/AV342-1)*100)))</f>
        <v>45.161290322580719</v>
      </c>
      <c r="BF342" s="72">
        <f t="shared" ref="BF342" si="2161">+BF320-BF335</f>
        <v>48.933121618771906</v>
      </c>
      <c r="BG342" s="23">
        <f t="shared" ref="BG342:BG343" si="2162">IF(ISERROR((BF342/AX342-1)*100),"NA",IF(((BF342/AX342-1)*100)&gt;100,"NM",IF(((BF342/AX342-1)*100)&lt;-50,"NM",(BF342/AX342-1)*100)))</f>
        <v>54.363159680668538</v>
      </c>
      <c r="BH342" s="72">
        <f t="shared" ref="BH342" si="2163">+BH320-BH335</f>
        <v>56.043941810855813</v>
      </c>
      <c r="BI342" s="23">
        <f t="shared" ref="BI342:BI343" si="2164">IF(ISERROR((BH342/AZ342-1)*100),"NA",IF(((BH342/AZ342-1)*100)&gt;100,"NM",IF(((BH342/AZ342-1)*100)&lt;-50,"NM",(BH342/AZ342-1)*100)))</f>
        <v>-10.041826948867005</v>
      </c>
      <c r="BJ342" s="72">
        <f t="shared" ref="BJ342" si="2165">+BJ320-BJ335</f>
        <v>59.296178110277367</v>
      </c>
      <c r="BK342" s="23" t="str">
        <f t="shared" ref="BK342:BK343" si="2166">IF(ISERROR((BJ342/BB342-1)*100),"NA",IF(((BJ342/BB342-1)*100)&gt;100,"NM",IF(((BJ342/BB342-1)*100)&lt;-50,"NM",(BJ342/BB342-1)*100)))</f>
        <v>NM</v>
      </c>
      <c r="BL342" s="72">
        <f t="shared" ref="BL342" si="2167">+BL320-BL335</f>
        <v>60.63713400486904</v>
      </c>
      <c r="BM342" s="23">
        <f t="shared" ref="BM342:BM343" si="2168">IF(ISERROR((BL342/BD342-1)*100),"NA",IF(((BL342/BD342-1)*100)&gt;100,"NM",IF(((BL342/BD342-1)*100)&lt;-50,"NM",(BL342/BD342-1)*100)))</f>
        <v>-3.7505809446523153</v>
      </c>
      <c r="BN342" s="10"/>
      <c r="BO342" s="137"/>
      <c r="BP342" s="10"/>
      <c r="BQ342" s="73">
        <f>+BQ318-BQ335</f>
        <v>301.10000000000002</v>
      </c>
      <c r="BR342" s="10"/>
      <c r="BS342" s="73">
        <f>+BS318-BS335</f>
        <v>313.5</v>
      </c>
      <c r="BT342" s="10"/>
      <c r="BU342" s="72">
        <f>+BU320-BU335</f>
        <v>279.44399999999973</v>
      </c>
      <c r="BV342" s="23">
        <f>IF(ISERROR((BU342/BS342-1)*100),"NA",IF(((BU342/BS342-1)*100)&gt;100,"NM",IF(((BU342/BS342-1)*100)&lt;-50,"NM",(BU342/BS342-1)*100)))</f>
        <v>-10.863157894736929</v>
      </c>
      <c r="BW342" s="72">
        <f>+BW320-BW335</f>
        <v>196.02999999999975</v>
      </c>
      <c r="BX342" s="23">
        <f>IF(ISERROR((BW342/BU342-1)*100),"NA",IF(((BW342/BU342-1)*100)&gt;100,"NM",IF(((BW342/BU342-1)*100)&lt;-50,"NM",(BW342/BU342-1)*100)))</f>
        <v>-29.849987832982659</v>
      </c>
      <c r="BY342" s="72">
        <f>+BY320-BY335</f>
        <v>254.79999999999995</v>
      </c>
      <c r="BZ342" s="23">
        <f>IF(ISERROR((BY342/BW342-1)*100),"NA",IF(((BY342/BW342-1)*100)&gt;100,"NM",IF(((BY342/BW342-1)*100)&lt;-50,"NM",(BY342/BW342-1)*100)))</f>
        <v>29.980105085956389</v>
      </c>
      <c r="CA342" s="72">
        <f>+CA320-CA335</f>
        <v>237.30000000000018</v>
      </c>
      <c r="CB342" s="23">
        <f>IF(ISERROR((CA342/BY342-1)*100),"NA",IF(((CA342/BY342-1)*100)&gt;100,"NM",IF(((CA342/BY342-1)*100)&lt;-50,"NM",(CA342/BY342-1)*100)))</f>
        <v>-6.8681318681317771</v>
      </c>
      <c r="CC342" s="72">
        <f>+CC320-CC335</f>
        <v>172.70000000000005</v>
      </c>
      <c r="CD342" s="23">
        <f>IF(ISERROR((CC342/CA342-1)*100),"NA",IF(((CC342/CA342-1)*100)&gt;100,"NM",IF(((CC342/CA342-1)*100)&lt;-50,"NM",(CC342/CA342-1)*100)))</f>
        <v>-27.222924568057351</v>
      </c>
      <c r="CE342" s="72">
        <f>+CE320-CE335</f>
        <v>58.599999999999909</v>
      </c>
      <c r="CF342" s="23" t="str">
        <f>IF(ISERROR((CE342/CC342-1)*100),"NA",IF(((CE342/CC342-1)*100)&gt;100,"NM",IF(((CE342/CC342-1)*100)&lt;-50,"NM",(CE342/CC342-1)*100)))</f>
        <v>NM</v>
      </c>
      <c r="CG342" s="72">
        <f>+CG320-CG335</f>
        <v>90.799999999999955</v>
      </c>
      <c r="CH342" s="23">
        <f>IF(ISERROR((CG342/CE342-1)*100),"NA",IF(((CG342/CE342-1)*100)&gt;100,"NM",IF(((CG342/CE342-1)*100)&lt;-50,"NM",(CG342/CE342-1)*100)))</f>
        <v>54.948805460751025</v>
      </c>
      <c r="CI342" s="72">
        <f>+CI320-CI335</f>
        <v>224.91037554477407</v>
      </c>
      <c r="CJ342" s="23" t="str">
        <f>IF(ISERROR((CI342/CG342-1)*100),"NA",IF(((CI342/CG342-1)*100)&gt;100,"NM",IF(((CI342/CG342-1)*100)&lt;-50,"NM",(CI342/CG342-1)*100)))</f>
        <v>NM</v>
      </c>
      <c r="CK342" s="72">
        <f>+CK320-CK335</f>
        <v>227.57663464966186</v>
      </c>
      <c r="CL342" s="23">
        <f>IF(ISERROR((CK342/CI342-1)*100),"NA",IF(((CK342/CI342-1)*100)&gt;100,"NM",IF(((CK342/CI342-1)*100)&lt;-50,"NM",(CK342/CI342-1)*100)))</f>
        <v>1.1854762584561085</v>
      </c>
      <c r="CM342" s="72">
        <f>+CM320-CM335</f>
        <v>231.32052167082247</v>
      </c>
      <c r="CN342" s="23">
        <f>IF(ISERROR((CM342/CK342-1)*100),"NA",IF(((CM342/CK342-1)*100)&gt;100,"NM",IF(((CM342/CK342-1)*100)&lt;-50,"NM",(CM342/CK342-1)*100)))</f>
        <v>1.6451104600101241</v>
      </c>
      <c r="CO342" s="72">
        <f>+CO320-CO335</f>
        <v>235.11407968444178</v>
      </c>
      <c r="CP342" s="23">
        <f>IF(ISERROR((CO342/CM342-1)*100),"NA",IF(((CO342/CM342-1)*100)&gt;100,"NM",IF(((CO342/CM342-1)*100)&lt;-50,"NM",(CO342/CM342-1)*100)))</f>
        <v>1.6399574003285622</v>
      </c>
      <c r="CQ342" s="72">
        <f>+CQ320-CQ335</f>
        <v>238.95766936922246</v>
      </c>
      <c r="CR342" s="23">
        <f>IF(ISERROR((CQ342/CO342-1)*100),"NA",IF(((CQ342/CO342-1)*100)&gt;100,"NM",IF(((CQ342/CO342-1)*100)&lt;-50,"NM",(CQ342/CO342-1)*100)))</f>
        <v>1.6347764837985723</v>
      </c>
      <c r="CS342" s="23">
        <f>IF(ISERROR(((CQ342/CG342)^0.2-1)*100),"NA",IF((((CQ342/CG342)^0.2-1)*100)&gt;100,"NM",IF((((CQ342/CG342)^0.2-1)*100)&lt;-50,"NM",((CQ342/CG342)^0.2-1)*100)))</f>
        <v>21.352024234508793</v>
      </c>
    </row>
    <row r="343" spans="1:97" ht="12.75" customHeight="1" x14ac:dyDescent="0.2">
      <c r="A343" s="4" t="s">
        <v>129</v>
      </c>
      <c r="B343" s="35">
        <f>B342/B320*100</f>
        <v>20.537564045822457</v>
      </c>
      <c r="C343" s="59"/>
      <c r="D343" s="35">
        <f>D342/D320*100</f>
        <v>20.341837375895452</v>
      </c>
      <c r="E343" s="59"/>
      <c r="F343" s="35">
        <f>F342/F320*100</f>
        <v>21.962231341544214</v>
      </c>
      <c r="G343" s="59"/>
      <c r="H343" s="35">
        <f>H342/H320*100</f>
        <v>11.439185801370479</v>
      </c>
      <c r="I343" s="59"/>
      <c r="J343" s="35">
        <f>J342/J320*100</f>
        <v>15.514118724033507</v>
      </c>
      <c r="K343" s="23">
        <f t="shared" si="2147"/>
        <v>-24.459791388018914</v>
      </c>
      <c r="L343" s="35">
        <f>L342/L320*100</f>
        <v>10.327166721338898</v>
      </c>
      <c r="M343" s="23">
        <f t="shared" si="2147"/>
        <v>-49.23188829748328</v>
      </c>
      <c r="N343" s="35">
        <f>N342/N320*100</f>
        <v>14.840557837958679</v>
      </c>
      <c r="O343" s="23">
        <f t="shared" si="2147"/>
        <v>-32.426912333420468</v>
      </c>
      <c r="P343" s="35">
        <f>P342/P320*100</f>
        <v>15.308292987223195</v>
      </c>
      <c r="Q343" s="23">
        <f t="shared" si="2147"/>
        <v>33.823274252518701</v>
      </c>
      <c r="R343" s="35">
        <f>R342/R320*100</f>
        <v>15.12078735460781</v>
      </c>
      <c r="S343" s="23">
        <f t="shared" si="2147"/>
        <v>-2.5353123591633553</v>
      </c>
      <c r="T343" s="35">
        <f>T342/T320*100</f>
        <v>12.019230769230768</v>
      </c>
      <c r="U343" s="23">
        <f t="shared" si="2147"/>
        <v>16.384591181195706</v>
      </c>
      <c r="V343" s="35">
        <f>V342/V320*100</f>
        <v>30.638409209837775</v>
      </c>
      <c r="W343" s="23" t="str">
        <f t="shared" si="2147"/>
        <v>NM</v>
      </c>
      <c r="X343" s="35">
        <f>X342/X320*100</f>
        <v>14.311814859926919</v>
      </c>
      <c r="Y343" s="23">
        <f t="shared" si="2147"/>
        <v>-6.5094006766657113</v>
      </c>
      <c r="Z343" s="35">
        <f>Z342/Z320*100</f>
        <v>10.090850097339414</v>
      </c>
      <c r="AA343" s="23">
        <f>IF(ISERROR((Z343/R343-1)*100),"NA",IF(((Z343/R343-1)*100)&gt;100,"NM",IF(((Z343/R343-1)*100)&lt;-50,"NM",(Z343/R343-1)*100)))</f>
        <v>-33.265048567299672</v>
      </c>
      <c r="AB343" s="35">
        <f>AB342/AB320*100</f>
        <v>18.414173685739161</v>
      </c>
      <c r="AC343" s="23">
        <f>IF(ISERROR((AB343/T343-1)*100),"NA",IF(((AB343/T343-1)*100)&gt;100,"NM",IF(((AB343/T343-1)*100)&lt;-50,"NM",(AB343/T343-1)*100)))</f>
        <v>53.205925065349824</v>
      </c>
      <c r="AD343" s="35">
        <f>AD342/AD320*100</f>
        <v>12.35257603972688</v>
      </c>
      <c r="AE343" s="23" t="str">
        <f>IF(ISERROR((AD343/V343-1)*100),"NA",IF(((AD343/V343-1)*100)&gt;100,"NM",IF(((AD343/V343-1)*100)&lt;-50,"NM",(AD343/V343-1)*100)))</f>
        <v>NM</v>
      </c>
      <c r="AF343" s="35">
        <f>AF342/AF320*100</f>
        <v>28.17286652078776</v>
      </c>
      <c r="AG343" s="23">
        <f>IF(ISERROR((AF343/X343-1)*100),"NA",IF(((AF343/X343-1)*100)&gt;100,"NM",IF(((AF343/X343-1)*100)&lt;-50,"NM",(AF343/X343-1)*100)))</f>
        <v>96.850412030355315</v>
      </c>
      <c r="AH343" s="35">
        <f>AH342/AH320*100</f>
        <v>13.861386138613854</v>
      </c>
      <c r="AI343" s="23">
        <f>IF(ISERROR((AH343/Z343-1)*100),"NA",IF(((AH343/Z343-1)*100)&gt;100,"NM",IF(((AH343/Z343-1)*100)&lt;-50,"NM",(AH343/Z343-1)*100)))</f>
        <v>37.36589092992859</v>
      </c>
      <c r="AJ343" s="35">
        <f>AJ342/AJ320*100</f>
        <v>11.998726925525157</v>
      </c>
      <c r="AK343" s="23">
        <f>IF(ISERROR((AJ343/AB343-1)*100),"NA",IF(((AJ343/AB343-1)*100)&gt;100,"NM",IF(((AJ343/AB343-1)*100)&lt;-50,"NM",(AJ343/AB343-1)*100)))</f>
        <v>-34.839721128417736</v>
      </c>
      <c r="AL343" s="35">
        <f>AL342/AL320*100</f>
        <v>-3.7815126050420007</v>
      </c>
      <c r="AM343" s="23" t="str">
        <f>IF(ISERROR((AL343/AD343-1)*100),"NA",IF(((AL343/AD343-1)*100)&gt;100,"NM",IF(((AL343/AD343-1)*100)&lt;-50,"NM",(AL343/AD343-1)*100)))</f>
        <v>NM</v>
      </c>
      <c r="AN343" s="409">
        <f t="shared" ref="AN343:AP343" si="2169">AN342/AN320*100</f>
        <v>29.391504018369684</v>
      </c>
      <c r="AO343" s="23">
        <f>IF(ISERROR((AN343/AF343-1)*100),"NA",IF(((AN343/AF343-1)*100)&gt;100,"NM",IF(((AN343/AF343-1)*100)&lt;-50,"NM",(AN343/AF343-1)*100)))</f>
        <v>4.3255715448150545</v>
      </c>
      <c r="AP343" s="409">
        <f t="shared" si="2169"/>
        <v>13.659022931206371</v>
      </c>
      <c r="AQ343" s="23">
        <f t="shared" si="2149"/>
        <v>-1.4599059962968397</v>
      </c>
      <c r="AR343" s="409">
        <f t="shared" ref="AR343:AT343" si="2170">AR342/AR320*100</f>
        <v>16.749916749916743</v>
      </c>
      <c r="AS343" s="23">
        <f t="shared" si="2151"/>
        <v>39.597449411772814</v>
      </c>
      <c r="AT343" s="409">
        <f t="shared" si="2170"/>
        <v>-26.897282033180392</v>
      </c>
      <c r="AU343" s="23" t="str">
        <f t="shared" si="2152"/>
        <v>NM</v>
      </c>
      <c r="AV343" s="409">
        <f t="shared" ref="AV343:AX343" si="2171">AV342/AV320*100</f>
        <v>14.500501169395246</v>
      </c>
      <c r="AW343" s="23" t="str">
        <f t="shared" si="2154"/>
        <v>NM</v>
      </c>
      <c r="AX343" s="409">
        <f t="shared" si="2171"/>
        <v>10.764006791171473</v>
      </c>
      <c r="AY343" s="23">
        <f t="shared" si="2155"/>
        <v>-21.194899185802953</v>
      </c>
      <c r="AZ343" s="409">
        <f t="shared" ref="AZ343" si="2172">AZ342/AZ320*100</f>
        <v>20.006422607578664</v>
      </c>
      <c r="BA343" s="23">
        <f t="shared" si="2157"/>
        <v>19.441922645246024</v>
      </c>
      <c r="BB343" s="409">
        <f t="shared" ref="BB343:BD343" si="2173">BB342/BB320*100</f>
        <v>-20.955998733776525</v>
      </c>
      <c r="BC343" s="23">
        <f t="shared" si="2159"/>
        <v>-22.088786859857144</v>
      </c>
      <c r="BD343" s="409">
        <f t="shared" si="2173"/>
        <v>19.811320754716981</v>
      </c>
      <c r="BE343" s="23">
        <f t="shared" si="2160"/>
        <v>36.625076080340932</v>
      </c>
      <c r="BF343" s="35">
        <f t="shared" ref="BF343" si="2174">BF342/BF320*100</f>
        <v>15.461651474686336</v>
      </c>
      <c r="BG343" s="23">
        <f t="shared" si="2162"/>
        <v>43.642156444641245</v>
      </c>
      <c r="BH343" s="35">
        <f t="shared" ref="BH343" si="2175">BH342/BH320*100</f>
        <v>17.610197362224298</v>
      </c>
      <c r="BI343" s="23">
        <f t="shared" si="2164"/>
        <v>-11.977279958320219</v>
      </c>
      <c r="BJ343" s="35">
        <f t="shared" ref="BJ343" si="2176">BJ342/BJ320*100</f>
        <v>18.510322216168305</v>
      </c>
      <c r="BK343" s="23" t="str">
        <f t="shared" si="2166"/>
        <v>NM</v>
      </c>
      <c r="BL343" s="35">
        <f t="shared" ref="BL343" si="2177">BL342/BL320*100</f>
        <v>18.776870219107391</v>
      </c>
      <c r="BM343" s="23">
        <f t="shared" si="2168"/>
        <v>-5.2215122273626902</v>
      </c>
      <c r="BN343" s="10"/>
      <c r="BO343" s="138"/>
      <c r="BP343" s="10"/>
      <c r="BQ343" s="152"/>
      <c r="BR343" s="152"/>
      <c r="BS343" s="152"/>
      <c r="BT343" s="10"/>
      <c r="BU343" s="35">
        <f>BU342/BU320*100</f>
        <v>18.766734786664404</v>
      </c>
      <c r="BV343" s="23" t="str">
        <f>IF(ISERROR((BU343/BS343-1)*100),"NA",IF(((BU343/BS343-1)*100)&gt;100,"NM",IF(((BU343/BS343-1)*100)&lt;-50,"NM",(BU343/BS343-1)*100)))</f>
        <v>NA</v>
      </c>
      <c r="BW343" s="35">
        <f>BW342/BW320*100</f>
        <v>14.084112391259973</v>
      </c>
      <c r="BX343" s="23">
        <f>IF(ISERROR((BW343/BU343-1)*100),"NA",IF(((BW343/BU343-1)*100)&gt;100,"NM",IF(((BW343/BU343-1)*100)&lt;-50,"NM",(BW343/BU343-1)*100)))</f>
        <v>-24.951716154330118</v>
      </c>
      <c r="BY343" s="35">
        <f>BY342/BY320*100</f>
        <v>18.481177921230142</v>
      </c>
      <c r="BZ343" s="23">
        <f>IF(ISERROR((BY343/BW343-1)*100),"NA",IF(((BY343/BW343-1)*100)&gt;100,"NM",IF(((BY343/BW343-1)*100)&lt;-50,"NM",(BY343/BW343-1)*100)))</f>
        <v>31.220040055195874</v>
      </c>
      <c r="CA343" s="35">
        <f>CA342/CA320*100</f>
        <v>17.704991419831391</v>
      </c>
      <c r="CB343" s="23">
        <f>IF(ISERROR((CA343/BY343-1)*100),"NA",IF(((CA343/BY343-1)*100)&gt;100,"NM",IF(((CA343/BY343-1)*100)&lt;-50,"NM",(CA343/BY343-1)*100)))</f>
        <v>-4.1998757043895552</v>
      </c>
      <c r="CC343" s="35">
        <f>CC342/CC320*100</f>
        <v>13.692222310314758</v>
      </c>
      <c r="CD343" s="23">
        <f>IF(ISERROR((CC343/CA343-1)*100),"NA",IF(((CC343/CA343-1)*100)&gt;100,"NM",IF(((CC343/CA343-1)*100)&lt;-50,"NM",(CC343/CA343-1)*100)))</f>
        <v>-22.664620469806739</v>
      </c>
      <c r="CE343" s="35">
        <f>CE342/CE320*100</f>
        <v>4.9501605000844666</v>
      </c>
      <c r="CF343" s="23" t="str">
        <f>IF(ISERROR((CE343/CC343-1)*100),"NA",IF(((CE343/CC343-1)*100)&gt;100,"NM",IF(((CE343/CC343-1)*100)&lt;-50,"NM",(CE343/CC343-1)*100)))</f>
        <v>NM</v>
      </c>
      <c r="CG343" s="35">
        <f>CG342/CG320*100</f>
        <v>7.3237618970801703</v>
      </c>
      <c r="CH343" s="23">
        <f>IF(ISERROR((CG343/CE343-1)*100),"NA",IF(((CG343/CE343-1)*100)&gt;100,"NM",IF(((CG343/CE343-1)*100)&lt;-50,"NM",(CG343/CE343-1)*100)))</f>
        <v>47.949988630776751</v>
      </c>
      <c r="CI343" s="35">
        <f>CI342/CI320*100</f>
        <v>17.598565014733914</v>
      </c>
      <c r="CJ343" s="23" t="str">
        <f>IF(ISERROR((CI343/CG343-1)*100),"NA",IF(((CI343/CG343-1)*100)&gt;100,"NM",IF(((CI343/CG343-1)*100)&lt;-50,"NM",(CI343/CG343-1)*100)))</f>
        <v>NM</v>
      </c>
      <c r="CK343" s="35">
        <f>CK342/CK320*100</f>
        <v>17.384864224924236</v>
      </c>
      <c r="CL343" s="23">
        <f>IF(ISERROR((CK343/CI343-1)*100),"NA",IF(((CK343/CI343-1)*100)&gt;100,"NM",IF(((CK343/CI343-1)*100)&lt;-50,"NM",(CK343/CI343-1)*100)))</f>
        <v>-1.2143080394950601</v>
      </c>
      <c r="CM343" s="35">
        <f>CM342/CM320*100</f>
        <v>17.23025830230123</v>
      </c>
      <c r="CN343" s="23">
        <f>IF(ISERROR((CM343/CK343-1)*100),"NA",IF(((CM343/CK343-1)*100)&gt;100,"NM",IF(((CM343/CK343-1)*100)&lt;-50,"NM",(CM343/CK343-1)*100)))</f>
        <v>-0.88931337410936839</v>
      </c>
      <c r="CO343" s="35">
        <f>CO342/CO320*100</f>
        <v>17.076023384057898</v>
      </c>
      <c r="CP343" s="23">
        <f>IF(ISERROR((CO343/CM343-1)*100),"NA",IF(((CO343/CM343-1)*100)&gt;100,"NM",IF(((CO343/CM343-1)*100)&lt;-50,"NM",(CO343/CM343-1)*100)))</f>
        <v>-0.89513990758184336</v>
      </c>
      <c r="CQ343" s="35">
        <f>CQ342/CQ320*100</f>
        <v>16.92216671761167</v>
      </c>
      <c r="CR343" s="23">
        <f>IF(ISERROR((CQ343/CO343-1)*100),"NA",IF(((CQ343/CO343-1)*100)&gt;100,"NM",IF(((CQ343/CO343-1)*100)&lt;-50,"NM",(CQ343/CO343-1)*100)))</f>
        <v>-0.90100993062510737</v>
      </c>
      <c r="CS343" s="23">
        <f>IF(ISERROR(((CQ343/CG343)^0.2-1)*100),"NA",IF((((CQ343/CG343)^0.2-1)*100)&gt;100,"NM",IF((((CQ343/CG343)^0.2-1)*100)&lt;-50,"NM",((CQ343/CG343)^0.2-1)*100)))</f>
        <v>18.234535787382434</v>
      </c>
    </row>
    <row r="344" spans="1:97" ht="12.75" customHeight="1" x14ac:dyDescent="0.2">
      <c r="B344" s="35"/>
      <c r="D344" s="35"/>
      <c r="F344" s="35"/>
      <c r="H344" s="35"/>
      <c r="J344" s="35"/>
      <c r="L344" s="35"/>
      <c r="N344" s="35"/>
      <c r="P344" s="35"/>
      <c r="R344" s="35"/>
      <c r="T344" s="35"/>
      <c r="V344" s="35"/>
      <c r="X344" s="35"/>
      <c r="Z344" s="35"/>
      <c r="AB344" s="35"/>
      <c r="AD344" s="35"/>
      <c r="AF344" s="35"/>
      <c r="AH344" s="35"/>
      <c r="AJ344" s="35"/>
      <c r="AL344" s="35"/>
      <c r="AN344" s="409"/>
      <c r="AP344" s="409"/>
      <c r="AR344" s="409"/>
      <c r="AT344" s="409"/>
      <c r="AV344" s="409"/>
      <c r="AX344" s="409"/>
      <c r="AZ344" s="409"/>
      <c r="BB344" s="409"/>
      <c r="BD344" s="409"/>
      <c r="BF344" s="35"/>
      <c r="BH344" s="35"/>
      <c r="BJ344" s="35"/>
      <c r="BL344" s="35"/>
      <c r="BN344" s="10"/>
      <c r="BO344" s="138"/>
      <c r="BP344" s="10"/>
      <c r="BQ344" s="10"/>
      <c r="BR344" s="10"/>
      <c r="BS344" s="10"/>
      <c r="BT344" s="10"/>
      <c r="BU344" s="37"/>
      <c r="BW344" s="35"/>
      <c r="BY344" s="35"/>
      <c r="CA344" s="35"/>
      <c r="CC344" s="35"/>
      <c r="CE344" s="35"/>
      <c r="CG344" s="35"/>
      <c r="CI344" s="35"/>
      <c r="CK344" s="35"/>
      <c r="CM344" s="35"/>
      <c r="CO344" s="35"/>
      <c r="CQ344" s="35"/>
    </row>
    <row r="345" spans="1:97" ht="12.75" customHeight="1" x14ac:dyDescent="0.2">
      <c r="A345" s="12" t="s">
        <v>163</v>
      </c>
      <c r="B345" s="49">
        <v>-1.89</v>
      </c>
      <c r="C345" s="59"/>
      <c r="D345" s="49">
        <v>-4.2619999999999996</v>
      </c>
      <c r="E345" s="59"/>
      <c r="F345" s="49">
        <v>18.702999999999999</v>
      </c>
      <c r="G345" s="59"/>
      <c r="H345" s="49">
        <v>-18.905999999999999</v>
      </c>
      <c r="I345" s="59"/>
      <c r="J345" s="49">
        <v>-4.3860000000000001</v>
      </c>
      <c r="K345" s="23" t="str">
        <f>IF(ISERROR((J345/B345-1)*100),"NA",IF(((J345/B345-1)*100)&gt;100,"NM",IF(((J345/B345-1)*100)&lt;-50,"NM",(J345/B345-1)*100)))</f>
        <v>NM</v>
      </c>
      <c r="L345" s="49">
        <v>-0.23699999999999999</v>
      </c>
      <c r="M345" s="23" t="str">
        <f>IF(ISERROR((L345/D345-1)*100),"NA",IF(((L345/D345-1)*100)&gt;100,"NM",IF(((L345/D345-1)*100)&lt;-50,"NM",(L345/D345-1)*100)))</f>
        <v>NM</v>
      </c>
      <c r="N345" s="49">
        <v>3.448</v>
      </c>
      <c r="O345" s="23" t="str">
        <f>IF(ISERROR((N345/F345-1)*100),"NA",IF(((N345/F345-1)*100)&gt;100,"NM",IF(((N345/F345-1)*100)&lt;-50,"NM",(N345/F345-1)*100)))</f>
        <v>NM</v>
      </c>
      <c r="P345" s="48">
        <v>4.6059999999999999</v>
      </c>
      <c r="Q345" s="23" t="str">
        <f>IF(ISERROR((P345/H345-1)*100),"NA",IF(((P345/H345-1)*100)&gt;100,"NM",IF(((P345/H345-1)*100)&lt;-50,"NM",(P345/H345-1)*100)))</f>
        <v>NM</v>
      </c>
      <c r="R345" s="48">
        <v>-2.7</v>
      </c>
      <c r="S345" s="23">
        <f>IF(ISERROR((R345/J345-1)*100),"NA",IF(((R345/J345-1)*100)&gt;100,"NM",IF(((R345/J345-1)*100)&lt;-50,"NM",(R345/J345-1)*100)))</f>
        <v>-38.440492476060186</v>
      </c>
      <c r="T345" s="48">
        <f>-7.6-R345</f>
        <v>-4.8999999999999995</v>
      </c>
      <c r="U345" s="23" t="str">
        <f>IF(ISERROR((T345/L345-1)*100),"NA",IF(((T345/L345-1)*100)&gt;100,"NM",IF(((T345/L345-1)*100)&lt;-50,"NM",(T345/L345-1)*100)))</f>
        <v>NM</v>
      </c>
      <c r="V345" s="48">
        <f>12.6-T345-R345</f>
        <v>20.2</v>
      </c>
      <c r="W345" s="23" t="str">
        <f>IF(ISERROR((V345/N345-1)*100),"NA",IF(((V345/N345-1)*100)&gt;100,"NM",IF(((V345/N345-1)*100)&lt;-50,"NM",(V345/N345-1)*100)))</f>
        <v>NM</v>
      </c>
      <c r="X345" s="48">
        <v>-7.8</v>
      </c>
      <c r="Y345" s="23" t="str">
        <f>IF(ISERROR((X345/P345-1)*100),"NA",IF(((X345/P345-1)*100)&gt;100,"NM",IF(((X345/P345-1)*100)&lt;-50,"NM",(X345/P345-1)*100)))</f>
        <v>NM</v>
      </c>
      <c r="Z345" s="48">
        <v>-7.1</v>
      </c>
      <c r="AA345" s="23" t="str">
        <f>IF(ISERROR((Z345/R345-1)*100),"NA",IF(((Z345/R345-1)*100)&gt;100,"NM",IF(((Z345/R345-1)*100)&lt;-50,"NM",(Z345/R345-1)*100)))</f>
        <v>NM</v>
      </c>
      <c r="AB345" s="48">
        <v>-1.5</v>
      </c>
      <c r="AC345" s="23" t="str">
        <f>IF(ISERROR((AB345/T345-1)*100),"NA",IF(((AB345/T345-1)*100)&gt;100,"NM",IF(((AB345/T345-1)*100)&lt;-50,"NM",(AB345/T345-1)*100)))</f>
        <v>NM</v>
      </c>
      <c r="AD345" s="49">
        <v>-7.1</v>
      </c>
      <c r="AE345" s="23" t="str">
        <f>IF(ISERROR((AD345/V345-1)*100),"NA",IF(((AD345/V345-1)*100)&gt;100,"NM",IF(((AD345/V345-1)*100)&lt;-50,"NM",(AD345/V345-1)*100)))</f>
        <v>NM</v>
      </c>
      <c r="AF345" s="49">
        <v>5.5</v>
      </c>
      <c r="AG345" s="23" t="str">
        <f>IF(ISERROR((AF345/X345-1)*100),"NA",IF(((AF345/X345-1)*100)&gt;100,"NM",IF(((AF345/X345-1)*100)&lt;-50,"NM",(AF345/X345-1)*100)))</f>
        <v>NM</v>
      </c>
      <c r="AH345" s="49">
        <v>0.1</v>
      </c>
      <c r="AI345" s="23" t="str">
        <f>IF(ISERROR((AH345/Z345-1)*100),"NA",IF(((AH345/Z345-1)*100)&gt;100,"NM",IF(((AH345/Z345-1)*100)&lt;-50,"NM",(AH345/Z345-1)*100)))</f>
        <v>NM</v>
      </c>
      <c r="AJ345" s="49">
        <v>-14.6</v>
      </c>
      <c r="AK345" s="23" t="str">
        <f>IF(ISERROR((AJ345/AB345-1)*100),"NA",IF(((AJ345/AB345-1)*100)&gt;100,"NM",IF(((AJ345/AB345-1)*100)&lt;-50,"NM",(AJ345/AB345-1)*100)))</f>
        <v>NM</v>
      </c>
      <c r="AL345" s="49">
        <v>-29.4</v>
      </c>
      <c r="AM345" s="23" t="str">
        <f>IF(ISERROR((AL345/AD345-1)*100),"NA",IF(((AL345/AD345-1)*100)&gt;100,"NM",IF(((AL345/AD345-1)*100)&lt;-50,"NM",(AL345/AD345-1)*100)))</f>
        <v>NM</v>
      </c>
      <c r="AN345" s="158">
        <v>5.5</v>
      </c>
      <c r="AO345" s="23">
        <f>IF(ISERROR((AN345/AF345-1)*100),"NA",IF(((AN345/AF345-1)*100)&gt;100,"NM",IF(((AN345/AF345-1)*100)&lt;-50,"NM",(AN345/AF345-1)*100)))</f>
        <v>0</v>
      </c>
      <c r="AP345" s="158">
        <v>-7.9</v>
      </c>
      <c r="AQ345" s="23" t="str">
        <f t="shared" ref="AQ345:AQ346" si="2178">IF(ISERROR((AP345/AH345-1)*100),"NA",IF(((AP345/AH345-1)*100)&gt;100,"NM",IF(((AP345/AH345-1)*100)&lt;-50,"NM",(AP345/AH345-1)*100)))</f>
        <v>NM</v>
      </c>
      <c r="AR345" s="158">
        <v>-4</v>
      </c>
      <c r="AS345" s="23" t="str">
        <f t="shared" ref="AS345:AS346" si="2179">IF(ISERROR((AR345/AJ345-1)*100),"NA",IF(((AR345/AJ345-1)*100)&gt;100,"NM",IF(((AR345/AJ345-1)*100)&lt;-50,"NM",(AR345/AJ345-1)*100)))</f>
        <v>NM</v>
      </c>
      <c r="AT345" s="158">
        <v>-122.1</v>
      </c>
      <c r="AU345" s="23" t="str">
        <f t="shared" ref="AU345:AU346" si="2180">IF(ISERROR((AT345/AL345-1)*100),"NA",IF(((AT345/AL345-1)*100)&gt;100,"NM",IF(((AT345/AL345-1)*100)&lt;-50,"NM",(AT345/AL345-1)*100)))</f>
        <v>NM</v>
      </c>
      <c r="AV345" s="158">
        <v>-7.1</v>
      </c>
      <c r="AW345" s="23" t="str">
        <f t="shared" ref="AW345:AW346" si="2181">IF(ISERROR((AV345/AN345-1)*100),"NA",IF(((AV345/AN345-1)*100)&gt;100,"NM",IF(((AV345/AN345-1)*100)&lt;-50,"NM",(AV345/AN345-1)*100)))</f>
        <v>NM</v>
      </c>
      <c r="AX345" s="158">
        <v>-7.9</v>
      </c>
      <c r="AY345" s="23">
        <f t="shared" ref="AY345:AY346" si="2182">IF(ISERROR((AX345/AP345-1)*100),"NA",IF(((AX345/AP345-1)*100)&gt;100,"NM",IF(((AX345/AP345-1)*100)&lt;-50,"NM",(AX345/AP345-1)*100)))</f>
        <v>0</v>
      </c>
      <c r="AZ345" s="158">
        <v>-1</v>
      </c>
      <c r="BA345" s="23" t="str">
        <f t="shared" ref="BA345:BA346" si="2183">IF(ISERROR((AZ345/AR345-1)*100),"NA",IF(((AZ345/AR345-1)*100)&gt;100,"NM",IF(((AZ345/AR345-1)*100)&lt;-50,"NM",(AZ345/AR345-1)*100)))</f>
        <v>NM</v>
      </c>
      <c r="BB345" s="158">
        <v>-143</v>
      </c>
      <c r="BC345" s="23">
        <f t="shared" ref="BC345:BC346" si="2184">IF(ISERROR((BB345/AT345-1)*100),"NA",IF(((BB345/AT345-1)*100)&gt;100,"NM",IF(((BB345/AT345-1)*100)&lt;-50,"NM",(BB345/AT345-1)*100)))</f>
        <v>17.117117117117118</v>
      </c>
      <c r="BD345" s="158">
        <v>-8</v>
      </c>
      <c r="BE345" s="23">
        <f t="shared" ref="BE345:BE346" si="2185">IF(ISERROR((BD345/AV345-1)*100),"NA",IF(((BD345/AV345-1)*100)&gt;100,"NM",IF(((BD345/AV345-1)*100)&lt;-50,"NM",(BD345/AV345-1)*100)))</f>
        <v>12.676056338028175</v>
      </c>
      <c r="BF345" s="48">
        <v>0</v>
      </c>
      <c r="BG345" s="23" t="str">
        <f t="shared" ref="BG345:BG346" si="2186">IF(ISERROR((BF345/AX345-1)*100),"NA",IF(((BF345/AX345-1)*100)&gt;100,"NM",IF(((BF345/AX345-1)*100)&lt;-50,"NM",(BF345/AX345-1)*100)))</f>
        <v>NM</v>
      </c>
      <c r="BH345" s="48">
        <v>0</v>
      </c>
      <c r="BI345" s="23" t="str">
        <f t="shared" ref="BI345:BI346" si="2187">IF(ISERROR((BH345/AZ345-1)*100),"NA",IF(((BH345/AZ345-1)*100)&gt;100,"NM",IF(((BH345/AZ345-1)*100)&lt;-50,"NM",(BH345/AZ345-1)*100)))</f>
        <v>NM</v>
      </c>
      <c r="BJ345" s="48">
        <v>0</v>
      </c>
      <c r="BK345" s="23" t="str">
        <f t="shared" ref="BK345:BK346" si="2188">IF(ISERROR((BJ345/BB345-1)*100),"NA",IF(((BJ345/BB345-1)*100)&gt;100,"NM",IF(((BJ345/BB345-1)*100)&lt;-50,"NM",(BJ345/BB345-1)*100)))</f>
        <v>NM</v>
      </c>
      <c r="BL345" s="48">
        <v>0</v>
      </c>
      <c r="BM345" s="23" t="str">
        <f t="shared" ref="BM345:BM346" si="2189">IF(ISERROR((BL345/BD345-1)*100),"NA",IF(((BL345/BD345-1)*100)&gt;100,"NM",IF(((BL345/BD345-1)*100)&lt;-50,"NM",(BL345/BD345-1)*100)))</f>
        <v>NM</v>
      </c>
      <c r="BN345" s="10"/>
      <c r="BO345" s="137"/>
      <c r="BP345" s="10"/>
      <c r="BQ345" s="49">
        <v>-50.4</v>
      </c>
      <c r="BR345" s="119"/>
      <c r="BS345" s="49">
        <v>27.6</v>
      </c>
      <c r="BT345" s="10"/>
      <c r="BU345" s="56">
        <f>B345+D345+F345+H345</f>
        <v>-6.3549999999999986</v>
      </c>
      <c r="BV345" s="23" t="str">
        <f t="shared" ref="BV345:BV350" si="2190">IF(ISERROR((BU345/BS345-1)*100),"NA",IF(((BU345/BS345-1)*100)&gt;100,"NM",IF(((BU345/BS345-1)*100)&lt;-50,"NM",(BU345/BS345-1)*100)))</f>
        <v>NM</v>
      </c>
      <c r="BW345" s="56">
        <f>J345+L345+N345+P345</f>
        <v>3.4309999999999996</v>
      </c>
      <c r="BX345" s="23" t="str">
        <f t="shared" ref="BX345:BX350" si="2191">IF(ISERROR((BW345/BU345-1)*100),"NA",IF(((BW345/BU345-1)*100)&gt;100,"NM",IF(((BW345/BU345-1)*100)&lt;-50,"NM",(BW345/BU345-1)*100)))</f>
        <v>NM</v>
      </c>
      <c r="BY345" s="56">
        <f>R345+T345+V345+X345</f>
        <v>4.8</v>
      </c>
      <c r="BZ345" s="23">
        <f>IF(ISERROR((BY345/BW345-1)*100),"NA",IF(((BY345/BW345-1)*100)&gt;100,"NM",IF(((BY345/BW345-1)*100)&lt;-50,"NM",(BY345/BW345-1)*100)))</f>
        <v>39.900903526668621</v>
      </c>
      <c r="CA345" s="56">
        <f>Z345+AB345+AD345+AF345</f>
        <v>-10.199999999999999</v>
      </c>
      <c r="CB345" s="23" t="str">
        <f>IF(ISERROR((CA345/BY345-1)*100),"NA",IF(((CA345/BY345-1)*100)&gt;100,"NM",IF(((CA345/BY345-1)*100)&lt;-50,"NM",(CA345/BY345-1)*100)))</f>
        <v>NM</v>
      </c>
      <c r="CC345" s="56">
        <f>AH345+AJ345+AL345+AN345</f>
        <v>-38.4</v>
      </c>
      <c r="CD345" s="23" t="str">
        <f>IF(ISERROR((CC345/CA345-1)*100),"NA",IF(((CC345/CA345-1)*100)&gt;100,"NM",IF(((CC345/CA345-1)*100)&lt;-50,"NM",(CC345/CA345-1)*100)))</f>
        <v>NM</v>
      </c>
      <c r="CE345" s="56">
        <f>AP345+AR345+AT345+AV345</f>
        <v>-141.1</v>
      </c>
      <c r="CF345" s="23" t="str">
        <f>IF(ISERROR((CE345/CC345-1)*100),"NA",IF(((CE345/CC345-1)*100)&gt;100,"NM",IF(((CE345/CC345-1)*100)&lt;-50,"NM",(CE345/CC345-1)*100)))</f>
        <v>NM</v>
      </c>
      <c r="CG345" s="56">
        <f>AX345+AZ345+BB345+BD345</f>
        <v>-159.9</v>
      </c>
      <c r="CH345" s="23">
        <f>IF(ISERROR((CG345/CE345-1)*100),"NA",IF(((CG345/CE345-1)*100)&gt;100,"NM",IF(((CG345/CE345-1)*100)&lt;-50,"NM",(CG345/CE345-1)*100)))</f>
        <v>13.323883770375634</v>
      </c>
      <c r="CI345" s="56">
        <f>BF345+BH345+BJ345+BL345</f>
        <v>0</v>
      </c>
      <c r="CJ345" s="23" t="str">
        <f>IF(ISERROR((CI345/CG345-1)*100),"NA",IF(((CI345/CG345-1)*100)&gt;100,"NM",IF(((CI345/CG345-1)*100)&lt;-50,"NM",(CI345/CG345-1)*100)))</f>
        <v>NM</v>
      </c>
      <c r="CK345" s="48">
        <v>0</v>
      </c>
      <c r="CL345" s="23" t="str">
        <f>IF(ISERROR((CK345/CI345-1)*100),"NA",IF(((CK345/CI345-1)*100)&gt;100,"NM",IF(((CK345/CI345-1)*100)&lt;-50,"NM",(CK345/CI345-1)*100)))</f>
        <v>NA</v>
      </c>
      <c r="CM345" s="48">
        <v>0</v>
      </c>
      <c r="CN345" s="23" t="str">
        <f>IF(ISERROR((CM345/CK345-1)*100),"NA",IF(((CM345/CK345-1)*100)&gt;100,"NM",IF(((CM345/CK345-1)*100)&lt;-50,"NM",(CM345/CK345-1)*100)))</f>
        <v>NA</v>
      </c>
      <c r="CO345" s="48">
        <v>0</v>
      </c>
      <c r="CP345" s="23" t="str">
        <f>IF(ISERROR((CO345/CM345-1)*100),"NA",IF(((CO345/CM345-1)*100)&gt;100,"NM",IF(((CO345/CM345-1)*100)&lt;-50,"NM",(CO345/CM345-1)*100)))</f>
        <v>NA</v>
      </c>
      <c r="CQ345" s="48">
        <v>0</v>
      </c>
      <c r="CR345" s="23" t="str">
        <f>IF(ISERROR((CQ345/CO345-1)*100),"NA",IF(((CQ345/CO345-1)*100)&gt;100,"NM",IF(((CQ345/CO345-1)*100)&lt;-50,"NM",(CQ345/CO345-1)*100)))</f>
        <v>NA</v>
      </c>
      <c r="CS345" s="23" t="str">
        <f t="shared" ref="CS345:CS355" si="2192">IF(ISERROR(((CQ345/CG345)^0.2-1)*100),"NA",IF((((CQ345/CG345)^0.2-1)*100)&gt;100,"NM",IF((((CQ345/CG345)^0.2-1)*100)&lt;-50,"NM",((CQ345/CG345)^0.2-1)*100)))</f>
        <v>NM</v>
      </c>
    </row>
    <row r="346" spans="1:97" ht="12.75" customHeight="1" x14ac:dyDescent="0.2">
      <c r="A346" s="12" t="s">
        <v>164</v>
      </c>
      <c r="B346" s="49">
        <v>0</v>
      </c>
      <c r="C346" s="59"/>
      <c r="D346" s="49">
        <v>0</v>
      </c>
      <c r="E346" s="59"/>
      <c r="F346" s="49">
        <v>0</v>
      </c>
      <c r="G346" s="59"/>
      <c r="H346" s="49">
        <v>0</v>
      </c>
      <c r="I346" s="59"/>
      <c r="J346" s="49">
        <v>12.7</v>
      </c>
      <c r="K346" s="23" t="str">
        <f>IF(ISERROR((J346/B346-1)*100),"NA",IF(((J346/B346-1)*100)&gt;100,"NM",IF(((J346/B346-1)*100)&lt;-50,"NM",(J346/B346-1)*100)))</f>
        <v>NA</v>
      </c>
      <c r="L346" s="49">
        <v>-3.1</v>
      </c>
      <c r="M346" s="23" t="str">
        <f>IF(ISERROR((L346/D346-1)*100),"NA",IF(((L346/D346-1)*100)&gt;100,"NM",IF(((L346/D346-1)*100)&lt;-50,"NM",(L346/D346-1)*100)))</f>
        <v>NA</v>
      </c>
      <c r="N346" s="49">
        <v>5.2</v>
      </c>
      <c r="O346" s="23" t="str">
        <f>IF(ISERROR((N346/F346-1)*100),"NA",IF(((N346/F346-1)*100)&gt;100,"NM",IF(((N346/F346-1)*100)&lt;-50,"NM",(N346/F346-1)*100)))</f>
        <v>NA</v>
      </c>
      <c r="P346" s="48">
        <v>0</v>
      </c>
      <c r="Q346" s="23" t="str">
        <f>IF(ISERROR((P346/H346-1)*100),"NA",IF(((P346/H346-1)*100)&gt;100,"NM",IF(((P346/H346-1)*100)&lt;-50,"NM",(P346/H346-1)*100)))</f>
        <v>NA</v>
      </c>
      <c r="R346" s="48">
        <v>0</v>
      </c>
      <c r="S346" s="23" t="str">
        <f>IF(ISERROR((R346/J346-1)*100),"NA",IF(((R346/J346-1)*100)&gt;100,"NM",IF(((R346/J346-1)*100)&lt;-50,"NM",(R346/J346-1)*100)))</f>
        <v>NM</v>
      </c>
      <c r="T346" s="48">
        <v>0</v>
      </c>
      <c r="U346" s="23" t="str">
        <f>IF(ISERROR((T346/L346-1)*100),"NA",IF(((T346/L346-1)*100)&gt;100,"NM",IF(((T346/L346-1)*100)&lt;-50,"NM",(T346/L346-1)*100)))</f>
        <v>NM</v>
      </c>
      <c r="V346" s="48">
        <v>0</v>
      </c>
      <c r="W346" s="23" t="str">
        <f>IF(ISERROR((V346/N346-1)*100),"NA",IF(((V346/N346-1)*100)&gt;100,"NM",IF(((V346/N346-1)*100)&lt;-50,"NM",(V346/N346-1)*100)))</f>
        <v>NM</v>
      </c>
      <c r="X346" s="48">
        <v>0</v>
      </c>
      <c r="Y346" s="23" t="str">
        <f>IF(ISERROR((X346/P346-1)*100),"NA",IF(((X346/P346-1)*100)&gt;100,"NM",IF(((X346/P346-1)*100)&lt;-50,"NM",(X346/P346-1)*100)))</f>
        <v>NA</v>
      </c>
      <c r="Z346" s="48">
        <v>0</v>
      </c>
      <c r="AA346" s="23" t="str">
        <f>IF(ISERROR((Z346/R346-1)*100),"NA",IF(((Z346/R346-1)*100)&gt;100,"NM",IF(((Z346/R346-1)*100)&lt;-50,"NM",(Z346/R346-1)*100)))</f>
        <v>NA</v>
      </c>
      <c r="AB346" s="48">
        <v>0</v>
      </c>
      <c r="AC346" s="23" t="str">
        <f>IF(ISERROR((AB346/T346-1)*100),"NA",IF(((AB346/T346-1)*100)&gt;100,"NM",IF(((AB346/T346-1)*100)&lt;-50,"NM",(AB346/T346-1)*100)))</f>
        <v>NA</v>
      </c>
      <c r="AD346" s="49">
        <v>0</v>
      </c>
      <c r="AE346" s="23" t="str">
        <f>IF(ISERROR((AD346/V346-1)*100),"NA",IF(((AD346/V346-1)*100)&gt;100,"NM",IF(((AD346/V346-1)*100)&lt;-50,"NM",(AD346/V346-1)*100)))</f>
        <v>NA</v>
      </c>
      <c r="AF346" s="49">
        <v>0</v>
      </c>
      <c r="AG346" s="23" t="str">
        <f>IF(ISERROR((AF346/X346-1)*100),"NA",IF(((AF346/X346-1)*100)&gt;100,"NM",IF(((AF346/X346-1)*100)&lt;-50,"NM",(AF346/X346-1)*100)))</f>
        <v>NA</v>
      </c>
      <c r="AH346" s="49">
        <v>0</v>
      </c>
      <c r="AI346" s="23" t="str">
        <f>IF(ISERROR((AH346/Z346-1)*100),"NA",IF(((AH346/Z346-1)*100)&gt;100,"NM",IF(((AH346/Z346-1)*100)&lt;-50,"NM",(AH346/Z346-1)*100)))</f>
        <v>NA</v>
      </c>
      <c r="AJ346" s="49">
        <v>0</v>
      </c>
      <c r="AK346" s="23" t="str">
        <f>IF(ISERROR((AJ346/AB346-1)*100),"NA",IF(((AJ346/AB346-1)*100)&gt;100,"NM",IF(((AJ346/AB346-1)*100)&lt;-50,"NM",(AJ346/AB346-1)*100)))</f>
        <v>NA</v>
      </c>
      <c r="AL346" s="49">
        <v>0</v>
      </c>
      <c r="AM346" s="23" t="str">
        <f>IF(ISERROR((AL346/AD346-1)*100),"NA",IF(((AL346/AD346-1)*100)&gt;100,"NM",IF(((AL346/AD346-1)*100)&lt;-50,"NM",(AL346/AD346-1)*100)))</f>
        <v>NA</v>
      </c>
      <c r="AN346" s="158">
        <v>0</v>
      </c>
      <c r="AO346" s="23" t="str">
        <f>IF(ISERROR((AN346/AF346-1)*100),"NA",IF(((AN346/AF346-1)*100)&gt;100,"NM",IF(((AN346/AF346-1)*100)&lt;-50,"NM",(AN346/AF346-1)*100)))</f>
        <v>NA</v>
      </c>
      <c r="AP346" s="158">
        <v>0</v>
      </c>
      <c r="AQ346" s="23" t="str">
        <f t="shared" si="2178"/>
        <v>NA</v>
      </c>
      <c r="AR346" s="158">
        <v>0</v>
      </c>
      <c r="AS346" s="23" t="str">
        <f t="shared" si="2179"/>
        <v>NA</v>
      </c>
      <c r="AT346" s="158">
        <v>0</v>
      </c>
      <c r="AU346" s="23" t="str">
        <f t="shared" si="2180"/>
        <v>NA</v>
      </c>
      <c r="AV346" s="158">
        <v>0</v>
      </c>
      <c r="AW346" s="23" t="str">
        <f t="shared" si="2181"/>
        <v>NA</v>
      </c>
      <c r="AX346" s="158">
        <v>0</v>
      </c>
      <c r="AY346" s="23" t="str">
        <f t="shared" si="2182"/>
        <v>NA</v>
      </c>
      <c r="AZ346" s="158">
        <v>0</v>
      </c>
      <c r="BA346" s="23" t="str">
        <f t="shared" si="2183"/>
        <v>NA</v>
      </c>
      <c r="BB346" s="158">
        <v>0</v>
      </c>
      <c r="BC346" s="23" t="str">
        <f t="shared" si="2184"/>
        <v>NA</v>
      </c>
      <c r="BD346" s="158">
        <v>0</v>
      </c>
      <c r="BE346" s="23" t="str">
        <f t="shared" si="2185"/>
        <v>NA</v>
      </c>
      <c r="BF346" s="48">
        <v>0</v>
      </c>
      <c r="BG346" s="23" t="str">
        <f t="shared" si="2186"/>
        <v>NA</v>
      </c>
      <c r="BH346" s="48">
        <v>0</v>
      </c>
      <c r="BI346" s="23" t="str">
        <f t="shared" si="2187"/>
        <v>NA</v>
      </c>
      <c r="BJ346" s="48">
        <v>0</v>
      </c>
      <c r="BK346" s="23" t="str">
        <f t="shared" si="2188"/>
        <v>NA</v>
      </c>
      <c r="BL346" s="48">
        <v>0</v>
      </c>
      <c r="BM346" s="23" t="str">
        <f t="shared" si="2189"/>
        <v>NA</v>
      </c>
      <c r="BN346" s="10"/>
      <c r="BO346" s="137"/>
      <c r="BP346" s="10"/>
      <c r="BQ346" s="49">
        <v>0</v>
      </c>
      <c r="BR346" s="119"/>
      <c r="BS346" s="49">
        <v>0</v>
      </c>
      <c r="BT346" s="10"/>
      <c r="BU346" s="56">
        <f>B346+D346+F346+H346</f>
        <v>0</v>
      </c>
      <c r="BV346" s="23" t="str">
        <f t="shared" si="2190"/>
        <v>NA</v>
      </c>
      <c r="BW346" s="56">
        <f>J346+L346+N346+P346</f>
        <v>14.8</v>
      </c>
      <c r="BX346" s="23" t="str">
        <f t="shared" si="2191"/>
        <v>NA</v>
      </c>
      <c r="BY346" s="56">
        <f>R346+T346+V346+X346</f>
        <v>0</v>
      </c>
      <c r="BZ346" s="23" t="str">
        <f>IF(ISERROR((BY346/BW346-1)*100),"NA",IF(((BY346/BW346-1)*100)&gt;100,"NM",IF(((BY346/BW346-1)*100)&lt;-50,"NM",(BY346/BW346-1)*100)))</f>
        <v>NM</v>
      </c>
      <c r="CA346" s="56">
        <f>Z346+AB346+AD346+AF346</f>
        <v>0</v>
      </c>
      <c r="CB346" s="23" t="str">
        <f>IF(ISERROR((CA346/BY346-1)*100),"NA",IF(((CA346/BY346-1)*100)&gt;100,"NM",IF(((CA346/BY346-1)*100)&lt;-50,"NM",(CA346/BY346-1)*100)))</f>
        <v>NA</v>
      </c>
      <c r="CC346" s="56">
        <f>AH346+AJ346+AL346+AN346</f>
        <v>0</v>
      </c>
      <c r="CD346" s="23" t="str">
        <f>IF(ISERROR((CC346/CA346-1)*100),"NA",IF(((CC346/CA346-1)*100)&gt;100,"NM",IF(((CC346/CA346-1)*100)&lt;-50,"NM",(CC346/CA346-1)*100)))</f>
        <v>NA</v>
      </c>
      <c r="CE346" s="56">
        <f>AP346+AR346+AT346+AV346</f>
        <v>0</v>
      </c>
      <c r="CF346" s="23" t="str">
        <f>IF(ISERROR((CE346/CC346-1)*100),"NA",IF(((CE346/CC346-1)*100)&gt;100,"NM",IF(((CE346/CC346-1)*100)&lt;-50,"NM",(CE346/CC346-1)*100)))</f>
        <v>NA</v>
      </c>
      <c r="CG346" s="56">
        <f>AX346+AZ346+BB346+BD346</f>
        <v>0</v>
      </c>
      <c r="CH346" s="23" t="str">
        <f>IF(ISERROR((CG346/CE346-1)*100),"NA",IF(((CG346/CE346-1)*100)&gt;100,"NM",IF(((CG346/CE346-1)*100)&lt;-50,"NM",(CG346/CE346-1)*100)))</f>
        <v>NA</v>
      </c>
      <c r="CI346" s="56">
        <f>BF346+BH346+BJ346+BL346</f>
        <v>0</v>
      </c>
      <c r="CJ346" s="23" t="str">
        <f>IF(ISERROR((CI346/CG346-1)*100),"NA",IF(((CI346/CG346-1)*100)&gt;100,"NM",IF(((CI346/CG346-1)*100)&lt;-50,"NM",(CI346/CG346-1)*100)))</f>
        <v>NA</v>
      </c>
      <c r="CK346" s="48">
        <v>0</v>
      </c>
      <c r="CL346" s="23" t="str">
        <f>IF(ISERROR((CK346/CI346-1)*100),"NA",IF(((CK346/CI346-1)*100)&gt;100,"NM",IF(((CK346/CI346-1)*100)&lt;-50,"NM",(CK346/CI346-1)*100)))</f>
        <v>NA</v>
      </c>
      <c r="CM346" s="48">
        <v>0</v>
      </c>
      <c r="CN346" s="23" t="str">
        <f>IF(ISERROR((CM346/CK346-1)*100),"NA",IF(((CM346/CK346-1)*100)&gt;100,"NM",IF(((CM346/CK346-1)*100)&lt;-50,"NM",(CM346/CK346-1)*100)))</f>
        <v>NA</v>
      </c>
      <c r="CO346" s="48">
        <v>0</v>
      </c>
      <c r="CP346" s="23" t="str">
        <f>IF(ISERROR((CO346/CM346-1)*100),"NA",IF(((CO346/CM346-1)*100)&gt;100,"NM",IF(((CO346/CM346-1)*100)&lt;-50,"NM",(CO346/CM346-1)*100)))</f>
        <v>NA</v>
      </c>
      <c r="CQ346" s="48">
        <v>0</v>
      </c>
      <c r="CR346" s="23" t="str">
        <f>IF(ISERROR((CQ346/CO346-1)*100),"NA",IF(((CQ346/CO346-1)*100)&gt;100,"NM",IF(((CQ346/CO346-1)*100)&lt;-50,"NM",(CQ346/CO346-1)*100)))</f>
        <v>NA</v>
      </c>
      <c r="CS346" s="23" t="str">
        <f t="shared" si="2192"/>
        <v>NA</v>
      </c>
    </row>
    <row r="347" spans="1:97" ht="12.75" customHeight="1" x14ac:dyDescent="0.2">
      <c r="A347" s="12" t="s">
        <v>14</v>
      </c>
      <c r="B347" s="49"/>
      <c r="C347" s="59"/>
      <c r="D347" s="49"/>
      <c r="E347" s="59"/>
      <c r="F347" s="49"/>
      <c r="G347" s="59"/>
      <c r="H347" s="49"/>
      <c r="I347" s="59"/>
      <c r="J347" s="49"/>
      <c r="K347" s="23"/>
      <c r="L347" s="49"/>
      <c r="M347" s="23"/>
      <c r="N347" s="49"/>
      <c r="O347" s="23"/>
      <c r="P347" s="48"/>
      <c r="Q347" s="23"/>
      <c r="R347" s="48">
        <f>13*0.5/4</f>
        <v>1.625</v>
      </c>
      <c r="S347" s="23"/>
      <c r="T347" s="48">
        <v>0</v>
      </c>
      <c r="U347" s="23"/>
      <c r="V347" s="48">
        <f>56.8-V345</f>
        <v>36.599999999999994</v>
      </c>
      <c r="W347" s="23"/>
      <c r="X347" s="48">
        <v>3.1</v>
      </c>
      <c r="Y347" s="23"/>
      <c r="Z347" s="48">
        <v>0</v>
      </c>
      <c r="AA347" s="23"/>
      <c r="AB347" s="48">
        <v>0</v>
      </c>
      <c r="AC347" s="23"/>
      <c r="AD347" s="49">
        <v>5.1100000000000003</v>
      </c>
      <c r="AE347" s="23"/>
      <c r="AF347" s="49">
        <f>20+1.7</f>
        <v>21.7</v>
      </c>
      <c r="AG347" s="23"/>
      <c r="AH347" s="49">
        <v>1.78</v>
      </c>
      <c r="AI347" s="23"/>
      <c r="AJ347" s="49"/>
      <c r="AK347" s="23"/>
      <c r="AL347" s="49">
        <v>0.2</v>
      </c>
      <c r="AM347" s="23"/>
      <c r="AN347" s="49">
        <v>21</v>
      </c>
      <c r="AO347" s="23"/>
      <c r="AP347" s="49">
        <v>0</v>
      </c>
      <c r="AQ347" s="23"/>
      <c r="AR347" s="158">
        <v>0</v>
      </c>
      <c r="AS347" s="23"/>
      <c r="AT347" s="158">
        <v>2</v>
      </c>
      <c r="AU347" s="23"/>
      <c r="AV347" s="158">
        <v>8</v>
      </c>
      <c r="AW347" s="23"/>
      <c r="AX347" s="158">
        <v>1</v>
      </c>
      <c r="AY347" s="23"/>
      <c r="AZ347" s="158">
        <v>4</v>
      </c>
      <c r="BA347" s="23"/>
      <c r="BB347" s="158">
        <f>2+2+4+14</f>
        <v>22</v>
      </c>
      <c r="BC347" s="23"/>
      <c r="BD347" s="158">
        <f>3+2</f>
        <v>5</v>
      </c>
      <c r="BE347" s="23"/>
      <c r="BF347" s="48">
        <v>0</v>
      </c>
      <c r="BG347" s="23"/>
      <c r="BH347" s="48">
        <v>0</v>
      </c>
      <c r="BI347" s="23"/>
      <c r="BJ347" s="48">
        <v>0</v>
      </c>
      <c r="BK347" s="23"/>
      <c r="BL347" s="48">
        <v>0</v>
      </c>
      <c r="BM347" s="23"/>
      <c r="BN347" s="10"/>
      <c r="BO347" s="137"/>
      <c r="BP347" s="10"/>
      <c r="BQ347" s="49"/>
      <c r="BR347" s="119"/>
      <c r="BS347" s="49"/>
      <c r="BT347" s="10"/>
      <c r="BU347" s="56">
        <f>B347+D347+F347+H347</f>
        <v>0</v>
      </c>
      <c r="BV347" s="23" t="str">
        <f t="shared" si="2190"/>
        <v>NA</v>
      </c>
      <c r="BW347" s="56">
        <f>J347+L347+N347+P347</f>
        <v>0</v>
      </c>
      <c r="BX347" s="23" t="str">
        <f t="shared" si="2191"/>
        <v>NA</v>
      </c>
      <c r="BY347" s="56">
        <f>R347+T347+V347+X347</f>
        <v>41.324999999999996</v>
      </c>
      <c r="BZ347" s="23"/>
      <c r="CA347" s="56">
        <f>Z347+AB347+AD347+AF347</f>
        <v>26.81</v>
      </c>
      <c r="CB347" s="23"/>
      <c r="CC347" s="56">
        <f>AH347+AJ347+AL347+AN347</f>
        <v>22.98</v>
      </c>
      <c r="CD347" s="23"/>
      <c r="CE347" s="56">
        <f>AP347+AR347+AT347+AV347</f>
        <v>10</v>
      </c>
      <c r="CF347" s="23"/>
      <c r="CG347" s="56">
        <f>AX347+AZ347+BB347+BD347</f>
        <v>32</v>
      </c>
      <c r="CH347" s="23"/>
      <c r="CI347" s="56">
        <f>BF347+BH347+BJ347+BL347</f>
        <v>0</v>
      </c>
      <c r="CJ347" s="23"/>
      <c r="CK347" s="48">
        <v>0</v>
      </c>
      <c r="CL347" s="23"/>
      <c r="CM347" s="48">
        <v>0</v>
      </c>
      <c r="CN347" s="23"/>
      <c r="CO347" s="48">
        <v>0</v>
      </c>
      <c r="CP347" s="23"/>
      <c r="CQ347" s="48">
        <v>0</v>
      </c>
      <c r="CR347" s="23"/>
      <c r="CS347" s="23" t="str">
        <f t="shared" si="2192"/>
        <v>NM</v>
      </c>
    </row>
    <row r="348" spans="1:97" ht="12.75" customHeight="1" x14ac:dyDescent="0.2">
      <c r="A348" s="4" t="s">
        <v>12</v>
      </c>
      <c r="B348" s="36">
        <f>B345+B346+B347</f>
        <v>-1.89</v>
      </c>
      <c r="C348" s="59"/>
      <c r="D348" s="36">
        <f>D345+D346+D347</f>
        <v>-4.2619999999999996</v>
      </c>
      <c r="E348" s="59"/>
      <c r="F348" s="36">
        <f>F345+F346+F347</f>
        <v>18.702999999999999</v>
      </c>
      <c r="G348" s="59"/>
      <c r="H348" s="36">
        <f>H345+H346+H347</f>
        <v>-18.905999999999999</v>
      </c>
      <c r="I348" s="59"/>
      <c r="J348" s="36">
        <f>J345+J346+J347</f>
        <v>8.3140000000000001</v>
      </c>
      <c r="K348" s="23" t="str">
        <f>IF(ISERROR((J348/B348-1)*100),"NA",IF(((J348/B348-1)*100)&gt;100,"NM",IF(((J348/B348-1)*100)&lt;-50,"NM",(J348/B348-1)*100)))</f>
        <v>NM</v>
      </c>
      <c r="L348" s="36">
        <f>L345+L346+L347</f>
        <v>-3.3370000000000002</v>
      </c>
      <c r="M348" s="23">
        <f>IF(ISERROR((L348/D348-1)*100),"NA",IF(((L348/D348-1)*100)&gt;100,"NM",IF(((L348/D348-1)*100)&lt;-50,"NM",(L348/D348-1)*100)))</f>
        <v>-21.703425621773796</v>
      </c>
      <c r="N348" s="36">
        <f>N345+N346+N347</f>
        <v>8.6479999999999997</v>
      </c>
      <c r="O348" s="23" t="str">
        <f>IF(ISERROR((N348/F348-1)*100),"NA",IF(((N348/F348-1)*100)&gt;100,"NM",IF(((N348/F348-1)*100)&lt;-50,"NM",(N348/F348-1)*100)))</f>
        <v>NM</v>
      </c>
      <c r="P348" s="36">
        <f>P345+P346+P347</f>
        <v>4.6059999999999999</v>
      </c>
      <c r="Q348" s="23" t="str">
        <f>IF(ISERROR((P348/H348-1)*100),"NA",IF(((P348/H348-1)*100)&gt;100,"NM",IF(((P348/H348-1)*100)&lt;-50,"NM",(P348/H348-1)*100)))</f>
        <v>NM</v>
      </c>
      <c r="R348" s="36">
        <f>R345+R346+R347</f>
        <v>-1.0750000000000002</v>
      </c>
      <c r="S348" s="23" t="str">
        <f>IF(ISERROR((R348/J348-1)*100),"NA",IF(((R348/J348-1)*100)&gt;100,"NM",IF(((R348/J348-1)*100)&lt;-50,"NM",(R348/J348-1)*100)))</f>
        <v>NM</v>
      </c>
      <c r="T348" s="36">
        <f>T345+T346+T347</f>
        <v>-4.8999999999999995</v>
      </c>
      <c r="U348" s="23">
        <f>IF(ISERROR((T348/L348-1)*100),"NA",IF(((T348/L348-1)*100)&gt;100,"NM",IF(((T348/L348-1)*100)&lt;-50,"NM",(T348/L348-1)*100)))</f>
        <v>46.838477674557957</v>
      </c>
      <c r="V348" s="36">
        <f>V345+V346+V347</f>
        <v>56.8</v>
      </c>
      <c r="W348" s="23" t="str">
        <f>IF(ISERROR((V348/N348-1)*100),"NA",IF(((V348/N348-1)*100)&gt;100,"NM",IF(((V348/N348-1)*100)&lt;-50,"NM",(V348/N348-1)*100)))</f>
        <v>NM</v>
      </c>
      <c r="X348" s="36">
        <f>X345+X346+X347</f>
        <v>-4.6999999999999993</v>
      </c>
      <c r="Y348" s="23" t="str">
        <f>IF(ISERROR((X348/P348-1)*100),"NA",IF(((X348/P348-1)*100)&gt;100,"NM",IF(((X348/P348-1)*100)&lt;-50,"NM",(X348/P348-1)*100)))</f>
        <v>NM</v>
      </c>
      <c r="Z348" s="36">
        <f>Z345+Z346+Z347</f>
        <v>-7.1</v>
      </c>
      <c r="AA348" s="23" t="str">
        <f>IF(ISERROR((Z348/R348-1)*100),"NA",IF(((Z348/R348-1)*100)&gt;100,"NM",IF(((Z348/R348-1)*100)&lt;-50,"NM",(Z348/R348-1)*100)))</f>
        <v>NM</v>
      </c>
      <c r="AB348" s="36">
        <f>AB345+AB346+AB347</f>
        <v>-1.5</v>
      </c>
      <c r="AC348" s="23" t="str">
        <f>IF(ISERROR((AB348/T348-1)*100),"NA",IF(((AB348/T348-1)*100)&gt;100,"NM",IF(((AB348/T348-1)*100)&lt;-50,"NM",(AB348/T348-1)*100)))</f>
        <v>NM</v>
      </c>
      <c r="AD348" s="36">
        <f>AD345+AD346+AD347</f>
        <v>-1.9899999999999993</v>
      </c>
      <c r="AE348" s="23" t="str">
        <f>IF(ISERROR((AD348/V348-1)*100),"NA",IF(((AD348/V348-1)*100)&gt;100,"NM",IF(((AD348/V348-1)*100)&lt;-50,"NM",(AD348/V348-1)*100)))</f>
        <v>NM</v>
      </c>
      <c r="AF348" s="36">
        <f>AF345+AF346+AF347</f>
        <v>27.2</v>
      </c>
      <c r="AG348" s="23" t="str">
        <f>IF(ISERROR((AF348/X348-1)*100),"NA",IF(((AF348/X348-1)*100)&gt;100,"NM",IF(((AF348/X348-1)*100)&lt;-50,"NM",(AF348/X348-1)*100)))</f>
        <v>NM</v>
      </c>
      <c r="AH348" s="36">
        <f>AH345+AH346+AH347</f>
        <v>1.8800000000000001</v>
      </c>
      <c r="AI348" s="23" t="str">
        <f>IF(ISERROR((AH348/Z348-1)*100),"NA",IF(((AH348/Z348-1)*100)&gt;100,"NM",IF(((AH348/Z348-1)*100)&lt;-50,"NM",(AH348/Z348-1)*100)))</f>
        <v>NM</v>
      </c>
      <c r="AJ348" s="36">
        <f>AJ345+AJ346+AJ347</f>
        <v>-14.6</v>
      </c>
      <c r="AK348" s="23" t="str">
        <f>IF(ISERROR((AJ348/AB348-1)*100),"NA",IF(((AJ348/AB348-1)*100)&gt;100,"NM",IF(((AJ348/AB348-1)*100)&lt;-50,"NM",(AJ348/AB348-1)*100)))</f>
        <v>NM</v>
      </c>
      <c r="AL348" s="36">
        <f>AL345+AL346+AL347</f>
        <v>-29.2</v>
      </c>
      <c r="AM348" s="23" t="str">
        <f>IF(ISERROR((AL348/AD348-1)*100),"NA",IF(((AL348/AD348-1)*100)&gt;100,"NM",IF(((AL348/AD348-1)*100)&lt;-50,"NM",(AL348/AD348-1)*100)))</f>
        <v>NM</v>
      </c>
      <c r="AN348" s="410">
        <f t="shared" ref="AN348:AP348" si="2193">AN345+AN346+AN347</f>
        <v>26.5</v>
      </c>
      <c r="AO348" s="23">
        <f>IF(ISERROR((AN348/AF348-1)*100),"NA",IF(((AN348/AF348-1)*100)&gt;100,"NM",IF(((AN348/AF348-1)*100)&lt;-50,"NM",(AN348/AF348-1)*100)))</f>
        <v>-2.5735294117647078</v>
      </c>
      <c r="AP348" s="410">
        <f t="shared" si="2193"/>
        <v>-7.9</v>
      </c>
      <c r="AQ348" s="23" t="str">
        <f t="shared" ref="AQ348:AQ350" si="2194">IF(ISERROR((AP348/AH348-1)*100),"NA",IF(((AP348/AH348-1)*100)&gt;100,"NM",IF(((AP348/AH348-1)*100)&lt;-50,"NM",(AP348/AH348-1)*100)))</f>
        <v>NM</v>
      </c>
      <c r="AR348" s="410">
        <f t="shared" ref="AR348:AT348" si="2195">AR345+AR346+AR347</f>
        <v>-4</v>
      </c>
      <c r="AS348" s="23" t="str">
        <f t="shared" ref="AS348:AS350" si="2196">IF(ISERROR((AR348/AJ348-1)*100),"NA",IF(((AR348/AJ348-1)*100)&gt;100,"NM",IF(((AR348/AJ348-1)*100)&lt;-50,"NM",(AR348/AJ348-1)*100)))</f>
        <v>NM</v>
      </c>
      <c r="AT348" s="410">
        <f t="shared" si="2195"/>
        <v>-120.1</v>
      </c>
      <c r="AU348" s="23" t="str">
        <f t="shared" ref="AU348:AU350" si="2197">IF(ISERROR((AT348/AL348-1)*100),"NA",IF(((AT348/AL348-1)*100)&gt;100,"NM",IF(((AT348/AL348-1)*100)&lt;-50,"NM",(AT348/AL348-1)*100)))</f>
        <v>NM</v>
      </c>
      <c r="AV348" s="410">
        <f t="shared" ref="AV348:AX348" si="2198">AV345+AV346+AV347</f>
        <v>0.90000000000000036</v>
      </c>
      <c r="AW348" s="23" t="str">
        <f t="shared" ref="AW348:AW350" si="2199">IF(ISERROR((AV348/AN348-1)*100),"NA",IF(((AV348/AN348-1)*100)&gt;100,"NM",IF(((AV348/AN348-1)*100)&lt;-50,"NM",(AV348/AN348-1)*100)))</f>
        <v>NM</v>
      </c>
      <c r="AX348" s="410">
        <f t="shared" si="2198"/>
        <v>-6.9</v>
      </c>
      <c r="AY348" s="23">
        <f t="shared" ref="AY348:AY350" si="2200">IF(ISERROR((AX348/AP348-1)*100),"NA",IF(((AX348/AP348-1)*100)&gt;100,"NM",IF(((AX348/AP348-1)*100)&lt;-50,"NM",(AX348/AP348-1)*100)))</f>
        <v>-12.658227848101266</v>
      </c>
      <c r="AZ348" s="410">
        <f t="shared" ref="AZ348" si="2201">AZ345+AZ346+AZ347</f>
        <v>3</v>
      </c>
      <c r="BA348" s="23" t="str">
        <f t="shared" ref="BA348:BA350" si="2202">IF(ISERROR((AZ348/AR348-1)*100),"NA",IF(((AZ348/AR348-1)*100)&gt;100,"NM",IF(((AZ348/AR348-1)*100)&lt;-50,"NM",(AZ348/AR348-1)*100)))</f>
        <v>NM</v>
      </c>
      <c r="BB348" s="410">
        <f t="shared" ref="BB348:BD348" si="2203">BB345+BB346+BB347</f>
        <v>-121</v>
      </c>
      <c r="BC348" s="23">
        <f t="shared" ref="BC348:BC350" si="2204">IF(ISERROR((BB348/AT348-1)*100),"NA",IF(((BB348/AT348-1)*100)&gt;100,"NM",IF(((BB348/AT348-1)*100)&lt;-50,"NM",(BB348/AT348-1)*100)))</f>
        <v>0.74937552039966437</v>
      </c>
      <c r="BD348" s="410">
        <f t="shared" si="2203"/>
        <v>-3</v>
      </c>
      <c r="BE348" s="23" t="str">
        <f t="shared" ref="BE348:BE350" si="2205">IF(ISERROR((BD348/AV348-1)*100),"NA",IF(((BD348/AV348-1)*100)&gt;100,"NM",IF(((BD348/AV348-1)*100)&lt;-50,"NM",(BD348/AV348-1)*100)))</f>
        <v>NM</v>
      </c>
      <c r="BF348" s="36">
        <f t="shared" ref="BF348" si="2206">BF345+BF346+BF347</f>
        <v>0</v>
      </c>
      <c r="BG348" s="23" t="str">
        <f t="shared" ref="BG348:BG350" si="2207">IF(ISERROR((BF348/AX348-1)*100),"NA",IF(((BF348/AX348-1)*100)&gt;100,"NM",IF(((BF348/AX348-1)*100)&lt;-50,"NM",(BF348/AX348-1)*100)))</f>
        <v>NM</v>
      </c>
      <c r="BH348" s="36">
        <f t="shared" ref="BH348" si="2208">BH345+BH346+BH347</f>
        <v>0</v>
      </c>
      <c r="BI348" s="23" t="str">
        <f t="shared" ref="BI348:BI350" si="2209">IF(ISERROR((BH348/AZ348-1)*100),"NA",IF(((BH348/AZ348-1)*100)&gt;100,"NM",IF(((BH348/AZ348-1)*100)&lt;-50,"NM",(BH348/AZ348-1)*100)))</f>
        <v>NM</v>
      </c>
      <c r="BJ348" s="36">
        <f t="shared" ref="BJ348" si="2210">BJ345+BJ346+BJ347</f>
        <v>0</v>
      </c>
      <c r="BK348" s="23" t="str">
        <f t="shared" ref="BK348:BK350" si="2211">IF(ISERROR((BJ348/BB348-1)*100),"NA",IF(((BJ348/BB348-1)*100)&gt;100,"NM",IF(((BJ348/BB348-1)*100)&lt;-50,"NM",(BJ348/BB348-1)*100)))</f>
        <v>NM</v>
      </c>
      <c r="BL348" s="36">
        <f t="shared" ref="BL348" si="2212">BL345+BL346+BL347</f>
        <v>0</v>
      </c>
      <c r="BM348" s="23" t="str">
        <f t="shared" ref="BM348:BM350" si="2213">IF(ISERROR((BL348/BD348-1)*100),"NA",IF(((BL348/BD348-1)*100)&gt;100,"NM",IF(((BL348/BD348-1)*100)&lt;-50,"NM",(BL348/BD348-1)*100)))</f>
        <v>NM</v>
      </c>
      <c r="BN348" s="10"/>
      <c r="BO348" s="137"/>
      <c r="BP348" s="10"/>
      <c r="BQ348" s="36">
        <f>BQ345+BQ346</f>
        <v>-50.4</v>
      </c>
      <c r="BR348" s="10"/>
      <c r="BS348" s="36">
        <f>BS345+BS346</f>
        <v>27.6</v>
      </c>
      <c r="BT348" s="10"/>
      <c r="BU348" s="36">
        <f>BU345+BU346+BU347</f>
        <v>-6.3549999999999986</v>
      </c>
      <c r="BV348" s="23" t="str">
        <f t="shared" si="2190"/>
        <v>NM</v>
      </c>
      <c r="BW348" s="36">
        <f>BW345+BW346+BW347</f>
        <v>18.231000000000002</v>
      </c>
      <c r="BX348" s="23" t="str">
        <f t="shared" si="2191"/>
        <v>NM</v>
      </c>
      <c r="BY348" s="36">
        <f>BY345+BY346+BY347</f>
        <v>46.124999999999993</v>
      </c>
      <c r="BZ348" s="23" t="str">
        <f>IF(ISERROR((BY348/BW348-1)*100),"NA",IF(((BY348/BW348-1)*100)&gt;100,"NM",IF(((BY348/BW348-1)*100)&lt;-50,"NM",(BY348/BW348-1)*100)))</f>
        <v>NM</v>
      </c>
      <c r="CA348" s="36">
        <f>CA345+CA346+CA347</f>
        <v>16.61</v>
      </c>
      <c r="CB348" s="23" t="str">
        <f>IF(ISERROR((CA348/BY348-1)*100),"NA",IF(((CA348/BY348-1)*100)&gt;100,"NM",IF(((CA348/BY348-1)*100)&lt;-50,"NM",(CA348/BY348-1)*100)))</f>
        <v>NM</v>
      </c>
      <c r="CC348" s="36">
        <f>CC345+CC346+CC347</f>
        <v>-15.419999999999998</v>
      </c>
      <c r="CD348" s="23" t="str">
        <f>IF(ISERROR((CC348/CA348-1)*100),"NA",IF(((CC348/CA348-1)*100)&gt;100,"NM",IF(((CC348/CA348-1)*100)&lt;-50,"NM",(CC348/CA348-1)*100)))</f>
        <v>NM</v>
      </c>
      <c r="CE348" s="36">
        <f>CE345+CE346+CE347</f>
        <v>-131.1</v>
      </c>
      <c r="CF348" s="23" t="str">
        <f>IF(ISERROR((CE348/CC348-1)*100),"NA",IF(((CE348/CC348-1)*100)&gt;100,"NM",IF(((CE348/CC348-1)*100)&lt;-50,"NM",(CE348/CC348-1)*100)))</f>
        <v>NM</v>
      </c>
      <c r="CG348" s="36">
        <f>CG345+CG346+CG347</f>
        <v>-127.9</v>
      </c>
      <c r="CH348" s="23">
        <f>IF(ISERROR((CG348/CE348-1)*100),"NA",IF(((CG348/CE348-1)*100)&gt;100,"NM",IF(((CG348/CE348-1)*100)&lt;-50,"NM",(CG348/CE348-1)*100)))</f>
        <v>-2.4408848207475131</v>
      </c>
      <c r="CI348" s="36">
        <f>CI345+CI346+CI347</f>
        <v>0</v>
      </c>
      <c r="CJ348" s="23" t="str">
        <f>IF(ISERROR((CI348/CG348-1)*100),"NA",IF(((CI348/CG348-1)*100)&gt;100,"NM",IF(((CI348/CG348-1)*100)&lt;-50,"NM",(CI348/CG348-1)*100)))</f>
        <v>NM</v>
      </c>
      <c r="CK348" s="36">
        <f>CK345+CK346+CK347</f>
        <v>0</v>
      </c>
      <c r="CL348" s="23" t="str">
        <f>IF(ISERROR((CK348/CI348-1)*100),"NA",IF(((CK348/CI348-1)*100)&gt;100,"NM",IF(((CK348/CI348-1)*100)&lt;-50,"NM",(CK348/CI348-1)*100)))</f>
        <v>NA</v>
      </c>
      <c r="CM348" s="36">
        <f>CM345+CM346+CM347</f>
        <v>0</v>
      </c>
      <c r="CN348" s="23" t="str">
        <f>IF(ISERROR((CM348/CK348-1)*100),"NA",IF(((CM348/CK348-1)*100)&gt;100,"NM",IF(((CM348/CK348-1)*100)&lt;-50,"NM",(CM348/CK348-1)*100)))</f>
        <v>NA</v>
      </c>
      <c r="CO348" s="36">
        <f>CO345+CO346+CO347</f>
        <v>0</v>
      </c>
      <c r="CP348" s="23" t="str">
        <f>IF(ISERROR((CO348/CM348-1)*100),"NA",IF(((CO348/CM348-1)*100)&gt;100,"NM",IF(((CO348/CM348-1)*100)&lt;-50,"NM",(CO348/CM348-1)*100)))</f>
        <v>NA</v>
      </c>
      <c r="CQ348" s="36">
        <f>CQ345+CQ346+CQ347</f>
        <v>0</v>
      </c>
      <c r="CR348" s="23" t="str">
        <f>IF(ISERROR((CQ348/CO348-1)*100),"NA",IF(((CQ348/CO348-1)*100)&gt;100,"NM",IF(((CQ348/CO348-1)*100)&lt;-50,"NM",(CQ348/CO348-1)*100)))</f>
        <v>NA</v>
      </c>
      <c r="CS348" s="23" t="str">
        <f t="shared" si="2192"/>
        <v>NM</v>
      </c>
    </row>
    <row r="349" spans="1:97" ht="12.75" customHeight="1" x14ac:dyDescent="0.2">
      <c r="A349" s="3" t="s">
        <v>130</v>
      </c>
      <c r="B349" s="72">
        <f>B342-B348</f>
        <v>77.527999999999977</v>
      </c>
      <c r="C349" s="59"/>
      <c r="D349" s="72">
        <f>D342-D348</f>
        <v>85.192000000000064</v>
      </c>
      <c r="E349" s="59"/>
      <c r="F349" s="72">
        <f>F342-F348</f>
        <v>65.16</v>
      </c>
      <c r="G349" s="59"/>
      <c r="H349" s="72">
        <f>H342-H348</f>
        <v>57.918999999999976</v>
      </c>
      <c r="I349" s="59"/>
      <c r="J349" s="72">
        <f>J342-J348</f>
        <v>46.764999999999951</v>
      </c>
      <c r="K349" s="23">
        <f>IF(ISERROR((J349/B349-1)*100),"NA",IF(((J349/B349-1)*100)&gt;100,"NM",IF(((J349/B349-1)*100)&lt;-50,"NM",(J349/B349-1)*100)))</f>
        <v>-39.679857599834946</v>
      </c>
      <c r="L349" s="72">
        <f>L342-L348</f>
        <v>36.708000000000098</v>
      </c>
      <c r="M349" s="23" t="str">
        <f>IF(ISERROR((L349/D349-1)*100),"NA",IF(((L349/D349-1)*100)&gt;100,"NM",IF(((L349/D349-1)*100)&lt;-50,"NM",(L349/D349-1)*100)))</f>
        <v>NM</v>
      </c>
      <c r="N349" s="72">
        <f>N342-N348</f>
        <v>44.452999999999946</v>
      </c>
      <c r="O349" s="23">
        <f>IF(ISERROR((N349/F349-1)*100),"NA",IF(((N349/F349-1)*100)&gt;100,"NM",IF(((N349/F349-1)*100)&lt;-50,"NM",(N349/F349-1)*100)))</f>
        <v>-31.778698588090936</v>
      </c>
      <c r="P349" s="72">
        <f>P342-P348</f>
        <v>49.87300000000004</v>
      </c>
      <c r="Q349" s="23">
        <f>IF(ISERROR((P349/H349-1)*100),"NA",IF(((P349/H349-1)*100)&gt;100,"NM",IF(((P349/H349-1)*100)&lt;-50,"NM",(P349/H349-1)*100)))</f>
        <v>-13.891814430497663</v>
      </c>
      <c r="R349" s="72">
        <f>R342-R348</f>
        <v>51.774999999999991</v>
      </c>
      <c r="S349" s="23">
        <f>IF(ISERROR((R349/J349-1)*100),"NA",IF(((R349/J349-1)*100)&gt;100,"NM",IF(((R349/J349-1)*100)&lt;-50,"NM",(R349/J349-1)*100)))</f>
        <v>10.713140168929858</v>
      </c>
      <c r="T349" s="72">
        <f>T342-T348</f>
        <v>44.9</v>
      </c>
      <c r="U349" s="23">
        <f>IF(ISERROR((T349/L349-1)*100),"NA",IF(((T349/L349-1)*100)&gt;100,"NM",IF(((T349/L349-1)*100)&lt;-50,"NM",(T349/L349-1)*100)))</f>
        <v>22.316661218262723</v>
      </c>
      <c r="V349" s="72">
        <f>V342-V348</f>
        <v>60.299999999999969</v>
      </c>
      <c r="W349" s="23">
        <f>IF(ISERROR((V349/N349-1)*100),"NA",IF(((V349/N349-1)*100)&gt;100,"NM",IF(((V349/N349-1)*100)&lt;-50,"NM",(V349/N349-1)*100)))</f>
        <v>35.648887589139179</v>
      </c>
      <c r="X349" s="72">
        <f>X342-X348</f>
        <v>51.7</v>
      </c>
      <c r="Y349" s="23">
        <f>IF(ISERROR((X349/P349-1)*100),"NA",IF(((X349/P349-1)*100)&gt;100,"NM",IF(((X349/P349-1)*100)&lt;-50,"NM",(X349/P349-1)*100)))</f>
        <v>3.6633047941771357</v>
      </c>
      <c r="Z349" s="72">
        <f>Z342-Z348</f>
        <v>38.200000000000081</v>
      </c>
      <c r="AA349" s="23">
        <f>IF(ISERROR((Z349/R349-1)*100),"NA",IF(((Z349/R349-1)*100)&gt;100,"NM",IF(((Z349/R349-1)*100)&lt;-50,"NM",(Z349/R349-1)*100)))</f>
        <v>-26.21921776919346</v>
      </c>
      <c r="AB349" s="72">
        <f>AB342-AB348</f>
        <v>64.89999999999992</v>
      </c>
      <c r="AC349" s="23">
        <f>IF(ISERROR((AB349/T349-1)*100),"NA",IF(((AB349/T349-1)*100)&gt;100,"NM",IF(((AB349/T349-1)*100)&lt;-50,"NM",(AB349/T349-1)*100)))</f>
        <v>44.54342984409783</v>
      </c>
      <c r="AD349" s="72">
        <f>AD342-AD348</f>
        <v>41.790000000000013</v>
      </c>
      <c r="AE349" s="23">
        <f>IF(ISERROR((AD349/V349-1)*100),"NA",IF(((AD349/V349-1)*100)&gt;100,"NM",IF(((AD349/V349-1)*100)&lt;-50,"NM",(AD349/V349-1)*100)))</f>
        <v>-30.696517412935265</v>
      </c>
      <c r="AF349" s="72">
        <f>AF342-AF348</f>
        <v>75.800000000000054</v>
      </c>
      <c r="AG349" s="23">
        <f>IF(ISERROR((AF349/X349-1)*100),"NA",IF(((AF349/X349-1)*100)&gt;100,"NM",IF(((AF349/X349-1)*100)&lt;-50,"NM",(AF349/X349-1)*100)))</f>
        <v>46.615087040619052</v>
      </c>
      <c r="AH349" s="72">
        <f>AH342-AH348</f>
        <v>41.519999999999975</v>
      </c>
      <c r="AI349" s="23">
        <f>IF(ISERROR((AH349/Z349-1)*100),"NA",IF(((AH349/Z349-1)*100)&gt;100,"NM",IF(((AH349/Z349-1)*100)&lt;-50,"NM",(AH349/Z349-1)*100)))</f>
        <v>8.69109947643949</v>
      </c>
      <c r="AJ349" s="72">
        <f>AJ342-AJ348</f>
        <v>52.300000000000047</v>
      </c>
      <c r="AK349" s="23">
        <f>IF(ISERROR((AJ349/AB349-1)*100),"NA",IF(((AJ349/AB349-1)*100)&gt;100,"NM",IF(((AJ349/AB349-1)*100)&lt;-50,"NM",(AJ349/AB349-1)*100)))</f>
        <v>-19.414483821263307</v>
      </c>
      <c r="AL349" s="72">
        <f>AL342-AL348</f>
        <v>18.400000000000045</v>
      </c>
      <c r="AM349" s="23" t="str">
        <f>IF(ISERROR((AL349/AD349-1)*100),"NA",IF(((AL349/AD349-1)*100)&gt;100,"NM",IF(((AL349/AD349-1)*100)&lt;-50,"NM",(AL349/AD349-1)*100)))</f>
        <v>NM</v>
      </c>
      <c r="AN349" s="72">
        <f t="shared" ref="AN349:AP349" si="2214">AN342-AN348</f>
        <v>75.899999999999977</v>
      </c>
      <c r="AO349" s="23">
        <f>IF(ISERROR((AN349/AF349-1)*100),"NA",IF(((AN349/AF349-1)*100)&gt;100,"NM",IF(((AN349/AF349-1)*100)&lt;-50,"NM",(AN349/AF349-1)*100)))</f>
        <v>0.13192612137193915</v>
      </c>
      <c r="AP349" s="72">
        <f t="shared" si="2214"/>
        <v>48.999999999999964</v>
      </c>
      <c r="AQ349" s="23">
        <f t="shared" si="2194"/>
        <v>18.015414258188798</v>
      </c>
      <c r="AR349" s="72">
        <f t="shared" ref="AR349:AT349" si="2215">AR342-AR348</f>
        <v>54.299999999999983</v>
      </c>
      <c r="AS349" s="23">
        <f t="shared" si="2196"/>
        <v>3.8240917782025541</v>
      </c>
      <c r="AT349" s="72">
        <f t="shared" si="2215"/>
        <v>43.899999999999949</v>
      </c>
      <c r="AU349" s="23" t="str">
        <f t="shared" si="2197"/>
        <v>NM</v>
      </c>
      <c r="AV349" s="72">
        <f t="shared" ref="AV349:AX349" si="2216">AV342-AV348</f>
        <v>42.499999999999979</v>
      </c>
      <c r="AW349" s="23">
        <f t="shared" si="2199"/>
        <v>-44.005270092226624</v>
      </c>
      <c r="AX349" s="72">
        <f t="shared" si="2216"/>
        <v>38.599999999999987</v>
      </c>
      <c r="AY349" s="23">
        <f t="shared" si="2200"/>
        <v>-21.224489795918334</v>
      </c>
      <c r="AZ349" s="72">
        <f t="shared" ref="AZ349" si="2217">AZ342-AZ348</f>
        <v>59.299999999999955</v>
      </c>
      <c r="BA349" s="23">
        <f t="shared" si="2202"/>
        <v>9.2081031307550187</v>
      </c>
      <c r="BB349" s="72">
        <f t="shared" ref="BB349:BD349" si="2218">BB342-BB348</f>
        <v>54.799999999999955</v>
      </c>
      <c r="BC349" s="23">
        <f t="shared" si="2204"/>
        <v>24.829157175398684</v>
      </c>
      <c r="BD349" s="72">
        <f t="shared" si="2218"/>
        <v>66</v>
      </c>
      <c r="BE349" s="23">
        <f t="shared" si="2205"/>
        <v>55.294117647058897</v>
      </c>
      <c r="BF349" s="72">
        <f t="shared" ref="BF349" si="2219">BF342-BF348</f>
        <v>48.933121618771906</v>
      </c>
      <c r="BG349" s="23">
        <f t="shared" si="2207"/>
        <v>26.769745126352127</v>
      </c>
      <c r="BH349" s="72">
        <f t="shared" ref="BH349" si="2220">BH342-BH348</f>
        <v>56.043941810855813</v>
      </c>
      <c r="BI349" s="23">
        <f t="shared" si="2209"/>
        <v>-5.4908232531941774</v>
      </c>
      <c r="BJ349" s="72">
        <f t="shared" ref="BJ349" si="2221">BJ342-BJ348</f>
        <v>59.296178110277367</v>
      </c>
      <c r="BK349" s="23">
        <f t="shared" si="2211"/>
        <v>8.2047045807982055</v>
      </c>
      <c r="BL349" s="72">
        <f t="shared" ref="BL349" si="2222">BL342-BL348</f>
        <v>60.63713400486904</v>
      </c>
      <c r="BM349" s="23">
        <f t="shared" si="2213"/>
        <v>-8.1255545380772176</v>
      </c>
      <c r="BN349" s="10"/>
      <c r="BO349" s="137"/>
      <c r="BP349" s="10"/>
      <c r="BQ349" s="72">
        <f>BQ342-BQ348</f>
        <v>351.5</v>
      </c>
      <c r="BR349" s="10"/>
      <c r="BS349" s="72">
        <f>BS342-BS348</f>
        <v>285.89999999999998</v>
      </c>
      <c r="BT349" s="10"/>
      <c r="BU349" s="72">
        <f>BU342-BU348</f>
        <v>285.79899999999975</v>
      </c>
      <c r="BV349" s="23">
        <f t="shared" si="2190"/>
        <v>-3.5327037425747498E-2</v>
      </c>
      <c r="BW349" s="72">
        <f>BW342-BW348</f>
        <v>177.79899999999975</v>
      </c>
      <c r="BX349" s="23">
        <f t="shared" si="2191"/>
        <v>-37.788795622098078</v>
      </c>
      <c r="BY349" s="72">
        <f>BY342-BY348</f>
        <v>208.67499999999995</v>
      </c>
      <c r="CA349" s="72">
        <f>CA342-CA348</f>
        <v>220.69000000000017</v>
      </c>
      <c r="CB349" s="23">
        <f>IF(ISERROR((CA349/BY349-1)*100),"NA",IF(((CA349/BY349-1)*100)&gt;100,"NM",IF(((CA349/BY349-1)*100)&lt;-50,"NM",(CA349/BY349-1)*100)))</f>
        <v>5.7577572780640685</v>
      </c>
      <c r="CC349" s="72">
        <f>CC342-CC348</f>
        <v>188.12000000000003</v>
      </c>
      <c r="CD349" s="23">
        <f>IF(ISERROR((CC349/CA349-1)*100),"NA",IF(((CC349/CA349-1)*100)&gt;100,"NM",IF(((CC349/CA349-1)*100)&lt;-50,"NM",(CC349/CA349-1)*100)))</f>
        <v>-14.758258190221628</v>
      </c>
      <c r="CE349" s="72">
        <f>CE342-CE348</f>
        <v>189.6999999999999</v>
      </c>
      <c r="CF349" s="23">
        <f>IF(ISERROR((CE349/CC349-1)*100),"NA",IF(((CE349/CC349-1)*100)&gt;100,"NM",IF(((CE349/CC349-1)*100)&lt;-50,"NM",(CE349/CC349-1)*100)))</f>
        <v>0.83988943227719659</v>
      </c>
      <c r="CG349" s="72">
        <f>CG342-CG348</f>
        <v>218.69999999999996</v>
      </c>
      <c r="CH349" s="23">
        <f>IF(ISERROR((CG349/CE349-1)*100),"NA",IF(((CG349/CE349-1)*100)&gt;100,"NM",IF(((CG349/CE349-1)*100)&lt;-50,"NM",(CG349/CE349-1)*100)))</f>
        <v>15.287295730100192</v>
      </c>
      <c r="CI349" s="72">
        <f>CI342-CI348</f>
        <v>224.91037554477407</v>
      </c>
      <c r="CJ349" s="23">
        <f>IF(ISERROR((CI349/CG349-1)*100),"NA",IF(((CI349/CG349-1)*100)&gt;100,"NM",IF(((CI349/CG349-1)*100)&lt;-50,"NM",(CI349/CG349-1)*100)))</f>
        <v>2.8396778897000985</v>
      </c>
      <c r="CK349" s="72">
        <f>CK342-CK348</f>
        <v>227.57663464966186</v>
      </c>
      <c r="CL349" s="23">
        <f>IF(ISERROR((CK349/CI349-1)*100),"NA",IF(((CK349/CI349-1)*100)&gt;100,"NM",IF(((CK349/CI349-1)*100)&lt;-50,"NM",(CK349/CI349-1)*100)))</f>
        <v>1.1854762584561085</v>
      </c>
      <c r="CM349" s="72">
        <f>CM342-CM348</f>
        <v>231.32052167082247</v>
      </c>
      <c r="CN349" s="23">
        <f>IF(ISERROR((CM349/CK349-1)*100),"NA",IF(((CM349/CK349-1)*100)&gt;100,"NM",IF(((CM349/CK349-1)*100)&lt;-50,"NM",(CM349/CK349-1)*100)))</f>
        <v>1.6451104600101241</v>
      </c>
      <c r="CO349" s="72">
        <f>CO342-CO348</f>
        <v>235.11407968444178</v>
      </c>
      <c r="CP349" s="23">
        <f>IF(ISERROR((CO349/CM349-1)*100),"NA",IF(((CO349/CM349-1)*100)&gt;100,"NM",IF(((CO349/CM349-1)*100)&lt;-50,"NM",(CO349/CM349-1)*100)))</f>
        <v>1.6399574003285622</v>
      </c>
      <c r="CQ349" s="72">
        <f>CQ342-CQ348</f>
        <v>238.95766936922246</v>
      </c>
      <c r="CR349" s="23">
        <f>IF(ISERROR((CQ349/CO349-1)*100),"NA",IF(((CQ349/CO349-1)*100)&gt;100,"NM",IF(((CQ349/CO349-1)*100)&lt;-50,"NM",(CQ349/CO349-1)*100)))</f>
        <v>1.6347764837985723</v>
      </c>
      <c r="CS349" s="23">
        <f t="shared" si="2192"/>
        <v>1.7874977388157021</v>
      </c>
    </row>
    <row r="350" spans="1:97" ht="12.75" customHeight="1" x14ac:dyDescent="0.2">
      <c r="A350" s="4" t="s">
        <v>131</v>
      </c>
      <c r="B350" s="35">
        <f>B349/B320*100</f>
        <v>21.050745198769448</v>
      </c>
      <c r="C350" s="59"/>
      <c r="D350" s="35">
        <f>D349/D320*100</f>
        <v>21.41309538770895</v>
      </c>
      <c r="E350" s="59"/>
      <c r="F350" s="35">
        <f>F349/F320*100</f>
        <v>17.064247573006224</v>
      </c>
      <c r="G350" s="59"/>
      <c r="H350" s="35">
        <f>H349/H320*100</f>
        <v>16.982703263773022</v>
      </c>
      <c r="I350" s="59"/>
      <c r="J350" s="35">
        <f>J349/J320*100</f>
        <v>13.172311809027521</v>
      </c>
      <c r="K350" s="23">
        <f>IF(ISERROR((J350/B350-1)*100),"NA",IF(((J350/B350-1)*100)&gt;100,"NM",IF(((J350/B350-1)*100)&lt;-50,"NM",(J350/B350-1)*100)))</f>
        <v>-37.425912077461618</v>
      </c>
      <c r="L350" s="35">
        <f>L349/L320*100</f>
        <v>11.359852446942202</v>
      </c>
      <c r="M350" s="23">
        <f>IF(ISERROR((L350/D350-1)*100),"NA",IF(((L350/D350-1)*100)&gt;100,"NM",IF(((L350/D350-1)*100)&lt;-50,"NM",(L350/D350-1)*100)))</f>
        <v>-46.949041036529813</v>
      </c>
      <c r="N350" s="35">
        <f>N349/N320*100</f>
        <v>12.423632654201938</v>
      </c>
      <c r="O350" s="23">
        <f>IF(ISERROR((N350/F350-1)*100),"NA",IF(((N350/F350-1)*100)&gt;100,"NM",IF(((N350/F350-1)*100)&lt;-50,"NM",(N350/F350-1)*100)))</f>
        <v>-27.194957755683479</v>
      </c>
      <c r="P350" s="35">
        <f>P349/P320*100</f>
        <v>14.01403285948315</v>
      </c>
      <c r="Q350" s="23">
        <f>IF(ISERROR((P350/H350-1)*100),"NA",IF(((P350/H350-1)*100)&gt;100,"NM",IF(((P350/H350-1)*100)&lt;-50,"NM",(P350/H350-1)*100)))</f>
        <v>-17.48055276112931</v>
      </c>
      <c r="R350" s="35">
        <f>R349/R320*100</f>
        <v>15.441395764986577</v>
      </c>
      <c r="S350" s="23">
        <f>IF(ISERROR((R350/J350-1)*100),"NA",IF(((R350/J350-1)*100)&gt;100,"NM",IF(((R350/J350-1)*100)&lt;-50,"NM",(R350/J350-1)*100)))</f>
        <v>17.226163401354967</v>
      </c>
      <c r="T350" s="35">
        <f>T349/T320*100</f>
        <v>13.491586538461537</v>
      </c>
      <c r="U350" s="23">
        <f>IF(ISERROR((T350/L350-1)*100),"NA",IF(((T350/L350-1)*100)&gt;100,"NM",IF(((T350/L350-1)*100)&lt;-50,"NM",(T350/L350-1)*100)))</f>
        <v>18.765508632052217</v>
      </c>
      <c r="V350" s="35">
        <f>V349/V320*100</f>
        <v>15.77708006279434</v>
      </c>
      <c r="W350" s="23">
        <f>IF(ISERROR((V350/N350-1)*100),"NA",IF(((V350/N350-1)*100)&gt;100,"NM",IF(((V350/N350-1)*100)&lt;-50,"NM",(V350/N350-1)*100)))</f>
        <v>26.99248683482438</v>
      </c>
      <c r="X350" s="35">
        <f>X349/X320*100</f>
        <v>15.742996345919613</v>
      </c>
      <c r="Y350" s="23">
        <f>IF(ISERROR((X350/P350-1)*100),"NA",IF(((X350/P350-1)*100)&gt;100,"NM",IF(((X350/P350-1)*100)&lt;-50,"NM",(X350/P350-1)*100)))</f>
        <v>12.337372858851925</v>
      </c>
      <c r="Z350" s="35">
        <f>Z349/Z320*100</f>
        <v>12.394548994159662</v>
      </c>
      <c r="AA350" s="23">
        <f>IF(ISERROR((Z350/R350-1)*100),"NA",IF(((Z350/R350-1)*100)&gt;100,"NM",IF(((Z350/R350-1)*100)&lt;-50,"NM",(Z350/R350-1)*100)))</f>
        <v>-19.731679811844806</v>
      </c>
      <c r="AB350" s="35">
        <f>AB349/AB320*100</f>
        <v>18.849840255591033</v>
      </c>
      <c r="AC350" s="23">
        <f>IF(ISERROR((AB350/T350-1)*100),"NA",IF(((AB350/T350-1)*100)&gt;100,"NM",IF(((AB350/T350-1)*100)&lt;-50,"NM",(AB350/T350-1)*100)))</f>
        <v>39.715519756362959</v>
      </c>
      <c r="AD350" s="35">
        <f>AD349/AD320*100</f>
        <v>12.970204841713223</v>
      </c>
      <c r="AE350" s="23">
        <f>IF(ISERROR((AD350/V350-1)*100),"NA",IF(((AD350/V350-1)*100)&gt;100,"NM",IF(((AD350/V350-1)*100)&lt;-50,"NM",(AD350/V350-1)*100)))</f>
        <v>-17.790840953519137</v>
      </c>
      <c r="AF350" s="35">
        <f>AF349/AF320*100</f>
        <v>20.733041575492354</v>
      </c>
      <c r="AG350" s="23">
        <f>IF(ISERROR((AF350/X350-1)*100),"NA",IF(((AF350/X350-1)*100)&gt;100,"NM",IF(((AF350/X350-1)*100)&lt;-50,"NM",(AF350/X350-1)*100)))</f>
        <v>31.696921729046188</v>
      </c>
      <c r="AH350" s="35">
        <f>AH349/AH320*100</f>
        <v>13.26093899712551</v>
      </c>
      <c r="AI350" s="23">
        <f>IF(ISERROR((AH350/Z350-1)*100),"NA",IF(((AH350/Z350-1)*100)&gt;100,"NM",IF(((AH350/Z350-1)*100)&lt;-50,"NM",(AH350/Z350-1)*100)))</f>
        <v>6.9900889768082175</v>
      </c>
      <c r="AJ350" s="35">
        <f>AJ349/AJ320*100</f>
        <v>16.645448758752398</v>
      </c>
      <c r="AK350" s="23">
        <f>IF(ISERROR((AJ350/AB350-1)*100),"NA",IF(((AJ350/AB350-1)*100)&gt;100,"NM",IF(((AJ350/AB350-1)*100)&lt;-50,"NM",(AJ350/AB350-1)*100)))</f>
        <v>-11.694483703567693</v>
      </c>
      <c r="AL350" s="35">
        <f>AL349/AL320*100</f>
        <v>6.4425770308123393</v>
      </c>
      <c r="AM350" s="23" t="str">
        <f>IF(ISERROR((AL350/AD350-1)*100),"NA",IF(((AL350/AD350-1)*100)&gt;100,"NM",IF(((AL350/AD350-1)*100)&lt;-50,"NM",(AL350/AD350-1)*100)))</f>
        <v>NM</v>
      </c>
      <c r="AN350" s="409">
        <f t="shared" ref="AN350:AP350" si="2223">AN349/AN320*100</f>
        <v>21.785304247990812</v>
      </c>
      <c r="AO350" s="23">
        <f>IF(ISERROR((AN350/AF350-1)*100),"NA",IF(((AN350/AF350-1)*100)&gt;100,"NM",IF(((AN350/AF350-1)*100)&lt;-50,"NM",(AN350/AF350-1)*100)))</f>
        <v>5.0752933122089061</v>
      </c>
      <c r="AP350" s="409">
        <f t="shared" si="2223"/>
        <v>16.284479893652364</v>
      </c>
      <c r="AQ350" s="23">
        <f t="shared" si="2194"/>
        <v>22.800352955263925</v>
      </c>
      <c r="AR350" s="409">
        <f t="shared" ref="AR350:AT350" si="2224">AR349/AR320*100</f>
        <v>18.081918081918076</v>
      </c>
      <c r="AS350" s="23">
        <f t="shared" si="2196"/>
        <v>8.6298023200507714</v>
      </c>
      <c r="AT350" s="409">
        <f t="shared" si="2224"/>
        <v>15.495940698905738</v>
      </c>
      <c r="AU350" s="23" t="str">
        <f t="shared" si="2197"/>
        <v>NM</v>
      </c>
      <c r="AV350" s="409">
        <f t="shared" ref="AV350:AX350" si="2225">AV349/AV320*100</f>
        <v>14.199799532241892</v>
      </c>
      <c r="AW350" s="23">
        <f t="shared" si="2199"/>
        <v>-34.819365519985823</v>
      </c>
      <c r="AX350" s="409">
        <f t="shared" si="2225"/>
        <v>13.106960950764002</v>
      </c>
      <c r="AY350" s="23">
        <f t="shared" si="2200"/>
        <v>-19.51256020234916</v>
      </c>
      <c r="AZ350" s="409">
        <f t="shared" ref="AZ350" si="2226">AZ349/AZ320*100</f>
        <v>19.043031470777123</v>
      </c>
      <c r="BA350" s="23">
        <f t="shared" si="2202"/>
        <v>5.3153287417011308</v>
      </c>
      <c r="BB350" s="409">
        <f t="shared" ref="BB350:BD350" si="2227">BB349/BB320*100</f>
        <v>17.347261791706224</v>
      </c>
      <c r="BC350" s="23">
        <f t="shared" si="2204"/>
        <v>11.947135890441407</v>
      </c>
      <c r="BD350" s="409">
        <f t="shared" si="2227"/>
        <v>20.754716981132077</v>
      </c>
      <c r="BE350" s="23">
        <f t="shared" si="2205"/>
        <v>46.162042175360774</v>
      </c>
      <c r="BF350" s="35">
        <f t="shared" ref="BF350" si="2228">BF349/BF320*100</f>
        <v>15.461651474686336</v>
      </c>
      <c r="BG350" s="23">
        <f t="shared" si="2207"/>
        <v>17.965190655314188</v>
      </c>
      <c r="BH350" s="35">
        <f t="shared" ref="BH350" si="2229">BH349/BH320*100</f>
        <v>17.610197362224298</v>
      </c>
      <c r="BI350" s="23">
        <f t="shared" si="2209"/>
        <v>-7.5241912546939353</v>
      </c>
      <c r="BJ350" s="35">
        <f t="shared" ref="BJ350" si="2230">BJ349/BJ320*100</f>
        <v>18.510322216168305</v>
      </c>
      <c r="BK350" s="23">
        <f t="shared" si="2211"/>
        <v>6.7045764249556994</v>
      </c>
      <c r="BL350" s="35">
        <f t="shared" ref="BL350" si="2231">BL349/BL320*100</f>
        <v>18.776870219107391</v>
      </c>
      <c r="BM350" s="23">
        <f t="shared" si="2213"/>
        <v>-9.5296253079371276</v>
      </c>
      <c r="BN350" s="10"/>
      <c r="BO350" s="138"/>
      <c r="BP350" s="10"/>
      <c r="BQ350" s="152"/>
      <c r="BR350" s="152"/>
      <c r="BS350" s="152"/>
      <c r="BT350" s="10"/>
      <c r="BU350" s="35">
        <f>BU349/BU320*100</f>
        <v>19.193520115994261</v>
      </c>
      <c r="BV350" s="23" t="str">
        <f t="shared" si="2190"/>
        <v>NA</v>
      </c>
      <c r="BW350" s="35">
        <f>BW349/BW320*100</f>
        <v>12.774274851061735</v>
      </c>
      <c r="BX350" s="23">
        <f t="shared" si="2191"/>
        <v>-33.444856525214817</v>
      </c>
      <c r="BY350" s="35">
        <f>BY349/BY320*100</f>
        <v>15.13563501849568</v>
      </c>
      <c r="CA350" s="35">
        <f>CA349/CA320*100</f>
        <v>16.465716630605097</v>
      </c>
      <c r="CB350" s="23">
        <f>IF(ISERROR((CA350/BY350-1)*100),"NA",IF(((CA350/BY350-1)*100)&gt;100,"NM",IF(((CA350/BY350-1)*100)&lt;-50,"NM",(CA350/BY350-1)*100)))</f>
        <v>8.7877489810243468</v>
      </c>
      <c r="CC350" s="35">
        <f>CC349/CC320*100</f>
        <v>14.914770474906847</v>
      </c>
      <c r="CD350" s="23">
        <f>IF(ISERROR((CC350/CA350-1)*100),"NA",IF(((CC350/CA350-1)*100)&gt;100,"NM",IF(((CC350/CA350-1)*100)&lt;-50,"NM",(CC350/CA350-1)*100)))</f>
        <v>-9.4192447889907331</v>
      </c>
      <c r="CE350" s="35">
        <f>CE349/CE320*100</f>
        <v>16.024666328771744</v>
      </c>
      <c r="CF350" s="23">
        <f>IF(ISERROR((CE350/CC350-1)*100),"NA",IF(((CE350/CC350-1)*100)&gt;100,"NM",IF(((CE350/CC350-1)*100)&lt;-50,"NM",(CE350/CC350-1)*100)))</f>
        <v>7.4415885630437772</v>
      </c>
      <c r="CG350" s="35">
        <f>CG349/CG320*100</f>
        <v>17.639941926117114</v>
      </c>
      <c r="CH350" s="23">
        <f>IF(ISERROR((CG350/CE350-1)*100),"NA",IF(((CG350/CE350-1)*100)&gt;100,"NM",IF(((CG350/CE350-1)*100)&lt;-50,"NM",(CG350/CE350-1)*100)))</f>
        <v>10.079932799881131</v>
      </c>
      <c r="CI350" s="35">
        <f>CI349/CI320*100</f>
        <v>17.598565014733914</v>
      </c>
      <c r="CJ350" s="23">
        <f>IF(ISERROR((CI350/CG350-1)*100),"NA",IF(((CI350/CG350-1)*100)&gt;100,"NM",IF(((CI350/CG350-1)*100)&lt;-50,"NM",(CI350/CG350-1)*100)))</f>
        <v>-0.23456376192451112</v>
      </c>
      <c r="CK350" s="35">
        <f>CK349/CK320*100</f>
        <v>17.384864224924236</v>
      </c>
      <c r="CL350" s="23">
        <f>IF(ISERROR((CK350/CI350-1)*100),"NA",IF(((CK350/CI350-1)*100)&gt;100,"NM",IF(((CK350/CI350-1)*100)&lt;-50,"NM",(CK350/CI350-1)*100)))</f>
        <v>-1.2143080394950601</v>
      </c>
      <c r="CM350" s="35">
        <f>CM349/CM320*100</f>
        <v>17.23025830230123</v>
      </c>
      <c r="CN350" s="23">
        <f>IF(ISERROR((CM350/CK350-1)*100),"NA",IF(((CM350/CK350-1)*100)&gt;100,"NM",IF(((CM350/CK350-1)*100)&lt;-50,"NM",(CM350/CK350-1)*100)))</f>
        <v>-0.88931337410936839</v>
      </c>
      <c r="CO350" s="35">
        <f>CO349/CO320*100</f>
        <v>17.076023384057898</v>
      </c>
      <c r="CP350" s="23">
        <f>IF(ISERROR((CO350/CM350-1)*100),"NA",IF(((CO350/CM350-1)*100)&gt;100,"NM",IF(((CO350/CM350-1)*100)&lt;-50,"NM",(CO350/CM350-1)*100)))</f>
        <v>-0.89513990758184336</v>
      </c>
      <c r="CQ350" s="35">
        <f>CQ349/CQ320*100</f>
        <v>16.92216671761167</v>
      </c>
      <c r="CR350" s="23">
        <f>IF(ISERROR((CQ350/CO350-1)*100),"NA",IF(((CQ350/CO350-1)*100)&gt;100,"NM",IF(((CQ350/CO350-1)*100)&lt;-50,"NM",(CQ350/CO350-1)*100)))</f>
        <v>-0.90100993062510737</v>
      </c>
      <c r="CS350" s="23">
        <f t="shared" si="2192"/>
        <v>-0.82738528653414356</v>
      </c>
    </row>
    <row r="351" spans="1:97" ht="12.75" customHeight="1" x14ac:dyDescent="0.2">
      <c r="B351" s="35"/>
      <c r="C351" s="59"/>
      <c r="D351" s="35"/>
      <c r="E351" s="59"/>
      <c r="F351" s="35"/>
      <c r="G351" s="59"/>
      <c r="H351" s="35"/>
      <c r="I351" s="59"/>
      <c r="J351" s="35"/>
      <c r="K351" s="23"/>
      <c r="L351" s="35"/>
      <c r="M351" s="23"/>
      <c r="N351" s="35"/>
      <c r="O351" s="23"/>
      <c r="P351" s="35"/>
      <c r="Q351" s="23"/>
      <c r="R351" s="35"/>
      <c r="S351" s="23"/>
      <c r="T351" s="35"/>
      <c r="U351" s="23"/>
      <c r="V351" s="35"/>
      <c r="W351" s="23"/>
      <c r="X351" s="35"/>
      <c r="Y351" s="23"/>
      <c r="Z351" s="35"/>
      <c r="AA351" s="23"/>
      <c r="AB351" s="35"/>
      <c r="AC351" s="23"/>
      <c r="AD351" s="35"/>
      <c r="AE351" s="23"/>
      <c r="AF351" s="35"/>
      <c r="AG351" s="23"/>
      <c r="AH351" s="35"/>
      <c r="AI351" s="23"/>
      <c r="AJ351" s="35"/>
      <c r="AK351" s="23"/>
      <c r="AL351" s="35"/>
      <c r="AM351" s="23"/>
      <c r="AN351" s="409"/>
      <c r="AO351" s="23"/>
      <c r="AP351" s="409"/>
      <c r="AQ351" s="23"/>
      <c r="AR351" s="457"/>
      <c r="AS351" s="23"/>
      <c r="AT351" s="457"/>
      <c r="AU351" s="23"/>
      <c r="AV351" s="457"/>
      <c r="AW351" s="23"/>
      <c r="AX351" s="457"/>
      <c r="AY351" s="23"/>
      <c r="AZ351" s="457"/>
      <c r="BA351" s="23"/>
      <c r="BB351" s="457"/>
      <c r="BC351" s="23"/>
      <c r="BD351" s="457"/>
      <c r="BE351" s="23"/>
      <c r="BF351" s="35"/>
      <c r="BG351" s="23"/>
      <c r="BH351" s="35"/>
      <c r="BI351" s="23"/>
      <c r="BJ351" s="35"/>
      <c r="BK351" s="23"/>
      <c r="BL351" s="35"/>
      <c r="BM351" s="23"/>
      <c r="BN351" s="10"/>
      <c r="BO351" s="138"/>
      <c r="BP351" s="10"/>
      <c r="BQ351" s="152"/>
      <c r="BR351" s="152"/>
      <c r="BS351" s="152"/>
      <c r="BT351" s="10"/>
      <c r="BU351" s="35"/>
      <c r="BV351" s="23"/>
      <c r="BW351" s="35"/>
      <c r="BX351" s="23"/>
      <c r="BY351" s="35"/>
      <c r="BZ351" s="23"/>
      <c r="CA351" s="35"/>
      <c r="CB351" s="23"/>
      <c r="CC351" s="35"/>
      <c r="CD351" s="23"/>
      <c r="CE351" s="35"/>
      <c r="CF351" s="23"/>
      <c r="CG351" s="35"/>
      <c r="CH351" s="23"/>
      <c r="CI351" s="35"/>
      <c r="CJ351" s="23"/>
      <c r="CK351" s="35"/>
      <c r="CL351" s="23"/>
      <c r="CM351" s="35"/>
      <c r="CN351" s="23"/>
      <c r="CO351" s="35"/>
      <c r="CP351" s="23"/>
      <c r="CQ351" s="35"/>
      <c r="CR351" s="23"/>
      <c r="CS351" s="23" t="str">
        <f t="shared" si="2192"/>
        <v>NA</v>
      </c>
    </row>
    <row r="352" spans="1:97" ht="12.75" customHeight="1" x14ac:dyDescent="0.2">
      <c r="A352" s="3" t="s">
        <v>506</v>
      </c>
      <c r="B352" s="115"/>
      <c r="C352" s="59"/>
      <c r="D352" s="115"/>
      <c r="E352" s="59"/>
      <c r="F352" s="115"/>
      <c r="G352" s="59"/>
      <c r="H352" s="115"/>
      <c r="I352" s="59"/>
      <c r="J352" s="115"/>
      <c r="K352" s="23"/>
      <c r="L352" s="115"/>
      <c r="M352" s="23"/>
      <c r="N352" s="115"/>
      <c r="O352" s="23"/>
      <c r="P352" s="115"/>
      <c r="Q352" s="23"/>
      <c r="R352" s="526"/>
      <c r="S352" s="23"/>
      <c r="T352" s="526"/>
      <c r="U352" s="23"/>
      <c r="V352" s="526"/>
      <c r="W352" s="23" t="str">
        <f t="shared" ref="W352:W355" si="2232">IF(ISERROR((V352/N352-1)*100),"NA",IF(((V352/N352-1)*100)&gt;100,"NM",IF(((V352/N352-1)*100)&lt;-50,"NM",(V352/N352-1)*100)))</f>
        <v>NA</v>
      </c>
      <c r="X352" s="526">
        <v>4.9000000000000004</v>
      </c>
      <c r="Y352" s="23" t="str">
        <f t="shared" ref="Y352:Y355" si="2233">IF(ISERROR((X352/P352-1)*100),"NA",IF(((X352/P352-1)*100)&gt;100,"NM",IF(((X352/P352-1)*100)&lt;-50,"NM",(X352/P352-1)*100)))</f>
        <v>NA</v>
      </c>
      <c r="Z352" s="526">
        <v>4.4000000000000004</v>
      </c>
      <c r="AA352" s="23" t="str">
        <f t="shared" ref="AA352:AA355" si="2234">IF(ISERROR((Z352/R352-1)*100),"NA",IF(((Z352/R352-1)*100)&gt;100,"NM",IF(((Z352/R352-1)*100)&lt;-50,"NM",(Z352/R352-1)*100)))</f>
        <v>NA</v>
      </c>
      <c r="AB352" s="526">
        <v>4.8</v>
      </c>
      <c r="AC352" s="23" t="str">
        <f t="shared" ref="AC352:AC355" si="2235">IF(ISERROR((AB352/T352-1)*100),"NA",IF(((AB352/T352-1)*100)&gt;100,"NM",IF(((AB352/T352-1)*100)&lt;-50,"NM",(AB352/T352-1)*100)))</f>
        <v>NA</v>
      </c>
      <c r="AD352" s="526">
        <v>4.5999999999999996</v>
      </c>
      <c r="AE352" s="23" t="str">
        <f t="shared" ref="AE352:AE355" si="2236">IF(ISERROR((AD352/V352-1)*100),"NA",IF(((AD352/V352-1)*100)&gt;100,"NM",IF(((AD352/V352-1)*100)&lt;-50,"NM",(AD352/V352-1)*100)))</f>
        <v>NA</v>
      </c>
      <c r="AF352" s="526">
        <v>5.3</v>
      </c>
      <c r="AG352" s="23">
        <f t="shared" ref="AG352:AG355" si="2237">IF(ISERROR((AF352/X352-1)*100),"NA",IF(((AF352/X352-1)*100)&gt;100,"NM",IF(((AF352/X352-1)*100)&lt;-50,"NM",(AF352/X352-1)*100)))</f>
        <v>8.1632653061224367</v>
      </c>
      <c r="AH352" s="526">
        <v>5.7</v>
      </c>
      <c r="AI352" s="23">
        <f t="shared" ref="AI352:AI355" si="2238">IF(ISERROR((AH352/Z352-1)*100),"NA",IF(((AH352/Z352-1)*100)&gt;100,"NM",IF(((AH352/Z352-1)*100)&lt;-50,"NM",(AH352/Z352-1)*100)))</f>
        <v>29.54545454545454</v>
      </c>
      <c r="AJ352" s="526">
        <v>5.6</v>
      </c>
      <c r="AK352" s="23">
        <f t="shared" ref="AK352:AK355" si="2239">IF(ISERROR((AJ352/AB352-1)*100),"NA",IF(((AJ352/AB352-1)*100)&gt;100,"NM",IF(((AJ352/AB352-1)*100)&lt;-50,"NM",(AJ352/AB352-1)*100)))</f>
        <v>16.666666666666675</v>
      </c>
      <c r="AL352" s="526">
        <v>5.2</v>
      </c>
      <c r="AM352" s="23">
        <f t="shared" ref="AM352:AM355" si="2240">IF(ISERROR((AL352/AD352-1)*100),"NA",IF(((AL352/AD352-1)*100)&gt;100,"NM",IF(((AL352/AD352-1)*100)&lt;-50,"NM",(AL352/AD352-1)*100)))</f>
        <v>13.043478260869579</v>
      </c>
      <c r="AN352" s="526">
        <v>6.2</v>
      </c>
      <c r="AO352" s="23">
        <f t="shared" ref="AO352:AO355" si="2241">IF(ISERROR((AN352/AF352-1)*100),"NA",IF(((AN352/AF352-1)*100)&gt;100,"NM",IF(((AN352/AF352-1)*100)&lt;-50,"NM",(AN352/AF352-1)*100)))</f>
        <v>16.981132075471695</v>
      </c>
      <c r="AP352" s="526">
        <v>6.6</v>
      </c>
      <c r="AQ352" s="23">
        <f t="shared" ref="AQ352:AQ355" si="2242">IF(ISERROR((AP352/AH352-1)*100),"NA",IF(((AP352/AH352-1)*100)&gt;100,"NM",IF(((AP352/AH352-1)*100)&lt;-50,"NM",(AP352/AH352-1)*100)))</f>
        <v>15.78947368421051</v>
      </c>
      <c r="AR352" s="530">
        <v>7</v>
      </c>
      <c r="AS352" s="23">
        <f t="shared" ref="AS352:AS355" si="2243">IF(ISERROR((AR352/AJ352-1)*100),"NA",IF(((AR352/AJ352-1)*100)&gt;100,"NM",IF(((AR352/AJ352-1)*100)&lt;-50,"NM",(AR352/AJ352-1)*100)))</f>
        <v>25</v>
      </c>
      <c r="AT352" s="530">
        <v>8.1</v>
      </c>
      <c r="AU352" s="23">
        <f t="shared" ref="AU352:AU355" si="2244">IF(ISERROR((AT352/AL352-1)*100),"NA",IF(((AT352/AL352-1)*100)&gt;100,"NM",IF(((AT352/AL352-1)*100)&lt;-50,"NM",(AT352/AL352-1)*100)))</f>
        <v>55.769230769230745</v>
      </c>
      <c r="AV352" s="530">
        <v>6.6</v>
      </c>
      <c r="AW352" s="23"/>
      <c r="AX352" s="530">
        <v>6.6</v>
      </c>
      <c r="AY352" s="23"/>
      <c r="AZ352" s="530">
        <v>7.5</v>
      </c>
      <c r="BA352" s="23"/>
      <c r="BB352" s="530">
        <v>9.5</v>
      </c>
      <c r="BC352" s="23"/>
      <c r="BD352" s="530">
        <v>11.2</v>
      </c>
      <c r="BE352" s="23"/>
      <c r="BF352" s="533">
        <f>((BF349+BD349+BB349+AZ349)*0.68)/AVERAGE(BF355,BD355,BB355,AZ355)*100</f>
        <v>9.3641946331278039</v>
      </c>
      <c r="BG352" s="23"/>
      <c r="BH352" s="533">
        <f>((BH349+BF349+BD349+BB349)*0.68)/AVERAGE(BH355,BF355,BD355,BB355)*100</f>
        <v>9.0236899853256869</v>
      </c>
      <c r="BI352" s="23"/>
      <c r="BJ352" s="533">
        <f>((BJ349+BH349+BF349+BD349)*0.68)/AVERAGE(BJ355,BH355,BF355,BD355)*100</f>
        <v>8.6685889207631686</v>
      </c>
      <c r="BK352" s="23"/>
      <c r="BL352" s="533">
        <f>((BL349+BJ349+BH349+BF349)*0.68)/AVERAGE(BL355,BJ355,BH355,BF355)*100</f>
        <v>7.7609724178613355</v>
      </c>
      <c r="BM352" s="23"/>
      <c r="BN352" s="35"/>
      <c r="BO352" s="138"/>
      <c r="BP352" s="35"/>
      <c r="BQ352" s="113"/>
      <c r="BR352" s="113"/>
      <c r="BS352" s="113"/>
      <c r="BT352" s="35"/>
      <c r="BU352" s="115"/>
      <c r="BV352" s="23"/>
      <c r="BW352" s="115"/>
      <c r="BX352" s="23"/>
      <c r="BY352" s="533">
        <f>X352</f>
        <v>4.9000000000000004</v>
      </c>
      <c r="BZ352" s="23">
        <f>IF(ISERROR((BY349/BW349-1)*100),"NA",IF(((BY349/BW349-1)*100)&gt;100,"NM",IF(((BY349/BW349-1)*100)&lt;-50,"NM",(BY349/BW349-1)*100)))</f>
        <v>17.365676972311572</v>
      </c>
      <c r="CA352" s="533">
        <f>AF352</f>
        <v>5.3</v>
      </c>
      <c r="CB352" s="23">
        <f t="shared" ref="CB352:CB355" si="2245">IF(ISERROR((CA352/BY352-1)*100),"NA",IF(((CA352/BY352-1)*100)&gt;100,"NM",IF(((CA352/BY352-1)*100)&lt;-50,"NM",(CA352/BY352-1)*100)))</f>
        <v>8.1632653061224367</v>
      </c>
      <c r="CC352" s="533">
        <f>AN352</f>
        <v>6.2</v>
      </c>
      <c r="CD352" s="23">
        <f>IF(ISERROR((CC352/CA352-1)*100),"NA",IF(((CC352/CA352-1)*100)&gt;100,"NM",IF(((CC352/CA352-1)*100)&lt;-50,"NM",(CC352/CA352-1)*100)))</f>
        <v>16.981132075471695</v>
      </c>
      <c r="CE352" s="537">
        <f>(CE349*0.68)/CE355*100</f>
        <v>6.925959731543621</v>
      </c>
      <c r="CF352" s="23">
        <f>IF(ISERROR((CE352/CC352-1)*100),"NA",IF(((CE352/CC352-1)*100)&gt;100,"NM",IF(((CE352/CC352-1)*100)&lt;-50,"NM",(CE352/CC352-1)*100)))</f>
        <v>11.709027928122918</v>
      </c>
      <c r="CG352" s="537">
        <f>(CG349*0.68)/CG355*100</f>
        <v>7.7902566788894694</v>
      </c>
      <c r="CH352" s="23">
        <f>IF(ISERROR((CG352/CE352-1)*100),"NA",IF(((CG352/CE352-1)*100)&gt;100,"NM",IF(((CG352/CE352-1)*100)&lt;-50,"NM",(CG352/CE352-1)*100)))</f>
        <v>12.479092874442955</v>
      </c>
      <c r="CI352" s="585">
        <f>(CI349*0.68)/CI355*100</f>
        <v>7.0029407875196501</v>
      </c>
      <c r="CJ352" s="23">
        <f>IF(ISERROR((CI352/CG352-1)*100),"NA",IF(((CI352/CG352-1)*100)&gt;100,"NM",IF(((CI352/CG352-1)*100)&lt;-50,"NM",(CI352/CG352-1)*100)))</f>
        <v>-10.106417847608762</v>
      </c>
      <c r="CK352" s="537">
        <f>(CK349*0.68)/CK355*100</f>
        <v>6.8131036782589236</v>
      </c>
      <c r="CL352" s="23">
        <f>IF(ISERROR((CK352/CI352-1)*100),"NA",IF(((CK352/CI352-1)*100)&gt;100,"NM",IF(((CK352/CI352-1)*100)&lt;-50,"NM",(CK352/CI352-1)*100)))</f>
        <v>-2.710819854410973</v>
      </c>
      <c r="CM352" s="537">
        <f>(CM349*0.68)/CM355*100</f>
        <v>6.6588334226166292</v>
      </c>
      <c r="CN352" s="23">
        <f>IF(ISERROR((CM352/CK352-1)*100),"NA",IF(((CM352/CK352-1)*100)&gt;100,"NM",IF(((CM352/CK352-1)*100)&lt;-50,"NM",(CM352/CK352-1)*100)))</f>
        <v>-2.2643168653748935</v>
      </c>
      <c r="CO352" s="537">
        <f>(CO349*0.68)/CO355*100</f>
        <v>6.5077263981792157</v>
      </c>
      <c r="CP352" s="23">
        <f>IF(ISERROR((CO352/CM352-1)*100),"NA",IF(((CO352/CM352-1)*100)&gt;100,"NM",IF(((CO352/CM352-1)*100)&lt;-50,"NM",(CO352/CM352-1)*100)))</f>
        <v>-2.2692717304532817</v>
      </c>
      <c r="CQ352" s="537">
        <f>(CQ349*0.68)/CQ355*100</f>
        <v>6.3597242105448082</v>
      </c>
      <c r="CR352" s="23">
        <f>IF(ISERROR((CQ352/CO352-1)*100),"NA",IF(((CQ352/CO352-1)*100)&gt;100,"NM",IF(((CQ352/CO352-1)*100)&lt;-50,"NM",(CQ352/CO352-1)*100)))</f>
        <v>-2.2742533809629206</v>
      </c>
      <c r="CS352" s="23">
        <f t="shared" si="2192"/>
        <v>-3.9765505427672099</v>
      </c>
    </row>
    <row r="353" spans="1:105" ht="12.75" customHeight="1" x14ac:dyDescent="0.2">
      <c r="A353" s="408" t="s">
        <v>503</v>
      </c>
      <c r="B353" s="115"/>
      <c r="C353" s="59"/>
      <c r="D353" s="115"/>
      <c r="E353" s="59"/>
      <c r="F353" s="115"/>
      <c r="G353" s="59"/>
      <c r="H353" s="115"/>
      <c r="I353" s="59"/>
      <c r="J353" s="115"/>
      <c r="K353" s="23"/>
      <c r="L353" s="115"/>
      <c r="M353" s="23"/>
      <c r="N353" s="115"/>
      <c r="O353" s="23"/>
      <c r="P353" s="115"/>
      <c r="Q353" s="23"/>
      <c r="R353" s="115"/>
      <c r="S353" s="23"/>
      <c r="T353" s="529"/>
      <c r="U353" s="23"/>
      <c r="V353" s="529"/>
      <c r="W353" s="23" t="str">
        <f t="shared" si="2232"/>
        <v>NA</v>
      </c>
      <c r="X353" s="48">
        <v>2760</v>
      </c>
      <c r="Y353" s="23" t="str">
        <f t="shared" si="2233"/>
        <v>NA</v>
      </c>
      <c r="Z353" s="529">
        <f t="shared" ref="Z353" si="2246">X354</f>
        <v>2848</v>
      </c>
      <c r="AA353" s="23" t="str">
        <f t="shared" si="2234"/>
        <v>NA</v>
      </c>
      <c r="AB353" s="529">
        <f t="shared" ref="AB353" si="2247">Z354</f>
        <v>2861</v>
      </c>
      <c r="AC353" s="23" t="str">
        <f t="shared" si="2235"/>
        <v>NA</v>
      </c>
      <c r="AD353" s="529">
        <f t="shared" ref="AD353" si="2248">AB354</f>
        <v>2861</v>
      </c>
      <c r="AE353" s="23" t="str">
        <f t="shared" si="2236"/>
        <v>NA</v>
      </c>
      <c r="AF353" s="529">
        <f t="shared" ref="AF353" si="2249">AD354</f>
        <v>2904</v>
      </c>
      <c r="AG353" s="23">
        <f t="shared" si="2237"/>
        <v>5.2173913043478182</v>
      </c>
      <c r="AH353" s="529">
        <f t="shared" ref="AH353" si="2250">AF354</f>
        <v>2513</v>
      </c>
      <c r="AI353" s="23">
        <f t="shared" si="2238"/>
        <v>-11.7626404494382</v>
      </c>
      <c r="AJ353" s="529">
        <f t="shared" ref="AJ353" si="2251">AH354</f>
        <v>2509</v>
      </c>
      <c r="AK353" s="23">
        <f t="shared" si="2239"/>
        <v>-12.30339042292905</v>
      </c>
      <c r="AL353" s="529">
        <f t="shared" ref="AL353" si="2252">AJ354</f>
        <v>2402</v>
      </c>
      <c r="AM353" s="23">
        <f t="shared" si="2240"/>
        <v>-16.04334148898986</v>
      </c>
      <c r="AN353" s="529">
        <f t="shared" ref="AN353" si="2253">AL354</f>
        <v>2251</v>
      </c>
      <c r="AO353" s="23">
        <f t="shared" si="2241"/>
        <v>-22.486225895316803</v>
      </c>
      <c r="AP353" s="529">
        <f t="shared" ref="AP353" si="2254">AN354</f>
        <v>2048</v>
      </c>
      <c r="AQ353" s="23">
        <f t="shared" si="2242"/>
        <v>-18.503780342220455</v>
      </c>
      <c r="AR353" s="527">
        <f t="shared" ref="AR353:AT353" si="2255">AP354</f>
        <v>2092</v>
      </c>
      <c r="AS353" s="23">
        <f t="shared" si="2243"/>
        <v>-16.620167397369467</v>
      </c>
      <c r="AT353" s="527">
        <f t="shared" si="2255"/>
        <v>2095</v>
      </c>
      <c r="AU353" s="23">
        <f t="shared" si="2244"/>
        <v>-12.781015820149877</v>
      </c>
      <c r="AV353" s="527">
        <f t="shared" ref="AV353:AX353" si="2256">AT354</f>
        <v>2010</v>
      </c>
      <c r="AW353" s="23"/>
      <c r="AX353" s="527">
        <f t="shared" si="2256"/>
        <v>1677</v>
      </c>
      <c r="AY353" s="23"/>
      <c r="AZ353" s="527">
        <f t="shared" ref="AZ353" si="2257">AX354</f>
        <v>1488</v>
      </c>
      <c r="BA353" s="23"/>
      <c r="BB353" s="527">
        <f t="shared" ref="BB353:BD353" si="2258">AZ354</f>
        <v>1546</v>
      </c>
      <c r="BC353" s="23"/>
      <c r="BD353" s="527">
        <f t="shared" si="2258"/>
        <v>1476</v>
      </c>
      <c r="BE353" s="23"/>
      <c r="BF353" s="529">
        <f t="shared" ref="BF353:BJ353" si="2259">BD354</f>
        <v>2141</v>
      </c>
      <c r="BG353" s="23"/>
      <c r="BH353" s="529">
        <f t="shared" si="2259"/>
        <v>2162.41</v>
      </c>
      <c r="BI353" s="23"/>
      <c r="BJ353" s="529">
        <f t="shared" si="2259"/>
        <v>2184.0340999999999</v>
      </c>
      <c r="BK353" s="23"/>
      <c r="BL353" s="529">
        <f t="shared" ref="BL353" si="2260">BJ354</f>
        <v>2205.8744409999999</v>
      </c>
      <c r="BM353" s="23"/>
      <c r="BN353" s="35"/>
      <c r="BO353" s="138"/>
      <c r="BP353" s="35"/>
      <c r="BQ353" s="113"/>
      <c r="BR353" s="113"/>
      <c r="BS353" s="113"/>
      <c r="BT353" s="35"/>
      <c r="BU353" s="115"/>
      <c r="BV353" s="23"/>
      <c r="BW353" s="115"/>
      <c r="BX353" s="23"/>
      <c r="BY353" s="527">
        <f>X353</f>
        <v>2760</v>
      </c>
      <c r="BZ353" s="23" t="str">
        <f>IF(ISERROR((BY353/BW353-1)*100),"NA",IF(((BY353/BW353-1)*100)&gt;100,"NM",IF(((BY353/BW353-1)*100)&lt;-50,"NM",(BY353/BW353-1)*100)))</f>
        <v>NA</v>
      </c>
      <c r="CA353" s="527">
        <f>AF353</f>
        <v>2904</v>
      </c>
      <c r="CB353" s="23">
        <f t="shared" si="2245"/>
        <v>5.2173913043478182</v>
      </c>
      <c r="CC353" s="527">
        <f>AN353</f>
        <v>2251</v>
      </c>
      <c r="CD353" s="23">
        <f>IF(ISERROR((CC353/CA353-1)*100),"NA",IF(((CC353/CA353-1)*100)&gt;100,"NM",IF(((CC353/CA353-1)*100)&lt;-50,"NM",(CC353/CA353-1)*100)))</f>
        <v>-22.486225895316803</v>
      </c>
      <c r="CE353" s="527">
        <f>CC354</f>
        <v>2048</v>
      </c>
      <c r="CF353" s="23">
        <f>IF(ISERROR((CE353/CC353-1)*100),"NA",IF(((CE353/CC353-1)*100)&gt;100,"NM",IF(((CE353/CC353-1)*100)&lt;-50,"NM",(CE353/CC353-1)*100)))</f>
        <v>-9.0182141270546463</v>
      </c>
      <c r="CG353" s="527">
        <f>CE354</f>
        <v>1677</v>
      </c>
      <c r="CH353" s="23">
        <f>IF(ISERROR((CG353/CE353-1)*100),"NA",IF(((CG353/CE353-1)*100)&gt;100,"NM",IF(((CG353/CE353-1)*100)&lt;-50,"NM",(CG353/CE353-1)*100)))</f>
        <v>-18.115234375</v>
      </c>
      <c r="CI353" s="527">
        <f>CG354</f>
        <v>2141</v>
      </c>
      <c r="CJ353" s="23">
        <f>IF(ISERROR((CI353/CG353-1)*100),"NA",IF(((CI353/CG353-1)*100)&gt;100,"NM",IF(((CI353/CG353-1)*100)&lt;-50,"NM",(CI353/CG353-1)*100)))</f>
        <v>27.668455575432315</v>
      </c>
      <c r="CK353" s="527">
        <f>CI354</f>
        <v>2226.8523069339099</v>
      </c>
      <c r="CL353" s="23">
        <f>IF(ISERROR((CK353/CI353-1)*100),"NA",IF(((CK353/CI353-1)*100)&gt;100,"NM",IF(((CK353/CI353-1)*100)&lt;-50,"NM",(CK353/CI353-1)*100)))</f>
        <v>4.0099162510000008</v>
      </c>
      <c r="CM353" s="527">
        <f>CK354</f>
        <v>2315.9263992112665</v>
      </c>
      <c r="CN353" s="23">
        <f>IF(ISERROR((CM353/CK353-1)*100),"NA",IF(((CM353/CK353-1)*100)&gt;100,"NM",IF(((CM353/CK353-1)*100)&lt;-50,"NM",(CM353/CK353-1)*100)))</f>
        <v>4.0000000000000036</v>
      </c>
      <c r="CO353" s="527">
        <f>CM354</f>
        <v>2408.563455179717</v>
      </c>
      <c r="CP353" s="23">
        <f>IF(ISERROR((CO353/CM353-1)*100),"NA",IF(((CO353/CM353-1)*100)&gt;100,"NM",IF(((CO353/CM353-1)*100)&lt;-50,"NM",(CO353/CM353-1)*100)))</f>
        <v>4.0000000000000036</v>
      </c>
      <c r="CQ353" s="527">
        <f>CO354</f>
        <v>2504.9059933869057</v>
      </c>
      <c r="CR353" s="23">
        <f>IF(ISERROR((CQ353/CO353-1)*100),"NA",IF(((CQ353/CO353-1)*100)&gt;100,"NM",IF(((CQ353/CO353-1)*100)&lt;-50,"NM",(CQ353/CO353-1)*100)))</f>
        <v>4.0000000000000036</v>
      </c>
      <c r="CS353" s="23">
        <f t="shared" si="2192"/>
        <v>8.355677979800479</v>
      </c>
    </row>
    <row r="354" spans="1:105" ht="12.75" customHeight="1" x14ac:dyDescent="0.2">
      <c r="A354" s="408" t="s">
        <v>504</v>
      </c>
      <c r="B354" s="115"/>
      <c r="C354" s="59"/>
      <c r="D354" s="115"/>
      <c r="E354" s="59"/>
      <c r="F354" s="115"/>
      <c r="G354" s="59"/>
      <c r="H354" s="115"/>
      <c r="I354" s="59"/>
      <c r="J354" s="115"/>
      <c r="K354" s="23"/>
      <c r="L354" s="115"/>
      <c r="M354" s="23"/>
      <c r="N354" s="115"/>
      <c r="O354" s="23"/>
      <c r="P354" s="115"/>
      <c r="Q354" s="23"/>
      <c r="R354" s="528"/>
      <c r="S354" s="23"/>
      <c r="T354" s="528"/>
      <c r="U354" s="23"/>
      <c r="V354" s="528"/>
      <c r="W354" s="23" t="str">
        <f t="shared" si="2232"/>
        <v>NA</v>
      </c>
      <c r="X354" s="528">
        <v>2848</v>
      </c>
      <c r="Y354" s="23" t="str">
        <f t="shared" si="2233"/>
        <v>NA</v>
      </c>
      <c r="Z354" s="528">
        <v>2861</v>
      </c>
      <c r="AA354" s="23" t="str">
        <f t="shared" si="2234"/>
        <v>NA</v>
      </c>
      <c r="AB354" s="528">
        <v>2861</v>
      </c>
      <c r="AC354" s="23" t="str">
        <f t="shared" si="2235"/>
        <v>NA</v>
      </c>
      <c r="AD354" s="528">
        <v>2904</v>
      </c>
      <c r="AE354" s="23" t="str">
        <f t="shared" si="2236"/>
        <v>NA</v>
      </c>
      <c r="AF354" s="528">
        <v>2513</v>
      </c>
      <c r="AG354" s="23">
        <f t="shared" si="2237"/>
        <v>-11.7626404494382</v>
      </c>
      <c r="AH354" s="528">
        <v>2509</v>
      </c>
      <c r="AI354" s="23">
        <f t="shared" si="2238"/>
        <v>-12.30339042292905</v>
      </c>
      <c r="AJ354" s="528">
        <v>2402</v>
      </c>
      <c r="AK354" s="23">
        <f t="shared" si="2239"/>
        <v>-16.04334148898986</v>
      </c>
      <c r="AL354" s="528">
        <v>2251</v>
      </c>
      <c r="AM354" s="23">
        <f t="shared" si="2240"/>
        <v>-22.486225895316803</v>
      </c>
      <c r="AN354" s="528">
        <v>2048</v>
      </c>
      <c r="AO354" s="23">
        <f t="shared" si="2241"/>
        <v>-18.503780342220455</v>
      </c>
      <c r="AP354" s="528">
        <v>2092</v>
      </c>
      <c r="AQ354" s="23">
        <f t="shared" si="2242"/>
        <v>-16.620167397369467</v>
      </c>
      <c r="AR354" s="528">
        <v>2095</v>
      </c>
      <c r="AS354" s="23">
        <f t="shared" si="2243"/>
        <v>-12.781015820149877</v>
      </c>
      <c r="AT354" s="528">
        <v>2010</v>
      </c>
      <c r="AU354" s="23">
        <f t="shared" si="2244"/>
        <v>-10.706352732119061</v>
      </c>
      <c r="AV354" s="528">
        <v>1677</v>
      </c>
      <c r="AW354" s="23"/>
      <c r="AX354" s="528">
        <v>1488</v>
      </c>
      <c r="AY354" s="23"/>
      <c r="AZ354" s="528">
        <v>1546</v>
      </c>
      <c r="BA354" s="23"/>
      <c r="BB354" s="528">
        <v>1476</v>
      </c>
      <c r="BC354" s="23"/>
      <c r="BD354" s="528">
        <v>2141</v>
      </c>
      <c r="BE354" s="23"/>
      <c r="BF354" s="528">
        <f>BD354*1.01</f>
        <v>2162.41</v>
      </c>
      <c r="BG354" s="23"/>
      <c r="BH354" s="528">
        <f>BF354*1.01</f>
        <v>2184.0340999999999</v>
      </c>
      <c r="BI354" s="23"/>
      <c r="BJ354" s="528">
        <f>BH354*1.01</f>
        <v>2205.8744409999999</v>
      </c>
      <c r="BK354" s="23"/>
      <c r="BL354" s="528">
        <f>BJ354*1.00951</f>
        <v>2226.8523069339099</v>
      </c>
      <c r="BM354" s="23"/>
      <c r="BN354" s="35"/>
      <c r="BO354" s="138"/>
      <c r="BP354" s="35"/>
      <c r="BQ354" s="113"/>
      <c r="BR354" s="113"/>
      <c r="BS354" s="113"/>
      <c r="BT354" s="35"/>
      <c r="BU354" s="115"/>
      <c r="BV354" s="23"/>
      <c r="BW354" s="115"/>
      <c r="BX354" s="23"/>
      <c r="BY354" s="527">
        <f>X354</f>
        <v>2848</v>
      </c>
      <c r="BZ354" s="23" t="str">
        <f>IF(ISERROR((BY354/BW354-1)*100),"NA",IF(((BY354/BW354-1)*100)&gt;100,"NM",IF(((BY354/BW354-1)*100)&lt;-50,"NM",(BY354/BW354-1)*100)))</f>
        <v>NA</v>
      </c>
      <c r="CA354" s="527">
        <f>AF354</f>
        <v>2513</v>
      </c>
      <c r="CB354" s="23">
        <f t="shared" si="2245"/>
        <v>-11.7626404494382</v>
      </c>
      <c r="CC354" s="527">
        <f>AN354</f>
        <v>2048</v>
      </c>
      <c r="CD354" s="23">
        <f>IF(ISERROR((CC354/CA354-1)*100),"NA",IF(((CC354/CA354-1)*100)&gt;100,"NM",IF(((CC354/CA354-1)*100)&lt;-50,"NM",(CC354/CA354-1)*100)))</f>
        <v>-18.503780342220455</v>
      </c>
      <c r="CE354" s="527">
        <f>AV354</f>
        <v>1677</v>
      </c>
      <c r="CF354" s="23">
        <f>IF(ISERROR((CE354/CC354-1)*100),"NA",IF(((CE354/CC354-1)*100)&gt;100,"NM",IF(((CE354/CC354-1)*100)&lt;-50,"NM",(CE354/CC354-1)*100)))</f>
        <v>-18.115234375</v>
      </c>
      <c r="CG354" s="527">
        <f>BD354</f>
        <v>2141</v>
      </c>
      <c r="CH354" s="23">
        <f>IF(ISERROR((CG354/CE354-1)*100),"NA",IF(((CG354/CE354-1)*100)&gt;100,"NM",IF(((CG354/CE354-1)*100)&lt;-50,"NM",(CG354/CE354-1)*100)))</f>
        <v>27.668455575432315</v>
      </c>
      <c r="CI354" s="527">
        <f>BL354</f>
        <v>2226.8523069339099</v>
      </c>
      <c r="CJ354" s="23">
        <f>IF(ISERROR((CI354/CG354-1)*100),"NA",IF(((CI354/CG354-1)*100)&gt;100,"NM",IF(((CI354/CG354-1)*100)&lt;-50,"NM",(CI354/CG354-1)*100)))</f>
        <v>4.0099162510000008</v>
      </c>
      <c r="CK354" s="539">
        <f>CI354*1.04</f>
        <v>2315.9263992112665</v>
      </c>
      <c r="CL354" s="23">
        <f>IF(ISERROR((CK354/CI354-1)*100),"NA",IF(((CK354/CI354-1)*100)&gt;100,"NM",IF(((CK354/CI354-1)*100)&lt;-50,"NM",(CK354/CI354-1)*100)))</f>
        <v>4.0000000000000036</v>
      </c>
      <c r="CM354" s="539">
        <f>CK354*1.04</f>
        <v>2408.563455179717</v>
      </c>
      <c r="CN354" s="23">
        <f>IF(ISERROR((CM354/CK354-1)*100),"NA",IF(((CM354/CK354-1)*100)&gt;100,"NM",IF(((CM354/CK354-1)*100)&lt;-50,"NM",(CM354/CK354-1)*100)))</f>
        <v>4.0000000000000036</v>
      </c>
      <c r="CO354" s="539">
        <f>CM354*1.04</f>
        <v>2504.9059933869057</v>
      </c>
      <c r="CP354" s="23">
        <f>IF(ISERROR((CO354/CM354-1)*100),"NA",IF(((CO354/CM354-1)*100)&gt;100,"NM",IF(((CO354/CM354-1)*100)&lt;-50,"NM",(CO354/CM354-1)*100)))</f>
        <v>4.0000000000000036</v>
      </c>
      <c r="CQ354" s="539">
        <f>CO354*1.04</f>
        <v>2605.1022331223821</v>
      </c>
      <c r="CR354" s="23">
        <f>IF(ISERROR((CQ354/CO354-1)*100),"NA",IF(((CQ354/CO354-1)*100)&gt;100,"NM",IF(((CQ354/CO354-1)*100)&lt;-50,"NM",(CQ354/CO354-1)*100)))</f>
        <v>4.0000000000000036</v>
      </c>
      <c r="CS354" s="23">
        <f t="shared" si="2192"/>
        <v>4.0019831745643053</v>
      </c>
    </row>
    <row r="355" spans="1:105" ht="12.75" customHeight="1" x14ac:dyDescent="0.2">
      <c r="A355" s="408" t="s">
        <v>505</v>
      </c>
      <c r="B355" s="115"/>
      <c r="C355" s="59"/>
      <c r="D355" s="115"/>
      <c r="E355" s="59"/>
      <c r="F355" s="115"/>
      <c r="G355" s="59"/>
      <c r="H355" s="115"/>
      <c r="I355" s="59"/>
      <c r="J355" s="115"/>
      <c r="K355" s="23"/>
      <c r="L355" s="115"/>
      <c r="M355" s="23"/>
      <c r="N355" s="115"/>
      <c r="O355" s="23"/>
      <c r="P355" s="115"/>
      <c r="Q355" s="23"/>
      <c r="R355" s="528"/>
      <c r="S355" s="23"/>
      <c r="T355" s="528"/>
      <c r="U355" s="23"/>
      <c r="V355" s="528"/>
      <c r="W355" s="23" t="str">
        <f t="shared" si="2232"/>
        <v>NA</v>
      </c>
      <c r="X355" s="528">
        <v>2804</v>
      </c>
      <c r="Y355" s="23" t="str">
        <f t="shared" si="2233"/>
        <v>NA</v>
      </c>
      <c r="Z355" s="528">
        <v>2879</v>
      </c>
      <c r="AA355" s="23" t="str">
        <f t="shared" si="2234"/>
        <v>NA</v>
      </c>
      <c r="AB355" s="528">
        <v>2889</v>
      </c>
      <c r="AC355" s="23" t="str">
        <f t="shared" si="2235"/>
        <v>NA</v>
      </c>
      <c r="AD355" s="528">
        <v>2878</v>
      </c>
      <c r="AE355" s="23" t="str">
        <f t="shared" si="2236"/>
        <v>NA</v>
      </c>
      <c r="AF355" s="528">
        <v>2781</v>
      </c>
      <c r="AG355" s="23">
        <f t="shared" si="2237"/>
        <v>-0.82025677603423386</v>
      </c>
      <c r="AH355" s="528">
        <v>2695</v>
      </c>
      <c r="AI355" s="23">
        <f t="shared" si="2238"/>
        <v>-6.3911080236193074</v>
      </c>
      <c r="AJ355" s="528">
        <v>2594</v>
      </c>
      <c r="AK355" s="23">
        <f t="shared" si="2239"/>
        <v>-10.211145725164418</v>
      </c>
      <c r="AL355" s="528">
        <v>2455</v>
      </c>
      <c r="AM355" s="23">
        <f t="shared" si="2240"/>
        <v>-14.697706740792215</v>
      </c>
      <c r="AN355" s="528">
        <v>2327</v>
      </c>
      <c r="AO355" s="23">
        <f t="shared" si="2241"/>
        <v>-16.325062927004673</v>
      </c>
      <c r="AP355" s="528">
        <v>2217</v>
      </c>
      <c r="AQ355" s="23">
        <f t="shared" si="2242"/>
        <v>-17.736549165120596</v>
      </c>
      <c r="AR355" s="528">
        <v>2127</v>
      </c>
      <c r="AS355" s="23">
        <f t="shared" si="2243"/>
        <v>-18.003084040092521</v>
      </c>
      <c r="AT355" s="528">
        <v>2058</v>
      </c>
      <c r="AU355" s="23">
        <f t="shared" si="2244"/>
        <v>-16.171079429735236</v>
      </c>
      <c r="AV355" s="528">
        <v>2015</v>
      </c>
      <c r="AW355" s="23"/>
      <c r="AX355" s="528">
        <v>1893</v>
      </c>
      <c r="AY355" s="23"/>
      <c r="AZ355" s="528">
        <v>1749</v>
      </c>
      <c r="BA355" s="23"/>
      <c r="BB355" s="528">
        <v>1614</v>
      </c>
      <c r="BC355" s="23"/>
      <c r="BD355" s="528">
        <v>1527</v>
      </c>
      <c r="BE355" s="23"/>
      <c r="BF355" s="528">
        <f t="shared" ref="BF355:BJ355" si="2261">AVERAGE(BF354,BD354,BB354,AZ354,AX354)</f>
        <v>1762.682</v>
      </c>
      <c r="BG355" s="23"/>
      <c r="BH355" s="528">
        <f t="shared" si="2261"/>
        <v>1901.8888200000001</v>
      </c>
      <c r="BI355" s="23"/>
      <c r="BJ355" s="528">
        <f t="shared" si="2261"/>
        <v>2033.8637082</v>
      </c>
      <c r="BK355" s="23"/>
      <c r="BL355" s="528">
        <f t="shared" ref="BL355" si="2262">AVERAGE(BL354,BJ354,BH354,BF354,BD354)</f>
        <v>2184.0341695867819</v>
      </c>
      <c r="BM355" s="23"/>
      <c r="BN355" s="35"/>
      <c r="BO355" s="138"/>
      <c r="BP355" s="35"/>
      <c r="BQ355" s="113"/>
      <c r="BR355" s="113"/>
      <c r="BS355" s="113"/>
      <c r="BT355" s="35"/>
      <c r="BU355" s="115"/>
      <c r="BV355" s="23"/>
      <c r="BW355" s="115"/>
      <c r="BX355" s="23"/>
      <c r="BY355" s="527">
        <f>X355</f>
        <v>2804</v>
      </c>
      <c r="BZ355" s="23" t="str">
        <f>IF(ISERROR((BY355/BW355-1)*100),"NA",IF(((BY355/BW355-1)*100)&gt;100,"NM",IF(((BY355/BW355-1)*100)&lt;-50,"NM",(BY355/BW355-1)*100)))</f>
        <v>NA</v>
      </c>
      <c r="CA355" s="527">
        <f>AF355</f>
        <v>2781</v>
      </c>
      <c r="CB355" s="23">
        <f t="shared" si="2245"/>
        <v>-0.82025677603423386</v>
      </c>
      <c r="CC355" s="527">
        <f>AN355</f>
        <v>2327</v>
      </c>
      <c r="CD355" s="23">
        <f>IF(ISERROR((CC355/CA355-1)*100),"NA",IF(((CC355/CA355-1)*100)&gt;100,"NM",IF(((CC355/CA355-1)*100)&lt;-50,"NM",(CC355/CA355-1)*100)))</f>
        <v>-16.325062927004673</v>
      </c>
      <c r="CE355" s="527">
        <f>AVERAGE(CE354,CE353)</f>
        <v>1862.5</v>
      </c>
      <c r="CF355" s="23">
        <f>IF(ISERROR((CE355/CC355-1)*100),"NA",IF(((CE355/CC355-1)*100)&gt;100,"NM",IF(((CE355/CC355-1)*100)&lt;-50,"NM",(CE355/CC355-1)*100)))</f>
        <v>-19.961323592608505</v>
      </c>
      <c r="CG355" s="527">
        <f>AVERAGE(CG354,CG353)</f>
        <v>1909</v>
      </c>
      <c r="CH355" s="23">
        <f>IF(ISERROR((CG355/CE355-1)*100),"NA",IF(((CG355/CE355-1)*100)&gt;100,"NM",IF(((CG355/CE355-1)*100)&lt;-50,"NM",(CG355/CE355-1)*100)))</f>
        <v>2.4966442953020085</v>
      </c>
      <c r="CI355" s="527">
        <f>AVERAGE(CI354,CI353)</f>
        <v>2183.9261534669549</v>
      </c>
      <c r="CJ355" s="23">
        <f>IF(ISERROR((CI355/CG355-1)*100),"NA",IF(((CI355/CG355-1)*100)&gt;100,"NM",IF(((CI355/CG355-1)*100)&lt;-50,"NM",(CI355/CG355-1)*100)))</f>
        <v>14.401579542533005</v>
      </c>
      <c r="CK355" s="527">
        <f>AVERAGE(CK354,CK353)</f>
        <v>2271.3893530725882</v>
      </c>
      <c r="CL355" s="23">
        <f>IF(ISERROR((CK355/CI355-1)*100),"NA",IF(((CK355/CI355-1)*100)&gt;100,"NM",IF(((CK355/CI355-1)*100)&lt;-50,"NM",(CK355/CI355-1)*100)))</f>
        <v>4.0048606710802348</v>
      </c>
      <c r="CM355" s="527">
        <f>AVERAGE(CM354,CM353)</f>
        <v>2362.244927195492</v>
      </c>
      <c r="CN355" s="23">
        <f>IF(ISERROR((CM355/CK355-1)*100),"NA",IF(((CM355/CK355-1)*100)&gt;100,"NM",IF(((CM355/CK355-1)*100)&lt;-50,"NM",(CM355/CK355-1)*100)))</f>
        <v>4.0000000000000036</v>
      </c>
      <c r="CO355" s="527">
        <f>AVERAGE(CO354,CO353)</f>
        <v>2456.7347242833112</v>
      </c>
      <c r="CP355" s="23">
        <f>IF(ISERROR((CO355/CM355-1)*100),"NA",IF(((CO355/CM355-1)*100)&gt;100,"NM",IF(((CO355/CM355-1)*100)&lt;-50,"NM",(CO355/CM355-1)*100)))</f>
        <v>3.9999999999999813</v>
      </c>
      <c r="CQ355" s="527">
        <f>AVERAGE(CQ354,CQ353)</f>
        <v>2555.0041132546439</v>
      </c>
      <c r="CR355" s="23">
        <f>IF(ISERROR((CQ355/CO355-1)*100),"NA",IF(((CQ355/CO355-1)*100)&gt;100,"NM",IF(((CQ355/CO355-1)*100)&lt;-50,"NM",(CQ355/CO355-1)*100)))</f>
        <v>4.0000000000000036</v>
      </c>
      <c r="CS355" s="23">
        <f t="shared" si="2192"/>
        <v>6.0027506970056432</v>
      </c>
    </row>
    <row r="356" spans="1:105" ht="12.75" customHeight="1" x14ac:dyDescent="0.2">
      <c r="J356" s="5"/>
      <c r="L356" s="5"/>
      <c r="N356" s="5"/>
      <c r="P356" s="5"/>
      <c r="R356" s="5"/>
      <c r="T356" s="5"/>
      <c r="V356" s="5"/>
      <c r="X356" s="5"/>
      <c r="Z356" s="5"/>
      <c r="AB356" s="5"/>
      <c r="AD356" s="5"/>
      <c r="AF356" s="5"/>
      <c r="AH356" s="5"/>
      <c r="AJ356" s="5"/>
      <c r="AL356" s="5"/>
      <c r="AN356" s="475"/>
      <c r="AP356" s="475"/>
      <c r="AR356" s="475"/>
      <c r="AT356" s="475"/>
      <c r="AV356" s="475"/>
      <c r="AX356" s="475"/>
      <c r="AZ356" s="475"/>
      <c r="BB356" s="475"/>
      <c r="BD356" s="475"/>
      <c r="BF356" s="5"/>
      <c r="BH356" s="5"/>
      <c r="BJ356" s="5"/>
      <c r="BL356" s="5"/>
      <c r="BN356" s="10"/>
      <c r="BO356" s="136"/>
      <c r="BP356" s="10"/>
      <c r="BQ356" s="10"/>
      <c r="BR356" s="10"/>
      <c r="BS356" s="10"/>
      <c r="BT356" s="10"/>
      <c r="BU356" s="10"/>
      <c r="BW356" s="5"/>
      <c r="CS356" s="23"/>
    </row>
    <row r="357" spans="1:105" s="129" customFormat="1" ht="12.75" customHeight="1" x14ac:dyDescent="0.2">
      <c r="A357" s="126" t="s">
        <v>147</v>
      </c>
      <c r="B357" s="127"/>
      <c r="C357" s="128"/>
      <c r="D357" s="127"/>
      <c r="E357" s="128"/>
      <c r="F357" s="127"/>
      <c r="G357" s="128"/>
      <c r="H357" s="127"/>
      <c r="I357" s="128"/>
      <c r="K357" s="130"/>
      <c r="M357" s="130"/>
      <c r="O357" s="130"/>
      <c r="Q357" s="130"/>
      <c r="S357" s="130"/>
      <c r="U357" s="130"/>
      <c r="W357" s="130"/>
      <c r="Y357" s="130"/>
      <c r="AA357" s="130"/>
      <c r="AC357" s="130"/>
      <c r="AE357" s="130"/>
      <c r="AG357" s="130"/>
      <c r="AI357" s="130"/>
      <c r="AK357" s="130"/>
      <c r="AM357" s="130"/>
      <c r="AO357" s="130"/>
      <c r="AQ357" s="130"/>
      <c r="AS357" s="130"/>
      <c r="AU357" s="130"/>
      <c r="AW357" s="130"/>
      <c r="AY357" s="130"/>
      <c r="BA357" s="130"/>
      <c r="BC357" s="130"/>
      <c r="BE357" s="130"/>
      <c r="BG357" s="130"/>
      <c r="BI357" s="130"/>
      <c r="BK357" s="130"/>
      <c r="BM357" s="130"/>
      <c r="BO357" s="135"/>
      <c r="BV357" s="130"/>
      <c r="BX357" s="130"/>
      <c r="BZ357" s="130"/>
      <c r="CB357" s="130"/>
      <c r="CD357" s="130"/>
      <c r="CF357" s="130"/>
      <c r="CH357" s="130"/>
      <c r="CJ357" s="130"/>
      <c r="CL357" s="130"/>
      <c r="CN357" s="130"/>
      <c r="CP357" s="130"/>
      <c r="CR357" s="130"/>
      <c r="CS357" s="130"/>
      <c r="CV357"/>
      <c r="CW357"/>
      <c r="CX357"/>
      <c r="CY357"/>
      <c r="CZ357"/>
      <c r="DA357"/>
    </row>
    <row r="358" spans="1:105" s="111" customFormat="1" ht="12.75" customHeight="1" x14ac:dyDescent="0.2">
      <c r="A358" s="30"/>
      <c r="B358" s="122"/>
      <c r="C358" s="58"/>
      <c r="D358" s="122"/>
      <c r="E358" s="58"/>
      <c r="F358" s="122"/>
      <c r="G358" s="58"/>
      <c r="H358" s="122"/>
      <c r="I358" s="58"/>
      <c r="J358" s="123"/>
      <c r="K358" s="179"/>
      <c r="L358" s="123"/>
      <c r="M358" s="179"/>
      <c r="N358" s="123"/>
      <c r="O358" s="179"/>
      <c r="P358" s="123"/>
      <c r="Q358" s="179"/>
      <c r="R358" s="123"/>
      <c r="S358" s="179"/>
      <c r="T358" s="123"/>
      <c r="U358" s="179"/>
      <c r="V358" s="123"/>
      <c r="W358" s="179"/>
      <c r="X358" s="123"/>
      <c r="Y358" s="179"/>
      <c r="Z358" s="123"/>
      <c r="AA358" s="179"/>
      <c r="AB358" s="123"/>
      <c r="AC358" s="179"/>
      <c r="AD358" s="123"/>
      <c r="AE358" s="179"/>
      <c r="AF358" s="123"/>
      <c r="AG358" s="179"/>
      <c r="AH358" s="123"/>
      <c r="AI358" s="179"/>
      <c r="AJ358" s="123"/>
      <c r="AK358" s="179"/>
      <c r="AL358" s="123"/>
      <c r="AM358" s="179"/>
      <c r="AN358" s="507"/>
      <c r="AO358" s="179"/>
      <c r="AP358" s="507"/>
      <c r="AQ358" s="179"/>
      <c r="AR358" s="507"/>
      <c r="AS358" s="179"/>
      <c r="AT358" s="507"/>
      <c r="AU358" s="179"/>
      <c r="AV358" s="507"/>
      <c r="AW358" s="179"/>
      <c r="AX358" s="507"/>
      <c r="AY358" s="179"/>
      <c r="AZ358" s="507"/>
      <c r="BA358" s="179"/>
      <c r="BB358" s="507"/>
      <c r="BC358" s="179"/>
      <c r="BD358" s="507"/>
      <c r="BE358" s="179"/>
      <c r="BF358" s="123"/>
      <c r="BG358" s="179"/>
      <c r="BH358" s="123"/>
      <c r="BI358" s="179"/>
      <c r="BJ358" s="123"/>
      <c r="BK358" s="179"/>
      <c r="BL358" s="123"/>
      <c r="BM358" s="179"/>
      <c r="BN358" s="124"/>
      <c r="BO358" s="140"/>
      <c r="BP358" s="124"/>
      <c r="BQ358" s="124"/>
      <c r="BR358" s="123"/>
      <c r="BS358" s="123"/>
      <c r="BT358" s="123"/>
      <c r="BU358" s="123"/>
      <c r="BV358" s="179"/>
      <c r="BW358" s="123"/>
      <c r="BX358" s="179"/>
      <c r="BY358" s="30"/>
      <c r="BZ358" s="179"/>
      <c r="CA358" s="30"/>
      <c r="CB358" s="179"/>
      <c r="CC358" s="30"/>
      <c r="CD358" s="179"/>
      <c r="CE358" s="30"/>
      <c r="CF358" s="179"/>
      <c r="CG358" s="30"/>
      <c r="CH358" s="179"/>
      <c r="CI358" s="30"/>
      <c r="CJ358" s="179"/>
      <c r="CK358" s="30"/>
      <c r="CL358" s="179"/>
      <c r="CM358" s="30"/>
      <c r="CN358" s="179"/>
      <c r="CO358" s="30"/>
      <c r="CP358" s="179"/>
      <c r="CQ358" s="30"/>
      <c r="CR358" s="179"/>
      <c r="CS358" s="179"/>
      <c r="CV358"/>
      <c r="CW358"/>
      <c r="CX358"/>
      <c r="CY358"/>
      <c r="CZ358"/>
      <c r="DA358"/>
    </row>
    <row r="359" spans="1:105" ht="12.75" customHeight="1" x14ac:dyDescent="0.2">
      <c r="A359" s="3" t="s">
        <v>203</v>
      </c>
      <c r="J359" s="5"/>
      <c r="L359" s="5"/>
      <c r="N359" s="5"/>
      <c r="P359" s="5"/>
      <c r="R359" s="5"/>
      <c r="T359" s="5"/>
      <c r="V359" s="5"/>
      <c r="X359" s="5"/>
      <c r="Z359" s="5"/>
      <c r="AB359" s="5"/>
      <c r="AD359" s="5"/>
      <c r="AF359" s="5"/>
      <c r="AH359" s="5"/>
      <c r="AJ359" s="5"/>
      <c r="AL359" s="5"/>
      <c r="AN359" s="475"/>
      <c r="AP359" s="475"/>
      <c r="AR359" s="475"/>
      <c r="AT359" s="475"/>
      <c r="AV359" s="475"/>
      <c r="AX359" s="475"/>
      <c r="AZ359" s="475"/>
      <c r="BB359" s="475"/>
      <c r="BD359" s="475"/>
      <c r="BF359" s="5"/>
      <c r="BH359" s="5"/>
      <c r="BJ359" s="5"/>
      <c r="BL359" s="5"/>
      <c r="BN359" s="10"/>
      <c r="BO359" s="136"/>
      <c r="BP359" s="10"/>
      <c r="BQ359" s="32"/>
      <c r="BR359" s="32"/>
      <c r="BS359" s="32"/>
      <c r="BT359" s="32"/>
      <c r="BU359" s="32"/>
      <c r="BW359" s="5"/>
    </row>
    <row r="360" spans="1:105" ht="12.75" customHeight="1" x14ac:dyDescent="0.2">
      <c r="A360" s="4" t="s">
        <v>99</v>
      </c>
      <c r="B360" s="49">
        <v>1721.8</v>
      </c>
      <c r="C360" s="59"/>
      <c r="D360" s="49">
        <v>1704.5</v>
      </c>
      <c r="E360" s="59"/>
      <c r="F360" s="49">
        <v>1722.2</v>
      </c>
      <c r="G360" s="59"/>
      <c r="H360" s="49">
        <v>1727.9</v>
      </c>
      <c r="I360" s="59"/>
      <c r="J360" s="49">
        <v>1725.6</v>
      </c>
      <c r="K360" s="23">
        <f t="shared" ref="K360:Y363" si="2263">IF(ISERROR((J360/B360-1)*100),"NA",IF(((J360/B360-1)*100)&gt;100,"NM",IF(((J360/B360-1)*100)&lt;-50,"NM",(J360/B360-1)*100)))</f>
        <v>0.22069926820769137</v>
      </c>
      <c r="L360" s="49">
        <v>1754.9</v>
      </c>
      <c r="M360" s="23">
        <f t="shared" si="2263"/>
        <v>2.9568788501026733</v>
      </c>
      <c r="N360" s="49">
        <v>1752.9</v>
      </c>
      <c r="O360" s="23">
        <f t="shared" si="2263"/>
        <v>1.7826036464986705</v>
      </c>
      <c r="P360" s="48">
        <v>1745.5</v>
      </c>
      <c r="Q360" s="23">
        <f t="shared" si="2263"/>
        <v>1.0185774639736023</v>
      </c>
      <c r="R360" s="48">
        <v>1739.1</v>
      </c>
      <c r="S360" s="23">
        <f t="shared" si="2263"/>
        <v>0.78233657858135519</v>
      </c>
      <c r="T360" s="48">
        <v>1747.3</v>
      </c>
      <c r="U360" s="23">
        <f t="shared" si="2263"/>
        <v>-0.43307310957889644</v>
      </c>
      <c r="V360" s="48">
        <v>1753.6</v>
      </c>
      <c r="W360" s="23">
        <f t="shared" si="2263"/>
        <v>3.9933823948867797E-2</v>
      </c>
      <c r="X360" s="48">
        <v>1739.2</v>
      </c>
      <c r="Y360" s="23">
        <f t="shared" si="2263"/>
        <v>-0.36092810083070415</v>
      </c>
      <c r="Z360" s="48">
        <v>1760.5</v>
      </c>
      <c r="AA360" s="23">
        <f>IF(ISERROR((Z360/R360-1)*100),"NA",IF(((Z360/R360-1)*100)&gt;100,"NM",IF(((Z360/R360-1)*100)&lt;-50,"NM",(Z360/R360-1)*100)))</f>
        <v>1.2305215341268605</v>
      </c>
      <c r="AB360" s="48">
        <v>1791.3</v>
      </c>
      <c r="AC360" s="23">
        <f>IF(ISERROR((AB360/T360-1)*100),"NA",IF(((AB360/T360-1)*100)&gt;100,"NM",IF(((AB360/T360-1)*100)&lt;-50,"NM",(AB360/T360-1)*100)))</f>
        <v>2.5181708922337398</v>
      </c>
      <c r="AD360" s="48">
        <v>1780.8</v>
      </c>
      <c r="AE360" s="23">
        <f>IF(ISERROR((AD360/V360-1)*100),"NA",IF(((AD360/V360-1)*100)&gt;100,"NM",IF(((AD360/V360-1)*100)&lt;-50,"NM",(AD360/V360-1)*100)))</f>
        <v>1.5510948905109512</v>
      </c>
      <c r="AF360" s="48">
        <v>1761.1</v>
      </c>
      <c r="AG360" s="23">
        <f>IF(ISERROR((AF360/X360-1)*100),"NA",IF(((AF360/X360-1)*100)&gt;100,"NM",IF(((AF360/X360-1)*100)&lt;-50,"NM",(AF360/X360-1)*100)))</f>
        <v>1.259199632014707</v>
      </c>
      <c r="AH360" s="48">
        <v>1755.4</v>
      </c>
      <c r="AI360" s="23">
        <f>IF(ISERROR((AH360/Z360-1)*100),"NA",IF(((AH360/Z360-1)*100)&gt;100,"NM",IF(((AH360/Z360-1)*100)&lt;-50,"NM",(AH360/Z360-1)*100)))</f>
        <v>-0.28969042885543805</v>
      </c>
      <c r="AJ360" s="48">
        <v>1798.9</v>
      </c>
      <c r="AK360" s="23">
        <f>IF(ISERROR((AJ360/AB360-1)*100),"NA",IF(((AJ360/AB360-1)*100)&gt;100,"NM",IF(((AJ360/AB360-1)*100)&lt;-50,"NM",(AJ360/AB360-1)*100)))</f>
        <v>0.42427287444872785</v>
      </c>
      <c r="AL360" s="48">
        <v>1795.3</v>
      </c>
      <c r="AM360" s="23">
        <f>IF(ISERROR((AL360/AD360-1)*100),"NA",IF(((AL360/AD360-1)*100)&gt;100,"NM",IF(((AL360/AD360-1)*100)&lt;-50,"NM",(AL360/AD360-1)*100)))</f>
        <v>0.81424079065588462</v>
      </c>
      <c r="AN360" s="287">
        <v>1777.9</v>
      </c>
      <c r="AO360" s="23">
        <f>IF(ISERROR((AN360/AF360-1)*100),"NA",IF(((AN360/AF360-1)*100)&gt;100,"NM",IF(((AN360/AF360-1)*100)&lt;-50,"NM",(AN360/AF360-1)*100)))</f>
        <v>0.9539492362727886</v>
      </c>
      <c r="AP360" s="287">
        <v>1769</v>
      </c>
      <c r="AQ360" s="23">
        <f t="shared" ref="AQ360:AQ363" si="2264">IF(ISERROR((AP360/AH360-1)*100),"NA",IF(((AP360/AH360-1)*100)&gt;100,"NM",IF(((AP360/AH360-1)*100)&lt;-50,"NM",(AP360/AH360-1)*100)))</f>
        <v>0.77475219323230871</v>
      </c>
      <c r="AR360" s="287">
        <v>1794.7</v>
      </c>
      <c r="AS360" s="23">
        <f t="shared" ref="AS360:AS363" si="2265">IF(ISERROR((AR360/AJ360-1)*100),"NA",IF(((AR360/AJ360-1)*100)&gt;100,"NM",IF(((AR360/AJ360-1)*100)&lt;-50,"NM",(AR360/AJ360-1)*100)))</f>
        <v>-0.23347601311912713</v>
      </c>
      <c r="AT360" s="287">
        <v>1800.9</v>
      </c>
      <c r="AU360" s="23">
        <f t="shared" ref="AU360:AU363" si="2266">IF(ISERROR((AT360/AL360-1)*100),"NA",IF(((AT360/AL360-1)*100)&gt;100,"NM",IF(((AT360/AL360-1)*100)&lt;-50,"NM",(AT360/AL360-1)*100)))</f>
        <v>0.31192558346795352</v>
      </c>
      <c r="AV360" s="287">
        <v>1776.2</v>
      </c>
      <c r="AW360" s="23">
        <f t="shared" ref="AW360:AW363" si="2267">IF(ISERROR((AV360/AN360-1)*100),"NA",IF(((AV360/AN360-1)*100)&gt;100,"NM",IF(((AV360/AN360-1)*100)&lt;-50,"NM",(AV360/AN360-1)*100)))</f>
        <v>-9.5618426233201603E-2</v>
      </c>
      <c r="AX360" s="287">
        <v>1786.4</v>
      </c>
      <c r="AY360" s="23">
        <f t="shared" ref="AY360:AY363" si="2268">IF(ISERROR((AX360/AP360-1)*100),"NA",IF(((AX360/AP360-1)*100)&gt;100,"NM",IF(((AX360/AP360-1)*100)&lt;-50,"NM",(AX360/AP360-1)*100)))</f>
        <v>0.98360655737705915</v>
      </c>
      <c r="AZ360" s="287">
        <v>1848.8</v>
      </c>
      <c r="BA360" s="23">
        <f t="shared" ref="BA360:BA363" si="2269">IF(ISERROR((AZ360/AR360-1)*100),"NA",IF(((AZ360/AR360-1)*100)&gt;100,"NM",IF(((AZ360/AR360-1)*100)&lt;-50,"NM",(AZ360/AR360-1)*100)))</f>
        <v>3.0144313812893397</v>
      </c>
      <c r="BB360" s="287">
        <v>1860.1</v>
      </c>
      <c r="BC360" s="23">
        <f t="shared" ref="BC360:BC363" si="2270">IF(ISERROR((BB360/AT360-1)*100),"NA",IF(((BB360/AT360-1)*100)&gt;100,"NM",IF(((BB360/AT360-1)*100)&lt;-50,"NM",(BB360/AT360-1)*100)))</f>
        <v>3.287245266255745</v>
      </c>
      <c r="BD360" s="287">
        <v>1813</v>
      </c>
      <c r="BE360" s="23">
        <f t="shared" ref="BE360:BE363" si="2271">IF(ISERROR((BD360/AV360-1)*100),"NA",IF(((BD360/AV360-1)*100)&gt;100,"NM",IF(((BD360/AV360-1)*100)&lt;-50,"NM",(BD360/AV360-1)*100)))</f>
        <v>2.0718387568967378</v>
      </c>
      <c r="BF360" s="48">
        <f>BD360*(1+0.05/4)</f>
        <v>1835.6624999999999</v>
      </c>
      <c r="BG360" s="23">
        <f t="shared" ref="BG360:BG363" si="2272">IF(ISERROR((BF360/AX360-1)*100),"NA",IF(((BF360/AX360-1)*100)&gt;100,"NM",IF(((BF360/AX360-1)*100)&lt;-50,"NM",(BF360/AX360-1)*100)))</f>
        <v>2.7576410658307182</v>
      </c>
      <c r="BH360" s="48">
        <f>BF360*(1+0.05/4)</f>
        <v>1858.6082812499999</v>
      </c>
      <c r="BI360" s="23">
        <f t="shared" ref="BI360:BI363" si="2273">IF(ISERROR((BH360/AZ360-1)*100),"NA",IF(((BH360/AZ360-1)*100)&gt;100,"NM",IF(((BH360/AZ360-1)*100)&lt;-50,"NM",(BH360/AZ360-1)*100)))</f>
        <v>0.53052148691041801</v>
      </c>
      <c r="BJ360" s="48">
        <f>BH360*(1+0.05/4)</f>
        <v>1881.8408847656249</v>
      </c>
      <c r="BK360" s="23">
        <f t="shared" ref="BK360:BK363" si="2274">IF(ISERROR((BJ360/BB360-1)*100),"NA",IF(((BJ360/BB360-1)*100)&gt;100,"NM",IF(((BJ360/BB360-1)*100)&lt;-50,"NM",(BJ360/BB360-1)*100)))</f>
        <v>1.1688019335317934</v>
      </c>
      <c r="BL360" s="48">
        <f>BJ360*(1+0.045/4)</f>
        <v>1903.011594719238</v>
      </c>
      <c r="BM360" s="23">
        <f t="shared" ref="BM360:BM363" si="2275">IF(ISERROR((BL360/BD360-1)*100),"NA",IF(((BL360/BD360-1)*100)&gt;100,"NM",IF(((BL360/BD360-1)*100)&lt;-50,"NM",(BL360/BD360-1)*100)))</f>
        <v>4.9647873535156206</v>
      </c>
      <c r="BN360" s="10"/>
      <c r="BO360" s="137"/>
      <c r="BP360" s="10"/>
      <c r="BQ360" s="153"/>
      <c r="BR360" s="153"/>
      <c r="BS360" s="153"/>
      <c r="BT360" s="32"/>
      <c r="BU360" s="36">
        <f>H360</f>
        <v>1727.9</v>
      </c>
      <c r="BV360" s="23" t="str">
        <f>IF(ISERROR((BU360/BS360-1)*100),"NA",IF(((BU360/BS360-1)*100)&gt;100,"NM",IF(((BU360/BS360-1)*100)&lt;-50,"NM",(BU360/BS360-1)*100)))</f>
        <v>NA</v>
      </c>
      <c r="BW360" s="36">
        <f>P360</f>
        <v>1745.5</v>
      </c>
      <c r="BX360" s="23">
        <f>IF(ISERROR((BW360/BU360-1)*100),"NA",IF(((BW360/BU360-1)*100)&gt;100,"NM",IF(((BW360/BU360-1)*100)&lt;-50,"NM",(BW360/BU360-1)*100)))</f>
        <v>1.0185774639736023</v>
      </c>
      <c r="BY360" s="36">
        <f>X360</f>
        <v>1739.2</v>
      </c>
      <c r="BZ360" s="23">
        <f>IF(ISERROR((BY360/BW360-1)*100),"NA",IF(((BY360/BW360-1)*100)&gt;100,"NM",IF(((BY360/BW360-1)*100)&lt;-50,"NM",(BY360/BW360-1)*100)))</f>
        <v>-0.36092810083070415</v>
      </c>
      <c r="CA360" s="36">
        <f>AF360</f>
        <v>1761.1</v>
      </c>
      <c r="CB360" s="23">
        <f>IF(ISERROR((CA360/BY360-1)*100),"NA",IF(((CA360/BY360-1)*100)&gt;100,"NM",IF(((CA360/BY360-1)*100)&lt;-50,"NM",(CA360/BY360-1)*100)))</f>
        <v>1.259199632014707</v>
      </c>
      <c r="CC360" s="36">
        <f>AN360</f>
        <v>1777.9</v>
      </c>
      <c r="CD360" s="23">
        <f>IF(ISERROR((CC360/CA360-1)*100),"NA",IF(((CC360/CA360-1)*100)&gt;100,"NM",IF(((CC360/CA360-1)*100)&lt;-50,"NM",(CC360/CA360-1)*100)))</f>
        <v>0.9539492362727886</v>
      </c>
      <c r="CE360" s="36">
        <f>AV360</f>
        <v>1776.2</v>
      </c>
      <c r="CF360" s="23">
        <f>IF(ISERROR((CE360/CC360-1)*100),"NA",IF(((CE360/CC360-1)*100)&gt;100,"NM",IF(((CE360/CC360-1)*100)&lt;-50,"NM",(CE360/CC360-1)*100)))</f>
        <v>-9.5618426233201603E-2</v>
      </c>
      <c r="CG360" s="36">
        <f>BD360</f>
        <v>1813</v>
      </c>
      <c r="CH360" s="23">
        <f>IF(ISERROR((CG360/CE360-1)*100),"NA",IF(((CG360/CE360-1)*100)&gt;100,"NM",IF(((CG360/CE360-1)*100)&lt;-50,"NM",(CG360/CE360-1)*100)))</f>
        <v>2.0718387568967378</v>
      </c>
      <c r="CI360" s="36">
        <f>BL360</f>
        <v>1903.011594719238</v>
      </c>
      <c r="CJ360" s="23">
        <f>IF(ISERROR((CI360/CG360-1)*100),"NA",IF(((CI360/CG360-1)*100)&gt;100,"NM",IF(((CI360/CG360-1)*100)&lt;-50,"NM",(CI360/CG360-1)*100)))</f>
        <v>4.9647873535156206</v>
      </c>
      <c r="CK360" s="48">
        <f>CI360*1.05</f>
        <v>1998.1621744552001</v>
      </c>
      <c r="CL360" s="23">
        <f>IF(ISERROR((CK360/CI360-1)*100),"NA",IF(((CK360/CI360-1)*100)&gt;100,"NM",IF(((CK360/CI360-1)*100)&lt;-50,"NM",(CK360/CI360-1)*100)))</f>
        <v>5.0000000000000044</v>
      </c>
      <c r="CM360" s="48">
        <f>CK360*1.05</f>
        <v>2098.0702831779604</v>
      </c>
      <c r="CN360" s="23">
        <f>IF(ISERROR((CM360/CK360-1)*100),"NA",IF(((CM360/CK360-1)*100)&gt;100,"NM",IF(((CM360/CK360-1)*100)&lt;-50,"NM",(CM360/CK360-1)*100)))</f>
        <v>5.0000000000000044</v>
      </c>
      <c r="CO360" s="48">
        <f>CM360*1.05</f>
        <v>2202.9737973368583</v>
      </c>
      <c r="CP360" s="23">
        <f>IF(ISERROR((CO360/CM360-1)*100),"NA",IF(((CO360/CM360-1)*100)&gt;100,"NM",IF(((CO360/CM360-1)*100)&lt;-50,"NM",(CO360/CM360-1)*100)))</f>
        <v>5.0000000000000044</v>
      </c>
      <c r="CQ360" s="48">
        <f>CO360*1.05</f>
        <v>2313.1224872037014</v>
      </c>
      <c r="CR360" s="23">
        <f>IF(ISERROR((CQ360/CO360-1)*100),"NA",IF(((CQ360/CO360-1)*100)&gt;100,"NM",IF(((CQ360/CO360-1)*100)&lt;-50,"NM",(CQ360/CO360-1)*100)))</f>
        <v>5.0000000000000044</v>
      </c>
      <c r="CS360" s="23">
        <f>IF(ISERROR(((CQ360/CG360)^0.2-1)*100),"NA",IF((((CQ360/CG360)^0.2-1)*100)&gt;100,"NM",IF((((CQ360/CG360)^0.2-1)*100)&lt;-50,"NM",((CQ360/CG360)^0.2-1)*100)))</f>
        <v>4.9929565258040709</v>
      </c>
    </row>
    <row r="361" spans="1:105" ht="12.75" customHeight="1" x14ac:dyDescent="0.2">
      <c r="A361" s="4" t="s">
        <v>210</v>
      </c>
      <c r="B361" s="49">
        <v>12.6</v>
      </c>
      <c r="C361" s="59"/>
      <c r="D361" s="49">
        <v>14.1</v>
      </c>
      <c r="E361" s="59"/>
      <c r="F361" s="49">
        <v>12.7</v>
      </c>
      <c r="G361" s="59"/>
      <c r="H361" s="49">
        <v>13.3</v>
      </c>
      <c r="I361" s="59"/>
      <c r="J361" s="49">
        <v>14.2</v>
      </c>
      <c r="K361" s="23">
        <f t="shared" si="2263"/>
        <v>12.698412698412698</v>
      </c>
      <c r="L361" s="49">
        <v>13.2</v>
      </c>
      <c r="M361" s="23">
        <f t="shared" si="2263"/>
        <v>-6.3829787234042534</v>
      </c>
      <c r="N361" s="49">
        <v>14.3</v>
      </c>
      <c r="O361" s="23">
        <f t="shared" si="2263"/>
        <v>12.598425196850416</v>
      </c>
      <c r="P361" s="48">
        <v>14</v>
      </c>
      <c r="Q361" s="23">
        <f t="shared" si="2263"/>
        <v>5.2631578947368363</v>
      </c>
      <c r="R361" s="48">
        <v>14.7</v>
      </c>
      <c r="S361" s="23">
        <f t="shared" si="2263"/>
        <v>3.5211267605633756</v>
      </c>
      <c r="T361" s="48">
        <v>14.8</v>
      </c>
      <c r="U361" s="23">
        <f t="shared" si="2263"/>
        <v>12.121212121212132</v>
      </c>
      <c r="V361" s="48">
        <v>15.2</v>
      </c>
      <c r="W361" s="23">
        <f t="shared" si="2263"/>
        <v>6.2937062937062915</v>
      </c>
      <c r="X361" s="48">
        <v>15.9</v>
      </c>
      <c r="Y361" s="23">
        <f t="shared" si="2263"/>
        <v>13.571428571428568</v>
      </c>
      <c r="Z361" s="48">
        <v>15.9</v>
      </c>
      <c r="AA361" s="23">
        <f>IF(ISERROR((Z361/R361-1)*100),"NA",IF(((Z361/R361-1)*100)&gt;100,"NM",IF(((Z361/R361-1)*100)&lt;-50,"NM",(Z361/R361-1)*100)))</f>
        <v>8.163265306122458</v>
      </c>
      <c r="AB361" s="48">
        <v>16.2</v>
      </c>
      <c r="AC361" s="23">
        <f>IF(ISERROR((AB361/T361-1)*100),"NA",IF(((AB361/T361-1)*100)&gt;100,"NM",IF(((AB361/T361-1)*100)&lt;-50,"NM",(AB361/T361-1)*100)))</f>
        <v>9.4594594594594525</v>
      </c>
      <c r="AD361" s="48">
        <v>16</v>
      </c>
      <c r="AE361" s="23">
        <f>IF(ISERROR((AD361/V361-1)*100),"NA",IF(((AD361/V361-1)*100)&gt;100,"NM",IF(((AD361/V361-1)*100)&lt;-50,"NM",(AD361/V361-1)*100)))</f>
        <v>5.2631578947368363</v>
      </c>
      <c r="AF361" s="48">
        <v>16.100000000000001</v>
      </c>
      <c r="AG361" s="23">
        <f>IF(ISERROR((AF361/X361-1)*100),"NA",IF(((AF361/X361-1)*100)&gt;100,"NM",IF(((AF361/X361-1)*100)&lt;-50,"NM",(AF361/X361-1)*100)))</f>
        <v>1.2578616352201255</v>
      </c>
      <c r="AH361" s="48">
        <v>16.100000000000001</v>
      </c>
      <c r="AI361" s="23">
        <f>IF(ISERROR((AH361/Z361-1)*100),"NA",IF(((AH361/Z361-1)*100)&gt;100,"NM",IF(((AH361/Z361-1)*100)&lt;-50,"NM",(AH361/Z361-1)*100)))</f>
        <v>1.2578616352201255</v>
      </c>
      <c r="AJ361" s="48">
        <v>15.7</v>
      </c>
      <c r="AK361" s="23">
        <f>IF(ISERROR((AJ361/AB361-1)*100),"NA",IF(((AJ361/AB361-1)*100)&gt;100,"NM",IF(((AJ361/AB361-1)*100)&lt;-50,"NM",(AJ361/AB361-1)*100)))</f>
        <v>-3.0864197530864224</v>
      </c>
      <c r="AL361" s="48">
        <v>14.4</v>
      </c>
      <c r="AM361" s="23">
        <f>IF(ISERROR((AL361/AD361-1)*100),"NA",IF(((AL361/AD361-1)*100)&gt;100,"NM",IF(((AL361/AD361-1)*100)&lt;-50,"NM",(AL361/AD361-1)*100)))</f>
        <v>-9.9999999999999982</v>
      </c>
      <c r="AN361" s="287">
        <v>15.1</v>
      </c>
      <c r="AO361" s="23">
        <f>IF(ISERROR((AN361/AF361-1)*100),"NA",IF(((AN361/AF361-1)*100)&gt;100,"NM",IF(((AN361/AF361-1)*100)&lt;-50,"NM",(AN361/AF361-1)*100)))</f>
        <v>-6.2111801242236142</v>
      </c>
      <c r="AP361" s="287">
        <v>14.8</v>
      </c>
      <c r="AQ361" s="23">
        <f t="shared" si="2264"/>
        <v>-8.0745341614906874</v>
      </c>
      <c r="AR361" s="287">
        <v>14.5</v>
      </c>
      <c r="AS361" s="23">
        <f t="shared" si="2265"/>
        <v>-7.6433121019108263</v>
      </c>
      <c r="AT361" s="287">
        <v>14.7</v>
      </c>
      <c r="AU361" s="23">
        <f t="shared" si="2266"/>
        <v>2.0833333333333259</v>
      </c>
      <c r="AV361" s="287">
        <v>14.9</v>
      </c>
      <c r="AW361" s="23">
        <f t="shared" si="2267"/>
        <v>-1.3245033112582738</v>
      </c>
      <c r="AX361" s="287">
        <v>15.3</v>
      </c>
      <c r="AY361" s="23">
        <f t="shared" si="2268"/>
        <v>3.3783783783783772</v>
      </c>
      <c r="AZ361" s="287">
        <v>15.1</v>
      </c>
      <c r="BA361" s="23">
        <f t="shared" si="2269"/>
        <v>4.1379310344827669</v>
      </c>
      <c r="BB361" s="287">
        <v>15.2</v>
      </c>
      <c r="BC361" s="23">
        <f t="shared" si="2270"/>
        <v>3.4013605442176909</v>
      </c>
      <c r="BD361" s="287">
        <v>16</v>
      </c>
      <c r="BE361" s="23">
        <f t="shared" si="2271"/>
        <v>7.3825503355704702</v>
      </c>
      <c r="BF361" s="48">
        <f>AX361</f>
        <v>15.3</v>
      </c>
      <c r="BG361" s="23">
        <f t="shared" si="2272"/>
        <v>0</v>
      </c>
      <c r="BH361" s="48">
        <f>AZ361</f>
        <v>15.1</v>
      </c>
      <c r="BI361" s="23">
        <f t="shared" si="2273"/>
        <v>0</v>
      </c>
      <c r="BJ361" s="48">
        <f>BB361</f>
        <v>15.2</v>
      </c>
      <c r="BK361" s="23">
        <f t="shared" si="2274"/>
        <v>0</v>
      </c>
      <c r="BL361" s="48">
        <f>BD361</f>
        <v>16</v>
      </c>
      <c r="BM361" s="23">
        <f t="shared" si="2275"/>
        <v>0</v>
      </c>
      <c r="BN361" s="10"/>
      <c r="BO361" s="137"/>
      <c r="BP361" s="10"/>
      <c r="BQ361" s="153"/>
      <c r="BR361" s="153"/>
      <c r="BS361" s="153"/>
      <c r="BT361" s="32"/>
      <c r="BU361" s="36">
        <f>H361</f>
        <v>13.3</v>
      </c>
      <c r="BV361" s="23" t="str">
        <f>IF(ISERROR((BU361/BS361-1)*100),"NA",IF(((BU361/BS361-1)*100)&gt;100,"NM",IF(((BU361/BS361-1)*100)&lt;-50,"NM",(BU361/BS361-1)*100)))</f>
        <v>NA</v>
      </c>
      <c r="BW361" s="36">
        <f>P361</f>
        <v>14</v>
      </c>
      <c r="BX361" s="23">
        <f>IF(ISERROR((BW361/BU361-1)*100),"NA",IF(((BW361/BU361-1)*100)&gt;100,"NM",IF(((BW361/BU361-1)*100)&lt;-50,"NM",(BW361/BU361-1)*100)))</f>
        <v>5.2631578947368363</v>
      </c>
      <c r="BY361" s="36">
        <f>X361</f>
        <v>15.9</v>
      </c>
      <c r="BZ361" s="23">
        <f>IF(ISERROR((BY361/BW361-1)*100),"NA",IF(((BY361/BW361-1)*100)&gt;100,"NM",IF(((BY361/BW361-1)*100)&lt;-50,"NM",(BY361/BW361-1)*100)))</f>
        <v>13.571428571428568</v>
      </c>
      <c r="CA361" s="36">
        <f>AF361</f>
        <v>16.100000000000001</v>
      </c>
      <c r="CB361" s="23">
        <f>IF(ISERROR((CA361/BY361-1)*100),"NA",IF(((CA361/BY361-1)*100)&gt;100,"NM",IF(((CA361/BY361-1)*100)&lt;-50,"NM",(CA361/BY361-1)*100)))</f>
        <v>1.2578616352201255</v>
      </c>
      <c r="CC361" s="36">
        <f>AN361</f>
        <v>15.1</v>
      </c>
      <c r="CD361" s="23">
        <f>IF(ISERROR((CC361/CA361-1)*100),"NA",IF(((CC361/CA361-1)*100)&gt;100,"NM",IF(((CC361/CA361-1)*100)&lt;-50,"NM",(CC361/CA361-1)*100)))</f>
        <v>-6.2111801242236142</v>
      </c>
      <c r="CE361" s="36">
        <f>AV361</f>
        <v>14.9</v>
      </c>
      <c r="CF361" s="23">
        <f>IF(ISERROR((CE361/CC361-1)*100),"NA",IF(((CE361/CC361-1)*100)&gt;100,"NM",IF(((CE361/CC361-1)*100)&lt;-50,"NM",(CE361/CC361-1)*100)))</f>
        <v>-1.3245033112582738</v>
      </c>
      <c r="CG361" s="36">
        <f>BD361</f>
        <v>16</v>
      </c>
      <c r="CH361" s="23">
        <f>IF(ISERROR((CG361/CE361-1)*100),"NA",IF(((CG361/CE361-1)*100)&gt;100,"NM",IF(((CG361/CE361-1)*100)&lt;-50,"NM",(CG361/CE361-1)*100)))</f>
        <v>7.3825503355704702</v>
      </c>
      <c r="CI361" s="36">
        <f>BL361</f>
        <v>16</v>
      </c>
      <c r="CJ361" s="23">
        <f>IF(ISERROR((CI361/CG361-1)*100),"NA",IF(((CI361/CG361-1)*100)&gt;100,"NM",IF(((CI361/CG361-1)*100)&lt;-50,"NM",(CI361/CG361-1)*100)))</f>
        <v>0</v>
      </c>
      <c r="CK361" s="48">
        <f>CI361*1</f>
        <v>16</v>
      </c>
      <c r="CL361" s="23">
        <f>IF(ISERROR((CK361/CI361-1)*100),"NA",IF(((CK361/CI361-1)*100)&gt;100,"NM",IF(((CK361/CI361-1)*100)&lt;-50,"NM",(CK361/CI361-1)*100)))</f>
        <v>0</v>
      </c>
      <c r="CM361" s="48">
        <f>CK361*1</f>
        <v>16</v>
      </c>
      <c r="CN361" s="23">
        <f>IF(ISERROR((CM361/CK361-1)*100),"NA",IF(((CM361/CK361-1)*100)&gt;100,"NM",IF(((CM361/CK361-1)*100)&lt;-50,"NM",(CM361/CK361-1)*100)))</f>
        <v>0</v>
      </c>
      <c r="CO361" s="48">
        <f>CM361*1</f>
        <v>16</v>
      </c>
      <c r="CP361" s="23">
        <f>IF(ISERROR((CO361/CM361-1)*100),"NA",IF(((CO361/CM361-1)*100)&gt;100,"NM",IF(((CO361/CM361-1)*100)&lt;-50,"NM",(CO361/CM361-1)*100)))</f>
        <v>0</v>
      </c>
      <c r="CQ361" s="48">
        <f>CO361*1</f>
        <v>16</v>
      </c>
      <c r="CR361" s="23">
        <f>IF(ISERROR((CQ361/CO361-1)*100),"NA",IF(((CQ361/CO361-1)*100)&gt;100,"NM",IF(((CQ361/CO361-1)*100)&lt;-50,"NM",(CQ361/CO361-1)*100)))</f>
        <v>0</v>
      </c>
      <c r="CS361" s="23">
        <f>IF(ISERROR(((CQ361/CG361)^0.2-1)*100),"NA",IF((((CQ361/CG361)^0.2-1)*100)&gt;100,"NM",IF((((CQ361/CG361)^0.2-1)*100)&lt;-50,"NM",((CQ361/CG361)^0.2-1)*100)))</f>
        <v>0</v>
      </c>
    </row>
    <row r="362" spans="1:105" ht="12.75" customHeight="1" x14ac:dyDescent="0.2">
      <c r="A362" s="4" t="s">
        <v>183</v>
      </c>
      <c r="B362" s="36">
        <f t="shared" ref="B362:Z362" si="2276">B360+B361</f>
        <v>1734.3999999999999</v>
      </c>
      <c r="C362" s="59"/>
      <c r="D362" s="36">
        <f t="shared" si="2276"/>
        <v>1718.6</v>
      </c>
      <c r="E362" s="59"/>
      <c r="F362" s="36">
        <f t="shared" si="2276"/>
        <v>1734.9</v>
      </c>
      <c r="G362" s="59"/>
      <c r="H362" s="36">
        <f t="shared" si="2276"/>
        <v>1741.2</v>
      </c>
      <c r="I362" s="59"/>
      <c r="J362" s="36">
        <f t="shared" si="2276"/>
        <v>1739.8</v>
      </c>
      <c r="K362" s="23">
        <f t="shared" si="2263"/>
        <v>0.31134686346863116</v>
      </c>
      <c r="L362" s="36">
        <f t="shared" si="2276"/>
        <v>1768.1000000000001</v>
      </c>
      <c r="M362" s="23">
        <f t="shared" si="2263"/>
        <v>2.8802513673920727</v>
      </c>
      <c r="N362" s="36">
        <f t="shared" si="2276"/>
        <v>1767.2</v>
      </c>
      <c r="O362" s="23">
        <f t="shared" si="2263"/>
        <v>1.8617787768747451</v>
      </c>
      <c r="P362" s="36">
        <f t="shared" si="2276"/>
        <v>1759.5</v>
      </c>
      <c r="Q362" s="23">
        <f t="shared" si="2263"/>
        <v>1.050999310820111</v>
      </c>
      <c r="R362" s="36">
        <f t="shared" si="2276"/>
        <v>1753.8</v>
      </c>
      <c r="S362" s="23">
        <f t="shared" si="2263"/>
        <v>0.80469019427520383</v>
      </c>
      <c r="T362" s="36">
        <f t="shared" si="2276"/>
        <v>1762.1</v>
      </c>
      <c r="U362" s="23">
        <f t="shared" si="2263"/>
        <v>-0.33934732198406259</v>
      </c>
      <c r="V362" s="36">
        <f t="shared" si="2276"/>
        <v>1768.8</v>
      </c>
      <c r="W362" s="23">
        <f t="shared" si="2263"/>
        <v>9.0538705296516753E-2</v>
      </c>
      <c r="X362" s="36">
        <f t="shared" si="2276"/>
        <v>1755.1000000000001</v>
      </c>
      <c r="Y362" s="23">
        <f t="shared" si="2263"/>
        <v>-0.25007104290990512</v>
      </c>
      <c r="Z362" s="36">
        <f t="shared" si="2276"/>
        <v>1776.4</v>
      </c>
      <c r="AA362" s="23">
        <f>IF(ISERROR((Z362/R362-1)*100),"NA",IF(((Z362/R362-1)*100)&gt;100,"NM",IF(((Z362/R362-1)*100)&lt;-50,"NM",(Z362/R362-1)*100)))</f>
        <v>1.2886304025544693</v>
      </c>
      <c r="AB362" s="36">
        <f t="shared" ref="AB362:AD362" si="2277">AB360+AB361</f>
        <v>1807.5</v>
      </c>
      <c r="AC362" s="23">
        <f>IF(ISERROR((AB362/T362-1)*100),"NA",IF(((AB362/T362-1)*100)&gt;100,"NM",IF(((AB362/T362-1)*100)&lt;-50,"NM",(AB362/T362-1)*100)))</f>
        <v>2.5764712558878688</v>
      </c>
      <c r="AD362" s="36">
        <f t="shared" si="2277"/>
        <v>1796.8</v>
      </c>
      <c r="AE362" s="23">
        <f>IF(ISERROR((AD362/V362-1)*100),"NA",IF(((AD362/V362-1)*100)&gt;100,"NM",IF(((AD362/V362-1)*100)&lt;-50,"NM",(AD362/V362-1)*100)))</f>
        <v>1.582994120307557</v>
      </c>
      <c r="AF362" s="36">
        <f t="shared" ref="AF362:AH362" si="2278">AF360+AF361</f>
        <v>1777.1999999999998</v>
      </c>
      <c r="AG362" s="23">
        <f>IF(ISERROR((AF362/X362-1)*100),"NA",IF(((AF362/X362-1)*100)&gt;100,"NM",IF(((AF362/X362-1)*100)&lt;-50,"NM",(AF362/X362-1)*100)))</f>
        <v>1.2591875106831241</v>
      </c>
      <c r="AH362" s="36">
        <f t="shared" si="2278"/>
        <v>1771.5</v>
      </c>
      <c r="AI362" s="23">
        <f>IF(ISERROR((AH362/Z362-1)*100),"NA",IF(((AH362/Z362-1)*100)&gt;100,"NM",IF(((AH362/Z362-1)*100)&lt;-50,"NM",(AH362/Z362-1)*100)))</f>
        <v>-0.27583877505067411</v>
      </c>
      <c r="AJ362" s="36">
        <f t="shared" ref="AJ362:AL362" si="2279">AJ360+AJ361</f>
        <v>1814.6000000000001</v>
      </c>
      <c r="AK362" s="23">
        <f>IF(ISERROR((AJ362/AB362-1)*100),"NA",IF(((AJ362/AB362-1)*100)&gt;100,"NM",IF(((AJ362/AB362-1)*100)&lt;-50,"NM",(AJ362/AB362-1)*100)))</f>
        <v>0.39280774550485287</v>
      </c>
      <c r="AL362" s="36">
        <f t="shared" si="2279"/>
        <v>1809.7</v>
      </c>
      <c r="AM362" s="23">
        <f>IF(ISERROR((AL362/AD362-1)*100),"NA",IF(((AL362/AD362-1)*100)&gt;100,"NM",IF(((AL362/AD362-1)*100)&lt;-50,"NM",(AL362/AD362-1)*100)))</f>
        <v>0.71794300979519665</v>
      </c>
      <c r="AN362" s="410">
        <f t="shared" ref="AN362:AP362" si="2280">AN360+AN361</f>
        <v>1793</v>
      </c>
      <c r="AO362" s="23">
        <f>IF(ISERROR((AN362/AF362-1)*100),"NA",IF(((AN362/AF362-1)*100)&gt;100,"NM",IF(((AN362/AF362-1)*100)&lt;-50,"NM",(AN362/AF362-1)*100)))</f>
        <v>0.88903893765475139</v>
      </c>
      <c r="AP362" s="410">
        <f t="shared" si="2280"/>
        <v>1783.8</v>
      </c>
      <c r="AQ362" s="23">
        <f t="shared" si="2264"/>
        <v>0.69432684165959824</v>
      </c>
      <c r="AR362" s="410">
        <f t="shared" ref="AR362:AT362" si="2281">AR360+AR361</f>
        <v>1809.2</v>
      </c>
      <c r="AS362" s="23">
        <f t="shared" si="2265"/>
        <v>-0.29758624490245911</v>
      </c>
      <c r="AT362" s="410">
        <f t="shared" si="2281"/>
        <v>1815.6000000000001</v>
      </c>
      <c r="AU362" s="23">
        <f t="shared" si="2266"/>
        <v>0.32602088743991509</v>
      </c>
      <c r="AV362" s="410">
        <f t="shared" ref="AV362:AX362" si="2282">AV360+AV361</f>
        <v>1791.1000000000001</v>
      </c>
      <c r="AW362" s="23">
        <f t="shared" si="2267"/>
        <v>-0.1059676519799102</v>
      </c>
      <c r="AX362" s="410">
        <f t="shared" si="2282"/>
        <v>1801.7</v>
      </c>
      <c r="AY362" s="23">
        <f t="shared" si="2268"/>
        <v>1.0034757259782534</v>
      </c>
      <c r="AZ362" s="410">
        <f t="shared" ref="AZ362" si="2283">AZ360+AZ361</f>
        <v>1863.8999999999999</v>
      </c>
      <c r="BA362" s="23">
        <f t="shared" si="2269"/>
        <v>3.0234357727172201</v>
      </c>
      <c r="BB362" s="410">
        <f t="shared" ref="BB362:BD362" si="2284">BB360+BB361</f>
        <v>1875.3</v>
      </c>
      <c r="BC362" s="23">
        <f t="shared" si="2270"/>
        <v>3.288169200264357</v>
      </c>
      <c r="BD362" s="410">
        <f t="shared" si="2284"/>
        <v>1829</v>
      </c>
      <c r="BE362" s="23">
        <f t="shared" si="2271"/>
        <v>2.1160180894422398</v>
      </c>
      <c r="BF362" s="36">
        <f t="shared" ref="BF362" si="2285">BF360+BF361</f>
        <v>1850.9624999999999</v>
      </c>
      <c r="BG362" s="23">
        <f t="shared" si="2272"/>
        <v>2.7342232336126981</v>
      </c>
      <c r="BH362" s="36">
        <f t="shared" ref="BH362" si="2286">BH360+BH361</f>
        <v>1873.7082812499998</v>
      </c>
      <c r="BI362" s="23">
        <f t="shared" si="2273"/>
        <v>0.52622357690863542</v>
      </c>
      <c r="BJ362" s="36">
        <f t="shared" ref="BJ362" si="2287">BJ360+BJ361</f>
        <v>1897.0408847656249</v>
      </c>
      <c r="BK362" s="23">
        <f t="shared" si="2274"/>
        <v>1.1593283616287975</v>
      </c>
      <c r="BL362" s="36">
        <f t="shared" ref="BL362" si="2288">BL360+BL361</f>
        <v>1919.011594719238</v>
      </c>
      <c r="BM362" s="23">
        <f t="shared" si="2275"/>
        <v>4.921355643479397</v>
      </c>
      <c r="BN362" s="10"/>
      <c r="BO362" s="137"/>
      <c r="BP362" s="10"/>
      <c r="BQ362" s="153"/>
      <c r="BR362" s="153"/>
      <c r="BS362" s="153"/>
      <c r="BT362" s="32"/>
      <c r="BU362" s="36">
        <f t="shared" ref="BU362:CA362" si="2289">BU360+BU361</f>
        <v>1741.2</v>
      </c>
      <c r="BV362" s="23" t="str">
        <f>IF(ISERROR((BU362/BS362-1)*100),"NA",IF(((BU362/BS362-1)*100)&gt;100,"NM",IF(((BU362/BS362-1)*100)&lt;-50,"NM",(BU362/BS362-1)*100)))</f>
        <v>NA</v>
      </c>
      <c r="BW362" s="36">
        <f t="shared" si="2289"/>
        <v>1759.5</v>
      </c>
      <c r="BX362" s="23">
        <f>IF(ISERROR((BW362/BU362-1)*100),"NA",IF(((BW362/BU362-1)*100)&gt;100,"NM",IF(((BW362/BU362-1)*100)&lt;-50,"NM",(BW362/BU362-1)*100)))</f>
        <v>1.050999310820111</v>
      </c>
      <c r="BY362" s="36">
        <f t="shared" si="2289"/>
        <v>1755.1000000000001</v>
      </c>
      <c r="BZ362" s="23">
        <f>IF(ISERROR((BY362/BW362-1)*100),"NA",IF(((BY362/BW362-1)*100)&gt;100,"NM",IF(((BY362/BW362-1)*100)&lt;-50,"NM",(BY362/BW362-1)*100)))</f>
        <v>-0.25007104290990512</v>
      </c>
      <c r="CA362" s="36">
        <f t="shared" si="2289"/>
        <v>1777.1999999999998</v>
      </c>
      <c r="CB362" s="23">
        <f>IF(ISERROR((CA362/BY362-1)*100),"NA",IF(((CA362/BY362-1)*100)&gt;100,"NM",IF(((CA362/BY362-1)*100)&lt;-50,"NM",(CA362/BY362-1)*100)))</f>
        <v>1.2591875106831241</v>
      </c>
      <c r="CC362" s="36">
        <f t="shared" ref="CC362" si="2290">CC360+CC361</f>
        <v>1793</v>
      </c>
      <c r="CD362" s="23">
        <f>IF(ISERROR((CC362/CA362-1)*100),"NA",IF(((CC362/CA362-1)*100)&gt;100,"NM",IF(((CC362/CA362-1)*100)&lt;-50,"NM",(CC362/CA362-1)*100)))</f>
        <v>0.88903893765475139</v>
      </c>
      <c r="CE362" s="36">
        <f t="shared" ref="CE362" si="2291">CE360+CE361</f>
        <v>1791.1000000000001</v>
      </c>
      <c r="CF362" s="23">
        <f>IF(ISERROR((CE362/CC362-1)*100),"NA",IF(((CE362/CC362-1)*100)&gt;100,"NM",IF(((CE362/CC362-1)*100)&lt;-50,"NM",(CE362/CC362-1)*100)))</f>
        <v>-0.1059676519799102</v>
      </c>
      <c r="CG362" s="36">
        <f t="shared" ref="CG362" si="2292">CG360+CG361</f>
        <v>1829</v>
      </c>
      <c r="CH362" s="23">
        <f>IF(ISERROR((CG362/CE362-1)*100),"NA",IF(((CG362/CE362-1)*100)&gt;100,"NM",IF(((CG362/CE362-1)*100)&lt;-50,"NM",(CG362/CE362-1)*100)))</f>
        <v>2.1160180894422398</v>
      </c>
      <c r="CI362" s="36">
        <f t="shared" ref="CI362" si="2293">CI360+CI361</f>
        <v>1919.011594719238</v>
      </c>
      <c r="CJ362" s="23">
        <f>IF(ISERROR((CI362/CG362-1)*100),"NA",IF(((CI362/CG362-1)*100)&gt;100,"NM",IF(((CI362/CG362-1)*100)&lt;-50,"NM",(CI362/CG362-1)*100)))</f>
        <v>4.921355643479397</v>
      </c>
      <c r="CK362" s="36">
        <f>CK360+CK361</f>
        <v>2014.1621744552001</v>
      </c>
      <c r="CL362" s="23">
        <f>IF(ISERROR((CK362/CI362-1)*100),"NA",IF(((CK362/CI362-1)*100)&gt;100,"NM",IF(((CK362/CI362-1)*100)&lt;-50,"NM",(CK362/CI362-1)*100)))</f>
        <v>4.9583118725180508</v>
      </c>
      <c r="CM362" s="36">
        <f>CM360+CM361</f>
        <v>2114.0702831779604</v>
      </c>
      <c r="CN362" s="23">
        <f>IF(ISERROR((CM362/CK362-1)*100),"NA",IF(((CM362/CK362-1)*100)&gt;100,"NM",IF(((CM362/CK362-1)*100)&lt;-50,"NM",(CM362/CK362-1)*100)))</f>
        <v>4.9602812519197403</v>
      </c>
      <c r="CO362" s="36">
        <f>CO360+CO361</f>
        <v>2218.9737973368583</v>
      </c>
      <c r="CP362" s="23">
        <f>IF(ISERROR((CO362/CM362-1)*100),"NA",IF(((CO362/CM362-1)*100)&gt;100,"NM",IF(((CO362/CM362-1)*100)&lt;-50,"NM",(CO362/CM362-1)*100)))</f>
        <v>4.9621583063550023</v>
      </c>
      <c r="CQ362" s="36">
        <f>CQ360+CQ361</f>
        <v>2329.1224872037014</v>
      </c>
      <c r="CR362" s="23">
        <f>IF(ISERROR((CQ362/CO362-1)*100),"NA",IF(((CQ362/CO362-1)*100)&gt;100,"NM",IF(((CQ362/CO362-1)*100)&lt;-50,"NM",(CQ362/CO362-1)*100)))</f>
        <v>4.963947298478244</v>
      </c>
      <c r="CS362" s="23">
        <f>IF(ISERROR(((CQ362/CG362)^0.2-1)*100),"NA",IF((((CQ362/CG362)^0.2-1)*100)&gt;100,"NM",IF((((CQ362/CG362)^0.2-1)*100)&lt;-50,"NM",((CQ362/CG362)^0.2-1)*100)))</f>
        <v>4.9532096489721678</v>
      </c>
    </row>
    <row r="363" spans="1:105" ht="12.75" customHeight="1" x14ac:dyDescent="0.2">
      <c r="A363" s="4" t="s">
        <v>145</v>
      </c>
      <c r="B363" s="36">
        <f>AVERAGE(B362)</f>
        <v>1734.3999999999999</v>
      </c>
      <c r="C363" s="59"/>
      <c r="D363" s="36">
        <f>AVERAGE(B362,D362)</f>
        <v>1726.5</v>
      </c>
      <c r="E363" s="59"/>
      <c r="F363" s="36">
        <f>AVERAGE(D362,F362)</f>
        <v>1726.75</v>
      </c>
      <c r="G363" s="59"/>
      <c r="H363" s="36">
        <f>AVERAGE(F362,H362)</f>
        <v>1738.0500000000002</v>
      </c>
      <c r="I363" s="59"/>
      <c r="J363" s="36">
        <f>AVERAGE(H362,J362)</f>
        <v>1740.5</v>
      </c>
      <c r="K363" s="23">
        <f t="shared" si="2263"/>
        <v>0.35170664206642943</v>
      </c>
      <c r="L363" s="36">
        <f>AVERAGE(J362,L362)</f>
        <v>1753.95</v>
      </c>
      <c r="M363" s="23">
        <f t="shared" si="2263"/>
        <v>1.5899218071242505</v>
      </c>
      <c r="N363" s="36">
        <f>AVERAGE(L362,N362)</f>
        <v>1767.65</v>
      </c>
      <c r="O363" s="23">
        <f t="shared" si="2263"/>
        <v>2.368611553496458</v>
      </c>
      <c r="P363" s="36">
        <f>AVERAGE(N362,P362)</f>
        <v>1763.35</v>
      </c>
      <c r="Q363" s="23">
        <f t="shared" si="2263"/>
        <v>1.4556543252495446</v>
      </c>
      <c r="R363" s="36">
        <f>AVERAGE(P362,R362)</f>
        <v>1756.65</v>
      </c>
      <c r="S363" s="23">
        <f t="shared" si="2263"/>
        <v>0.927894283251951</v>
      </c>
      <c r="T363" s="36">
        <f>AVERAGE(R362,T362)</f>
        <v>1757.9499999999998</v>
      </c>
      <c r="U363" s="23">
        <f t="shared" si="2263"/>
        <v>0.22805667208301017</v>
      </c>
      <c r="V363" s="36">
        <f>AVERAGE(T362,V362)</f>
        <v>1765.4499999999998</v>
      </c>
      <c r="W363" s="23">
        <f t="shared" si="2263"/>
        <v>-0.12445902752242777</v>
      </c>
      <c r="X363" s="36">
        <f>AVERAGE(V362,X362)</f>
        <v>1761.95</v>
      </c>
      <c r="Y363" s="23">
        <f t="shared" si="2263"/>
        <v>-7.9394334647109321E-2</v>
      </c>
      <c r="Z363" s="36">
        <f>AVERAGE(X362,Z362)</f>
        <v>1765.75</v>
      </c>
      <c r="AA363" s="23">
        <f>IF(ISERROR((Z363/R363-1)*100),"NA",IF(((Z363/R363-1)*100)&gt;100,"NM",IF(((Z363/R363-1)*100)&lt;-50,"NM",(Z363/R363-1)*100)))</f>
        <v>0.51803148037457003</v>
      </c>
      <c r="AB363" s="36">
        <f>AVERAGE(Z362,AB362)</f>
        <v>1791.95</v>
      </c>
      <c r="AC363" s="23">
        <f>IF(ISERROR((AB363/T363-1)*100),"NA",IF(((AB363/T363-1)*100)&gt;100,"NM",IF(((AB363/T363-1)*100)&lt;-50,"NM",(AB363/T363-1)*100)))</f>
        <v>1.9340709348957708</v>
      </c>
      <c r="AD363" s="36">
        <f>AVERAGE(AB362,AD362)</f>
        <v>1802.15</v>
      </c>
      <c r="AE363" s="23">
        <f>IF(ISERROR((AD363/V363-1)*100),"NA",IF(((AD363/V363-1)*100)&gt;100,"NM",IF(((AD363/V363-1)*100)&lt;-50,"NM",(AD363/V363-1)*100)))</f>
        <v>2.0787901101702255</v>
      </c>
      <c r="AF363" s="36">
        <f>AVERAGE(AD362,AF362)</f>
        <v>1787</v>
      </c>
      <c r="AG363" s="23">
        <f>IF(ISERROR((AF363/X363-1)*100),"NA",IF(((AF363/X363-1)*100)&gt;100,"NM",IF(((AF363/X363-1)*100)&lt;-50,"NM",(AF363/X363-1)*100)))</f>
        <v>1.4217202531286333</v>
      </c>
      <c r="AH363" s="36">
        <f>AVERAGE(AF362,AH362)</f>
        <v>1774.35</v>
      </c>
      <c r="AI363" s="23">
        <f>IF(ISERROR((AH363/Z363-1)*100),"NA",IF(((AH363/Z363-1)*100)&gt;100,"NM",IF(((AH363/Z363-1)*100)&lt;-50,"NM",(AH363/Z363-1)*100)))</f>
        <v>0.48704516494406658</v>
      </c>
      <c r="AJ363" s="36">
        <f>AVERAGE(AH362,AJ362)</f>
        <v>1793.0500000000002</v>
      </c>
      <c r="AK363" s="23">
        <f>IF(ISERROR((AJ363/AB363-1)*100),"NA",IF(((AJ363/AB363-1)*100)&gt;100,"NM",IF(((AJ363/AB363-1)*100)&lt;-50,"NM",(AJ363/AB363-1)*100)))</f>
        <v>6.1385641340439001E-2</v>
      </c>
      <c r="AL363" s="36">
        <f>AVERAGE(AJ362,AL362)</f>
        <v>1812.15</v>
      </c>
      <c r="AM363" s="23">
        <f>IF(ISERROR((AL363/AD363-1)*100),"NA",IF(((AL363/AD363-1)*100)&gt;100,"NM",IF(((AL363/AD363-1)*100)&lt;-50,"NM",(AL363/AD363-1)*100)))</f>
        <v>0.554892766972781</v>
      </c>
      <c r="AN363" s="410">
        <f t="shared" ref="AN363:AP363" si="2294">AVERAGE(AL362,AN362)</f>
        <v>1801.35</v>
      </c>
      <c r="AO363" s="23">
        <f>IF(ISERROR((AN363/AF363-1)*100),"NA",IF(((AN363/AF363-1)*100)&gt;100,"NM",IF(((AN363/AF363-1)*100)&lt;-50,"NM",(AN363/AF363-1)*100)))</f>
        <v>0.80302182428650948</v>
      </c>
      <c r="AP363" s="410">
        <f t="shared" si="2294"/>
        <v>1788.4</v>
      </c>
      <c r="AQ363" s="23">
        <f t="shared" si="2264"/>
        <v>0.79183926508299418</v>
      </c>
      <c r="AR363" s="410">
        <f t="shared" ref="AR363:AT363" si="2295">AVERAGE(AP362,AR362)</f>
        <v>1796.5</v>
      </c>
      <c r="AS363" s="23">
        <f t="shared" si="2265"/>
        <v>0.19240958143944553</v>
      </c>
      <c r="AT363" s="410">
        <f t="shared" si="2295"/>
        <v>1812.4</v>
      </c>
      <c r="AU363" s="23">
        <f t="shared" si="2266"/>
        <v>1.3795767458546493E-2</v>
      </c>
      <c r="AV363" s="410">
        <f t="shared" ref="AV363:AX363" si="2296">AVERAGE(AT362,AV362)</f>
        <v>1803.3500000000001</v>
      </c>
      <c r="AW363" s="23">
        <f t="shared" si="2267"/>
        <v>0.11102784023095946</v>
      </c>
      <c r="AX363" s="410">
        <f t="shared" si="2296"/>
        <v>1796.4</v>
      </c>
      <c r="AY363" s="23">
        <f t="shared" si="2268"/>
        <v>0.44732721986133761</v>
      </c>
      <c r="AZ363" s="410">
        <f t="shared" ref="AZ363" si="2297">AVERAGE(AX362,AZ362)</f>
        <v>1832.8</v>
      </c>
      <c r="BA363" s="23">
        <f t="shared" si="2269"/>
        <v>2.0205956025605376</v>
      </c>
      <c r="BB363" s="410">
        <f t="shared" ref="BB363:BD363" si="2298">AVERAGE(AZ362,BB362)</f>
        <v>1869.6</v>
      </c>
      <c r="BC363" s="23">
        <f t="shared" si="2270"/>
        <v>3.156036195100409</v>
      </c>
      <c r="BD363" s="410">
        <f t="shared" si="2298"/>
        <v>1852.15</v>
      </c>
      <c r="BE363" s="23">
        <f t="shared" si="2271"/>
        <v>2.7060748052236017</v>
      </c>
      <c r="BF363" s="36">
        <f t="shared" ref="BF363:BJ363" si="2299">AVERAGE(BD362,BF362)</f>
        <v>1839.9812499999998</v>
      </c>
      <c r="BG363" s="23">
        <f t="shared" si="2272"/>
        <v>2.426032620797125</v>
      </c>
      <c r="BH363" s="36">
        <f t="shared" si="2299"/>
        <v>1862.3353906249999</v>
      </c>
      <c r="BI363" s="23">
        <f t="shared" si="2273"/>
        <v>1.6114901039393281</v>
      </c>
      <c r="BJ363" s="36">
        <f t="shared" si="2299"/>
        <v>1885.3745830078124</v>
      </c>
      <c r="BK363" s="23">
        <f t="shared" si="2274"/>
        <v>0.84374106802591609</v>
      </c>
      <c r="BL363" s="36">
        <f t="shared" ref="BL363" si="2300">AVERAGE(BJ362,BL362)</f>
        <v>1908.0262397424315</v>
      </c>
      <c r="BM363" s="23">
        <f t="shared" si="2275"/>
        <v>3.0168312362622629</v>
      </c>
      <c r="BN363" s="10"/>
      <c r="BO363" s="137"/>
      <c r="BP363" s="10"/>
      <c r="BQ363" s="153"/>
      <c r="BR363" s="153"/>
      <c r="BS363" s="153"/>
      <c r="BT363" s="32"/>
      <c r="BU363" s="36">
        <f>AVERAGE(BU362)</f>
        <v>1741.2</v>
      </c>
      <c r="BV363" s="23" t="str">
        <f>IF(ISERROR((BU363/BS363-1)*100),"NA",IF(((BU363/BS363-1)*100)&gt;100,"NM",IF(((BU363/BS363-1)*100)&lt;-50,"NM",(BU363/BS363-1)*100)))</f>
        <v>NA</v>
      </c>
      <c r="BW363" s="36">
        <f>AVERAGE(BU362,BW362)</f>
        <v>1750.35</v>
      </c>
      <c r="BX363" s="23">
        <f>IF(ISERROR((BW363/BU363-1)*100),"NA",IF(((BW363/BU363-1)*100)&gt;100,"NM",IF(((BW363/BU363-1)*100)&lt;-50,"NM",(BW363/BU363-1)*100)))</f>
        <v>0.5254996554100444</v>
      </c>
      <c r="BY363" s="36">
        <f>AVERAGE(BW362,BY362)</f>
        <v>1757.3000000000002</v>
      </c>
      <c r="BZ363" s="23">
        <f>IF(ISERROR((BY363/BW363-1)*100),"NA",IF(((BY363/BW363-1)*100)&gt;100,"NM",IF(((BY363/BW363-1)*100)&lt;-50,"NM",(BY363/BW363-1)*100)))</f>
        <v>0.39706344445398223</v>
      </c>
      <c r="CA363" s="36">
        <f>AVERAGE(BY362,CA362)</f>
        <v>1766.15</v>
      </c>
      <c r="CB363" s="23">
        <f>IF(ISERROR((CA363/BY363-1)*100),"NA",IF(((CA363/BY363-1)*100)&gt;100,"NM",IF(((CA363/BY363-1)*100)&lt;-50,"NM",(CA363/BY363-1)*100)))</f>
        <v>0.503613497979849</v>
      </c>
      <c r="CC363" s="36">
        <f>AVERAGE(CA362,CC362)</f>
        <v>1785.1</v>
      </c>
      <c r="CD363" s="23">
        <f>IF(ISERROR((CC363/CA363-1)*100),"NA",IF(((CC363/CA363-1)*100)&gt;100,"NM",IF(((CC363/CA363-1)*100)&lt;-50,"NM",(CC363/CA363-1)*100)))</f>
        <v>1.0729552982475798</v>
      </c>
      <c r="CE363" s="36">
        <f>AVERAGE(CC362,CE362)</f>
        <v>1792.0500000000002</v>
      </c>
      <c r="CF363" s="23">
        <f>IF(ISERROR((CE363/CC363-1)*100),"NA",IF(((CE363/CC363-1)*100)&gt;100,"NM",IF(((CE363/CC363-1)*100)&lt;-50,"NM",(CE363/CC363-1)*100)))</f>
        <v>0.38933393087223767</v>
      </c>
      <c r="CG363" s="36">
        <f>AVERAGE(CE362,CG362)</f>
        <v>1810.0500000000002</v>
      </c>
      <c r="CH363" s="23">
        <f>IF(ISERROR((CG363/CE363-1)*100),"NA",IF(((CG363/CE363-1)*100)&gt;100,"NM",IF(((CG363/CE363-1)*100)&lt;-50,"NM",(CG363/CE363-1)*100)))</f>
        <v>1.0044362601489887</v>
      </c>
      <c r="CI363" s="36">
        <f>AVERAGE(CG362,CI362)</f>
        <v>1874.005797359619</v>
      </c>
      <c r="CJ363" s="23">
        <f>IF(ISERROR((CI363/CG363-1)*100),"NA",IF(((CI363/CG363-1)*100)&gt;100,"NM",IF(((CI363/CG363-1)*100)&lt;-50,"NM",(CI363/CG363-1)*100)))</f>
        <v>3.5333718604247943</v>
      </c>
      <c r="CK363" s="36">
        <f>AVERAGE(CI362,CK362)</f>
        <v>1966.5868845872192</v>
      </c>
      <c r="CL363" s="23">
        <f>IF(ISERROR((CK363/CI363-1)*100),"NA",IF(((CK363/CI363-1)*100)&gt;100,"NM",IF(((CK363/CI363-1)*100)&lt;-50,"NM",(CK363/CI363-1)*100)))</f>
        <v>4.9402775251838671</v>
      </c>
      <c r="CM363" s="36">
        <f>AVERAGE(CK362,CM362)</f>
        <v>2064.1162288165801</v>
      </c>
      <c r="CN363" s="23">
        <f>IF(ISERROR((CM363/CK363-1)*100),"NA",IF(((CM363/CK363-1)*100)&gt;100,"NM",IF(((CM363/CK363-1)*100)&lt;-50,"NM",(CM363/CK363-1)*100)))</f>
        <v>4.9593203836418409</v>
      </c>
      <c r="CO363" s="36">
        <f>AVERAGE(CM362,CO362)</f>
        <v>2166.5220402574096</v>
      </c>
      <c r="CP363" s="23">
        <f>IF(ISERROR((CO363/CM363-1)*100),"NA",IF(((CO363/CM363-1)*100)&gt;100,"NM",IF(((CO363/CM363-1)*100)&lt;-50,"NM",(CO363/CM363-1)*100)))</f>
        <v>4.9612424926062326</v>
      </c>
      <c r="CQ363" s="36">
        <f>AVERAGE(CO362,CQ362)</f>
        <v>2274.0481422702796</v>
      </c>
      <c r="CR363" s="23">
        <f>IF(ISERROR((CQ363/CO363-1)*100),"NA",IF(((CQ363/CO363-1)*100)&gt;100,"NM",IF(((CQ363/CO363-1)*100)&lt;-50,"NM",(CQ363/CO363-1)*100)))</f>
        <v>4.9630744582729758</v>
      </c>
      <c r="CS363" s="23">
        <f>IF(ISERROR(((CQ363/CG363)^0.2-1)*100),"NA",IF((((CQ363/CG363)^0.2-1)*100)&gt;100,"NM",IF((((CQ363/CG363)^0.2-1)*100)&lt;-50,"NM",((CQ363/CG363)^0.2-1)*100)))</f>
        <v>4.6699017619854954</v>
      </c>
    </row>
    <row r="364" spans="1:105" ht="12.75" customHeight="1" x14ac:dyDescent="0.2">
      <c r="B364" s="36"/>
      <c r="D364" s="36"/>
      <c r="F364" s="36"/>
      <c r="H364" s="36"/>
      <c r="J364" s="36"/>
      <c r="L364" s="36"/>
      <c r="N364" s="36"/>
      <c r="P364" s="36"/>
      <c r="R364" s="36"/>
      <c r="T364" s="36"/>
      <c r="V364" s="36"/>
      <c r="X364" s="36"/>
      <c r="Z364" s="36"/>
      <c r="AB364" s="36"/>
      <c r="AD364" s="36"/>
      <c r="AF364" s="36"/>
      <c r="AH364" s="36"/>
      <c r="AJ364" s="36"/>
      <c r="AL364" s="36"/>
      <c r="AN364" s="410"/>
      <c r="AP364" s="410"/>
      <c r="AR364" s="410"/>
      <c r="AT364" s="410"/>
      <c r="AV364" s="410"/>
      <c r="AX364" s="410"/>
      <c r="AZ364" s="410"/>
      <c r="BB364" s="410"/>
      <c r="BD364" s="410"/>
      <c r="BF364" s="36"/>
      <c r="BH364" s="36"/>
      <c r="BJ364" s="36"/>
      <c r="BL364" s="36"/>
      <c r="BN364" s="10"/>
      <c r="BO364" s="137"/>
      <c r="BP364" s="10"/>
      <c r="BQ364" s="32"/>
      <c r="BR364" s="32"/>
      <c r="BS364" s="32"/>
      <c r="BT364" s="32"/>
      <c r="BU364" s="36"/>
      <c r="BW364" s="36"/>
      <c r="BY364" s="36"/>
      <c r="CA364" s="36"/>
      <c r="CC364" s="36"/>
      <c r="CE364" s="36"/>
      <c r="CG364" s="36"/>
      <c r="CI364" s="36"/>
      <c r="CK364" s="36"/>
      <c r="CM364" s="36"/>
      <c r="CO364" s="36"/>
      <c r="CQ364" s="36"/>
    </row>
    <row r="365" spans="1:105" ht="12.75" customHeight="1" x14ac:dyDescent="0.2">
      <c r="A365" s="4" t="s">
        <v>211</v>
      </c>
      <c r="B365" s="36">
        <f>AVERAGE(B360)</f>
        <v>1721.8</v>
      </c>
      <c r="C365" s="59"/>
      <c r="D365" s="36">
        <f>AVERAGE(B360,D360)</f>
        <v>1713.15</v>
      </c>
      <c r="E365" s="59"/>
      <c r="F365" s="36">
        <f>AVERAGE(D360,F360)</f>
        <v>1713.35</v>
      </c>
      <c r="G365" s="59"/>
      <c r="H365" s="36">
        <f>AVERAGE(F360,H360)</f>
        <v>1725.0500000000002</v>
      </c>
      <c r="I365" s="59"/>
      <c r="J365" s="36">
        <f>AVERAGE(H360,J360)</f>
        <v>1726.75</v>
      </c>
      <c r="K365" s="23">
        <f t="shared" ref="K365:Y366" si="2301">IF(ISERROR((J365/B365-1)*100),"NA",IF(((J365/B365-1)*100)&gt;100,"NM",IF(((J365/B365-1)*100)&lt;-50,"NM",(J365/B365-1)*100)))</f>
        <v>0.28748983621791346</v>
      </c>
      <c r="L365" s="36">
        <f>AVERAGE(J360,L360)</f>
        <v>1740.25</v>
      </c>
      <c r="M365" s="23">
        <f t="shared" si="2301"/>
        <v>1.5818813297142631</v>
      </c>
      <c r="N365" s="36">
        <f>AVERAGE(L360,N360)</f>
        <v>1753.9</v>
      </c>
      <c r="O365" s="23">
        <f t="shared" si="2301"/>
        <v>2.36670849505356</v>
      </c>
      <c r="P365" s="36">
        <f>AVERAGE(N360,P360)</f>
        <v>1749.2</v>
      </c>
      <c r="Q365" s="23">
        <f t="shared" si="2301"/>
        <v>1.399959421466046</v>
      </c>
      <c r="R365" s="36">
        <f>AVERAGE(P360,R360)</f>
        <v>1742.3</v>
      </c>
      <c r="S365" s="23">
        <f t="shared" si="2301"/>
        <v>0.90053568843202481</v>
      </c>
      <c r="T365" s="36">
        <f>AVERAGE(R360,T360)</f>
        <v>1743.1999999999998</v>
      </c>
      <c r="U365" s="23">
        <f t="shared" si="2301"/>
        <v>0.1695158741560121</v>
      </c>
      <c r="V365" s="36">
        <f>AVERAGE(T360,V360)</f>
        <v>1750.4499999999998</v>
      </c>
      <c r="W365" s="23">
        <f t="shared" si="2301"/>
        <v>-0.1967044871429513</v>
      </c>
      <c r="X365" s="36">
        <f>AVERAGE(V360,X360)</f>
        <v>1746.4</v>
      </c>
      <c r="Y365" s="23">
        <f t="shared" si="2301"/>
        <v>-0.16007317630917228</v>
      </c>
      <c r="Z365" s="36">
        <f>AVERAGE(X360,Z360)</f>
        <v>1749.85</v>
      </c>
      <c r="AA365" s="23">
        <f>IF(ISERROR((Z365/R365-1)*100),"NA",IF(((Z365/R365-1)*100)&gt;100,"NM",IF(((Z365/R365-1)*100)&lt;-50,"NM",(Z365/R365-1)*100)))</f>
        <v>0.43333524651323341</v>
      </c>
      <c r="AB365" s="36">
        <f>AVERAGE(Z360,AB360)</f>
        <v>1775.9</v>
      </c>
      <c r="AC365" s="23">
        <f>IF(ISERROR((AB365/T365-1)*100),"NA",IF(((AB365/T365-1)*100)&gt;100,"NM",IF(((AB365/T365-1)*100)&lt;-50,"NM",(AB365/T365-1)*100)))</f>
        <v>1.875860486461689</v>
      </c>
      <c r="AD365" s="36">
        <f>AVERAGE(AB360,AD360)</f>
        <v>1786.05</v>
      </c>
      <c r="AE365" s="23">
        <f>IF(ISERROR((AD365/V365-1)*100),"NA",IF(((AD365/V365-1)*100)&gt;100,"NM",IF(((AD365/V365-1)*100)&lt;-50,"NM",(AD365/V365-1)*100)))</f>
        <v>2.0337627467222896</v>
      </c>
      <c r="AF365" s="36">
        <f>AVERAGE(AD360,AF360)</f>
        <v>1770.9499999999998</v>
      </c>
      <c r="AG365" s="23">
        <f>IF(ISERROR((AF365/X365-1)*100),"NA",IF(((AF365/X365-1)*100)&gt;100,"NM",IF(((AF365/X365-1)*100)&lt;-50,"NM",(AF365/X365-1)*100)))</f>
        <v>1.4057489693082736</v>
      </c>
      <c r="AH365" s="36">
        <f>AVERAGE(AF360,AH360)</f>
        <v>1758.25</v>
      </c>
      <c r="AI365" s="23">
        <f>IF(ISERROR((AH365/Z365-1)*100),"NA",IF(((AH365/Z365-1)*100)&gt;100,"NM",IF(((AH365/Z365-1)*100)&lt;-50,"NM",(AH365/Z365-1)*100)))</f>
        <v>0.48004114638398043</v>
      </c>
      <c r="AJ365" s="36">
        <f>AVERAGE(AH360,AJ360)</f>
        <v>1777.15</v>
      </c>
      <c r="AK365" s="23">
        <f>IF(ISERROR((AJ365/AB365-1)*100),"NA",IF(((AJ365/AB365-1)*100)&gt;100,"NM",IF(((AJ365/AB365-1)*100)&lt;-50,"NM",(AJ365/AB365-1)*100)))</f>
        <v>7.0386846106207379E-2</v>
      </c>
      <c r="AL365" s="36">
        <f>AVERAGE(AJ360,AL360)</f>
        <v>1797.1</v>
      </c>
      <c r="AM365" s="23">
        <f>IF(ISERROR((AL365/AD365-1)*100),"NA",IF(((AL365/AD365-1)*100)&gt;100,"NM",IF(((AL365/AD365-1)*100)&lt;-50,"NM",(AL365/AD365-1)*100)))</f>
        <v>0.61868368746675895</v>
      </c>
      <c r="AN365" s="410">
        <f t="shared" ref="AN365:AP366" si="2302">AVERAGE(AL360,AN360)</f>
        <v>1786.6</v>
      </c>
      <c r="AO365" s="23">
        <f>IF(ISERROR((AN365/AF365-1)*100),"NA",IF(((AN365/AF365-1)*100)&gt;100,"NM",IF(((AN365/AF365-1)*100)&lt;-50,"NM",(AN365/AF365-1)*100)))</f>
        <v>0.88370648521980399</v>
      </c>
      <c r="AP365" s="410">
        <f t="shared" si="2302"/>
        <v>1773.45</v>
      </c>
      <c r="AQ365" s="23">
        <f t="shared" ref="AQ365:AQ366" si="2303">IF(ISERROR((AP365/AH365-1)*100),"NA",IF(((AP365/AH365-1)*100)&gt;100,"NM",IF(((AP365/AH365-1)*100)&lt;-50,"NM",(AP365/AH365-1)*100)))</f>
        <v>0.86449594767525895</v>
      </c>
      <c r="AR365" s="410">
        <f t="shared" ref="AR365:AT366" si="2304">AVERAGE(AP360,AR360)</f>
        <v>1781.85</v>
      </c>
      <c r="AS365" s="23">
        <f t="shared" ref="AS365:AS366" si="2305">IF(ISERROR((AR365/AJ365-1)*100),"NA",IF(((AR365/AJ365-1)*100)&gt;100,"NM",IF(((AR365/AJ365-1)*100)&lt;-50,"NM",(AR365/AJ365-1)*100)))</f>
        <v>0.26446839040035197</v>
      </c>
      <c r="AT365" s="410">
        <f t="shared" si="2304"/>
        <v>1797.8000000000002</v>
      </c>
      <c r="AU365" s="23">
        <f t="shared" ref="AU365:AU366" si="2306">IF(ISERROR((AT365/AL365-1)*100),"NA",IF(((AT365/AL365-1)*100)&gt;100,"NM",IF(((AT365/AL365-1)*100)&lt;-50,"NM",(AT365/AL365-1)*100)))</f>
        <v>3.8951644315865508E-2</v>
      </c>
      <c r="AV365" s="410">
        <f t="shared" ref="AV365:AX366" si="2307">AVERAGE(AT360,AV360)</f>
        <v>1788.5500000000002</v>
      </c>
      <c r="AW365" s="23">
        <f t="shared" ref="AW365:AW366" si="2308">IF(ISERROR((AV365/AN365-1)*100),"NA",IF(((AV365/AN365-1)*100)&gt;100,"NM",IF(((AV365/AN365-1)*100)&lt;-50,"NM",(AV365/AN365-1)*100)))</f>
        <v>0.10914586365164958</v>
      </c>
      <c r="AX365" s="410">
        <f t="shared" si="2307"/>
        <v>1781.3000000000002</v>
      </c>
      <c r="AY365" s="23">
        <f t="shared" ref="AY365:AY366" si="2309">IF(ISERROR((AX365/AP365-1)*100),"NA",IF(((AX365/AP365-1)*100)&gt;100,"NM",IF(((AX365/AP365-1)*100)&lt;-50,"NM",(AX365/AP365-1)*100)))</f>
        <v>0.4426400518762863</v>
      </c>
      <c r="AZ365" s="410">
        <f t="shared" ref="AZ365:AZ366" si="2310">AVERAGE(AX360,AZ360)</f>
        <v>1817.6</v>
      </c>
      <c r="BA365" s="23">
        <f t="shared" ref="BA365:BA366" si="2311">IF(ISERROR((AZ365/AR365-1)*100),"NA",IF(((AZ365/AR365-1)*100)&gt;100,"NM",IF(((AZ365/AR365-1)*100)&lt;-50,"NM",(AZ365/AR365-1)*100)))</f>
        <v>2.0063417234896352</v>
      </c>
      <c r="BB365" s="410">
        <f t="shared" ref="BB365:BD366" si="2312">AVERAGE(AZ360,BB360)</f>
        <v>1854.4499999999998</v>
      </c>
      <c r="BC365" s="23">
        <f t="shared" ref="BC365:BC366" si="2313">IF(ISERROR((BB365/AT365-1)*100),"NA",IF(((BB365/AT365-1)*100)&gt;100,"NM",IF(((BB365/AT365-1)*100)&lt;-50,"NM",(BB365/AT365-1)*100)))</f>
        <v>3.1510735343196927</v>
      </c>
      <c r="BD365" s="410">
        <f t="shared" si="2312"/>
        <v>1836.55</v>
      </c>
      <c r="BE365" s="23">
        <f t="shared" ref="BE365:BE366" si="2314">IF(ISERROR((BD365/AV365-1)*100),"NA",IF(((BD365/AV365-1)*100)&gt;100,"NM",IF(((BD365/AV365-1)*100)&lt;-50,"NM",(BD365/AV365-1)*100)))</f>
        <v>2.6837382237007601</v>
      </c>
      <c r="BF365" s="36">
        <f t="shared" ref="BF365:BJ366" si="2315">AVERAGE(BD360,BF360)</f>
        <v>1824.33125</v>
      </c>
      <c r="BG365" s="23">
        <f t="shared" ref="BG365:BG366" si="2316">IF(ISERROR((BF365/AX365-1)*100),"NA",IF(((BF365/AX365-1)*100)&gt;100,"NM",IF(((BF365/AX365-1)*100)&lt;-50,"NM",(BF365/AX365-1)*100)))</f>
        <v>2.4157216639532741</v>
      </c>
      <c r="BH365" s="36">
        <f t="shared" si="2315"/>
        <v>1847.1353906249999</v>
      </c>
      <c r="BI365" s="23">
        <f t="shared" ref="BI365:BI366" si="2317">IF(ISERROR((BH365/AZ365-1)*100),"NA",IF(((BH365/AZ365-1)*100)&gt;100,"NM",IF(((BH365/AZ365-1)*100)&lt;-50,"NM",(BH365/AZ365-1)*100)))</f>
        <v>1.6249664736465608</v>
      </c>
      <c r="BJ365" s="36">
        <f t="shared" si="2315"/>
        <v>1870.2245830078123</v>
      </c>
      <c r="BK365" s="23">
        <f t="shared" ref="BK365:BK366" si="2318">IF(ISERROR((BJ365/BB365-1)*100),"NA",IF(((BJ365/BB365-1)*100)&gt;100,"NM",IF(((BJ365/BB365-1)*100)&lt;-50,"NM",(BJ365/BB365-1)*100)))</f>
        <v>0.85063404285974364</v>
      </c>
      <c r="BL365" s="36">
        <f t="shared" ref="BL365:BL366" si="2319">AVERAGE(BJ360,BL360)</f>
        <v>1892.4262397424313</v>
      </c>
      <c r="BM365" s="23">
        <f t="shared" ref="BM365:BM366" si="2320">IF(ISERROR((BL365/BD365-1)*100),"NA",IF(((BL365/BD365-1)*100)&gt;100,"NM",IF(((BL365/BD365-1)*100)&lt;-50,"NM",(BL365/BD365-1)*100)))</f>
        <v>3.0424567663516644</v>
      </c>
      <c r="BN365" s="10"/>
      <c r="BO365" s="137"/>
      <c r="BP365" s="10"/>
      <c r="BQ365" s="153"/>
      <c r="BR365" s="153"/>
      <c r="BS365" s="153"/>
      <c r="BT365" s="32"/>
      <c r="BU365" s="36">
        <f>AVERAGE(BU360)</f>
        <v>1727.9</v>
      </c>
      <c r="BV365" s="23" t="str">
        <f>IF(ISERROR((BU365/BS365-1)*100),"NA",IF(((BU365/BS365-1)*100)&gt;100,"NM",IF(((BU365/BS365-1)*100)&lt;-50,"NM",(BU365/BS365-1)*100)))</f>
        <v>NA</v>
      </c>
      <c r="BW365" s="36">
        <f>AVERAGE(BU360,BW360)</f>
        <v>1736.7</v>
      </c>
      <c r="BX365" s="23">
        <f>IF(ISERROR((BW365/BU365-1)*100),"NA",IF(((BW365/BU365-1)*100)&gt;100,"NM",IF(((BW365/BU365-1)*100)&lt;-50,"NM",(BW365/BU365-1)*100)))</f>
        <v>0.50928873198681224</v>
      </c>
      <c r="BY365" s="36">
        <f>AVERAGE(BW360,BY360)</f>
        <v>1742.35</v>
      </c>
      <c r="BZ365" s="23">
        <f>IF(ISERROR((BY365/BW365-1)*100),"NA",IF(((BY365/BW365-1)*100)&gt;100,"NM",IF(((BY365/BW365-1)*100)&lt;-50,"NM",(BY365/BW365-1)*100)))</f>
        <v>0.32532964818332566</v>
      </c>
      <c r="CA365" s="36">
        <f>AVERAGE(BY360,CA360)</f>
        <v>1750.15</v>
      </c>
      <c r="CB365" s="23">
        <f>IF(ISERROR((CA365/BY365-1)*100),"NA",IF(((CA365/BY365-1)*100)&gt;100,"NM",IF(((CA365/BY365-1)*100)&lt;-50,"NM",(CA365/BY365-1)*100)))</f>
        <v>0.44767124860103369</v>
      </c>
      <c r="CC365" s="36">
        <f>AVERAGE(CA360,CC360)</f>
        <v>1769.5</v>
      </c>
      <c r="CD365" s="23">
        <f>IF(ISERROR((CC365/CA365-1)*100),"NA",IF(((CC365/CA365-1)*100)&gt;100,"NM",IF(((CC365/CA365-1)*100)&lt;-50,"NM",(CC365/CA365-1)*100)))</f>
        <v>1.1056195183269946</v>
      </c>
      <c r="CE365" s="36">
        <f>AVERAGE(CC360,CE360)</f>
        <v>1777.0500000000002</v>
      </c>
      <c r="CF365" s="23">
        <f>IF(ISERROR((CE365/CC365-1)*100),"NA",IF(((CE365/CC365-1)*100)&gt;100,"NM",IF(((CE365/CC365-1)*100)&lt;-50,"NM",(CE365/CC365-1)*100)))</f>
        <v>0.42667420175190873</v>
      </c>
      <c r="CG365" s="36">
        <f>AVERAGE(CE360,CG360)</f>
        <v>1794.6</v>
      </c>
      <c r="CH365" s="23">
        <f>IF(ISERROR((CG365/CE365-1)*100),"NA",IF(((CG365/CE365-1)*100)&gt;100,"NM",IF(((CG365/CE365-1)*100)&lt;-50,"NM",(CG365/CE365-1)*100)))</f>
        <v>0.98759179539122943</v>
      </c>
      <c r="CI365" s="36">
        <f>AVERAGE(CG360,CI360)</f>
        <v>1858.005797359619</v>
      </c>
      <c r="CJ365" s="23">
        <f>IF(ISERROR((CI365/CG365-1)*100),"NA",IF(((CI365/CG365-1)*100)&gt;100,"NM",IF(((CI365/CG365-1)*100)&lt;-50,"NM",(CI365/CG365-1)*100)))</f>
        <v>3.5331437289434442</v>
      </c>
      <c r="CK365" s="36">
        <f>AVERAGE(CI360,CK360)</f>
        <v>1950.5868845872192</v>
      </c>
      <c r="CL365" s="23">
        <f>IF(ISERROR((CK365/CI365-1)*100),"NA",IF(((CK365/CI365-1)*100)&gt;100,"NM",IF(((CK365/CI365-1)*100)&lt;-50,"NM",(CK365/CI365-1)*100)))</f>
        <v>4.9828201483098411</v>
      </c>
      <c r="CM365" s="36">
        <f>AVERAGE(CK360,CM360)</f>
        <v>2048.1162288165801</v>
      </c>
      <c r="CN365" s="23">
        <f>IF(ISERROR((CM365/CK365-1)*100),"NA",IF(((CM365/CK365-1)*100)&gt;100,"NM",IF(((CM365/CK365-1)*100)&lt;-50,"NM",(CM365/CK365-1)*100)))</f>
        <v>5.0000000000000044</v>
      </c>
      <c r="CO365" s="36">
        <f>AVERAGE(CM360,CO360)</f>
        <v>2150.5220402574096</v>
      </c>
      <c r="CP365" s="23">
        <f>IF(ISERROR((CO365/CM365-1)*100),"NA",IF(((CO365/CM365-1)*100)&gt;100,"NM",IF(((CO365/CM365-1)*100)&lt;-50,"NM",(CO365/CM365-1)*100)))</f>
        <v>5.0000000000000266</v>
      </c>
      <c r="CQ365" s="36">
        <f>AVERAGE(CO360,CQ360)</f>
        <v>2258.0481422702796</v>
      </c>
      <c r="CR365" s="23">
        <f>IF(ISERROR((CQ365/CO365-1)*100),"NA",IF(((CQ365/CO365-1)*100)&gt;100,"NM",IF(((CQ365/CO365-1)*100)&lt;-50,"NM",(CQ365/CO365-1)*100)))</f>
        <v>4.9999999999999822</v>
      </c>
      <c r="CS365" s="23">
        <f>IF(ISERROR(((CQ365/CG365)^0.2-1)*100),"NA",IF((((CQ365/CG365)^0.2-1)*100)&gt;100,"NM",IF((((CQ365/CG365)^0.2-1)*100)&lt;-50,"NM",((CQ365/CG365)^0.2-1)*100)))</f>
        <v>4.7015489628115192</v>
      </c>
    </row>
    <row r="366" spans="1:105" ht="12.75" customHeight="1" x14ac:dyDescent="0.2">
      <c r="A366" s="4" t="s">
        <v>212</v>
      </c>
      <c r="B366" s="36">
        <f>AVERAGE(B361)</f>
        <v>12.6</v>
      </c>
      <c r="C366" s="59"/>
      <c r="D366" s="36">
        <f>AVERAGE(B361,D361)</f>
        <v>13.35</v>
      </c>
      <c r="E366" s="59"/>
      <c r="F366" s="36">
        <f>AVERAGE(D361,F361)</f>
        <v>13.399999999999999</v>
      </c>
      <c r="G366" s="59"/>
      <c r="H366" s="36">
        <f>AVERAGE(F361,H361)</f>
        <v>13</v>
      </c>
      <c r="I366" s="59"/>
      <c r="J366" s="36">
        <f>AVERAGE(H361,J361)</f>
        <v>13.75</v>
      </c>
      <c r="K366" s="23">
        <f t="shared" si="2301"/>
        <v>9.126984126984139</v>
      </c>
      <c r="L366" s="36">
        <f>AVERAGE(J361,L361)</f>
        <v>13.7</v>
      </c>
      <c r="M366" s="23">
        <f t="shared" si="2301"/>
        <v>2.621722846441954</v>
      </c>
      <c r="N366" s="36">
        <f>AVERAGE(L361,N361)</f>
        <v>13.75</v>
      </c>
      <c r="O366" s="23">
        <f t="shared" si="2301"/>
        <v>2.6119402985074647</v>
      </c>
      <c r="P366" s="36">
        <f>AVERAGE(N361,P361)</f>
        <v>14.15</v>
      </c>
      <c r="Q366" s="23">
        <f t="shared" si="2301"/>
        <v>8.8461538461538591</v>
      </c>
      <c r="R366" s="36">
        <f>AVERAGE(P361,R361)</f>
        <v>14.35</v>
      </c>
      <c r="S366" s="23">
        <f t="shared" si="2301"/>
        <v>4.3636363636363695</v>
      </c>
      <c r="T366" s="36">
        <f>AVERAGE(R361,T361)</f>
        <v>14.75</v>
      </c>
      <c r="U366" s="23">
        <f t="shared" si="2301"/>
        <v>7.6642335766423431</v>
      </c>
      <c r="V366" s="36">
        <f>AVERAGE(T361,V361)</f>
        <v>15</v>
      </c>
      <c r="W366" s="23">
        <f t="shared" si="2301"/>
        <v>9.0909090909090828</v>
      </c>
      <c r="X366" s="36">
        <f>AVERAGE(V361,X361)</f>
        <v>15.55</v>
      </c>
      <c r="Y366" s="23">
        <f t="shared" si="2301"/>
        <v>9.8939929328621936</v>
      </c>
      <c r="Z366" s="36">
        <f>AVERAGE(X361,Z361)</f>
        <v>15.9</v>
      </c>
      <c r="AA366" s="23">
        <f>IF(ISERROR((Z366/R366-1)*100),"NA",IF(((Z366/R366-1)*100)&gt;100,"NM",IF(((Z366/R366-1)*100)&lt;-50,"NM",(Z366/R366-1)*100)))</f>
        <v>10.801393728222997</v>
      </c>
      <c r="AB366" s="36">
        <f>AVERAGE(Z361,AB361)</f>
        <v>16.05</v>
      </c>
      <c r="AC366" s="23">
        <f>IF(ISERROR((AB366/T366-1)*100),"NA",IF(((AB366/T366-1)*100)&gt;100,"NM",IF(((AB366/T366-1)*100)&lt;-50,"NM",(AB366/T366-1)*100)))</f>
        <v>8.8135593220338926</v>
      </c>
      <c r="AD366" s="36">
        <f>AVERAGE(AB361,AD361)</f>
        <v>16.100000000000001</v>
      </c>
      <c r="AE366" s="23">
        <f>IF(ISERROR((AD366/V366-1)*100),"NA",IF(((AD366/V366-1)*100)&gt;100,"NM",IF(((AD366/V366-1)*100)&lt;-50,"NM",(AD366/V366-1)*100)))</f>
        <v>7.3333333333333472</v>
      </c>
      <c r="AF366" s="36">
        <f>AVERAGE(AD361,AF361)</f>
        <v>16.05</v>
      </c>
      <c r="AG366" s="23">
        <f>IF(ISERROR((AF366/X366-1)*100),"NA",IF(((AF366/X366-1)*100)&gt;100,"NM",IF(((AF366/X366-1)*100)&lt;-50,"NM",(AF366/X366-1)*100)))</f>
        <v>3.2154340836012762</v>
      </c>
      <c r="AH366" s="36">
        <f>AVERAGE(AF361,AH361)</f>
        <v>16.100000000000001</v>
      </c>
      <c r="AI366" s="23">
        <f>IF(ISERROR((AH366/Z366-1)*100),"NA",IF(((AH366/Z366-1)*100)&gt;100,"NM",IF(((AH366/Z366-1)*100)&lt;-50,"NM",(AH366/Z366-1)*100)))</f>
        <v>1.2578616352201255</v>
      </c>
      <c r="AJ366" s="36">
        <f>AVERAGE(AH361,AJ361)</f>
        <v>15.9</v>
      </c>
      <c r="AK366" s="23">
        <f>IF(ISERROR((AJ366/AB366-1)*100),"NA",IF(((AJ366/AB366-1)*100)&gt;100,"NM",IF(((AJ366/AB366-1)*100)&lt;-50,"NM",(AJ366/AB366-1)*100)))</f>
        <v>-0.93457943925233655</v>
      </c>
      <c r="AL366" s="36">
        <f>AVERAGE(AJ361,AL361)</f>
        <v>15.05</v>
      </c>
      <c r="AM366" s="23">
        <f>IF(ISERROR((AL366/AD366-1)*100),"NA",IF(((AL366/AD366-1)*100)&gt;100,"NM",IF(((AL366/AD366-1)*100)&lt;-50,"NM",(AL366/AD366-1)*100)))</f>
        <v>-6.5217391304347894</v>
      </c>
      <c r="AN366" s="410">
        <f t="shared" si="2302"/>
        <v>14.75</v>
      </c>
      <c r="AO366" s="23">
        <f>IF(ISERROR((AN366/AF366-1)*100),"NA",IF(((AN366/AF366-1)*100)&gt;100,"NM",IF(((AN366/AF366-1)*100)&lt;-50,"NM",(AN366/AF366-1)*100)))</f>
        <v>-8.0996884735202492</v>
      </c>
      <c r="AP366" s="410">
        <f t="shared" si="2302"/>
        <v>14.95</v>
      </c>
      <c r="AQ366" s="23">
        <f t="shared" si="2303"/>
        <v>-7.1428571428571512</v>
      </c>
      <c r="AR366" s="410">
        <f t="shared" si="2304"/>
        <v>14.65</v>
      </c>
      <c r="AS366" s="23">
        <f t="shared" si="2305"/>
        <v>-7.861635220125784</v>
      </c>
      <c r="AT366" s="410">
        <f t="shared" si="2304"/>
        <v>14.6</v>
      </c>
      <c r="AU366" s="23">
        <f t="shared" si="2306"/>
        <v>-2.9900332225913706</v>
      </c>
      <c r="AV366" s="410">
        <f t="shared" si="2307"/>
        <v>14.8</v>
      </c>
      <c r="AW366" s="23">
        <f t="shared" si="2308"/>
        <v>0.33898305084745228</v>
      </c>
      <c r="AX366" s="410">
        <f t="shared" si="2307"/>
        <v>15.100000000000001</v>
      </c>
      <c r="AY366" s="23">
        <f t="shared" si="2309"/>
        <v>1.0033444816053727</v>
      </c>
      <c r="AZ366" s="410">
        <f t="shared" si="2310"/>
        <v>15.2</v>
      </c>
      <c r="BA366" s="23">
        <f t="shared" si="2311"/>
        <v>3.7542662116040848</v>
      </c>
      <c r="BB366" s="410">
        <f t="shared" si="2312"/>
        <v>15.149999999999999</v>
      </c>
      <c r="BC366" s="23">
        <f t="shared" si="2313"/>
        <v>3.7671232876712146</v>
      </c>
      <c r="BD366" s="410">
        <f t="shared" si="2312"/>
        <v>15.6</v>
      </c>
      <c r="BE366" s="23">
        <f t="shared" si="2314"/>
        <v>5.4054054054053946</v>
      </c>
      <c r="BF366" s="36">
        <f t="shared" si="2315"/>
        <v>15.65</v>
      </c>
      <c r="BG366" s="23">
        <f t="shared" si="2316"/>
        <v>3.6423841059602502</v>
      </c>
      <c r="BH366" s="36">
        <f t="shared" si="2315"/>
        <v>15.2</v>
      </c>
      <c r="BI366" s="23">
        <f t="shared" si="2317"/>
        <v>0</v>
      </c>
      <c r="BJ366" s="36">
        <f t="shared" si="2315"/>
        <v>15.149999999999999</v>
      </c>
      <c r="BK366" s="23">
        <f t="shared" si="2318"/>
        <v>0</v>
      </c>
      <c r="BL366" s="36">
        <f t="shared" si="2319"/>
        <v>15.6</v>
      </c>
      <c r="BM366" s="23">
        <f t="shared" si="2320"/>
        <v>0</v>
      </c>
      <c r="BN366" s="10"/>
      <c r="BO366" s="137"/>
      <c r="BP366" s="10"/>
      <c r="BQ366" s="153"/>
      <c r="BR366" s="153"/>
      <c r="BS366" s="153"/>
      <c r="BT366" s="32"/>
      <c r="BU366" s="36">
        <f>AVERAGE(BU361)</f>
        <v>13.3</v>
      </c>
      <c r="BV366" s="23" t="str">
        <f>IF(ISERROR((BU366/BS366-1)*100),"NA",IF(((BU366/BS366-1)*100)&gt;100,"NM",IF(((BU366/BS366-1)*100)&lt;-50,"NM",(BU366/BS366-1)*100)))</f>
        <v>NA</v>
      </c>
      <c r="BW366" s="36">
        <f>AVERAGE(BU361,BW361)</f>
        <v>13.65</v>
      </c>
      <c r="BX366" s="23">
        <f>IF(ISERROR((BW366/BU366-1)*100),"NA",IF(((BW366/BU366-1)*100)&gt;100,"NM",IF(((BW366/BU366-1)*100)&lt;-50,"NM",(BW366/BU366-1)*100)))</f>
        <v>2.6315789473684292</v>
      </c>
      <c r="BY366" s="36">
        <f>AVERAGE(BW361,BY361)</f>
        <v>14.95</v>
      </c>
      <c r="BZ366" s="23">
        <f>IF(ISERROR((BY366/BW366-1)*100),"NA",IF(((BY366/BW366-1)*100)&gt;100,"NM",IF(((BY366/BW366-1)*100)&lt;-50,"NM",(BY366/BW366-1)*100)))</f>
        <v>9.5238095238095113</v>
      </c>
      <c r="CA366" s="36">
        <f>AVERAGE(BY361,CA361)</f>
        <v>16</v>
      </c>
      <c r="CB366" s="23">
        <f>IF(ISERROR((CA366/BY366-1)*100),"NA",IF(((CA366/BY366-1)*100)&gt;100,"NM",IF(((CA366/BY366-1)*100)&lt;-50,"NM",(CA366/BY366-1)*100)))</f>
        <v>7.0234113712374535</v>
      </c>
      <c r="CC366" s="36">
        <f>AVERAGE(CA361,CC361)</f>
        <v>15.600000000000001</v>
      </c>
      <c r="CD366" s="23">
        <f>IF(ISERROR((CC366/CA366-1)*100),"NA",IF(((CC366/CA366-1)*100)&gt;100,"NM",IF(((CC366/CA366-1)*100)&lt;-50,"NM",(CC366/CA366-1)*100)))</f>
        <v>-2.4999999999999911</v>
      </c>
      <c r="CE366" s="36">
        <f>AVERAGE(CC361,CE361)</f>
        <v>15</v>
      </c>
      <c r="CF366" s="23">
        <f>IF(ISERROR((CE366/CC366-1)*100),"NA",IF(((CE366/CC366-1)*100)&gt;100,"NM",IF(((CE366/CC366-1)*100)&lt;-50,"NM",(CE366/CC366-1)*100)))</f>
        <v>-3.8461538461538547</v>
      </c>
      <c r="CG366" s="36">
        <f>AVERAGE(CE361,CG361)</f>
        <v>15.45</v>
      </c>
      <c r="CH366" s="23">
        <f>IF(ISERROR((CG366/CE366-1)*100),"NA",IF(((CG366/CE366-1)*100)&gt;100,"NM",IF(((CG366/CE366-1)*100)&lt;-50,"NM",(CG366/CE366-1)*100)))</f>
        <v>3.0000000000000027</v>
      </c>
      <c r="CI366" s="36">
        <f>AVERAGE(CG361,CI361)</f>
        <v>16</v>
      </c>
      <c r="CJ366" s="23">
        <f>IF(ISERROR((CI366/CG366-1)*100),"NA",IF(((CI366/CG366-1)*100)&gt;100,"NM",IF(((CI366/CG366-1)*100)&lt;-50,"NM",(CI366/CG366-1)*100)))</f>
        <v>3.5598705501618255</v>
      </c>
      <c r="CK366" s="36">
        <f>AVERAGE(CI361,CK361)</f>
        <v>16</v>
      </c>
      <c r="CL366" s="23">
        <f>IF(ISERROR((CK366/CI366-1)*100),"NA",IF(((CK366/CI366-1)*100)&gt;100,"NM",IF(((CK366/CI366-1)*100)&lt;-50,"NM",(CK366/CI366-1)*100)))</f>
        <v>0</v>
      </c>
      <c r="CM366" s="36">
        <f>AVERAGE(CK361,CM361)</f>
        <v>16</v>
      </c>
      <c r="CN366" s="23">
        <f>IF(ISERROR((CM366/CK366-1)*100),"NA",IF(((CM366/CK366-1)*100)&gt;100,"NM",IF(((CM366/CK366-1)*100)&lt;-50,"NM",(CM366/CK366-1)*100)))</f>
        <v>0</v>
      </c>
      <c r="CO366" s="36">
        <f>AVERAGE(CM361,CO361)</f>
        <v>16</v>
      </c>
      <c r="CP366" s="23">
        <f>IF(ISERROR((CO366/CM366-1)*100),"NA",IF(((CO366/CM366-1)*100)&gt;100,"NM",IF(((CO366/CM366-1)*100)&lt;-50,"NM",(CO366/CM366-1)*100)))</f>
        <v>0</v>
      </c>
      <c r="CQ366" s="36">
        <f>AVERAGE(CO361,CQ361)</f>
        <v>16</v>
      </c>
      <c r="CR366" s="23">
        <f>IF(ISERROR((CQ366/CO366-1)*100),"NA",IF(((CQ366/CO366-1)*100)&gt;100,"NM",IF(((CQ366/CO366-1)*100)&lt;-50,"NM",(CQ366/CO366-1)*100)))</f>
        <v>0</v>
      </c>
      <c r="CS366" s="23">
        <f>IF(ISERROR(((CQ366/CG366)^0.2-1)*100),"NA",IF((((CQ366/CG366)^0.2-1)*100)&gt;100,"NM",IF((((CQ366/CG366)^0.2-1)*100)&lt;-50,"NM",((CQ366/CG366)^0.2-1)*100)))</f>
        <v>0.70204725611828778</v>
      </c>
    </row>
    <row r="367" spans="1:105" ht="12.75" customHeight="1" x14ac:dyDescent="0.2">
      <c r="J367" s="5"/>
      <c r="L367" s="5"/>
      <c r="N367" s="5"/>
      <c r="P367" s="5"/>
      <c r="R367" s="5"/>
      <c r="T367" s="5"/>
      <c r="V367" s="5"/>
      <c r="X367" s="5"/>
      <c r="Z367" s="5"/>
      <c r="AB367" s="5"/>
      <c r="AD367" s="5"/>
      <c r="AF367" s="5"/>
      <c r="AH367" s="5"/>
      <c r="AJ367" s="5"/>
      <c r="AL367" s="5"/>
      <c r="AN367" s="475"/>
      <c r="AP367" s="475"/>
      <c r="AR367" s="475"/>
      <c r="AT367" s="475"/>
      <c r="AV367" s="475"/>
      <c r="AX367" s="475"/>
      <c r="AZ367" s="475"/>
      <c r="BB367" s="475"/>
      <c r="BD367" s="475"/>
      <c r="BF367" s="5"/>
      <c r="BH367" s="5"/>
      <c r="BJ367" s="5"/>
      <c r="BL367" s="5"/>
      <c r="BN367" s="10"/>
      <c r="BO367" s="136"/>
      <c r="BP367" s="10"/>
      <c r="BQ367" s="32"/>
      <c r="BR367" s="32"/>
      <c r="BS367" s="32"/>
      <c r="BT367" s="32"/>
      <c r="BU367" s="32"/>
      <c r="BW367" s="5"/>
    </row>
    <row r="368" spans="1:105" s="111" customFormat="1" ht="12.75" customHeight="1" x14ac:dyDescent="0.2">
      <c r="A368" s="29" t="s">
        <v>213</v>
      </c>
      <c r="B368" s="122"/>
      <c r="C368" s="58"/>
      <c r="D368" s="122"/>
      <c r="E368" s="58"/>
      <c r="F368" s="122"/>
      <c r="G368" s="58"/>
      <c r="H368" s="122"/>
      <c r="I368" s="58"/>
      <c r="J368" s="123"/>
      <c r="K368" s="179"/>
      <c r="L368" s="123"/>
      <c r="M368" s="179"/>
      <c r="N368" s="123"/>
      <c r="O368" s="179"/>
      <c r="P368" s="123"/>
      <c r="Q368" s="179"/>
      <c r="R368" s="123"/>
      <c r="S368" s="179"/>
      <c r="T368" s="123"/>
      <c r="U368" s="179"/>
      <c r="V368" s="123"/>
      <c r="W368" s="179"/>
      <c r="X368" s="123"/>
      <c r="Y368" s="179"/>
      <c r="Z368" s="123"/>
      <c r="AA368" s="179"/>
      <c r="AB368" s="123"/>
      <c r="AC368" s="179"/>
      <c r="AD368" s="123"/>
      <c r="AE368" s="179"/>
      <c r="AF368" s="123"/>
      <c r="AG368" s="179"/>
      <c r="AH368" s="123"/>
      <c r="AI368" s="179"/>
      <c r="AJ368" s="123"/>
      <c r="AK368" s="179"/>
      <c r="AL368" s="123"/>
      <c r="AM368" s="179"/>
      <c r="AN368" s="507"/>
      <c r="AO368" s="179"/>
      <c r="AP368" s="507"/>
      <c r="AQ368" s="179"/>
      <c r="AR368" s="507"/>
      <c r="AS368" s="179"/>
      <c r="AT368" s="507"/>
      <c r="AU368" s="179"/>
      <c r="AV368" s="507"/>
      <c r="AW368" s="179"/>
      <c r="AX368" s="507"/>
      <c r="AY368" s="179"/>
      <c r="AZ368" s="507"/>
      <c r="BA368" s="179"/>
      <c r="BB368" s="507"/>
      <c r="BC368" s="179"/>
      <c r="BD368" s="507"/>
      <c r="BE368" s="179"/>
      <c r="BF368" s="123"/>
      <c r="BG368" s="179"/>
      <c r="BH368" s="123"/>
      <c r="BI368" s="179"/>
      <c r="BJ368" s="123"/>
      <c r="BK368" s="179"/>
      <c r="BL368" s="123"/>
      <c r="BM368" s="179"/>
      <c r="BN368" s="124"/>
      <c r="BO368" s="140"/>
      <c r="BP368" s="124"/>
      <c r="BQ368" s="124"/>
      <c r="BR368" s="123"/>
      <c r="BS368" s="123"/>
      <c r="BT368" s="123"/>
      <c r="BU368" s="123"/>
      <c r="BV368" s="179"/>
      <c r="BW368" s="123"/>
      <c r="BX368" s="179"/>
      <c r="BY368" s="30"/>
      <c r="BZ368" s="179"/>
      <c r="CA368" s="30"/>
      <c r="CB368" s="179"/>
      <c r="CC368" s="30"/>
      <c r="CD368" s="179"/>
      <c r="CE368" s="30"/>
      <c r="CF368" s="179"/>
      <c r="CG368" s="30"/>
      <c r="CH368" s="179"/>
      <c r="CI368" s="30"/>
      <c r="CJ368" s="179"/>
      <c r="CK368" s="30"/>
      <c r="CL368" s="179"/>
      <c r="CM368" s="30"/>
      <c r="CN368" s="179"/>
      <c r="CO368" s="30"/>
      <c r="CP368" s="179"/>
      <c r="CQ368" s="30"/>
      <c r="CR368" s="179"/>
      <c r="CS368" s="179"/>
      <c r="CV368"/>
      <c r="CW368"/>
      <c r="CX368"/>
      <c r="CY368"/>
      <c r="CZ368"/>
      <c r="DA368"/>
    </row>
    <row r="369" spans="1:105" s="111" customFormat="1" ht="12.75" customHeight="1" x14ac:dyDescent="0.2">
      <c r="A369" s="29" t="s">
        <v>159</v>
      </c>
      <c r="B369" s="122"/>
      <c r="C369" s="58"/>
      <c r="D369" s="122"/>
      <c r="E369" s="58"/>
      <c r="F369" s="122"/>
      <c r="G369" s="58"/>
      <c r="H369" s="122"/>
      <c r="I369" s="58"/>
      <c r="J369" s="123"/>
      <c r="K369" s="179"/>
      <c r="L369" s="123"/>
      <c r="M369" s="179"/>
      <c r="N369" s="123"/>
      <c r="O369" s="179"/>
      <c r="P369" s="123"/>
      <c r="Q369" s="179"/>
      <c r="R369" s="123"/>
      <c r="S369" s="179"/>
      <c r="T369" s="123"/>
      <c r="U369" s="179"/>
      <c r="V369" s="123"/>
      <c r="W369" s="179"/>
      <c r="X369" s="123"/>
      <c r="Y369" s="179"/>
      <c r="Z369" s="123"/>
      <c r="AA369" s="179"/>
      <c r="AB369" s="123"/>
      <c r="AC369" s="179"/>
      <c r="AD369" s="123"/>
      <c r="AE369" s="179"/>
      <c r="AF369" s="123"/>
      <c r="AG369" s="179"/>
      <c r="AH369" s="123"/>
      <c r="AI369" s="179"/>
      <c r="AJ369" s="123"/>
      <c r="AK369" s="179"/>
      <c r="AL369" s="123"/>
      <c r="AM369" s="179"/>
      <c r="AN369" s="507"/>
      <c r="AO369" s="179"/>
      <c r="AP369" s="507"/>
      <c r="AQ369" s="179"/>
      <c r="AR369" s="507"/>
      <c r="AS369" s="179"/>
      <c r="AT369" s="507"/>
      <c r="AU369" s="179"/>
      <c r="AV369" s="507"/>
      <c r="AW369" s="179"/>
      <c r="AX369" s="507"/>
      <c r="AY369" s="179"/>
      <c r="AZ369" s="507"/>
      <c r="BA369" s="179"/>
      <c r="BB369" s="507"/>
      <c r="BC369" s="179"/>
      <c r="BD369" s="507"/>
      <c r="BE369" s="179"/>
      <c r="BF369" s="123"/>
      <c r="BG369" s="179"/>
      <c r="BH369" s="123"/>
      <c r="BI369" s="179"/>
      <c r="BJ369" s="123"/>
      <c r="BK369" s="179"/>
      <c r="BL369" s="123"/>
      <c r="BM369" s="179"/>
      <c r="BN369" s="124"/>
      <c r="BO369" s="140"/>
      <c r="BP369" s="124"/>
      <c r="BQ369" s="124"/>
      <c r="BR369" s="123"/>
      <c r="BS369" s="123"/>
      <c r="BT369" s="123"/>
      <c r="BU369" s="123"/>
      <c r="BV369" s="179"/>
      <c r="BW369" s="123"/>
      <c r="BX369" s="179"/>
      <c r="BY369" s="30"/>
      <c r="BZ369" s="179"/>
      <c r="CA369" s="30"/>
      <c r="CB369" s="179"/>
      <c r="CC369" s="30"/>
      <c r="CD369" s="179"/>
      <c r="CE369" s="30"/>
      <c r="CF369" s="179"/>
      <c r="CG369" s="30"/>
      <c r="CH369" s="179"/>
      <c r="CI369" s="30"/>
      <c r="CJ369" s="179"/>
      <c r="CK369" s="30"/>
      <c r="CL369" s="179"/>
      <c r="CM369" s="30"/>
      <c r="CN369" s="179"/>
      <c r="CO369" s="30"/>
      <c r="CP369" s="179"/>
      <c r="CQ369" s="30"/>
      <c r="CR369" s="179"/>
      <c r="CS369" s="179"/>
      <c r="CV369"/>
      <c r="CW369"/>
      <c r="CX369"/>
      <c r="CY369"/>
      <c r="CZ369"/>
      <c r="DA369"/>
    </row>
    <row r="370" spans="1:105" s="111" customFormat="1" ht="12.75" customHeight="1" x14ac:dyDescent="0.2">
      <c r="A370" s="30" t="s">
        <v>189</v>
      </c>
      <c r="B370" s="75">
        <v>118.24893813</v>
      </c>
      <c r="C370" s="59"/>
      <c r="D370" s="75">
        <v>117.19791764</v>
      </c>
      <c r="E370" s="59"/>
      <c r="F370" s="75">
        <v>116.65570044</v>
      </c>
      <c r="G370" s="59"/>
      <c r="H370" s="75">
        <v>115.62583895</v>
      </c>
      <c r="I370" s="59"/>
      <c r="J370" s="75">
        <v>113.803</v>
      </c>
      <c r="K370" s="23">
        <f t="shared" ref="K370:Y374" si="2321">IF(ISERROR((J370/B370-1)*100),"NA",IF(((J370/B370-1)*100)&gt;100,"NM",IF(((J370/B370-1)*100)&lt;-50,"NM",(J370/B370-1)*100)))</f>
        <v>-3.7598123080921364</v>
      </c>
      <c r="L370" s="75">
        <v>114.43899999999999</v>
      </c>
      <c r="M370" s="23">
        <f t="shared" si="2321"/>
        <v>-2.354067116170655</v>
      </c>
      <c r="N370" s="75">
        <v>116.13</v>
      </c>
      <c r="O370" s="23">
        <f t="shared" si="2321"/>
        <v>-0.45064273586047365</v>
      </c>
      <c r="P370" s="75">
        <v>116.456</v>
      </c>
      <c r="Q370" s="23">
        <f t="shared" si="2321"/>
        <v>0.71797191487534828</v>
      </c>
      <c r="R370" s="75">
        <v>118.9</v>
      </c>
      <c r="S370" s="23">
        <f t="shared" si="2321"/>
        <v>4.4787922989727891</v>
      </c>
      <c r="T370" s="75">
        <v>119.3</v>
      </c>
      <c r="U370" s="23">
        <f t="shared" si="2321"/>
        <v>4.2476778021478756</v>
      </c>
      <c r="V370" s="75">
        <v>118.1</v>
      </c>
      <c r="W370" s="23">
        <f t="shared" si="2321"/>
        <v>1.6963747524326278</v>
      </c>
      <c r="X370" s="75">
        <v>117.2</v>
      </c>
      <c r="Y370" s="23">
        <f t="shared" si="2321"/>
        <v>0.63886789860547744</v>
      </c>
      <c r="Z370" s="75">
        <v>113.3</v>
      </c>
      <c r="AA370" s="23">
        <f>IF(ISERROR((Z370/R370-1)*100),"NA",IF(((Z370/R370-1)*100)&gt;100,"NM",IF(((Z370/R370-1)*100)&lt;-50,"NM",(Z370/R370-1)*100)))</f>
        <v>-4.7098402018503016</v>
      </c>
      <c r="AB370" s="75">
        <v>115.7</v>
      </c>
      <c r="AC370" s="23">
        <f>IF(ISERROR((AB370/T370-1)*100),"NA",IF(((AB370/T370-1)*100)&gt;100,"NM",IF(((AB370/T370-1)*100)&lt;-50,"NM",(AB370/T370-1)*100)))</f>
        <v>-3.0176026823134916</v>
      </c>
      <c r="AD370" s="75">
        <v>111.9</v>
      </c>
      <c r="AE370" s="23">
        <f>IF(ISERROR((AD370/V370-1)*100),"NA",IF(((AD370/V370-1)*100)&gt;100,"NM",IF(((AD370/V370-1)*100)&lt;-50,"NM",(AD370/V370-1)*100)))</f>
        <v>-5.2497883149872919</v>
      </c>
      <c r="AF370" s="75">
        <v>114.1</v>
      </c>
      <c r="AG370" s="23">
        <f>IF(ISERROR((AF370/X370-1)*100),"NA",IF(((AF370/X370-1)*100)&gt;100,"NM",IF(((AF370/X370-1)*100)&lt;-50,"NM",(AF370/X370-1)*100)))</f>
        <v>-2.6450511945392607</v>
      </c>
      <c r="AH370" s="75">
        <v>116.1</v>
      </c>
      <c r="AI370" s="23">
        <f>IF(ISERROR((AH370/Z370-1)*100),"NA",IF(((AH370/Z370-1)*100)&gt;100,"NM",IF(((AH370/Z370-1)*100)&lt;-50,"NM",(AH370/Z370-1)*100)))</f>
        <v>2.4713150926743088</v>
      </c>
      <c r="AJ370" s="75">
        <v>122.5</v>
      </c>
      <c r="AK370" s="23">
        <f>IF(ISERROR((AJ370/AB370-1)*100),"NA",IF(((AJ370/AB370-1)*100)&gt;100,"NM",IF(((AJ370/AB370-1)*100)&lt;-50,"NM",(AJ370/AB370-1)*100)))</f>
        <v>5.877268798617119</v>
      </c>
      <c r="AL370" s="75">
        <v>119.4</v>
      </c>
      <c r="AM370" s="23">
        <f>IF(ISERROR((AL370/AD370-1)*100),"NA",IF(((AL370/AD370-1)*100)&gt;100,"NM",IF(((AL370/AD370-1)*100)&lt;-50,"NM",(AL370/AD370-1)*100)))</f>
        <v>6.7024128686327122</v>
      </c>
      <c r="AN370" s="508">
        <v>119</v>
      </c>
      <c r="AO370" s="23">
        <f>IF(ISERROR((AN370/AF370-1)*100),"NA",IF(((AN370/AF370-1)*100)&gt;100,"NM",IF(((AN370/AF370-1)*100)&lt;-50,"NM",(AN370/AF370-1)*100)))</f>
        <v>4.2944785276073594</v>
      </c>
      <c r="AP370" s="508">
        <v>123.6</v>
      </c>
      <c r="AQ370" s="23">
        <f t="shared" ref="AQ370:AQ374" si="2322">IF(ISERROR((AP370/AH370-1)*100),"NA",IF(((AP370/AH370-1)*100)&gt;100,"NM",IF(((AP370/AH370-1)*100)&lt;-50,"NM",(AP370/AH370-1)*100)))</f>
        <v>6.4599483204134334</v>
      </c>
      <c r="AR370" s="508">
        <v>119.4</v>
      </c>
      <c r="AS370" s="23">
        <f t="shared" ref="AS370:AS374" si="2323">IF(ISERROR((AR370/AJ370-1)*100),"NA",IF(((AR370/AJ370-1)*100)&gt;100,"NM",IF(((AR370/AJ370-1)*100)&lt;-50,"NM",(AR370/AJ370-1)*100)))</f>
        <v>-2.5306122448979562</v>
      </c>
      <c r="AT370" s="508">
        <v>119.2</v>
      </c>
      <c r="AU370" s="23">
        <f t="shared" ref="AU370:AU374" si="2324">IF(ISERROR((AT370/AL370-1)*100),"NA",IF(((AT370/AL370-1)*100)&gt;100,"NM",IF(((AT370/AL370-1)*100)&lt;-50,"NM",(AT370/AL370-1)*100)))</f>
        <v>-0.16750418760469454</v>
      </c>
      <c r="AV370" s="508">
        <v>122.2</v>
      </c>
      <c r="AW370" s="23">
        <f t="shared" ref="AW370:AW374" si="2325">IF(ISERROR((AV370/AN370-1)*100),"NA",IF(((AV370/AN370-1)*100)&gt;100,"NM",IF(((AV370/AN370-1)*100)&lt;-50,"NM",(AV370/AN370-1)*100)))</f>
        <v>2.6890756302521135</v>
      </c>
      <c r="AX370" s="508">
        <v>115.2</v>
      </c>
      <c r="AY370" s="23">
        <f t="shared" ref="AY370:AY374" si="2326">IF(ISERROR((AX370/AP370-1)*100),"NA",IF(((AX370/AP370-1)*100)&gt;100,"NM",IF(((AX370/AP370-1)*100)&lt;-50,"NM",(AX370/AP370-1)*100)))</f>
        <v>-6.7961165048543659</v>
      </c>
      <c r="AZ370" s="508">
        <v>116</v>
      </c>
      <c r="BA370" s="23">
        <f t="shared" ref="BA370:BA374" si="2327">IF(ISERROR((AZ370/AR370-1)*100),"NA",IF(((AZ370/AR370-1)*100)&gt;100,"NM",IF(((AZ370/AR370-1)*100)&lt;-50,"NM",(AZ370/AR370-1)*100)))</f>
        <v>-2.8475711892797406</v>
      </c>
      <c r="BB370" s="508">
        <v>117.6</v>
      </c>
      <c r="BC370" s="23">
        <f t="shared" ref="BC370:BC374" si="2328">IF(ISERROR((BB370/AT370-1)*100),"NA",IF(((BB370/AT370-1)*100)&gt;100,"NM",IF(((BB370/AT370-1)*100)&lt;-50,"NM",(BB370/AT370-1)*100)))</f>
        <v>-1.34228187919464</v>
      </c>
      <c r="BD370" s="508">
        <v>117</v>
      </c>
      <c r="BE370" s="23">
        <f t="shared" ref="BE370:BE374" si="2329">IF(ISERROR((BD370/AV370-1)*100),"NA",IF(((BD370/AV370-1)*100)&gt;100,"NM",IF(((BD370/AV370-1)*100)&lt;-50,"NM",(BD370/AV370-1)*100)))</f>
        <v>-4.2553191489361764</v>
      </c>
      <c r="BF370" s="75">
        <f>AX370*(1.05)</f>
        <v>120.96000000000001</v>
      </c>
      <c r="BG370" s="23">
        <f t="shared" ref="BG370:BG374" si="2330">IF(ISERROR((BF370/AX370-1)*100),"NA",IF(((BF370/AX370-1)*100)&gt;100,"NM",IF(((BF370/AX370-1)*100)&lt;-50,"NM",(BF370/AX370-1)*100)))</f>
        <v>5.0000000000000044</v>
      </c>
      <c r="BH370" s="75">
        <f>AZ370*(1.05)</f>
        <v>121.80000000000001</v>
      </c>
      <c r="BI370" s="23">
        <f t="shared" ref="BI370:BI374" si="2331">IF(ISERROR((BH370/AZ370-1)*100),"NA",IF(((BH370/AZ370-1)*100)&gt;100,"NM",IF(((BH370/AZ370-1)*100)&lt;-50,"NM",(BH370/AZ370-1)*100)))</f>
        <v>5.0000000000000044</v>
      </c>
      <c r="BJ370" s="75">
        <f>BB370*(1.05)</f>
        <v>123.48</v>
      </c>
      <c r="BK370" s="23">
        <f t="shared" ref="BK370:BK374" si="2332">IF(ISERROR((BJ370/BB370-1)*100),"NA",IF(((BJ370/BB370-1)*100)&gt;100,"NM",IF(((BJ370/BB370-1)*100)&lt;-50,"NM",(BJ370/BB370-1)*100)))</f>
        <v>5.0000000000000044</v>
      </c>
      <c r="BL370" s="75">
        <f>BD370*(1.05)</f>
        <v>122.85000000000001</v>
      </c>
      <c r="BM370" s="23">
        <f t="shared" ref="BM370:BM374" si="2333">IF(ISERROR((BL370/BD370-1)*100),"NA",IF(((BL370/BD370-1)*100)&gt;100,"NM",IF(((BL370/BD370-1)*100)&lt;-50,"NM",(BL370/BD370-1)*100)))</f>
        <v>5.0000000000000044</v>
      </c>
      <c r="BN370" s="124"/>
      <c r="BO370" s="141"/>
      <c r="BP370" s="124"/>
      <c r="BQ370" s="155"/>
      <c r="BR370" s="155"/>
      <c r="BS370" s="155"/>
      <c r="BT370" s="123"/>
      <c r="BU370" s="56">
        <f>B370+D370+F370+H370</f>
        <v>467.72839515999999</v>
      </c>
      <c r="BV370" s="23" t="str">
        <f>IF(ISERROR((BU370/BS370-1)*100),"NA",IF(((BU370/BS370-1)*100)&gt;100,"NM",IF(((BU370/BS370-1)*100)&lt;-50,"NM",(BU370/BS370-1)*100)))</f>
        <v>NA</v>
      </c>
      <c r="BW370" s="56">
        <f>J370+L370+N370+P370</f>
        <v>460.82799999999997</v>
      </c>
      <c r="BX370" s="23">
        <f>IF(ISERROR((BW370/BU370-1)*100),"NA",IF(((BW370/BU370-1)*100)&gt;100,"NM",IF(((BW370/BU370-1)*100)&lt;-50,"NM",(BW370/BU370-1)*100)))</f>
        <v>-1.4752996036598409</v>
      </c>
      <c r="BY370" s="56">
        <f>R370+T370+V370+X370</f>
        <v>473.49999999999994</v>
      </c>
      <c r="BZ370" s="23">
        <f>IF(ISERROR((BY370/BW370-1)*100),"NA",IF(((BY370/BW370-1)*100)&gt;100,"NM",IF(((BY370/BW370-1)*100)&lt;-50,"NM",(BY370/BW370-1)*100)))</f>
        <v>2.7498329094586271</v>
      </c>
      <c r="CA370" s="56">
        <f>Z370+AB370+AD370+AF370</f>
        <v>455</v>
      </c>
      <c r="CB370" s="23">
        <f>IF(ISERROR((CA370/BY370-1)*100),"NA",IF(((CA370/BY370-1)*100)&gt;100,"NM",IF(((CA370/BY370-1)*100)&lt;-50,"NM",(CA370/BY370-1)*100)))</f>
        <v>-3.9070749736008326</v>
      </c>
      <c r="CC370" s="56">
        <f>AH370+AJ370+AL370+AN370</f>
        <v>477</v>
      </c>
      <c r="CD370" s="23">
        <f>IF(ISERROR((CC370/CA370-1)*100),"NA",IF(((CC370/CA370-1)*100)&gt;100,"NM",IF(((CC370/CA370-1)*100)&lt;-50,"NM",(CC370/CA370-1)*100)))</f>
        <v>4.8351648351648402</v>
      </c>
      <c r="CE370" s="56">
        <f>AP370+AR370+AT370+AV370</f>
        <v>484.4</v>
      </c>
      <c r="CF370" s="23">
        <f>IF(ISERROR((CE370/CC370-1)*100),"NA",IF(((CE370/CC370-1)*100)&gt;100,"NM",IF(((CE370/CC370-1)*100)&lt;-50,"NM",(CE370/CC370-1)*100)))</f>
        <v>1.55136268343814</v>
      </c>
      <c r="CG370" s="56">
        <f>AX370+AZ370+BB370+BD370</f>
        <v>465.79999999999995</v>
      </c>
      <c r="CH370" s="23">
        <f>IF(ISERROR((CG370/CE370-1)*100),"NA",IF(((CG370/CE370-1)*100)&gt;100,"NM",IF(((CG370/CE370-1)*100)&lt;-50,"NM",(CG370/CE370-1)*100)))</f>
        <v>-3.8398018166804326</v>
      </c>
      <c r="CI370" s="56">
        <f>BF370+BH370+BJ370+BL370</f>
        <v>489.09000000000003</v>
      </c>
      <c r="CJ370" s="23">
        <f>IF(ISERROR((CI370/CG370-1)*100),"NA",IF(((CI370/CG370-1)*100)&gt;100,"NM",IF(((CI370/CG370-1)*100)&lt;-50,"NM",(CI370/CG370-1)*100)))</f>
        <v>5.0000000000000266</v>
      </c>
      <c r="CK370" s="77">
        <f>CI370*1.05</f>
        <v>513.54450000000008</v>
      </c>
      <c r="CL370" s="23">
        <f>IF(ISERROR((CK370/CI370-1)*100),"NA",IF(((CK370/CI370-1)*100)&gt;100,"NM",IF(((CK370/CI370-1)*100)&lt;-50,"NM",(CK370/CI370-1)*100)))</f>
        <v>5.0000000000000044</v>
      </c>
      <c r="CM370" s="77">
        <f>CK370*1.05</f>
        <v>539.22172500000011</v>
      </c>
      <c r="CN370" s="23">
        <f>IF(ISERROR((CM370/CK370-1)*100),"NA",IF(((CM370/CK370-1)*100)&gt;100,"NM",IF(((CM370/CK370-1)*100)&lt;-50,"NM",(CM370/CK370-1)*100)))</f>
        <v>5.0000000000000044</v>
      </c>
      <c r="CO370" s="77">
        <f>CM370*1.05</f>
        <v>566.1828112500001</v>
      </c>
      <c r="CP370" s="23">
        <f>IF(ISERROR((CO370/CM370-1)*100),"NA",IF(((CO370/CM370-1)*100)&gt;100,"NM",IF(((CO370/CM370-1)*100)&lt;-50,"NM",(CO370/CM370-1)*100)))</f>
        <v>5.0000000000000044</v>
      </c>
      <c r="CQ370" s="77">
        <f>CO370*1.05</f>
        <v>594.49195181250013</v>
      </c>
      <c r="CR370" s="23">
        <f>IF(ISERROR((CQ370/CO370-1)*100),"NA",IF(((CQ370/CO370-1)*100)&gt;100,"NM",IF(((CQ370/CO370-1)*100)&lt;-50,"NM",(CQ370/CO370-1)*100)))</f>
        <v>5.0000000000000044</v>
      </c>
      <c r="CS370" s="23">
        <f>IF(ISERROR(((CQ370/CG370)^0.2-1)*100),"NA",IF((((CQ370/CG370)^0.2-1)*100)&gt;100,"NM",IF((((CQ370/CG370)^0.2-1)*100)&lt;-50,"NM",((CQ370/CG370)^0.2-1)*100)))</f>
        <v>5.0000000000000044</v>
      </c>
      <c r="CT370" s="402"/>
      <c r="CV370"/>
      <c r="CW370"/>
      <c r="CX370"/>
      <c r="CY370"/>
      <c r="CZ370"/>
      <c r="DA370"/>
    </row>
    <row r="371" spans="1:105" s="111" customFormat="1" ht="12.75" customHeight="1" x14ac:dyDescent="0.2">
      <c r="A371" s="30" t="s">
        <v>190</v>
      </c>
      <c r="B371" s="75">
        <v>-97.873495719999994</v>
      </c>
      <c r="C371" s="59"/>
      <c r="D371" s="75">
        <v>-87.213654380000008</v>
      </c>
      <c r="E371" s="59"/>
      <c r="F371" s="75">
        <v>-91.74176009</v>
      </c>
      <c r="G371" s="59"/>
      <c r="H371" s="75">
        <v>-85.535233110000021</v>
      </c>
      <c r="I371" s="59"/>
      <c r="J371" s="75">
        <v>-94.275999999999996</v>
      </c>
      <c r="K371" s="23">
        <f t="shared" si="2321"/>
        <v>-3.6756587608680502</v>
      </c>
      <c r="L371" s="75">
        <v>-79.548000000000002</v>
      </c>
      <c r="M371" s="23">
        <f t="shared" si="2321"/>
        <v>-8.7895117278309005</v>
      </c>
      <c r="N371" s="75">
        <v>-89.480999999999995</v>
      </c>
      <c r="O371" s="23">
        <f t="shared" si="2321"/>
        <v>-2.4642650062328908</v>
      </c>
      <c r="P371" s="75">
        <v>-91.183999999999997</v>
      </c>
      <c r="Q371" s="23">
        <f t="shared" si="2321"/>
        <v>6.6040234937286613</v>
      </c>
      <c r="R371" s="75">
        <v>-101.5</v>
      </c>
      <c r="S371" s="23">
        <f t="shared" si="2321"/>
        <v>7.6626076626076678</v>
      </c>
      <c r="T371" s="75">
        <v>-89.9</v>
      </c>
      <c r="U371" s="23">
        <f t="shared" si="2321"/>
        <v>13.013526424297295</v>
      </c>
      <c r="V371" s="75">
        <v>-97</v>
      </c>
      <c r="W371" s="23">
        <f t="shared" si="2321"/>
        <v>8.402901174551026</v>
      </c>
      <c r="X371" s="75">
        <v>-84.3</v>
      </c>
      <c r="Y371" s="23">
        <f t="shared" si="2321"/>
        <v>-7.5495701000175437</v>
      </c>
      <c r="Z371" s="75">
        <v>-92.9</v>
      </c>
      <c r="AA371" s="23">
        <f>IF(ISERROR((Z371/R371-1)*100),"NA",IF(((Z371/R371-1)*100)&gt;100,"NM",IF(((Z371/R371-1)*100)&lt;-50,"NM",(Z371/R371-1)*100)))</f>
        <v>-8.4729064039408826</v>
      </c>
      <c r="AB371" s="75">
        <v>-86.4</v>
      </c>
      <c r="AC371" s="23">
        <f>IF(ISERROR((AB371/T371-1)*100),"NA",IF(((AB371/T371-1)*100)&gt;100,"NM",IF(((AB371/T371-1)*100)&lt;-50,"NM",(AB371/T371-1)*100)))</f>
        <v>-3.8932146829810943</v>
      </c>
      <c r="AD371" s="75">
        <v>-84.3</v>
      </c>
      <c r="AE371" s="23">
        <f>IF(ISERROR((AD371/V371-1)*100),"NA",IF(((AD371/V371-1)*100)&gt;100,"NM",IF(((AD371/V371-1)*100)&lt;-50,"NM",(AD371/V371-1)*100)))</f>
        <v>-13.092783505154637</v>
      </c>
      <c r="AF371" s="75">
        <v>-82.4</v>
      </c>
      <c r="AG371" s="23">
        <f>IF(ISERROR((AF371/X371-1)*100),"NA",IF(((AF371/X371-1)*100)&gt;100,"NM",IF(((AF371/X371-1)*100)&lt;-50,"NM",(AF371/X371-1)*100)))</f>
        <v>-2.2538552787663035</v>
      </c>
      <c r="AH371" s="75">
        <v>-86.1</v>
      </c>
      <c r="AI371" s="23">
        <f>IF(ISERROR((AH371/Z371-1)*100),"NA",IF(((AH371/Z371-1)*100)&gt;100,"NM",IF(((AH371/Z371-1)*100)&lt;-50,"NM",(AH371/Z371-1)*100)))</f>
        <v>-7.3196986006458626</v>
      </c>
      <c r="AJ371" s="75">
        <v>-90.6</v>
      </c>
      <c r="AK371" s="23">
        <f>IF(ISERROR((AJ371/AB371-1)*100),"NA",IF(((AJ371/AB371-1)*100)&gt;100,"NM",IF(((AJ371/AB371-1)*100)&lt;-50,"NM",(AJ371/AB371-1)*100)))</f>
        <v>4.8611111111110938</v>
      </c>
      <c r="AL371" s="75">
        <v>-90.3</v>
      </c>
      <c r="AM371" s="23">
        <f>IF(ISERROR((AL371/AD371-1)*100),"NA",IF(((AL371/AD371-1)*100)&gt;100,"NM",IF(((AL371/AD371-1)*100)&lt;-50,"NM",(AL371/AD371-1)*100)))</f>
        <v>7.1174377224199281</v>
      </c>
      <c r="AN371" s="508">
        <v>-93.7</v>
      </c>
      <c r="AO371" s="23">
        <f>IF(ISERROR((AN371/AF371-1)*100),"NA",IF(((AN371/AF371-1)*100)&gt;100,"NM",IF(((AN371/AF371-1)*100)&lt;-50,"NM",(AN371/AF371-1)*100)))</f>
        <v>13.713592233009697</v>
      </c>
      <c r="AP371" s="508">
        <v>-104.4</v>
      </c>
      <c r="AQ371" s="23">
        <f t="shared" si="2322"/>
        <v>21.254355400696888</v>
      </c>
      <c r="AR371" s="508">
        <v>-87.1</v>
      </c>
      <c r="AS371" s="23">
        <f t="shared" si="2323"/>
        <v>-3.8631346578366421</v>
      </c>
      <c r="AT371" s="508">
        <v>-92.9</v>
      </c>
      <c r="AU371" s="23">
        <f t="shared" si="2324"/>
        <v>2.8792912513842861</v>
      </c>
      <c r="AV371" s="508">
        <v>-89.7</v>
      </c>
      <c r="AW371" s="23">
        <f t="shared" si="2325"/>
        <v>-4.2689434364994616</v>
      </c>
      <c r="AX371" s="508">
        <v>-95.8</v>
      </c>
      <c r="AY371" s="23">
        <f t="shared" si="2326"/>
        <v>-8.2375478927203094</v>
      </c>
      <c r="AZ371" s="508">
        <v>-81.8</v>
      </c>
      <c r="BA371" s="23">
        <f t="shared" si="2327"/>
        <v>-6.0849598163030922</v>
      </c>
      <c r="BB371" s="508">
        <v>-87.5</v>
      </c>
      <c r="BC371" s="23">
        <f t="shared" si="2328"/>
        <v>-5.8127018299246602</v>
      </c>
      <c r="BD371" s="508">
        <v>-89</v>
      </c>
      <c r="BE371" s="23">
        <f t="shared" si="2329"/>
        <v>-0.78037904124861335</v>
      </c>
      <c r="BF371" s="78">
        <f t="shared" ref="BF371" si="2334">-BF370*BF374/100</f>
        <v>-99.187200000000018</v>
      </c>
      <c r="BG371" s="23">
        <f t="shared" si="2330"/>
        <v>3.5356993736952225</v>
      </c>
      <c r="BH371" s="78">
        <f t="shared" ref="BH371" si="2335">-BH370*BH374/100</f>
        <v>-94.394999999999996</v>
      </c>
      <c r="BI371" s="23">
        <f t="shared" si="2331"/>
        <v>15.397310513447437</v>
      </c>
      <c r="BJ371" s="78">
        <f t="shared" ref="BJ371" si="2336">-BJ370*BJ374/100</f>
        <v>-95.079600000000013</v>
      </c>
      <c r="BK371" s="23">
        <f t="shared" si="2332"/>
        <v>8.6624000000000265</v>
      </c>
      <c r="BL371" s="78">
        <f t="shared" ref="BL371" si="2337">-BL370*BL374/100</f>
        <v>-94.594500000000011</v>
      </c>
      <c r="BM371" s="23">
        <f t="shared" si="2333"/>
        <v>6.2859550561797928</v>
      </c>
      <c r="BN371" s="124"/>
      <c r="BO371" s="141"/>
      <c r="BP371" s="124"/>
      <c r="BQ371" s="155"/>
      <c r="BR371" s="155"/>
      <c r="BS371" s="155"/>
      <c r="BT371" s="123"/>
      <c r="BU371" s="56">
        <f>B371+D371+F371+H371</f>
        <v>-362.36414330000002</v>
      </c>
      <c r="BV371" s="23" t="str">
        <f>IF(ISERROR((BU371/BS371-1)*100),"NA",IF(((BU371/BS371-1)*100)&gt;100,"NM",IF(((BU371/BS371-1)*100)&lt;-50,"NM",(BU371/BS371-1)*100)))</f>
        <v>NA</v>
      </c>
      <c r="BW371" s="56">
        <f>J371+L371+N371+P371</f>
        <v>-354.48900000000003</v>
      </c>
      <c r="BX371" s="23">
        <f>IF(ISERROR((BW371/BU371-1)*100),"NA",IF(((BW371/BU371-1)*100)&gt;100,"NM",IF(((BW371/BU371-1)*100)&lt;-50,"NM",(BW371/BU371-1)*100)))</f>
        <v>-2.1732678151547113</v>
      </c>
      <c r="BY371" s="56">
        <f>R371+T371+V371+X371</f>
        <v>-372.7</v>
      </c>
      <c r="BZ371" s="23">
        <f>IF(ISERROR((BY371/BW371-1)*100),"NA",IF(((BY371/BW371-1)*100)&gt;100,"NM",IF(((BY371/BW371-1)*100)&lt;-50,"NM",(BY371/BW371-1)*100)))</f>
        <v>5.1372539063271327</v>
      </c>
      <c r="CA371" s="56">
        <f>Z371+AB371+AD371+AF371</f>
        <v>-346</v>
      </c>
      <c r="CB371" s="23">
        <f>IF(ISERROR((CA371/BY371-1)*100),"NA",IF(((CA371/BY371-1)*100)&gt;100,"NM",IF(((CA371/BY371-1)*100)&lt;-50,"NM",(CA371/BY371-1)*100)))</f>
        <v>-7.1639388247920603</v>
      </c>
      <c r="CC371" s="56">
        <f>AH371+AJ371+AL371+AN371</f>
        <v>-360.7</v>
      </c>
      <c r="CD371" s="23">
        <f>IF(ISERROR((CC371/CA371-1)*100),"NA",IF(((CC371/CA371-1)*100)&gt;100,"NM",IF(((CC371/CA371-1)*100)&lt;-50,"NM",(CC371/CA371-1)*100)))</f>
        <v>4.2485549132947886</v>
      </c>
      <c r="CE371" s="56">
        <f>AP371+AR371+AT371+AV371</f>
        <v>-374.09999999999997</v>
      </c>
      <c r="CF371" s="23">
        <f>IF(ISERROR((CE371/CC371-1)*100),"NA",IF(((CE371/CC371-1)*100)&gt;100,"NM",IF(((CE371/CC371-1)*100)&lt;-50,"NM",(CE371/CC371-1)*100)))</f>
        <v>3.7149986138064861</v>
      </c>
      <c r="CG371" s="56">
        <f>AX371+AZ371+BB371+BD371</f>
        <v>-354.1</v>
      </c>
      <c r="CH371" s="23">
        <f>IF(ISERROR((CG371/CE371-1)*100),"NA",IF(((CG371/CE371-1)*100)&gt;100,"NM",IF(((CG371/CE371-1)*100)&lt;-50,"NM",(CG371/CE371-1)*100)))</f>
        <v>-5.3461641272386951</v>
      </c>
      <c r="CI371" s="56">
        <f>BF371+BH371+BJ371+BL371</f>
        <v>-383.25630000000001</v>
      </c>
      <c r="CJ371" s="23">
        <f>IF(ISERROR((CI371/CG371-1)*100),"NA",IF(((CI371/CG371-1)*100)&gt;100,"NM",IF(((CI371/CG371-1)*100)&lt;-50,"NM",(CI371/CG371-1)*100)))</f>
        <v>8.2339169726066039</v>
      </c>
      <c r="CK371" s="78">
        <f>-CK370*CK374/100</f>
        <v>-404.98683750000004</v>
      </c>
      <c r="CL371" s="23">
        <f>IF(ISERROR((CK371/CI371-1)*100),"NA",IF(((CK371/CI371-1)*100)&gt;100,"NM",IF(((CK371/CI371-1)*100)&lt;-50,"NM",(CK371/CI371-1)*100)))</f>
        <v>5.6699752880774668</v>
      </c>
      <c r="CM371" s="78">
        <f>-CM370*CM374/100</f>
        <v>-427.93228800000003</v>
      </c>
      <c r="CN371" s="23">
        <f>IF(ISERROR((CM371/CK371-1)*100),"NA",IF(((CM371/CK371-1)*100)&gt;100,"NM",IF(((CM371/CK371-1)*100)&lt;-50,"NM",(CM371/CK371-1)*100)))</f>
        <v>5.6657274694760895</v>
      </c>
      <c r="CO371" s="78">
        <f>-CO370*CO374/100</f>
        <v>-452.15981645625004</v>
      </c>
      <c r="CP371" s="23">
        <f>IF(ISERROR((CO371/CM371-1)*100),"NA",IF(((CO371/CM371-1)*100)&gt;100,"NM",IF(((CO371/CM371-1)*100)&lt;-50,"NM",(CO371/CM371-1)*100)))</f>
        <v>5.6615331760734078</v>
      </c>
      <c r="CQ371" s="78">
        <f>-CQ370*CQ374/100</f>
        <v>-477.74026703812507</v>
      </c>
      <c r="CR371" s="23">
        <f>IF(ISERROR((CQ371/CO371-1)*100),"NA",IF(((CQ371/CO371-1)*100)&gt;100,"NM",IF(((CQ371/CO371-1)*100)&lt;-50,"NM",(CQ371/CO371-1)*100)))</f>
        <v>5.6573914025263905</v>
      </c>
      <c r="CS371" s="23">
        <f>IF(ISERROR(((CQ371/CG371)^0.2-1)*100),"NA",IF((((CQ371/CG371)^0.2-1)*100)&gt;100,"NM",IF((((CQ371/CG371)^0.2-1)*100)&lt;-50,"NM",((CQ371/CG371)^0.2-1)*100)))</f>
        <v>6.1727788473038725</v>
      </c>
      <c r="CT371" s="402"/>
      <c r="CV371"/>
      <c r="CW371"/>
      <c r="CX371"/>
      <c r="CY371"/>
      <c r="CZ371"/>
      <c r="DA371"/>
    </row>
    <row r="372" spans="1:105" s="111" customFormat="1" ht="12.75" customHeight="1" x14ac:dyDescent="0.2">
      <c r="A372" s="30" t="s">
        <v>14</v>
      </c>
      <c r="B372" s="75">
        <v>-1.80054124</v>
      </c>
      <c r="C372" s="59"/>
      <c r="D372" s="75">
        <v>-2.3298024700000002</v>
      </c>
      <c r="E372" s="59"/>
      <c r="F372" s="75">
        <v>-2.2899805799999999</v>
      </c>
      <c r="G372" s="59"/>
      <c r="H372" s="75">
        <v>-3.0215085399999997</v>
      </c>
      <c r="I372" s="59"/>
      <c r="J372" s="75">
        <v>-2.3759999999999999</v>
      </c>
      <c r="K372" s="23">
        <f t="shared" si="2321"/>
        <v>31.960320997701764</v>
      </c>
      <c r="L372" s="75">
        <v>-2.76</v>
      </c>
      <c r="M372" s="23">
        <f t="shared" si="2321"/>
        <v>18.464978706971657</v>
      </c>
      <c r="N372" s="75">
        <v>-2.5329999999999999</v>
      </c>
      <c r="O372" s="23">
        <f t="shared" si="2321"/>
        <v>10.612291742666224</v>
      </c>
      <c r="P372" s="75">
        <v>-3.4260000000000002</v>
      </c>
      <c r="Q372" s="23">
        <f t="shared" si="2321"/>
        <v>13.387069890591818</v>
      </c>
      <c r="R372" s="75">
        <v>-3.1</v>
      </c>
      <c r="S372" s="23">
        <f t="shared" si="2321"/>
        <v>30.471380471380471</v>
      </c>
      <c r="T372" s="75">
        <v>-2.6</v>
      </c>
      <c r="U372" s="23">
        <f t="shared" si="2321"/>
        <v>-5.7971014492753543</v>
      </c>
      <c r="V372" s="75">
        <v>-1.1000000000000001</v>
      </c>
      <c r="W372" s="23" t="str">
        <f t="shared" si="2321"/>
        <v>NM</v>
      </c>
      <c r="X372" s="75">
        <v>-2.5</v>
      </c>
      <c r="Y372" s="23">
        <f t="shared" si="2321"/>
        <v>-27.028604786923527</v>
      </c>
      <c r="Z372" s="75">
        <v>-2.1</v>
      </c>
      <c r="AA372" s="23">
        <f>IF(ISERROR((Z372/R372-1)*100),"NA",IF(((Z372/R372-1)*100)&gt;100,"NM",IF(((Z372/R372-1)*100)&lt;-50,"NM",(Z372/R372-1)*100)))</f>
        <v>-32.258064516129025</v>
      </c>
      <c r="AB372" s="75">
        <v>-1.8</v>
      </c>
      <c r="AC372" s="23">
        <f>IF(ISERROR((AB372/T372-1)*100),"NA",IF(((AB372/T372-1)*100)&gt;100,"NM",IF(((AB372/T372-1)*100)&lt;-50,"NM",(AB372/T372-1)*100)))</f>
        <v>-30.76923076923077</v>
      </c>
      <c r="AD372" s="75">
        <v>-2.2999999999999998</v>
      </c>
      <c r="AE372" s="23" t="str">
        <f>IF(ISERROR((AD372/V372-1)*100),"NA",IF(((AD372/V372-1)*100)&gt;100,"NM",IF(((AD372/V372-1)*100)&lt;-50,"NM",(AD372/V372-1)*100)))</f>
        <v>NM</v>
      </c>
      <c r="AF372" s="75">
        <v>-2.5</v>
      </c>
      <c r="AG372" s="23">
        <f>IF(ISERROR((AF372/X372-1)*100),"NA",IF(((AF372/X372-1)*100)&gt;100,"NM",IF(((AF372/X372-1)*100)&lt;-50,"NM",(AF372/X372-1)*100)))</f>
        <v>0</v>
      </c>
      <c r="AH372" s="75">
        <v>-1.9</v>
      </c>
      <c r="AI372" s="23">
        <f>IF(ISERROR((AH372/Z372-1)*100),"NA",IF(((AH372/Z372-1)*100)&gt;100,"NM",IF(((AH372/Z372-1)*100)&lt;-50,"NM",(AH372/Z372-1)*100)))</f>
        <v>-9.5238095238095344</v>
      </c>
      <c r="AJ372" s="75">
        <v>-2.4</v>
      </c>
      <c r="AK372" s="23">
        <f>IF(ISERROR((AJ372/AB372-1)*100),"NA",IF(((AJ372/AB372-1)*100)&gt;100,"NM",IF(((AJ372/AB372-1)*100)&lt;-50,"NM",(AJ372/AB372-1)*100)))</f>
        <v>33.333333333333329</v>
      </c>
      <c r="AL372" s="75">
        <v>-2.4</v>
      </c>
      <c r="AM372" s="23">
        <f>IF(ISERROR((AL372/AD372-1)*100),"NA",IF(((AL372/AD372-1)*100)&gt;100,"NM",IF(((AL372/AD372-1)*100)&lt;-50,"NM",(AL372/AD372-1)*100)))</f>
        <v>4.3478260869565188</v>
      </c>
      <c r="AN372" s="508">
        <v>-2.4</v>
      </c>
      <c r="AO372" s="23">
        <f>IF(ISERROR((AN372/AF372-1)*100),"NA",IF(((AN372/AF372-1)*100)&gt;100,"NM",IF(((AN372/AF372-1)*100)&lt;-50,"NM",(AN372/AF372-1)*100)))</f>
        <v>-4.0000000000000036</v>
      </c>
      <c r="AP372" s="508">
        <v>-2</v>
      </c>
      <c r="AQ372" s="23">
        <f t="shared" si="2322"/>
        <v>5.2631578947368363</v>
      </c>
      <c r="AR372" s="508">
        <v>-2.2999999999999998</v>
      </c>
      <c r="AS372" s="23">
        <f t="shared" si="2323"/>
        <v>-4.1666666666666741</v>
      </c>
      <c r="AT372" s="508">
        <v>-2.4</v>
      </c>
      <c r="AU372" s="23">
        <f t="shared" si="2324"/>
        <v>0</v>
      </c>
      <c r="AV372" s="508">
        <v>-2.2000000000000002</v>
      </c>
      <c r="AW372" s="23">
        <f t="shared" si="2325"/>
        <v>-8.333333333333325</v>
      </c>
      <c r="AX372" s="508">
        <v>-2</v>
      </c>
      <c r="AY372" s="23">
        <f t="shared" si="2326"/>
        <v>0</v>
      </c>
      <c r="AZ372" s="508">
        <v>-2.2000000000000002</v>
      </c>
      <c r="BA372" s="23">
        <f t="shared" si="2327"/>
        <v>-4.3478260869565073</v>
      </c>
      <c r="BB372" s="508">
        <v>-2.2999999999999998</v>
      </c>
      <c r="BC372" s="23">
        <f t="shared" si="2328"/>
        <v>-4.1666666666666741</v>
      </c>
      <c r="BD372" s="508">
        <v>-2</v>
      </c>
      <c r="BE372" s="23">
        <f t="shared" si="2329"/>
        <v>-9.0909090909090935</v>
      </c>
      <c r="BF372" s="77">
        <f t="shared" ref="BF372:BJ372" si="2338">BD372</f>
        <v>-2</v>
      </c>
      <c r="BG372" s="23">
        <f t="shared" si="2330"/>
        <v>0</v>
      </c>
      <c r="BH372" s="77">
        <f t="shared" si="2338"/>
        <v>-2</v>
      </c>
      <c r="BI372" s="23">
        <f t="shared" si="2331"/>
        <v>-9.0909090909090935</v>
      </c>
      <c r="BJ372" s="77">
        <f t="shared" si="2338"/>
        <v>-2</v>
      </c>
      <c r="BK372" s="23">
        <f t="shared" si="2332"/>
        <v>-13.043478260869556</v>
      </c>
      <c r="BL372" s="77">
        <f t="shared" ref="BL372" si="2339">BJ372</f>
        <v>-2</v>
      </c>
      <c r="BM372" s="23">
        <f t="shared" si="2333"/>
        <v>0</v>
      </c>
      <c r="BN372" s="124"/>
      <c r="BO372" s="141"/>
      <c r="BP372" s="124"/>
      <c r="BQ372" s="155"/>
      <c r="BR372" s="155"/>
      <c r="BS372" s="155"/>
      <c r="BT372" s="123"/>
      <c r="BU372" s="56">
        <f>B372+D372+F372+H372</f>
        <v>-9.4418328299999992</v>
      </c>
      <c r="BV372" s="23" t="str">
        <f>IF(ISERROR((BU372/BS372-1)*100),"NA",IF(((BU372/BS372-1)*100)&gt;100,"NM",IF(((BU372/BS372-1)*100)&lt;-50,"NM",(BU372/BS372-1)*100)))</f>
        <v>NA</v>
      </c>
      <c r="BW372" s="56">
        <f>J372+L372+N372+P372</f>
        <v>-11.094999999999999</v>
      </c>
      <c r="BX372" s="23">
        <f>IF(ISERROR((BW372/BU372-1)*100),"NA",IF(((BW372/BU372-1)*100)&gt;100,"NM",IF(((BW372/BU372-1)*100)&lt;-50,"NM",(BW372/BU372-1)*100)))</f>
        <v>17.508964623344212</v>
      </c>
      <c r="BY372" s="56">
        <f>R372+T372+V372+X372</f>
        <v>-9.3000000000000007</v>
      </c>
      <c r="BZ372" s="23">
        <f>IF(ISERROR((BY372/BW372-1)*100),"NA",IF(((BY372/BW372-1)*100)&gt;100,"NM",IF(((BY372/BW372-1)*100)&lt;-50,"NM",(BY372/BW372-1)*100)))</f>
        <v>-16.178458765209534</v>
      </c>
      <c r="CA372" s="56">
        <f>Z372+AB372+AD372+AF372</f>
        <v>-8.6999999999999993</v>
      </c>
      <c r="CB372" s="23">
        <f>IF(ISERROR((CA372/BY372-1)*100),"NA",IF(((CA372/BY372-1)*100)&gt;100,"NM",IF(((CA372/BY372-1)*100)&lt;-50,"NM",(CA372/BY372-1)*100)))</f>
        <v>-6.4516129032258229</v>
      </c>
      <c r="CC372" s="56">
        <f>AH372+AJ372+AL372+AN372</f>
        <v>-9.1</v>
      </c>
      <c r="CD372" s="23">
        <f>IF(ISERROR((CC372/CA372-1)*100),"NA",IF(((CC372/CA372-1)*100)&gt;100,"NM",IF(((CC372/CA372-1)*100)&lt;-50,"NM",(CC372/CA372-1)*100)))</f>
        <v>4.5977011494252817</v>
      </c>
      <c r="CE372" s="56">
        <f>AP372+AR372+AT372+AV372</f>
        <v>-8.8999999999999986</v>
      </c>
      <c r="CF372" s="23">
        <f>IF(ISERROR((CE372/CC372-1)*100),"NA",IF(((CE372/CC372-1)*100)&gt;100,"NM",IF(((CE372/CC372-1)*100)&lt;-50,"NM",(CE372/CC372-1)*100)))</f>
        <v>-2.1978021978022122</v>
      </c>
      <c r="CG372" s="56">
        <f>AX372+AZ372+BB372+BD372</f>
        <v>-8.5</v>
      </c>
      <c r="CH372" s="23">
        <f>IF(ISERROR((CG372/CE372-1)*100),"NA",IF(((CG372/CE372-1)*100)&gt;100,"NM",IF(((CG372/CE372-1)*100)&lt;-50,"NM",(CG372/CE372-1)*100)))</f>
        <v>-4.4943820224718989</v>
      </c>
      <c r="CI372" s="56">
        <f>BF372+BH372+BJ372+BL372</f>
        <v>-8</v>
      </c>
      <c r="CJ372" s="23">
        <f>IF(ISERROR((CI372/CG372-1)*100),"NA",IF(((CI372/CG372-1)*100)&gt;100,"NM",IF(((CI372/CG372-1)*100)&lt;-50,"NM",(CI372/CG372-1)*100)))</f>
        <v>-5.8823529411764719</v>
      </c>
      <c r="CK372" s="77">
        <f>CI372</f>
        <v>-8</v>
      </c>
      <c r="CL372" s="23">
        <f>IF(ISERROR((CK372/CI372-1)*100),"NA",IF(((CK372/CI372-1)*100)&gt;100,"NM",IF(((CK372/CI372-1)*100)&lt;-50,"NM",(CK372/CI372-1)*100)))</f>
        <v>0</v>
      </c>
      <c r="CM372" s="77">
        <f>CK372</f>
        <v>-8</v>
      </c>
      <c r="CN372" s="23">
        <f>IF(ISERROR((CM372/CK372-1)*100),"NA",IF(((CM372/CK372-1)*100)&gt;100,"NM",IF(((CM372/CK372-1)*100)&lt;-50,"NM",(CM372/CK372-1)*100)))</f>
        <v>0</v>
      </c>
      <c r="CO372" s="77">
        <f>CM372</f>
        <v>-8</v>
      </c>
      <c r="CP372" s="23">
        <f>IF(ISERROR((CO372/CM372-1)*100),"NA",IF(((CO372/CM372-1)*100)&gt;100,"NM",IF(((CO372/CM372-1)*100)&lt;-50,"NM",(CO372/CM372-1)*100)))</f>
        <v>0</v>
      </c>
      <c r="CQ372" s="77">
        <f>CO372</f>
        <v>-8</v>
      </c>
      <c r="CR372" s="23">
        <f>IF(ISERROR((CQ372/CO372-1)*100),"NA",IF(((CQ372/CO372-1)*100)&gt;100,"NM",IF(((CQ372/CO372-1)*100)&lt;-50,"NM",(CQ372/CO372-1)*100)))</f>
        <v>0</v>
      </c>
      <c r="CS372" s="23">
        <f>IF(ISERROR(((CQ372/CG372)^0.2-1)*100),"NA",IF((((CQ372/CG372)^0.2-1)*100)&gt;100,"NM",IF((((CQ372/CG372)^0.2-1)*100)&lt;-50,"NM",((CQ372/CG372)^0.2-1)*100)))</f>
        <v>-1.2051713658030372</v>
      </c>
      <c r="CT372" s="402"/>
      <c r="CV372"/>
      <c r="CW372"/>
      <c r="CX372"/>
      <c r="CY372"/>
      <c r="CZ372"/>
      <c r="DA372"/>
    </row>
    <row r="373" spans="1:105" s="111" customFormat="1" ht="12.75" customHeight="1" x14ac:dyDescent="0.2">
      <c r="A373" s="30" t="s">
        <v>9</v>
      </c>
      <c r="B373" s="76">
        <f>B370+B371+B372</f>
        <v>18.574901170000004</v>
      </c>
      <c r="C373" s="59"/>
      <c r="D373" s="76">
        <f t="shared" ref="D373:Z373" si="2340">D370+D371+D372</f>
        <v>27.654460789999991</v>
      </c>
      <c r="E373" s="59"/>
      <c r="F373" s="76">
        <f t="shared" si="2340"/>
        <v>22.623959770000006</v>
      </c>
      <c r="G373" s="59"/>
      <c r="H373" s="76">
        <f t="shared" si="2340"/>
        <v>27.069097299999981</v>
      </c>
      <c r="I373" s="59"/>
      <c r="J373" s="76">
        <f t="shared" si="2340"/>
        <v>17.151</v>
      </c>
      <c r="K373" s="23">
        <f t="shared" si="2321"/>
        <v>-7.6657267619798848</v>
      </c>
      <c r="L373" s="76">
        <f t="shared" si="2340"/>
        <v>32.130999999999993</v>
      </c>
      <c r="M373" s="23">
        <f t="shared" si="2321"/>
        <v>16.187403703126058</v>
      </c>
      <c r="N373" s="76">
        <f t="shared" si="2340"/>
        <v>24.116</v>
      </c>
      <c r="O373" s="23">
        <f t="shared" si="2321"/>
        <v>6.5949561666851952</v>
      </c>
      <c r="P373" s="76">
        <f t="shared" si="2340"/>
        <v>21.846000000000004</v>
      </c>
      <c r="Q373" s="23">
        <f t="shared" si="2321"/>
        <v>-19.29542474990469</v>
      </c>
      <c r="R373" s="76">
        <f t="shared" si="2340"/>
        <v>14.300000000000006</v>
      </c>
      <c r="S373" s="23">
        <f t="shared" si="2321"/>
        <v>-16.622937438050222</v>
      </c>
      <c r="T373" s="76">
        <f t="shared" si="2340"/>
        <v>26.79999999999999</v>
      </c>
      <c r="U373" s="23">
        <f t="shared" si="2321"/>
        <v>-16.591453736267169</v>
      </c>
      <c r="V373" s="76">
        <f t="shared" si="2340"/>
        <v>19.999999999999993</v>
      </c>
      <c r="W373" s="23">
        <f t="shared" si="2321"/>
        <v>-17.067507049261931</v>
      </c>
      <c r="X373" s="76">
        <f t="shared" si="2340"/>
        <v>30.400000000000006</v>
      </c>
      <c r="Y373" s="23">
        <f t="shared" si="2321"/>
        <v>39.155909548658798</v>
      </c>
      <c r="Z373" s="76">
        <f t="shared" si="2340"/>
        <v>18.29999999999999</v>
      </c>
      <c r="AA373" s="23">
        <f>IF(ISERROR((Z373/R373-1)*100),"NA",IF(((Z373/R373-1)*100)&gt;100,"NM",IF(((Z373/R373-1)*100)&lt;-50,"NM",(Z373/R373-1)*100)))</f>
        <v>27.972027972027846</v>
      </c>
      <c r="AB373" s="76">
        <f t="shared" ref="AB373:AD373" si="2341">AB370+AB371+AB372</f>
        <v>27.499999999999996</v>
      </c>
      <c r="AC373" s="23">
        <f>IF(ISERROR((AB373/T373-1)*100),"NA",IF(((AB373/T373-1)*100)&gt;100,"NM",IF(((AB373/T373-1)*100)&lt;-50,"NM",(AB373/T373-1)*100)))</f>
        <v>2.6119402985074869</v>
      </c>
      <c r="AD373" s="76">
        <f t="shared" si="2341"/>
        <v>25.300000000000008</v>
      </c>
      <c r="AE373" s="23">
        <f>IF(ISERROR((AD373/V373-1)*100),"NA",IF(((AD373/V373-1)*100)&gt;100,"NM",IF(((AD373/V373-1)*100)&lt;-50,"NM",(AD373/V373-1)*100)))</f>
        <v>26.500000000000078</v>
      </c>
      <c r="AF373" s="76">
        <f t="shared" ref="AF373:AH373" si="2342">AF370+AF371+AF372</f>
        <v>29.199999999999989</v>
      </c>
      <c r="AG373" s="23">
        <f>IF(ISERROR((AF373/X373-1)*100),"NA",IF(((AF373/X373-1)*100)&gt;100,"NM",IF(((AF373/X373-1)*100)&lt;-50,"NM",(AF373/X373-1)*100)))</f>
        <v>-3.9473684210526883</v>
      </c>
      <c r="AH373" s="76">
        <f t="shared" si="2342"/>
        <v>28.1</v>
      </c>
      <c r="AI373" s="23">
        <f>IF(ISERROR((AH373/Z373-1)*100),"NA",IF(((AH373/Z373-1)*100)&gt;100,"NM",IF(((AH373/Z373-1)*100)&lt;-50,"NM",(AH373/Z373-1)*100)))</f>
        <v>53.551912568306093</v>
      </c>
      <c r="AJ373" s="76">
        <f t="shared" ref="AJ373:AL373" si="2343">AJ370+AJ371+AJ372</f>
        <v>29.500000000000007</v>
      </c>
      <c r="AK373" s="23">
        <f>IF(ISERROR((AJ373/AB373-1)*100),"NA",IF(((AJ373/AB373-1)*100)&gt;100,"NM",IF(((AJ373/AB373-1)*100)&lt;-50,"NM",(AJ373/AB373-1)*100)))</f>
        <v>7.2727272727273196</v>
      </c>
      <c r="AL373" s="76">
        <f t="shared" si="2343"/>
        <v>26.70000000000001</v>
      </c>
      <c r="AM373" s="23">
        <f>IF(ISERROR((AL373/AD373-1)*100),"NA",IF(((AL373/AD373-1)*100)&gt;100,"NM",IF(((AL373/AD373-1)*100)&lt;-50,"NM",(AL373/AD373-1)*100)))</f>
        <v>5.5335968379446765</v>
      </c>
      <c r="AN373" s="462">
        <f t="shared" ref="AN373:AP373" si="2344">AN370+AN371+AN372</f>
        <v>22.9</v>
      </c>
      <c r="AO373" s="23">
        <f>IF(ISERROR((AN373/AF373-1)*100),"NA",IF(((AN373/AF373-1)*100)&gt;100,"NM",IF(((AN373/AF373-1)*100)&lt;-50,"NM",(AN373/AF373-1)*100)))</f>
        <v>-21.575342465753401</v>
      </c>
      <c r="AP373" s="462">
        <f t="shared" si="2344"/>
        <v>17.199999999999989</v>
      </c>
      <c r="AQ373" s="23">
        <f t="shared" si="2322"/>
        <v>-38.790035587188655</v>
      </c>
      <c r="AR373" s="462">
        <f t="shared" ref="AR373:AT373" si="2345">AR370+AR371+AR372</f>
        <v>30.000000000000011</v>
      </c>
      <c r="AS373" s="23">
        <f t="shared" si="2323"/>
        <v>1.6949152542373058</v>
      </c>
      <c r="AT373" s="462">
        <f t="shared" si="2345"/>
        <v>23.9</v>
      </c>
      <c r="AU373" s="23">
        <f t="shared" si="2324"/>
        <v>-10.486891385767827</v>
      </c>
      <c r="AV373" s="462">
        <f t="shared" ref="AV373:AX373" si="2346">AV370+AV371+AV372</f>
        <v>30.3</v>
      </c>
      <c r="AW373" s="23">
        <f t="shared" si="2325"/>
        <v>32.314410480349352</v>
      </c>
      <c r="AX373" s="462">
        <f t="shared" si="2346"/>
        <v>17.400000000000006</v>
      </c>
      <c r="AY373" s="23">
        <f t="shared" si="2326"/>
        <v>1.1627906976745095</v>
      </c>
      <c r="AZ373" s="462">
        <f t="shared" ref="AZ373" si="2347">AZ370+AZ371+AZ372</f>
        <v>32</v>
      </c>
      <c r="BA373" s="23">
        <f t="shared" si="2327"/>
        <v>6.6666666666666208</v>
      </c>
      <c r="BB373" s="462">
        <f t="shared" ref="BB373:BD373" si="2348">BB370+BB371+BB372</f>
        <v>27.799999999999994</v>
      </c>
      <c r="BC373" s="23">
        <f t="shared" si="2328"/>
        <v>16.317991631799146</v>
      </c>
      <c r="BD373" s="462">
        <f t="shared" si="2348"/>
        <v>26</v>
      </c>
      <c r="BE373" s="23">
        <f t="shared" si="2329"/>
        <v>-14.191419141914196</v>
      </c>
      <c r="BF373" s="76">
        <f t="shared" ref="BF373" si="2349">BF370+BF371+BF372</f>
        <v>19.772799999999989</v>
      </c>
      <c r="BG373" s="23">
        <f t="shared" si="2330"/>
        <v>13.636781609195303</v>
      </c>
      <c r="BH373" s="76">
        <f t="shared" ref="BH373" si="2350">BH370+BH371+BH372</f>
        <v>25.405000000000015</v>
      </c>
      <c r="BI373" s="23">
        <f t="shared" si="2331"/>
        <v>-20.60937499999995</v>
      </c>
      <c r="BJ373" s="76">
        <f t="shared" ref="BJ373" si="2351">BJ370+BJ371+BJ372</f>
        <v>26.400399999999991</v>
      </c>
      <c r="BK373" s="23">
        <f t="shared" si="2332"/>
        <v>-5.0345323741007313</v>
      </c>
      <c r="BL373" s="76">
        <f t="shared" ref="BL373" si="2352">BL370+BL371+BL372</f>
        <v>26.255499999999998</v>
      </c>
      <c r="BM373" s="23">
        <f t="shared" si="2333"/>
        <v>0.98269230769230109</v>
      </c>
      <c r="BN373" s="124"/>
      <c r="BO373" s="141"/>
      <c r="BP373" s="124"/>
      <c r="BQ373" s="155"/>
      <c r="BR373" s="155"/>
      <c r="BS373" s="155"/>
      <c r="BT373" s="123"/>
      <c r="BU373" s="76">
        <f t="shared" ref="BU373:CA373" si="2353">BU370+BU371+BU372</f>
        <v>95.922419029999972</v>
      </c>
      <c r="BV373" s="23" t="str">
        <f>IF(ISERROR((BU373/BS373-1)*100),"NA",IF(((BU373/BS373-1)*100)&gt;100,"NM",IF(((BU373/BS373-1)*100)&lt;-50,"NM",(BU373/BS373-1)*100)))</f>
        <v>NA</v>
      </c>
      <c r="BW373" s="76">
        <f t="shared" si="2353"/>
        <v>95.243999999999943</v>
      </c>
      <c r="BX373" s="23">
        <f>IF(ISERROR((BW373/BU373-1)*100),"NA",IF(((BW373/BU373-1)*100)&gt;100,"NM",IF(((BW373/BU373-1)*100)&lt;-50,"NM",(BW373/BU373-1)*100)))</f>
        <v>-0.70725804964097971</v>
      </c>
      <c r="BY373" s="76">
        <f t="shared" si="2353"/>
        <v>91.499999999999957</v>
      </c>
      <c r="BZ373" s="23">
        <f>IF(ISERROR((BY373/BW373-1)*100),"NA",IF(((BY373/BW373-1)*100)&gt;100,"NM",IF(((BY373/BW373-1)*100)&lt;-50,"NM",(BY373/BW373-1)*100)))</f>
        <v>-3.9309562807105847</v>
      </c>
      <c r="CA373" s="76">
        <f t="shared" si="2353"/>
        <v>100.3</v>
      </c>
      <c r="CB373" s="23">
        <f>IF(ISERROR((CA373/BY373-1)*100),"NA",IF(((CA373/BY373-1)*100)&gt;100,"NM",IF(((CA373/BY373-1)*100)&lt;-50,"NM",(CA373/BY373-1)*100)))</f>
        <v>9.617486338797864</v>
      </c>
      <c r="CC373" s="76">
        <f t="shared" ref="CC373" si="2354">CC370+CC371+CC372</f>
        <v>107.20000000000002</v>
      </c>
      <c r="CD373" s="23">
        <f>IF(ISERROR((CC373/CA373-1)*100),"NA",IF(((CC373/CA373-1)*100)&gt;100,"NM",IF(((CC373/CA373-1)*100)&lt;-50,"NM",(CC373/CA373-1)*100)))</f>
        <v>6.8793619142572426</v>
      </c>
      <c r="CE373" s="76">
        <f t="shared" ref="CE373" si="2355">CE370+CE371+CE372</f>
        <v>101.4</v>
      </c>
      <c r="CF373" s="23">
        <f>IF(ISERROR((CE373/CC373-1)*100),"NA",IF(((CE373/CC373-1)*100)&gt;100,"NM",IF(((CE373/CC373-1)*100)&lt;-50,"NM",(CE373/CC373-1)*100)))</f>
        <v>-5.4104477611940371</v>
      </c>
      <c r="CG373" s="76">
        <f t="shared" ref="CG373" si="2356">CG370+CG371+CG372</f>
        <v>103.19999999999993</v>
      </c>
      <c r="CH373" s="23">
        <f>IF(ISERROR((CG373/CE373-1)*100),"NA",IF(((CG373/CE373-1)*100)&gt;100,"NM",IF(((CG373/CE373-1)*100)&lt;-50,"NM",(CG373/CE373-1)*100)))</f>
        <v>1.7751479289940031</v>
      </c>
      <c r="CI373" s="76">
        <f t="shared" ref="CI373" si="2357">CI370+CI371+CI372</f>
        <v>97.833700000000022</v>
      </c>
      <c r="CJ373" s="23">
        <f>IF(ISERROR((CI373/CG373-1)*100),"NA",IF(((CI373/CG373-1)*100)&gt;100,"NM",IF(((CI373/CG373-1)*100)&lt;-50,"NM",(CI373/CG373-1)*100)))</f>
        <v>-5.1999031007751046</v>
      </c>
      <c r="CK373" s="76">
        <f>CK370+CK371+CK372</f>
        <v>100.55766250000005</v>
      </c>
      <c r="CL373" s="23">
        <f>IF(ISERROR((CK373/CI373-1)*100),"NA",IF(((CK373/CI373-1)*100)&gt;100,"NM",IF(((CK373/CI373-1)*100)&lt;-50,"NM",(CK373/CI373-1)*100)))</f>
        <v>2.7842783212737698</v>
      </c>
      <c r="CM373" s="76">
        <f>CM370+CM371+CM372</f>
        <v>103.28943700000008</v>
      </c>
      <c r="CN373" s="23">
        <f>IF(ISERROR((CM373/CK373-1)*100),"NA",IF(((CM373/CK373-1)*100)&gt;100,"NM",IF(((CM373/CK373-1)*100)&lt;-50,"NM",(CM373/CK373-1)*100)))</f>
        <v>2.716624901657827</v>
      </c>
      <c r="CO373" s="76">
        <f>CO370+CO371+CO372</f>
        <v>106.02299479375006</v>
      </c>
      <c r="CP373" s="23">
        <f>IF(ISERROR((CO373/CM373-1)*100),"NA",IF(((CO373/CM373-1)*100)&gt;100,"NM",IF(((CO373/CM373-1)*100)&lt;-50,"NM",(CO373/CM373-1)*100)))</f>
        <v>2.6465027529871898</v>
      </c>
      <c r="CQ373" s="76">
        <f>CQ370+CQ371+CQ372</f>
        <v>108.75168477437506</v>
      </c>
      <c r="CR373" s="23">
        <f>IF(ISERROR((CQ373/CO373-1)*100),"NA",IF(((CQ373/CO373-1)*100)&gt;100,"NM",IF(((CQ373/CO373-1)*100)&lt;-50,"NM",(CQ373/CO373-1)*100)))</f>
        <v>2.5736775177245486</v>
      </c>
      <c r="CS373" s="23">
        <f>IF(ISERROR(((CQ373/CG373)^0.2-1)*100),"NA",IF((((CQ373/CG373)^0.2-1)*100)&gt;100,"NM",IF((((CQ373/CG373)^0.2-1)*100)&lt;-50,"NM",((CQ373/CG373)^0.2-1)*100)))</f>
        <v>1.0534765773706489</v>
      </c>
      <c r="CT373" s="402"/>
      <c r="CV373"/>
      <c r="CW373"/>
      <c r="CX373"/>
      <c r="CY373"/>
      <c r="CZ373"/>
      <c r="DA373"/>
    </row>
    <row r="374" spans="1:105" s="111" customFormat="1" ht="12.75" customHeight="1" x14ac:dyDescent="0.2">
      <c r="A374" s="30" t="s">
        <v>214</v>
      </c>
      <c r="B374" s="38">
        <f>-B371/B370*100</f>
        <v>82.769027162341416</v>
      </c>
      <c r="C374" s="59"/>
      <c r="D374" s="38">
        <f t="shared" ref="D374:P374" si="2358">-D371/D370*100</f>
        <v>74.415703057025766</v>
      </c>
      <c r="E374" s="59"/>
      <c r="F374" s="38">
        <f t="shared" si="2358"/>
        <v>78.643186525793411</v>
      </c>
      <c r="G374" s="59"/>
      <c r="H374" s="38">
        <f t="shared" si="2358"/>
        <v>73.97588107186661</v>
      </c>
      <c r="I374" s="59"/>
      <c r="J374" s="38">
        <f t="shared" si="2358"/>
        <v>82.841401369032454</v>
      </c>
      <c r="K374" s="23">
        <f t="shared" si="2321"/>
        <v>8.7441171138924467E-2</v>
      </c>
      <c r="L374" s="38">
        <f t="shared" si="2358"/>
        <v>69.511268011779208</v>
      </c>
      <c r="M374" s="23">
        <f t="shared" si="2321"/>
        <v>-6.5905915603434178</v>
      </c>
      <c r="N374" s="38">
        <f t="shared" si="2358"/>
        <v>77.052441229656424</v>
      </c>
      <c r="O374" s="23">
        <f t="shared" si="2321"/>
        <v>-2.0227375903890343</v>
      </c>
      <c r="P374" s="38">
        <f t="shared" si="2358"/>
        <v>78.299100089304105</v>
      </c>
      <c r="Q374" s="23">
        <f t="shared" si="2321"/>
        <v>5.844092635054321</v>
      </c>
      <c r="R374" s="38">
        <f>-R371/R370*100</f>
        <v>85.365853658536579</v>
      </c>
      <c r="S374" s="23">
        <f t="shared" si="2321"/>
        <v>3.0473317058682836</v>
      </c>
      <c r="T374" s="38">
        <f>-T371/T370*100</f>
        <v>75.356244761106467</v>
      </c>
      <c r="U374" s="23">
        <f t="shared" si="2321"/>
        <v>8.4086751925411374</v>
      </c>
      <c r="V374" s="38">
        <f>-V371/V370*100</f>
        <v>82.133784928027097</v>
      </c>
      <c r="W374" s="23">
        <f t="shared" si="2321"/>
        <v>6.5946563370077094</v>
      </c>
      <c r="X374" s="38">
        <f>-X371/X370*100</f>
        <v>71.928327645051198</v>
      </c>
      <c r="Y374" s="23">
        <f t="shared" si="2321"/>
        <v>-8.1364567881198049</v>
      </c>
      <c r="Z374" s="38">
        <f>-Z371/Z370*100</f>
        <v>81.994704324801418</v>
      </c>
      <c r="AA374" s="23">
        <f>IF(ISERROR((Z374/R374-1)*100),"NA",IF(((Z374/R374-1)*100)&gt;100,"NM",IF(((Z374/R374-1)*100)&lt;-50,"NM",(Z374/R374-1)*100)))</f>
        <v>-3.9490606480897639</v>
      </c>
      <c r="AB374" s="38">
        <f>-AB371/AB370*100</f>
        <v>74.675885911840965</v>
      </c>
      <c r="AC374" s="23">
        <f>IF(ISERROR((AB374/T374-1)*100),"NA",IF(((AB374/T374-1)*100)&gt;100,"NM",IF(((AB374/T374-1)*100)&lt;-50,"NM",(AB374/T374-1)*100)))</f>
        <v>-0.90285662644465914</v>
      </c>
      <c r="AD374" s="38">
        <f>-AD371/AD370*100</f>
        <v>75.335120643431637</v>
      </c>
      <c r="AE374" s="23">
        <f>IF(ISERROR((AD374/V374-1)*100),"NA",IF(((AD374/V374-1)*100)&gt;100,"NM",IF(((AD374/V374-1)*100)&lt;-50,"NM",(AD374/V374-1)*100)))</f>
        <v>-8.2775489898012751</v>
      </c>
      <c r="AF374" s="38">
        <f>-AF371/AF370*100</f>
        <v>72.217353198948302</v>
      </c>
      <c r="AG374" s="23">
        <f>IF(ISERROR((AF374/X374-1)*100),"NA",IF(((AF374/X374-1)*100)&gt;100,"NM",IF(((AF374/X374-1)*100)&lt;-50,"NM",(AF374/X374-1)*100)))</f>
        <v>0.4018243762365481</v>
      </c>
      <c r="AH374" s="38">
        <f>-AH371/AH370*100</f>
        <v>74.160206718346259</v>
      </c>
      <c r="AI374" s="23">
        <f>IF(ISERROR((AH374/Z374-1)*100),"NA",IF(((AH374/Z374-1)*100)&gt;100,"NM",IF(((AH374/Z374-1)*100)&lt;-50,"NM",(AH374/Z374-1)*100)))</f>
        <v>-9.554882441457158</v>
      </c>
      <c r="AJ374" s="38">
        <f>-AJ371/AJ370*100</f>
        <v>73.959183673469383</v>
      </c>
      <c r="AK374" s="23">
        <f>IF(ISERROR((AJ374/AB374-1)*100),"NA",IF(((AJ374/AB374-1)*100)&gt;100,"NM",IF(((AJ374/AB374-1)*100)&lt;-50,"NM",(AJ374/AB374-1)*100)))</f>
        <v>-0.95975056689342475</v>
      </c>
      <c r="AL374" s="38">
        <f>-AL371/AL370*100</f>
        <v>75.628140703517573</v>
      </c>
      <c r="AM374" s="23">
        <f>IF(ISERROR((AL374/AD374-1)*100),"NA",IF(((AL374/AD374-1)*100)&gt;100,"NM",IF(((AL374/AD374-1)*100)&lt;-50,"NM",(AL374/AD374-1)*100)))</f>
        <v>0.38895545342367832</v>
      </c>
      <c r="AN374" s="465">
        <f t="shared" ref="AN374:AP374" si="2359">-AN371/AN370*100</f>
        <v>78.739495798319325</v>
      </c>
      <c r="AO374" s="23">
        <f>IF(ISERROR((AN374/AF374-1)*100),"NA",IF(((AN374/AF374-1)*100)&gt;100,"NM",IF(((AN374/AF374-1)*100)&lt;-50,"NM",(AN374/AF374-1)*100)))</f>
        <v>9.0312678469445906</v>
      </c>
      <c r="AP374" s="465">
        <f t="shared" si="2359"/>
        <v>84.466019417475735</v>
      </c>
      <c r="AQ374" s="23">
        <f t="shared" si="2322"/>
        <v>13.896688204052632</v>
      </c>
      <c r="AR374" s="465">
        <f t="shared" ref="AR374:AT374" si="2360">-AR371/AR370*100</f>
        <v>72.948073701842546</v>
      </c>
      <c r="AS374" s="23">
        <f t="shared" si="2323"/>
        <v>-1.3671188909965548</v>
      </c>
      <c r="AT374" s="465">
        <f t="shared" si="2360"/>
        <v>77.93624161073825</v>
      </c>
      <c r="AU374" s="23">
        <f t="shared" si="2324"/>
        <v>3.0519075118731864</v>
      </c>
      <c r="AV374" s="465">
        <f t="shared" ref="AV374:AX374" si="2361">-AV371/AV370*100</f>
        <v>73.40425531914893</v>
      </c>
      <c r="AW374" s="23">
        <f t="shared" si="2325"/>
        <v>-6.7758123481459709</v>
      </c>
      <c r="AX374" s="465">
        <f t="shared" si="2361"/>
        <v>83.159722222222214</v>
      </c>
      <c r="AY374" s="23">
        <f t="shared" si="2326"/>
        <v>-1.5465357598978491</v>
      </c>
      <c r="AZ374" s="465">
        <f t="shared" ref="AZ374" si="2362">-AZ371/AZ370*100</f>
        <v>70.517241379310349</v>
      </c>
      <c r="BA374" s="23">
        <f t="shared" si="2327"/>
        <v>-3.3322776040223268</v>
      </c>
      <c r="BB374" s="465">
        <f t="shared" ref="BB374:BD374" si="2363">-BB371/BB370*100</f>
        <v>74.404761904761912</v>
      </c>
      <c r="BC374" s="23">
        <f t="shared" si="2328"/>
        <v>-4.5312419908759889</v>
      </c>
      <c r="BD374" s="465">
        <f t="shared" si="2363"/>
        <v>76.068376068376068</v>
      </c>
      <c r="BE374" s="23">
        <f t="shared" si="2329"/>
        <v>3.6293818902514596</v>
      </c>
      <c r="BF374" s="154">
        <v>82</v>
      </c>
      <c r="BG374" s="23">
        <f t="shared" si="2330"/>
        <v>-1.3945720250521876</v>
      </c>
      <c r="BH374" s="154">
        <v>77.5</v>
      </c>
      <c r="BI374" s="23">
        <f t="shared" si="2331"/>
        <v>9.902200488997547</v>
      </c>
      <c r="BJ374" s="154">
        <v>77</v>
      </c>
      <c r="BK374" s="23">
        <f t="shared" si="2332"/>
        <v>3.48799999999998</v>
      </c>
      <c r="BL374" s="154">
        <v>77</v>
      </c>
      <c r="BM374" s="23">
        <f t="shared" si="2333"/>
        <v>1.2247191011236058</v>
      </c>
      <c r="BN374" s="124"/>
      <c r="BO374" s="142"/>
      <c r="BP374" s="124"/>
      <c r="BQ374" s="154">
        <v>79</v>
      </c>
      <c r="BR374" s="123"/>
      <c r="BS374" s="154">
        <v>81</v>
      </c>
      <c r="BT374" s="123"/>
      <c r="BU374" s="38">
        <f>-BU371/BU370*100</f>
        <v>77.473197490189349</v>
      </c>
      <c r="BV374" s="23">
        <f>IF(ISERROR((BU374/BS374-1)*100),"NA",IF(((BU374/BS374-1)*100)&gt;100,"NM",IF(((BU374/BS374-1)*100)&lt;-50,"NM",(BU374/BS374-1)*100)))</f>
        <v>-4.3540771726057415</v>
      </c>
      <c r="BW374" s="38">
        <f>-BW371/BW370*100</f>
        <v>76.924362234933653</v>
      </c>
      <c r="BX374" s="23">
        <f>IF(ISERROR((BW374/BU374-1)*100),"NA",IF(((BW374/BU374-1)*100)&gt;100,"NM",IF(((BW374/BU374-1)*100)&lt;-50,"NM",(BW374/BU374-1)*100)))</f>
        <v>-0.70841952189361068</v>
      </c>
      <c r="BY374" s="38">
        <f>-BY371/BY370*100</f>
        <v>78.711721224920808</v>
      </c>
      <c r="BZ374" s="23">
        <f>IF(ISERROR((BY374/BW374-1)*100),"NA",IF(((BY374/BW374-1)*100)&gt;100,"NM",IF(((BY374/BW374-1)*100)&lt;-50,"NM",(BY374/BW374-1)*100)))</f>
        <v>2.3235278630304501</v>
      </c>
      <c r="CA374" s="38">
        <f>-CA371/CA370*100</f>
        <v>76.043956043956044</v>
      </c>
      <c r="CB374" s="23">
        <f>IF(ISERROR((CA374/BY374-1)*100),"NA",IF(((CA374/BY374-1)*100)&gt;100,"NM",IF(((CA374/BY374-1)*100)&lt;-50,"NM",(CA374/BY374-1)*100)))</f>
        <v>-3.3892857879978977</v>
      </c>
      <c r="CC374" s="38">
        <f>-CC371/CC370*100</f>
        <v>75.618448637316561</v>
      </c>
      <c r="CD374" s="23">
        <f>IF(ISERROR((CC374/CA374-1)*100),"NA",IF(((CC374/CA374-1)*100)&gt;100,"NM",IF(((CC374/CA374-1)*100)&lt;-50,"NM",(CC374/CA374-1)*100)))</f>
        <v>-0.5595545376328448</v>
      </c>
      <c r="CE374" s="38">
        <f>-CE371/CE370*100</f>
        <v>77.229562345169285</v>
      </c>
      <c r="CF374" s="23">
        <f>IF(ISERROR((CE374/CC374-1)*100),"NA",IF(((CE374/CC374-1)*100)&gt;100,"NM",IF(((CE374/CC374-1)*100)&lt;-50,"NM",(CE374/CC374-1)*100)))</f>
        <v>2.1305828628936707</v>
      </c>
      <c r="CG374" s="38">
        <f>-CG371/CG370*100</f>
        <v>76.019750966079883</v>
      </c>
      <c r="CH374" s="23">
        <f>IF(ISERROR((CG374/CE374-1)*100),"NA",IF(((CG374/CE374-1)*100)&gt;100,"NM",IF(((CG374/CE374-1)*100)&lt;-50,"NM",(CG374/CE374-1)*100)))</f>
        <v>-1.5665133173774604</v>
      </c>
      <c r="CI374" s="38">
        <f>-CI371/CI370*100</f>
        <v>78.361099184199219</v>
      </c>
      <c r="CJ374" s="23">
        <f>IF(ISERROR((CI374/CG374-1)*100),"NA",IF(((CI374/CG374-1)*100)&gt;100,"NM",IF(((CI374/CG374-1)*100)&lt;-50,"NM",(CI374/CG374-1)*100)))</f>
        <v>3.079920926291968</v>
      </c>
      <c r="CK374" s="50">
        <f>CI374+0.5</f>
        <v>78.861099184199219</v>
      </c>
      <c r="CL374" s="23">
        <f>IF(ISERROR((CK374/CI374-1)*100),"NA",IF(((CK374/CI374-1)*100)&gt;100,"NM",IF(((CK374/CI374-1)*100)&lt;-50,"NM",(CK374/CI374-1)*100)))</f>
        <v>0.63807170293090909</v>
      </c>
      <c r="CM374" s="50">
        <f>CK374+0.5</f>
        <v>79.361099184199219</v>
      </c>
      <c r="CN374" s="23">
        <f>IF(ISERROR((CM374/CK374-1)*100),"NA",IF(((CM374/CK374-1)*100)&gt;100,"NM",IF(((CM374/CK374-1)*100)&lt;-50,"NM",(CM374/CK374-1)*100)))</f>
        <v>0.63402616140579848</v>
      </c>
      <c r="CO374" s="50">
        <f>CM374+0.5</f>
        <v>79.861099184199219</v>
      </c>
      <c r="CP374" s="23">
        <f>IF(ISERROR((CO374/CM374-1)*100),"NA",IF(((CO374/CM374-1)*100)&gt;100,"NM",IF(((CO374/CM374-1)*100)&lt;-50,"NM",(CO374/CM374-1)*100)))</f>
        <v>0.63003159626038308</v>
      </c>
      <c r="CQ374" s="50">
        <f>CO374+0.5</f>
        <v>80.361099184199219</v>
      </c>
      <c r="CR374" s="23">
        <f>IF(ISERROR((CQ374/CO374-1)*100),"NA",IF(((CQ374/CO374-1)*100)&gt;100,"NM",IF(((CQ374/CO374-1)*100)&lt;-50,"NM",(CQ374/CO374-1)*100)))</f>
        <v>0.62608705002513698</v>
      </c>
      <c r="CS374" s="23">
        <f>IF(ISERROR(((CQ374/CG374)^0.2-1)*100),"NA",IF((((CQ374/CG374)^0.2-1)*100)&gt;100,"NM",IF((((CQ374/CG374)^0.2-1)*100)&lt;-50,"NM",((CQ374/CG374)^0.2-1)*100)))</f>
        <v>1.1169322355274902</v>
      </c>
      <c r="CV374"/>
      <c r="CW374"/>
      <c r="CX374"/>
      <c r="CY374"/>
      <c r="CZ374"/>
      <c r="DA374"/>
    </row>
    <row r="375" spans="1:105" s="111" customFormat="1" ht="12.75" customHeight="1" x14ac:dyDescent="0.2">
      <c r="A375" s="30"/>
      <c r="B375" s="38"/>
      <c r="C375" s="61"/>
      <c r="D375" s="38"/>
      <c r="E375" s="61"/>
      <c r="F375" s="38"/>
      <c r="G375" s="61"/>
      <c r="H375" s="38"/>
      <c r="I375" s="61"/>
      <c r="J375" s="38"/>
      <c r="K375" s="179"/>
      <c r="L375" s="38"/>
      <c r="M375" s="179"/>
      <c r="N375" s="38"/>
      <c r="O375" s="179"/>
      <c r="P375" s="38"/>
      <c r="Q375" s="179"/>
      <c r="R375" s="38"/>
      <c r="S375" s="179"/>
      <c r="T375" s="38"/>
      <c r="U375" s="179"/>
      <c r="V375" s="38"/>
      <c r="W375" s="179"/>
      <c r="X375" s="38"/>
      <c r="Y375" s="179"/>
      <c r="Z375" s="38"/>
      <c r="AA375" s="179"/>
      <c r="AB375" s="38"/>
      <c r="AC375" s="179"/>
      <c r="AD375" s="38"/>
      <c r="AE375" s="179"/>
      <c r="AF375" s="38"/>
      <c r="AG375" s="179"/>
      <c r="AH375" s="38"/>
      <c r="AI375" s="179"/>
      <c r="AJ375" s="38"/>
      <c r="AK375" s="179"/>
      <c r="AL375" s="38"/>
      <c r="AM375" s="179"/>
      <c r="AN375" s="465"/>
      <c r="AO375" s="179"/>
      <c r="AP375" s="465"/>
      <c r="AQ375" s="179"/>
      <c r="AR375" s="464"/>
      <c r="AS375" s="179"/>
      <c r="AT375" s="464"/>
      <c r="AU375" s="179"/>
      <c r="AV375" s="464"/>
      <c r="AW375" s="179"/>
      <c r="AX375" s="464"/>
      <c r="AY375" s="179"/>
      <c r="AZ375" s="464"/>
      <c r="BA375" s="179"/>
      <c r="BB375" s="464"/>
      <c r="BC375" s="179"/>
      <c r="BD375" s="464"/>
      <c r="BE375" s="179"/>
      <c r="BF375" s="39"/>
      <c r="BG375" s="179"/>
      <c r="BH375" s="39"/>
      <c r="BI375" s="179"/>
      <c r="BJ375" s="39"/>
      <c r="BK375" s="179"/>
      <c r="BL375" s="39"/>
      <c r="BM375" s="179"/>
      <c r="BN375" s="124"/>
      <c r="BO375" s="142"/>
      <c r="BP375" s="124"/>
      <c r="BQ375" s="124"/>
      <c r="BR375" s="123"/>
      <c r="BS375" s="123"/>
      <c r="BT375" s="123"/>
      <c r="BU375" s="39"/>
      <c r="BV375" s="179"/>
      <c r="BW375" s="38"/>
      <c r="BX375" s="180"/>
      <c r="BY375" s="38"/>
      <c r="BZ375" s="179"/>
      <c r="CA375" s="39"/>
      <c r="CB375" s="179"/>
      <c r="CC375" s="39"/>
      <c r="CD375" s="179"/>
      <c r="CE375" s="39"/>
      <c r="CF375" s="179"/>
      <c r="CG375" s="39"/>
      <c r="CH375" s="179"/>
      <c r="CI375" s="39"/>
      <c r="CJ375" s="179"/>
      <c r="CK375" s="39"/>
      <c r="CL375" s="179"/>
      <c r="CM375" s="39"/>
      <c r="CN375" s="179"/>
      <c r="CO375" s="39"/>
      <c r="CP375" s="179"/>
      <c r="CQ375" s="39"/>
      <c r="CR375" s="179"/>
      <c r="CS375" s="179"/>
      <c r="CV375"/>
      <c r="CW375"/>
      <c r="CX375"/>
      <c r="CY375"/>
      <c r="CZ375"/>
      <c r="DA375"/>
    </row>
    <row r="376" spans="1:105" s="111" customFormat="1" ht="12.75" customHeight="1" x14ac:dyDescent="0.2">
      <c r="A376" s="29" t="s">
        <v>291</v>
      </c>
      <c r="B376" s="38"/>
      <c r="C376" s="61"/>
      <c r="D376" s="38"/>
      <c r="E376" s="61"/>
      <c r="F376" s="38"/>
      <c r="G376" s="61"/>
      <c r="H376" s="38"/>
      <c r="I376" s="61"/>
      <c r="J376" s="38"/>
      <c r="K376" s="179"/>
      <c r="L376" s="38"/>
      <c r="M376" s="179"/>
      <c r="N376" s="38"/>
      <c r="O376" s="179"/>
      <c r="P376" s="38"/>
      <c r="Q376" s="179"/>
      <c r="R376" s="38"/>
      <c r="S376" s="179"/>
      <c r="T376" s="38"/>
      <c r="U376" s="179"/>
      <c r="V376" s="38"/>
      <c r="W376" s="179"/>
      <c r="X376" s="38"/>
      <c r="Y376" s="179"/>
      <c r="Z376" s="38"/>
      <c r="AA376" s="179"/>
      <c r="AB376" s="38"/>
      <c r="AC376" s="179"/>
      <c r="AD376" s="38"/>
      <c r="AE376" s="179"/>
      <c r="AF376" s="38"/>
      <c r="AG376" s="179"/>
      <c r="AH376" s="38"/>
      <c r="AI376" s="179"/>
      <c r="AJ376" s="38"/>
      <c r="AK376" s="179"/>
      <c r="AL376" s="38"/>
      <c r="AM376" s="179"/>
      <c r="AN376" s="465"/>
      <c r="AO376" s="179"/>
      <c r="AP376" s="465"/>
      <c r="AQ376" s="179"/>
      <c r="AR376" s="464"/>
      <c r="AS376" s="179"/>
      <c r="AT376" s="464"/>
      <c r="AU376" s="179"/>
      <c r="AV376" s="464"/>
      <c r="AW376" s="179"/>
      <c r="AX376" s="464"/>
      <c r="AY376" s="179"/>
      <c r="AZ376" s="464"/>
      <c r="BA376" s="179"/>
      <c r="BB376" s="464"/>
      <c r="BC376" s="179"/>
      <c r="BD376" s="464"/>
      <c r="BE376" s="179"/>
      <c r="BF376" s="39"/>
      <c r="BG376" s="179"/>
      <c r="BH376" s="39"/>
      <c r="BI376" s="179"/>
      <c r="BJ376" s="39"/>
      <c r="BK376" s="179"/>
      <c r="BL376" s="39"/>
      <c r="BM376" s="179"/>
      <c r="BN376" s="124"/>
      <c r="BO376" s="142"/>
      <c r="BP376" s="124"/>
      <c r="BQ376" s="124"/>
      <c r="BR376" s="123"/>
      <c r="BS376" s="123"/>
      <c r="BT376" s="123"/>
      <c r="BU376" s="39"/>
      <c r="BV376" s="179"/>
      <c r="BW376" s="38"/>
      <c r="BX376" s="180"/>
      <c r="BY376" s="38"/>
      <c r="BZ376" s="179"/>
      <c r="CA376" s="39"/>
      <c r="CB376" s="179"/>
      <c r="CC376" s="39"/>
      <c r="CD376" s="179"/>
      <c r="CE376" s="39"/>
      <c r="CF376" s="179"/>
      <c r="CG376" s="39"/>
      <c r="CH376" s="179"/>
      <c r="CI376" s="39"/>
      <c r="CJ376" s="179"/>
      <c r="CK376" s="39"/>
      <c r="CL376" s="179"/>
      <c r="CM376" s="39"/>
      <c r="CN376" s="179"/>
      <c r="CO376" s="39"/>
      <c r="CP376" s="179"/>
      <c r="CQ376" s="39"/>
      <c r="CR376" s="179"/>
      <c r="CS376" s="179"/>
      <c r="CV376"/>
      <c r="CW376"/>
      <c r="CX376"/>
      <c r="CY376"/>
      <c r="CZ376"/>
      <c r="DA376"/>
    </row>
    <row r="377" spans="1:105" s="111" customFormat="1" ht="12.75" customHeight="1" x14ac:dyDescent="0.2">
      <c r="A377" s="30" t="s">
        <v>189</v>
      </c>
      <c r="B377" s="75">
        <v>135.74795817999998</v>
      </c>
      <c r="C377" s="59"/>
      <c r="D377" s="75">
        <v>138.53792616000001</v>
      </c>
      <c r="E377" s="59"/>
      <c r="F377" s="75">
        <v>135.92981587</v>
      </c>
      <c r="G377" s="59"/>
      <c r="H377" s="75">
        <v>135.75279292000002</v>
      </c>
      <c r="I377" s="59"/>
      <c r="J377" s="75">
        <v>143.89500000000001</v>
      </c>
      <c r="K377" s="23">
        <f t="shared" ref="K377:Y381" si="2364">IF(ISERROR((J377/B377-1)*100),"NA",IF(((J377/B377-1)*100)&gt;100,"NM",IF(((J377/B377-1)*100)&lt;-50,"NM",(J377/B377-1)*100)))</f>
        <v>6.0015943732996346</v>
      </c>
      <c r="L377" s="75">
        <v>142.13999999999999</v>
      </c>
      <c r="M377" s="23">
        <f t="shared" si="2364"/>
        <v>2.6000633471587209</v>
      </c>
      <c r="N377" s="75">
        <v>138.934</v>
      </c>
      <c r="O377" s="23">
        <f t="shared" si="2364"/>
        <v>2.2100994625587678</v>
      </c>
      <c r="P377" s="75">
        <v>136.49100000000001</v>
      </c>
      <c r="Q377" s="23">
        <f t="shared" si="2364"/>
        <v>0.54378776607197921</v>
      </c>
      <c r="R377" s="75">
        <v>135.69999999999999</v>
      </c>
      <c r="S377" s="23">
        <f t="shared" si="2364"/>
        <v>-5.6951249174745584</v>
      </c>
      <c r="T377" s="75">
        <v>133.9</v>
      </c>
      <c r="U377" s="23">
        <f t="shared" si="2364"/>
        <v>-5.7971014492753543</v>
      </c>
      <c r="V377" s="75">
        <v>136.30000000000001</v>
      </c>
      <c r="W377" s="23">
        <f t="shared" si="2364"/>
        <v>-1.8958642233002587</v>
      </c>
      <c r="X377" s="75">
        <v>138.80000000000001</v>
      </c>
      <c r="Y377" s="23">
        <f t="shared" si="2364"/>
        <v>1.6916866313529733</v>
      </c>
      <c r="Z377" s="75">
        <v>163.9</v>
      </c>
      <c r="AA377" s="23">
        <f>IF(ISERROR((Z377/R377-1)*100),"NA",IF(((Z377/R377-1)*100)&gt;100,"NM",IF(((Z377/R377-1)*100)&lt;-50,"NM",(Z377/R377-1)*100)))</f>
        <v>20.781134856300689</v>
      </c>
      <c r="AB377" s="75">
        <v>164</v>
      </c>
      <c r="AC377" s="23">
        <f>IF(ISERROR((AB377/T377-1)*100),"NA",IF(((AB377/T377-1)*100)&gt;100,"NM",IF(((AB377/T377-1)*100)&lt;-50,"NM",(AB377/T377-1)*100)))</f>
        <v>22.479462285287521</v>
      </c>
      <c r="AD377" s="75">
        <v>164.1</v>
      </c>
      <c r="AE377" s="23">
        <f>IF(ISERROR((AD377/V377-1)*100),"NA",IF(((AD377/V377-1)*100)&gt;100,"NM",IF(((AD377/V377-1)*100)&lt;-50,"NM",(AD377/V377-1)*100)))</f>
        <v>20.396184886280256</v>
      </c>
      <c r="AF377" s="75">
        <v>167.4</v>
      </c>
      <c r="AG377" s="23">
        <f>IF(ISERROR((AF377/X377-1)*100),"NA",IF(((AF377/X377-1)*100)&gt;100,"NM",IF(((AF377/X377-1)*100)&lt;-50,"NM",(AF377/X377-1)*100)))</f>
        <v>20.60518731988472</v>
      </c>
      <c r="AH377" s="75">
        <v>192.9</v>
      </c>
      <c r="AI377" s="23">
        <f>IF(ISERROR((AH377/Z377-1)*100),"NA",IF(((AH377/Z377-1)*100)&gt;100,"NM",IF(((AH377/Z377-1)*100)&lt;-50,"NM",(AH377/Z377-1)*100)))</f>
        <v>17.693715680292854</v>
      </c>
      <c r="AJ377" s="75">
        <v>193.5</v>
      </c>
      <c r="AK377" s="23">
        <f>IF(ISERROR((AJ377/AB377-1)*100),"NA",IF(((AJ377/AB377-1)*100)&gt;100,"NM",IF(((AJ377/AB377-1)*100)&lt;-50,"NM",(AJ377/AB377-1)*100)))</f>
        <v>17.987804878048784</v>
      </c>
      <c r="AL377" s="75">
        <v>191.2</v>
      </c>
      <c r="AM377" s="23">
        <f>IF(ISERROR((AL377/AD377-1)*100),"NA",IF(((AL377/AD377-1)*100)&gt;100,"NM",IF(((AL377/AD377-1)*100)&lt;-50,"NM",(AL377/AD377-1)*100)))</f>
        <v>16.514320536258388</v>
      </c>
      <c r="AN377" s="508">
        <v>196.1</v>
      </c>
      <c r="AO377" s="23">
        <f>IF(ISERROR((AN377/AF377-1)*100),"NA",IF(((AN377/AF377-1)*100)&gt;100,"NM",IF(((AN377/AF377-1)*100)&lt;-50,"NM",(AN377/AF377-1)*100)))</f>
        <v>17.144563918757449</v>
      </c>
      <c r="AP377" s="508">
        <v>209.2</v>
      </c>
      <c r="AQ377" s="23">
        <f t="shared" ref="AQ377:AQ381" si="2365">IF(ISERROR((AP377/AH377-1)*100),"NA",IF(((AP377/AH377-1)*100)&gt;100,"NM",IF(((AP377/AH377-1)*100)&lt;-50,"NM",(AP377/AH377-1)*100)))</f>
        <v>8.4499740798340994</v>
      </c>
      <c r="AR377" s="508">
        <v>206.6</v>
      </c>
      <c r="AS377" s="23">
        <f t="shared" ref="AS377:AS381" si="2366">IF(ISERROR((AR377/AJ377-1)*100),"NA",IF(((AR377/AJ377-1)*100)&gt;100,"NM",IF(((AR377/AJ377-1)*100)&lt;-50,"NM",(AR377/AJ377-1)*100)))</f>
        <v>6.77002583979327</v>
      </c>
      <c r="AT377" s="508">
        <v>207.5</v>
      </c>
      <c r="AU377" s="23">
        <f t="shared" ref="AU377:AU381" si="2367">IF(ISERROR((AT377/AL377-1)*100),"NA",IF(((AT377/AL377-1)*100)&gt;100,"NM",IF(((AT377/AL377-1)*100)&lt;-50,"NM",(AT377/AL377-1)*100)))</f>
        <v>8.5251046025104582</v>
      </c>
      <c r="AV377" s="508">
        <v>211.3</v>
      </c>
      <c r="AW377" s="23">
        <f t="shared" ref="AW377:AW381" si="2368">IF(ISERROR((AV377/AN377-1)*100),"NA",IF(((AV377/AN377-1)*100)&gt;100,"NM",IF(((AV377/AN377-1)*100)&lt;-50,"NM",(AV377/AN377-1)*100)))</f>
        <v>7.7511473737889025</v>
      </c>
      <c r="AX377" s="508">
        <v>241</v>
      </c>
      <c r="AY377" s="23">
        <f t="shared" ref="AY377:AY381" si="2369">IF(ISERROR((AX377/AP377-1)*100),"NA",IF(((AX377/AP377-1)*100)&gt;100,"NM",IF(((AX377/AP377-1)*100)&lt;-50,"NM",(AX377/AP377-1)*100)))</f>
        <v>15.200764818355639</v>
      </c>
      <c r="AZ377" s="508">
        <v>238.1</v>
      </c>
      <c r="BA377" s="23">
        <f t="shared" ref="BA377:BA381" si="2370">IF(ISERROR((AZ377/AR377-1)*100),"NA",IF(((AZ377/AR377-1)*100)&gt;100,"NM",IF(((AZ377/AR377-1)*100)&lt;-50,"NM",(AZ377/AR377-1)*100)))</f>
        <v>15.246853823814144</v>
      </c>
      <c r="BB377" s="508">
        <v>241</v>
      </c>
      <c r="BC377" s="23">
        <f t="shared" ref="BC377:BC381" si="2371">IF(ISERROR((BB377/AT377-1)*100),"NA",IF(((BB377/AT377-1)*100)&gt;100,"NM",IF(((BB377/AT377-1)*100)&lt;-50,"NM",(BB377/AT377-1)*100)))</f>
        <v>16.144578313253021</v>
      </c>
      <c r="BD377" s="508">
        <v>233</v>
      </c>
      <c r="BE377" s="23">
        <f t="shared" ref="BE377:BE381" si="2372">IF(ISERROR((BD377/AV377-1)*100),"NA",IF(((BD377/AV377-1)*100)&gt;100,"NM",IF(((BD377/AV377-1)*100)&lt;-50,"NM",(BD377/AV377-1)*100)))</f>
        <v>10.269758637008986</v>
      </c>
      <c r="BF377" s="75">
        <f>AX377*1.04</f>
        <v>250.64000000000001</v>
      </c>
      <c r="BG377" s="23">
        <f t="shared" ref="BG377:BG381" si="2373">IF(ISERROR((BF377/AX377-1)*100),"NA",IF(((BF377/AX377-1)*100)&gt;100,"NM",IF(((BF377/AX377-1)*100)&lt;-50,"NM",(BF377/AX377-1)*100)))</f>
        <v>4.0000000000000036</v>
      </c>
      <c r="BH377" s="75">
        <f>AZ377*1.04</f>
        <v>247.624</v>
      </c>
      <c r="BI377" s="23">
        <f t="shared" ref="BI377:BI381" si="2374">IF(ISERROR((BH377/AZ377-1)*100),"NA",IF(((BH377/AZ377-1)*100)&gt;100,"NM",IF(((BH377/AZ377-1)*100)&lt;-50,"NM",(BH377/AZ377-1)*100)))</f>
        <v>4.0000000000000036</v>
      </c>
      <c r="BJ377" s="75">
        <f>BB377*1.04</f>
        <v>250.64000000000001</v>
      </c>
      <c r="BK377" s="23">
        <f t="shared" ref="BK377:BK381" si="2375">IF(ISERROR((BJ377/BB377-1)*100),"NA",IF(((BJ377/BB377-1)*100)&gt;100,"NM",IF(((BJ377/BB377-1)*100)&lt;-50,"NM",(BJ377/BB377-1)*100)))</f>
        <v>4.0000000000000036</v>
      </c>
      <c r="BL377" s="75">
        <f>BD377*1.04</f>
        <v>242.32000000000002</v>
      </c>
      <c r="BM377" s="23">
        <f t="shared" ref="BM377:BM381" si="2376">IF(ISERROR((BL377/BD377-1)*100),"NA",IF(((BL377/BD377-1)*100)&gt;100,"NM",IF(((BL377/BD377-1)*100)&lt;-50,"NM",(BL377/BD377-1)*100)))</f>
        <v>4.0000000000000036</v>
      </c>
      <c r="BN377" s="124"/>
      <c r="BO377" s="141"/>
      <c r="BP377" s="124"/>
      <c r="BQ377" s="155"/>
      <c r="BR377" s="155"/>
      <c r="BS377" s="155"/>
      <c r="BT377" s="123"/>
      <c r="BU377" s="56">
        <f>B377+D377+F377+H377</f>
        <v>545.96849313000007</v>
      </c>
      <c r="BV377" s="23" t="str">
        <f>IF(ISERROR((BU377/BS377-1)*100),"NA",IF(((BU377/BS377-1)*100)&gt;100,"NM",IF(((BU377/BS377-1)*100)&lt;-50,"NM",(BU377/BS377-1)*100)))</f>
        <v>NA</v>
      </c>
      <c r="BW377" s="56">
        <f>J377+L377+N377+P377</f>
        <v>561.45999999999992</v>
      </c>
      <c r="BX377" s="23">
        <f>IF(ISERROR((BW377/BU377-1)*100),"NA",IF(((BW377/BU377-1)*100)&gt;100,"NM",IF(((BW377/BU377-1)*100)&lt;-50,"NM",(BW377/BU377-1)*100)))</f>
        <v>2.8374360544485056</v>
      </c>
      <c r="BY377" s="56">
        <f>R377+T377+V377+X377</f>
        <v>544.70000000000005</v>
      </c>
      <c r="BZ377" s="23">
        <f>IF(ISERROR((BY377/BW377-1)*100),"NA",IF(((BY377/BW377-1)*100)&gt;100,"NM",IF(((BY377/BW377-1)*100)&lt;-50,"NM",(BY377/BW377-1)*100)))</f>
        <v>-2.985074626865647</v>
      </c>
      <c r="CA377" s="56">
        <f>Z377+AB377+AD377+AF377</f>
        <v>659.4</v>
      </c>
      <c r="CB377" s="23">
        <f>IF(ISERROR((CA377/BY377-1)*100),"NA",IF(((CA377/BY377-1)*100)&gt;100,"NM",IF(((CA377/BY377-1)*100)&lt;-50,"NM",(CA377/BY377-1)*100)))</f>
        <v>21.057462823572592</v>
      </c>
      <c r="CC377" s="56">
        <f>AH377+AJ377+AL377+AN377</f>
        <v>773.69999999999993</v>
      </c>
      <c r="CD377" s="23">
        <f>IF(ISERROR((CC377/CA377-1)*100),"NA",IF(((CC377/CA377-1)*100)&gt;100,"NM",IF(((CC377/CA377-1)*100)&lt;-50,"NM",(CC377/CA377-1)*100)))</f>
        <v>17.333939945404907</v>
      </c>
      <c r="CE377" s="56">
        <f>AP377+AR377+AT377+AV377</f>
        <v>834.59999999999991</v>
      </c>
      <c r="CF377" s="23">
        <f>IF(ISERROR((CE377/CC377-1)*100),"NA",IF(((CE377/CC377-1)*100)&gt;100,"NM",IF(((CE377/CC377-1)*100)&lt;-50,"NM",(CE377/CC377-1)*100)))</f>
        <v>7.8712679333074798</v>
      </c>
      <c r="CG377" s="56">
        <f>AX377+AZ377+BB377+BD377</f>
        <v>953.1</v>
      </c>
      <c r="CH377" s="23">
        <f>IF(ISERROR((CG377/CE377-1)*100),"NA",IF(((CG377/CE377-1)*100)&gt;100,"NM",IF(((CG377/CE377-1)*100)&lt;-50,"NM",(CG377/CE377-1)*100)))</f>
        <v>14.198418404025892</v>
      </c>
      <c r="CI377" s="56">
        <f>BF377+BH377+BJ377+BL377</f>
        <v>991.22400000000005</v>
      </c>
      <c r="CJ377" s="23">
        <f>IF(ISERROR((CI377/CG377-1)*100),"NA",IF(((CI377/CG377-1)*100)&gt;100,"NM",IF(((CI377/CG377-1)*100)&lt;-50,"NM",(CI377/CG377-1)*100)))</f>
        <v>4.0000000000000036</v>
      </c>
      <c r="CK377" s="77">
        <f>CI377*1.04</f>
        <v>1030.8729600000001</v>
      </c>
      <c r="CL377" s="23">
        <f>IF(ISERROR((CK377/CI377-1)*100),"NA",IF(((CK377/CI377-1)*100)&gt;100,"NM",IF(((CK377/CI377-1)*100)&lt;-50,"NM",(CK377/CI377-1)*100)))</f>
        <v>4.0000000000000036</v>
      </c>
      <c r="CM377" s="77">
        <f>CK377*1.04</f>
        <v>1072.1078784000001</v>
      </c>
      <c r="CN377" s="23">
        <f>IF(ISERROR((CM377/CK377-1)*100),"NA",IF(((CM377/CK377-1)*100)&gt;100,"NM",IF(((CM377/CK377-1)*100)&lt;-50,"NM",(CM377/CK377-1)*100)))</f>
        <v>4.0000000000000036</v>
      </c>
      <c r="CO377" s="77">
        <f>CM377*1.04</f>
        <v>1114.9921935360001</v>
      </c>
      <c r="CP377" s="23">
        <f>IF(ISERROR((CO377/CM377-1)*100),"NA",IF(((CO377/CM377-1)*100)&gt;100,"NM",IF(((CO377/CM377-1)*100)&lt;-50,"NM",(CO377/CM377-1)*100)))</f>
        <v>4.0000000000000036</v>
      </c>
      <c r="CQ377" s="77">
        <f>CO377*1.04</f>
        <v>1159.5918812774401</v>
      </c>
      <c r="CR377" s="23">
        <f>IF(ISERROR((CQ377/CO377-1)*100),"NA",IF(((CQ377/CO377-1)*100)&gt;100,"NM",IF(((CQ377/CO377-1)*100)&lt;-50,"NM",(CQ377/CO377-1)*100)))</f>
        <v>4.0000000000000036</v>
      </c>
      <c r="CS377" s="23">
        <f>IF(ISERROR(((CQ377/CG377)^0.2-1)*100),"NA",IF((((CQ377/CG377)^0.2-1)*100)&gt;100,"NM",IF((((CQ377/CG377)^0.2-1)*100)&lt;-50,"NM",((CQ377/CG377)^0.2-1)*100)))</f>
        <v>4.0000000000000036</v>
      </c>
      <c r="CT377" s="402"/>
      <c r="CV377"/>
      <c r="CW377"/>
      <c r="CX377"/>
      <c r="CY377"/>
      <c r="CZ377"/>
      <c r="DA377"/>
    </row>
    <row r="378" spans="1:105" s="111" customFormat="1" ht="12.75" customHeight="1" x14ac:dyDescent="0.2">
      <c r="A378" s="30" t="s">
        <v>190</v>
      </c>
      <c r="B378" s="75">
        <v>-113.29762294</v>
      </c>
      <c r="C378" s="59"/>
      <c r="D378" s="75">
        <v>-112.48833268000001</v>
      </c>
      <c r="E378" s="59"/>
      <c r="F378" s="75">
        <v>-116.35271945000001</v>
      </c>
      <c r="G378" s="59"/>
      <c r="H378" s="75">
        <v>-110.35308316</v>
      </c>
      <c r="I378" s="59"/>
      <c r="J378" s="75">
        <v>-109.696</v>
      </c>
      <c r="K378" s="23">
        <f t="shared" si="2364"/>
        <v>-3.1789042404776202</v>
      </c>
      <c r="L378" s="75">
        <v>-107.288</v>
      </c>
      <c r="M378" s="23">
        <f t="shared" si="2364"/>
        <v>-4.6229973865766212</v>
      </c>
      <c r="N378" s="75">
        <v>-97.697999999999993</v>
      </c>
      <c r="O378" s="23">
        <f t="shared" si="2364"/>
        <v>-16.032903689901691</v>
      </c>
      <c r="P378" s="75">
        <v>-94.82</v>
      </c>
      <c r="Q378" s="23">
        <f t="shared" si="2364"/>
        <v>-14.075803516498686</v>
      </c>
      <c r="R378" s="75">
        <v>-105.4</v>
      </c>
      <c r="S378" s="23">
        <f t="shared" si="2364"/>
        <v>-3.9162777129521542</v>
      </c>
      <c r="T378" s="75">
        <v>-96.6</v>
      </c>
      <c r="U378" s="23">
        <f t="shared" si="2364"/>
        <v>-9.9619715159197657</v>
      </c>
      <c r="V378" s="75">
        <v>-99.3</v>
      </c>
      <c r="W378" s="23">
        <f t="shared" si="2364"/>
        <v>1.639746975373102</v>
      </c>
      <c r="X378" s="75">
        <v>-108.9</v>
      </c>
      <c r="Y378" s="23">
        <f t="shared" si="2364"/>
        <v>14.849187935034823</v>
      </c>
      <c r="Z378" s="75">
        <v>-118.6</v>
      </c>
      <c r="AA378" s="23">
        <f>IF(ISERROR((Z378/R378-1)*100),"NA",IF(((Z378/R378-1)*100)&gt;100,"NM",IF(((Z378/R378-1)*100)&lt;-50,"NM",(Z378/R378-1)*100)))</f>
        <v>12.523719165085367</v>
      </c>
      <c r="AB378" s="75">
        <v>-118.5</v>
      </c>
      <c r="AC378" s="23">
        <f>IF(ISERROR((AB378/T378-1)*100),"NA",IF(((AB378/T378-1)*100)&gt;100,"NM",IF(((AB378/T378-1)*100)&lt;-50,"NM",(AB378/T378-1)*100)))</f>
        <v>22.670807453416163</v>
      </c>
      <c r="AD378" s="75">
        <v>-118.4</v>
      </c>
      <c r="AE378" s="23">
        <f>IF(ISERROR((AD378/V378-1)*100),"NA",IF(((AD378/V378-1)*100)&gt;100,"NM",IF(((AD378/V378-1)*100)&lt;-50,"NM",(AD378/V378-1)*100)))</f>
        <v>19.23464249748239</v>
      </c>
      <c r="AF378" s="75">
        <v>-103.7</v>
      </c>
      <c r="AG378" s="23">
        <f>IF(ISERROR((AF378/X378-1)*100),"NA",IF(((AF378/X378-1)*100)&gt;100,"NM",IF(((AF378/X378-1)*100)&lt;-50,"NM",(AF378/X378-1)*100)))</f>
        <v>-4.7750229568411466</v>
      </c>
      <c r="AH378" s="75">
        <v>-135.69999999999999</v>
      </c>
      <c r="AI378" s="23">
        <f>IF(ISERROR((AH378/Z378-1)*100),"NA",IF(((AH378/Z378-1)*100)&gt;100,"NM",IF(((AH378/Z378-1)*100)&lt;-50,"NM",(AH378/Z378-1)*100)))</f>
        <v>14.418212478920744</v>
      </c>
      <c r="AJ378" s="75">
        <v>-139.80000000000001</v>
      </c>
      <c r="AK378" s="23">
        <f>IF(ISERROR((AJ378/AB378-1)*100),"NA",IF(((AJ378/AB378-1)*100)&gt;100,"NM",IF(((AJ378/AB378-1)*100)&lt;-50,"NM",(AJ378/AB378-1)*100)))</f>
        <v>17.974683544303804</v>
      </c>
      <c r="AL378" s="75">
        <v>-128.69999999999999</v>
      </c>
      <c r="AM378" s="23">
        <f>IF(ISERROR((AL378/AD378-1)*100),"NA",IF(((AL378/AD378-1)*100)&gt;100,"NM",IF(((AL378/AD378-1)*100)&lt;-50,"NM",(AL378/AD378-1)*100)))</f>
        <v>8.6993243243243192</v>
      </c>
      <c r="AN378" s="508">
        <v>-148.9</v>
      </c>
      <c r="AO378" s="23">
        <f>IF(ISERROR((AN378/AF378-1)*100),"NA",IF(((AN378/AF378-1)*100)&gt;100,"NM",IF(((AN378/AF378-1)*100)&lt;-50,"NM",(AN378/AF378-1)*100)))</f>
        <v>43.587270973963356</v>
      </c>
      <c r="AP378" s="508">
        <v>-157.5</v>
      </c>
      <c r="AQ378" s="23">
        <f t="shared" si="2365"/>
        <v>16.064848931466468</v>
      </c>
      <c r="AR378" s="508">
        <v>-158.6</v>
      </c>
      <c r="AS378" s="23">
        <f t="shared" si="2366"/>
        <v>13.447782546494969</v>
      </c>
      <c r="AT378" s="508">
        <v>-165</v>
      </c>
      <c r="AU378" s="23">
        <f t="shared" si="2367"/>
        <v>28.205128205128215</v>
      </c>
      <c r="AV378" s="508">
        <v>-173.5</v>
      </c>
      <c r="AW378" s="23">
        <f t="shared" si="2368"/>
        <v>16.521155137676292</v>
      </c>
      <c r="AX378" s="508">
        <v>-195.2</v>
      </c>
      <c r="AY378" s="23">
        <f t="shared" si="2369"/>
        <v>23.936507936507923</v>
      </c>
      <c r="AZ378" s="508">
        <v>-203.7</v>
      </c>
      <c r="BA378" s="23">
        <f t="shared" si="2370"/>
        <v>28.436317780580069</v>
      </c>
      <c r="BB378" s="508">
        <v>-194.2</v>
      </c>
      <c r="BC378" s="23">
        <f t="shared" si="2371"/>
        <v>17.696969696969699</v>
      </c>
      <c r="BD378" s="508">
        <v>-195</v>
      </c>
      <c r="BE378" s="23">
        <f t="shared" si="2372"/>
        <v>12.391930835734865</v>
      </c>
      <c r="BF378" s="78">
        <f t="shared" ref="BF378" si="2377">-BF377*BF381/100</f>
        <v>-203.01840000000001</v>
      </c>
      <c r="BG378" s="23">
        <f t="shared" si="2373"/>
        <v>4.0053278688524818</v>
      </c>
      <c r="BH378" s="78">
        <f t="shared" ref="BH378" si="2378">-BH377*BH381/100</f>
        <v>-201.81356</v>
      </c>
      <c r="BI378" s="23">
        <f t="shared" si="2374"/>
        <v>-0.9260873834069705</v>
      </c>
      <c r="BJ378" s="78">
        <f t="shared" ref="BJ378" si="2379">-BJ377*BJ381/100</f>
        <v>-204.27160000000001</v>
      </c>
      <c r="BK378" s="23">
        <f t="shared" si="2375"/>
        <v>5.1861997940267912</v>
      </c>
      <c r="BL378" s="78">
        <f t="shared" ref="BL378" si="2380">-BL377*BL381/100</f>
        <v>-196.27920000000003</v>
      </c>
      <c r="BM378" s="23">
        <f t="shared" si="2376"/>
        <v>0.65600000000001213</v>
      </c>
      <c r="BN378" s="124"/>
      <c r="BO378" s="141"/>
      <c r="BP378" s="124"/>
      <c r="BQ378" s="155"/>
      <c r="BR378" s="155"/>
      <c r="BS378" s="155"/>
      <c r="BT378" s="123"/>
      <c r="BU378" s="56">
        <f>B378+D378+F378+H378</f>
        <v>-452.49175823000002</v>
      </c>
      <c r="BV378" s="23" t="str">
        <f>IF(ISERROR((BU378/BS378-1)*100),"NA",IF(((BU378/BS378-1)*100)&gt;100,"NM",IF(((BU378/BS378-1)*100)&lt;-50,"NM",(BU378/BS378-1)*100)))</f>
        <v>NA</v>
      </c>
      <c r="BW378" s="56">
        <f>J378+L378+N378+P378</f>
        <v>-409.50199999999995</v>
      </c>
      <c r="BX378" s="23">
        <f>IF(ISERROR((BW378/BU378-1)*100),"NA",IF(((BW378/BU378-1)*100)&gt;100,"NM",IF(((BW378/BU378-1)*100)&lt;-50,"NM",(BW378/BU378-1)*100)))</f>
        <v>-9.500672100230501</v>
      </c>
      <c r="BY378" s="56">
        <f>R378+T378+V378+X378</f>
        <v>-410.20000000000005</v>
      </c>
      <c r="BZ378" s="23">
        <f>IF(ISERROR((BY378/BW378-1)*100),"NA",IF(((BY378/BW378-1)*100)&gt;100,"NM",IF(((BY378/BW378-1)*100)&lt;-50,"NM",(BY378/BW378-1)*100)))</f>
        <v>0.17045093796856925</v>
      </c>
      <c r="CA378" s="56">
        <f>Z378+AB378+AD378+AF378</f>
        <v>-459.2</v>
      </c>
      <c r="CB378" s="23">
        <f>IF(ISERROR((CA378/BY378-1)*100),"NA",IF(((CA378/BY378-1)*100)&gt;100,"NM",IF(((CA378/BY378-1)*100)&lt;-50,"NM",(CA378/BY378-1)*100)))</f>
        <v>11.945392491467555</v>
      </c>
      <c r="CC378" s="56">
        <f>AH378+AJ378+AL378+AN378</f>
        <v>-553.1</v>
      </c>
      <c r="CD378" s="23">
        <f>IF(ISERROR((CC378/CA378-1)*100),"NA",IF(((CC378/CA378-1)*100)&gt;100,"NM",IF(((CC378/CA378-1)*100)&lt;-50,"NM",(CC378/CA378-1)*100)))</f>
        <v>20.448606271777003</v>
      </c>
      <c r="CE378" s="56">
        <f>AP378+AR378+AT378+AV378</f>
        <v>-654.6</v>
      </c>
      <c r="CF378" s="23">
        <f>IF(ISERROR((CE378/CC378-1)*100),"NA",IF(((CE378/CC378-1)*100)&gt;100,"NM",IF(((CE378/CC378-1)*100)&lt;-50,"NM",(CE378/CC378-1)*100)))</f>
        <v>18.351111914662809</v>
      </c>
      <c r="CG378" s="56">
        <f>AX378+AZ378+BB378+BD378</f>
        <v>-788.09999999999991</v>
      </c>
      <c r="CH378" s="23">
        <f>IF(ISERROR((CG378/CE378-1)*100),"NA",IF(((CG378/CE378-1)*100)&gt;100,"NM",IF(((CG378/CE378-1)*100)&lt;-50,"NM",(CG378/CE378-1)*100)))</f>
        <v>20.39413382218147</v>
      </c>
      <c r="CI378" s="56">
        <f>BF378+BH378+BJ378+BL378</f>
        <v>-805.38276000000008</v>
      </c>
      <c r="CJ378" s="23">
        <f>IF(ISERROR((CI378/CG378-1)*100),"NA",IF(((CI378/CG378-1)*100)&gt;100,"NM",IF(((CI378/CG378-1)*100)&lt;-50,"NM",(CI378/CG378-1)*100)))</f>
        <v>2.1929653597259513</v>
      </c>
      <c r="CK378" s="78">
        <f>-CK377*CK381/100</f>
        <v>-837.59807040000032</v>
      </c>
      <c r="CL378" s="23">
        <f>IF(ISERROR((CK378/CI378-1)*100),"NA",IF(((CK378/CI378-1)*100)&gt;100,"NM",IF(((CK378/CI378-1)*100)&lt;-50,"NM",(CK378/CI378-1)*100)))</f>
        <v>4.0000000000000258</v>
      </c>
      <c r="CM378" s="78">
        <f>-CM377*CM381/100</f>
        <v>-871.10199321600021</v>
      </c>
      <c r="CN378" s="23">
        <f>IF(ISERROR((CM378/CK378-1)*100),"NA",IF(((CM378/CK378-1)*100)&gt;100,"NM",IF(((CM378/CK378-1)*100)&lt;-50,"NM",(CM378/CK378-1)*100)))</f>
        <v>3.9999999999999813</v>
      </c>
      <c r="CO378" s="78">
        <f>-CO377*CO381/100</f>
        <v>-905.94607294464015</v>
      </c>
      <c r="CP378" s="23">
        <f>IF(ISERROR((CO378/CM378-1)*100),"NA",IF(((CO378/CM378-1)*100)&gt;100,"NM",IF(((CO378/CM378-1)*100)&lt;-50,"NM",(CO378/CM378-1)*100)))</f>
        <v>3.9999999999999813</v>
      </c>
      <c r="CQ378" s="78">
        <f>-CQ377*CQ381/100</f>
        <v>-942.18391586242581</v>
      </c>
      <c r="CR378" s="23">
        <f>IF(ISERROR((CQ378/CO378-1)*100),"NA",IF(((CQ378/CO378-1)*100)&gt;100,"NM",IF(((CQ378/CO378-1)*100)&lt;-50,"NM",(CQ378/CO378-1)*100)))</f>
        <v>4.0000000000000036</v>
      </c>
      <c r="CS378" s="23">
        <f>IF(ISERROR(((CQ378/CG378)^0.2-1)*100),"NA",IF((((CQ378/CG378)^0.2-1)*100)&gt;100,"NM",IF((((CQ378/CG378)^0.2-1)*100)&lt;-50,"NM",((CQ378/CG378)^0.2-1)*100)))</f>
        <v>3.6360547365911211</v>
      </c>
      <c r="CT378" s="402"/>
      <c r="CV378"/>
      <c r="CW378"/>
      <c r="CX378"/>
      <c r="CY378"/>
      <c r="CZ378"/>
      <c r="DA378"/>
    </row>
    <row r="379" spans="1:105" s="111" customFormat="1" ht="12.75" customHeight="1" x14ac:dyDescent="0.2">
      <c r="A379" s="30" t="s">
        <v>14</v>
      </c>
      <c r="B379" s="75">
        <v>-0.89472047999999982</v>
      </c>
      <c r="C379" s="59"/>
      <c r="D379" s="75">
        <v>-0.4775000800000011</v>
      </c>
      <c r="E379" s="59"/>
      <c r="F379" s="75">
        <v>-0.99142916000000036</v>
      </c>
      <c r="G379" s="59"/>
      <c r="H379" s="75">
        <v>-0.90622724000000088</v>
      </c>
      <c r="I379" s="59"/>
      <c r="J379" s="75">
        <v>-0.91400000000000003</v>
      </c>
      <c r="K379" s="23">
        <f t="shared" si="2364"/>
        <v>2.1548092874771552</v>
      </c>
      <c r="L379" s="75">
        <v>-0.747</v>
      </c>
      <c r="M379" s="23">
        <f t="shared" si="2364"/>
        <v>56.439764366112421</v>
      </c>
      <c r="N379" s="75">
        <v>-0.876</v>
      </c>
      <c r="O379" s="23">
        <f t="shared" si="2364"/>
        <v>-11.642703751017402</v>
      </c>
      <c r="P379" s="75">
        <v>-0.61899999999999999</v>
      </c>
      <c r="Q379" s="23">
        <f t="shared" si="2364"/>
        <v>-31.694836275281311</v>
      </c>
      <c r="R379" s="75">
        <v>-1.3</v>
      </c>
      <c r="S379" s="23">
        <f t="shared" si="2364"/>
        <v>42.231947483588627</v>
      </c>
      <c r="T379" s="75">
        <v>-0.3</v>
      </c>
      <c r="U379" s="23" t="str">
        <f t="shared" si="2364"/>
        <v>NM</v>
      </c>
      <c r="V379" s="75">
        <v>-1.1000000000000001</v>
      </c>
      <c r="W379" s="23">
        <f t="shared" si="2364"/>
        <v>25.570776255707784</v>
      </c>
      <c r="X379" s="75">
        <v>-0.4</v>
      </c>
      <c r="Y379" s="23">
        <f t="shared" si="2364"/>
        <v>-35.379644588045231</v>
      </c>
      <c r="Z379" s="75">
        <v>-1.4</v>
      </c>
      <c r="AA379" s="23">
        <f>IF(ISERROR((Z379/R379-1)*100),"NA",IF(((Z379/R379-1)*100)&gt;100,"NM",IF(((Z379/R379-1)*100)&lt;-50,"NM",(Z379/R379-1)*100)))</f>
        <v>7.6923076923076872</v>
      </c>
      <c r="AB379" s="75">
        <v>-0.9</v>
      </c>
      <c r="AC379" s="23" t="str">
        <f>IF(ISERROR((AB379/T379-1)*100),"NA",IF(((AB379/T379-1)*100)&gt;100,"NM",IF(((AB379/T379-1)*100)&lt;-50,"NM",(AB379/T379-1)*100)))</f>
        <v>NM</v>
      </c>
      <c r="AD379" s="75">
        <v>-0.8</v>
      </c>
      <c r="AE379" s="23">
        <f>IF(ISERROR((AD379/V379-1)*100),"NA",IF(((AD379/V379-1)*100)&gt;100,"NM",IF(((AD379/V379-1)*100)&lt;-50,"NM",(AD379/V379-1)*100)))</f>
        <v>-27.27272727272727</v>
      </c>
      <c r="AF379" s="75">
        <v>-1.4</v>
      </c>
      <c r="AG379" s="23" t="str">
        <f>IF(ISERROR((AF379/X379-1)*100),"NA",IF(((AF379/X379-1)*100)&gt;100,"NM",IF(((AF379/X379-1)*100)&lt;-50,"NM",(AF379/X379-1)*100)))</f>
        <v>NM</v>
      </c>
      <c r="AH379" s="75">
        <v>-2.6</v>
      </c>
      <c r="AI379" s="23">
        <f>IF(ISERROR((AH379/Z379-1)*100),"NA",IF(((AH379/Z379-1)*100)&gt;100,"NM",IF(((AH379/Z379-1)*100)&lt;-50,"NM",(AH379/Z379-1)*100)))</f>
        <v>85.714285714285737</v>
      </c>
      <c r="AJ379" s="75">
        <v>-0.2</v>
      </c>
      <c r="AK379" s="23" t="str">
        <f>IF(ISERROR((AJ379/AB379-1)*100),"NA",IF(((AJ379/AB379-1)*100)&gt;100,"NM",IF(((AJ379/AB379-1)*100)&lt;-50,"NM",(AJ379/AB379-1)*100)))</f>
        <v>NM</v>
      </c>
      <c r="AL379" s="75">
        <v>-1.1000000000000001</v>
      </c>
      <c r="AM379" s="23">
        <f>IF(ISERROR((AL379/AD379-1)*100),"NA",IF(((AL379/AD379-1)*100)&gt;100,"NM",IF(((AL379/AD379-1)*100)&lt;-50,"NM",(AL379/AD379-1)*100)))</f>
        <v>37.5</v>
      </c>
      <c r="AN379" s="508">
        <v>-1.2</v>
      </c>
      <c r="AO379" s="23">
        <f>IF(ISERROR((AN379/AF379-1)*100),"NA",IF(((AN379/AF379-1)*100)&gt;100,"NM",IF(((AN379/AF379-1)*100)&lt;-50,"NM",(AN379/AF379-1)*100)))</f>
        <v>-14.285714285714279</v>
      </c>
      <c r="AP379" s="508">
        <v>-0.8</v>
      </c>
      <c r="AQ379" s="23" t="str">
        <f t="shared" si="2365"/>
        <v>NM</v>
      </c>
      <c r="AR379" s="508">
        <v>-0.8</v>
      </c>
      <c r="AS379" s="23" t="str">
        <f t="shared" si="2366"/>
        <v>NM</v>
      </c>
      <c r="AT379" s="508">
        <v>-0.8</v>
      </c>
      <c r="AU379" s="23">
        <f t="shared" si="2367"/>
        <v>-27.27272727272727</v>
      </c>
      <c r="AV379" s="508">
        <v>-0.8</v>
      </c>
      <c r="AW379" s="23">
        <f t="shared" si="2368"/>
        <v>-33.333333333333329</v>
      </c>
      <c r="AX379" s="508">
        <v>-1</v>
      </c>
      <c r="AY379" s="23">
        <f t="shared" si="2369"/>
        <v>25</v>
      </c>
      <c r="AZ379" s="508">
        <v>-0.9</v>
      </c>
      <c r="BA379" s="23">
        <f t="shared" si="2370"/>
        <v>12.5</v>
      </c>
      <c r="BB379" s="508">
        <v>-0.9</v>
      </c>
      <c r="BC379" s="23">
        <f t="shared" si="2371"/>
        <v>12.5</v>
      </c>
      <c r="BD379" s="508">
        <v>-1</v>
      </c>
      <c r="BE379" s="23">
        <f t="shared" si="2372"/>
        <v>25</v>
      </c>
      <c r="BF379" s="77">
        <f t="shared" ref="BF379:BJ379" si="2381">BD379</f>
        <v>-1</v>
      </c>
      <c r="BG379" s="23">
        <f t="shared" si="2373"/>
        <v>0</v>
      </c>
      <c r="BH379" s="77">
        <f t="shared" si="2381"/>
        <v>-1</v>
      </c>
      <c r="BI379" s="23">
        <f t="shared" si="2374"/>
        <v>11.111111111111116</v>
      </c>
      <c r="BJ379" s="77">
        <f t="shared" si="2381"/>
        <v>-1</v>
      </c>
      <c r="BK379" s="23">
        <f t="shared" si="2375"/>
        <v>11.111111111111116</v>
      </c>
      <c r="BL379" s="77">
        <f t="shared" ref="BL379" si="2382">BJ379</f>
        <v>-1</v>
      </c>
      <c r="BM379" s="23">
        <f t="shared" si="2376"/>
        <v>0</v>
      </c>
      <c r="BN379" s="124"/>
      <c r="BO379" s="141"/>
      <c r="BP379" s="124"/>
      <c r="BQ379" s="155"/>
      <c r="BR379" s="155"/>
      <c r="BS379" s="155"/>
      <c r="BT379" s="123"/>
      <c r="BU379" s="56">
        <f>B379+D379+F379+H379</f>
        <v>-3.2698769600000022</v>
      </c>
      <c r="BV379" s="23" t="str">
        <f>IF(ISERROR((BU379/BS379-1)*100),"NA",IF(((BU379/BS379-1)*100)&gt;100,"NM",IF(((BU379/BS379-1)*100)&lt;-50,"NM",(BU379/BS379-1)*100)))</f>
        <v>NA</v>
      </c>
      <c r="BW379" s="56">
        <f>J379+L379+N379+P379</f>
        <v>-3.1559999999999997</v>
      </c>
      <c r="BX379" s="23">
        <f>IF(ISERROR((BW379/BU379-1)*100),"NA",IF(((BW379/BU379-1)*100)&gt;100,"NM",IF(((BW379/BU379-1)*100)&lt;-50,"NM",(BW379/BU379-1)*100)))</f>
        <v>-3.4826068807189081</v>
      </c>
      <c r="BY379" s="56">
        <f>R379+T379+V379+X379</f>
        <v>-3.1</v>
      </c>
      <c r="BZ379" s="23">
        <f>IF(ISERROR((BY379/BW379-1)*100),"NA",IF(((BY379/BW379-1)*100)&gt;100,"NM",IF(((BY379/BW379-1)*100)&lt;-50,"NM",(BY379/BW379-1)*100)))</f>
        <v>-1.7743979721165926</v>
      </c>
      <c r="CA379" s="56">
        <f>Z379+AB379+AD379+AF379</f>
        <v>-4.5</v>
      </c>
      <c r="CB379" s="23">
        <f>IF(ISERROR((CA379/BY379-1)*100),"NA",IF(((CA379/BY379-1)*100)&gt;100,"NM",IF(((CA379/BY379-1)*100)&lt;-50,"NM",(CA379/BY379-1)*100)))</f>
        <v>45.161290322580648</v>
      </c>
      <c r="CC379" s="56">
        <f>AH379+AJ379+AL379+AN379</f>
        <v>-5.1000000000000005</v>
      </c>
      <c r="CD379" s="23">
        <f>IF(ISERROR((CC379/CA379-1)*100),"NA",IF(((CC379/CA379-1)*100)&gt;100,"NM",IF(((CC379/CA379-1)*100)&lt;-50,"NM",(CC379/CA379-1)*100)))</f>
        <v>13.333333333333353</v>
      </c>
      <c r="CE379" s="56">
        <f>AP379+AR379+AT379+AV379</f>
        <v>-3.2</v>
      </c>
      <c r="CF379" s="23">
        <f>IF(ISERROR((CE379/CC379-1)*100),"NA",IF(((CE379/CC379-1)*100)&gt;100,"NM",IF(((CE379/CC379-1)*100)&lt;-50,"NM",(CE379/CC379-1)*100)))</f>
        <v>-37.254901960784316</v>
      </c>
      <c r="CG379" s="56">
        <f>AX379+AZ379+BB379+BD379</f>
        <v>-3.8</v>
      </c>
      <c r="CH379" s="23">
        <f>IF(ISERROR((CG379/CE379-1)*100),"NA",IF(((CG379/CE379-1)*100)&gt;100,"NM",IF(((CG379/CE379-1)*100)&lt;-50,"NM",(CG379/CE379-1)*100)))</f>
        <v>18.749999999999979</v>
      </c>
      <c r="CI379" s="56">
        <f>BF379+BH379+BJ379+BL379</f>
        <v>-4</v>
      </c>
      <c r="CJ379" s="23">
        <f>IF(ISERROR((CI379/CG379-1)*100),"NA",IF(((CI379/CG379-1)*100)&gt;100,"NM",IF(((CI379/CG379-1)*100)&lt;-50,"NM",(CI379/CG379-1)*100)))</f>
        <v>5.2631578947368363</v>
      </c>
      <c r="CK379" s="77">
        <f>CI379</f>
        <v>-4</v>
      </c>
      <c r="CL379" s="23">
        <f>IF(ISERROR((CK379/CI379-1)*100),"NA",IF(((CK379/CI379-1)*100)&gt;100,"NM",IF(((CK379/CI379-1)*100)&lt;-50,"NM",(CK379/CI379-1)*100)))</f>
        <v>0</v>
      </c>
      <c r="CM379" s="77">
        <f>CK379</f>
        <v>-4</v>
      </c>
      <c r="CN379" s="23">
        <f>IF(ISERROR((CM379/CK379-1)*100),"NA",IF(((CM379/CK379-1)*100)&gt;100,"NM",IF(((CM379/CK379-1)*100)&lt;-50,"NM",(CM379/CK379-1)*100)))</f>
        <v>0</v>
      </c>
      <c r="CO379" s="77">
        <f>CM379</f>
        <v>-4</v>
      </c>
      <c r="CP379" s="23">
        <f>IF(ISERROR((CO379/CM379-1)*100),"NA",IF(((CO379/CM379-1)*100)&gt;100,"NM",IF(((CO379/CM379-1)*100)&lt;-50,"NM",(CO379/CM379-1)*100)))</f>
        <v>0</v>
      </c>
      <c r="CQ379" s="77">
        <f>CO379</f>
        <v>-4</v>
      </c>
      <c r="CR379" s="23">
        <f>IF(ISERROR((CQ379/CO379-1)*100),"NA",IF(((CQ379/CO379-1)*100)&gt;100,"NM",IF(((CQ379/CO379-1)*100)&lt;-50,"NM",(CQ379/CO379-1)*100)))</f>
        <v>0</v>
      </c>
      <c r="CS379" s="23">
        <f>IF(ISERROR(((CQ379/CG379)^0.2-1)*100),"NA",IF((((CQ379/CG379)^0.2-1)*100)&gt;100,"NM",IF((((CQ379/CG379)^0.2-1)*100)&lt;-50,"NM",((CQ379/CG379)^0.2-1)*100)))</f>
        <v>1.0311459317936089</v>
      </c>
      <c r="CT379" s="402"/>
      <c r="CV379"/>
      <c r="CW379"/>
      <c r="CX379"/>
      <c r="CY379"/>
      <c r="CZ379"/>
      <c r="DA379"/>
    </row>
    <row r="380" spans="1:105" s="111" customFormat="1" ht="12.75" customHeight="1" x14ac:dyDescent="0.2">
      <c r="A380" s="30" t="s">
        <v>9</v>
      </c>
      <c r="B380" s="76">
        <f>B377+B378+B379</f>
        <v>21.555614759999987</v>
      </c>
      <c r="C380" s="59"/>
      <c r="D380" s="76">
        <f t="shared" ref="D380:Z380" si="2383">D377+D378+D379</f>
        <v>25.572093399999996</v>
      </c>
      <c r="E380" s="59"/>
      <c r="F380" s="76">
        <f t="shared" si="2383"/>
        <v>18.58566725999999</v>
      </c>
      <c r="G380" s="59"/>
      <c r="H380" s="76">
        <f t="shared" si="2383"/>
        <v>24.493482520000022</v>
      </c>
      <c r="I380" s="59"/>
      <c r="J380" s="76">
        <f t="shared" si="2383"/>
        <v>33.285000000000011</v>
      </c>
      <c r="K380" s="23">
        <f t="shared" si="2364"/>
        <v>54.414524338994227</v>
      </c>
      <c r="L380" s="76">
        <f t="shared" si="2383"/>
        <v>34.10499999999999</v>
      </c>
      <c r="M380" s="23">
        <f t="shared" si="2364"/>
        <v>33.368040959837856</v>
      </c>
      <c r="N380" s="76">
        <f t="shared" si="2383"/>
        <v>40.360000000000007</v>
      </c>
      <c r="O380" s="23" t="str">
        <f t="shared" si="2364"/>
        <v>NM</v>
      </c>
      <c r="P380" s="76">
        <f t="shared" si="2383"/>
        <v>41.052000000000021</v>
      </c>
      <c r="Q380" s="23">
        <f t="shared" si="2364"/>
        <v>67.603769559837929</v>
      </c>
      <c r="R380" s="76">
        <f t="shared" si="2383"/>
        <v>28.999999999999982</v>
      </c>
      <c r="S380" s="23">
        <f t="shared" si="2364"/>
        <v>-12.873666816884565</v>
      </c>
      <c r="T380" s="76">
        <f t="shared" si="2383"/>
        <v>37.000000000000014</v>
      </c>
      <c r="U380" s="23">
        <f t="shared" si="2364"/>
        <v>8.4884914235450193</v>
      </c>
      <c r="V380" s="76">
        <f t="shared" si="2383"/>
        <v>35.900000000000013</v>
      </c>
      <c r="W380" s="23">
        <f t="shared" si="2364"/>
        <v>-11.050545094152609</v>
      </c>
      <c r="X380" s="76">
        <f t="shared" si="2383"/>
        <v>29.500000000000007</v>
      </c>
      <c r="Y380" s="23">
        <f t="shared" si="2364"/>
        <v>-28.139920101334916</v>
      </c>
      <c r="Z380" s="76">
        <f t="shared" si="2383"/>
        <v>43.900000000000013</v>
      </c>
      <c r="AA380" s="23">
        <f>IF(ISERROR((Z380/R380-1)*100),"NA",IF(((Z380/R380-1)*100)&gt;100,"NM",IF(((Z380/R380-1)*100)&lt;-50,"NM",(Z380/R380-1)*100)))</f>
        <v>51.379310344827722</v>
      </c>
      <c r="AB380" s="76">
        <f t="shared" ref="AB380:AD380" si="2384">AB377+AB378+AB379</f>
        <v>44.6</v>
      </c>
      <c r="AC380" s="23">
        <f>IF(ISERROR((AB380/T380-1)*100),"NA",IF(((AB380/T380-1)*100)&gt;100,"NM",IF(((AB380/T380-1)*100)&lt;-50,"NM",(AB380/T380-1)*100)))</f>
        <v>20.540540540540508</v>
      </c>
      <c r="AD380" s="76">
        <f t="shared" si="2384"/>
        <v>44.899999999999991</v>
      </c>
      <c r="AE380" s="23">
        <f>IF(ISERROR((AD380/V380-1)*100),"NA",IF(((AD380/V380-1)*100)&gt;100,"NM",IF(((AD380/V380-1)*100)&lt;-50,"NM",(AD380/V380-1)*100)))</f>
        <v>25.069637883008291</v>
      </c>
      <c r="AF380" s="76">
        <f t="shared" ref="AF380:AH380" si="2385">AF377+AF378+AF379</f>
        <v>62.300000000000004</v>
      </c>
      <c r="AG380" s="23" t="str">
        <f>IF(ISERROR((AF380/X380-1)*100),"NA",IF(((AF380/X380-1)*100)&gt;100,"NM",IF(((AF380/X380-1)*100)&lt;-50,"NM",(AF380/X380-1)*100)))</f>
        <v>NM</v>
      </c>
      <c r="AH380" s="76">
        <f t="shared" si="2385"/>
        <v>54.600000000000016</v>
      </c>
      <c r="AI380" s="23">
        <f>IF(ISERROR((AH380/Z380-1)*100),"NA",IF(((AH380/Z380-1)*100)&gt;100,"NM",IF(((AH380/Z380-1)*100)&lt;-50,"NM",(AH380/Z380-1)*100)))</f>
        <v>24.373576309794998</v>
      </c>
      <c r="AJ380" s="76">
        <f t="shared" ref="AJ380:AL380" si="2386">AJ377+AJ378+AJ379</f>
        <v>53.499999999999986</v>
      </c>
      <c r="AK380" s="23">
        <f>IF(ISERROR((AJ380/AB380-1)*100),"NA",IF(((AJ380/AB380-1)*100)&gt;100,"NM",IF(((AJ380/AB380-1)*100)&lt;-50,"NM",(AJ380/AB380-1)*100)))</f>
        <v>19.955156950672603</v>
      </c>
      <c r="AL380" s="76">
        <f t="shared" si="2386"/>
        <v>61.4</v>
      </c>
      <c r="AM380" s="23">
        <f>IF(ISERROR((AL380/AD380-1)*100),"NA",IF(((AL380/AD380-1)*100)&gt;100,"NM",IF(((AL380/AD380-1)*100)&lt;-50,"NM",(AL380/AD380-1)*100)))</f>
        <v>36.748329621380861</v>
      </c>
      <c r="AN380" s="462">
        <f t="shared" ref="AN380:AP380" si="2387">AN377+AN378+AN379</f>
        <v>45.999999999999986</v>
      </c>
      <c r="AO380" s="23">
        <f>IF(ISERROR((AN380/AF380-1)*100),"NA",IF(((AN380/AF380-1)*100)&gt;100,"NM",IF(((AN380/AF380-1)*100)&lt;-50,"NM",(AN380/AF380-1)*100)))</f>
        <v>-26.163723916532934</v>
      </c>
      <c r="AP380" s="462">
        <f t="shared" si="2387"/>
        <v>50.899999999999991</v>
      </c>
      <c r="AQ380" s="23">
        <f t="shared" si="2365"/>
        <v>-6.7765567765568191</v>
      </c>
      <c r="AR380" s="462">
        <f t="shared" ref="AR380:AT380" si="2388">AR377+AR378+AR379</f>
        <v>47.2</v>
      </c>
      <c r="AS380" s="23">
        <f t="shared" si="2366"/>
        <v>-11.775700934579413</v>
      </c>
      <c r="AT380" s="462">
        <f t="shared" si="2388"/>
        <v>41.7</v>
      </c>
      <c r="AU380" s="23">
        <f t="shared" si="2367"/>
        <v>-32.084690553745922</v>
      </c>
      <c r="AV380" s="462">
        <f t="shared" ref="AV380:AX380" si="2389">AV377+AV378+AV379</f>
        <v>37.000000000000014</v>
      </c>
      <c r="AW380" s="23">
        <f t="shared" si="2368"/>
        <v>-19.565217391304291</v>
      </c>
      <c r="AX380" s="462">
        <f t="shared" si="2389"/>
        <v>44.800000000000011</v>
      </c>
      <c r="AY380" s="23">
        <f t="shared" si="2369"/>
        <v>-11.984282907662047</v>
      </c>
      <c r="AZ380" s="462">
        <f t="shared" ref="AZ380" si="2390">AZ377+AZ378+AZ379</f>
        <v>33.500000000000007</v>
      </c>
      <c r="BA380" s="23">
        <f t="shared" si="2370"/>
        <v>-29.02542372881355</v>
      </c>
      <c r="BB380" s="462">
        <f t="shared" ref="BB380:BD380" si="2391">BB377+BB378+BB379</f>
        <v>45.900000000000013</v>
      </c>
      <c r="BC380" s="23">
        <f t="shared" si="2371"/>
        <v>10.071942446043192</v>
      </c>
      <c r="BD380" s="462">
        <f t="shared" si="2391"/>
        <v>37</v>
      </c>
      <c r="BE380" s="23">
        <f t="shared" si="2372"/>
        <v>-3.3306690738754696E-14</v>
      </c>
      <c r="BF380" s="76">
        <f t="shared" ref="BF380" si="2392">BF377+BF378+BF379</f>
        <v>46.621600000000001</v>
      </c>
      <c r="BG380" s="23">
        <f t="shared" si="2373"/>
        <v>4.066071428571405</v>
      </c>
      <c r="BH380" s="76">
        <f t="shared" ref="BH380" si="2393">BH377+BH378+BH379</f>
        <v>44.81044</v>
      </c>
      <c r="BI380" s="23">
        <f t="shared" si="2374"/>
        <v>33.762507462686543</v>
      </c>
      <c r="BJ380" s="76">
        <f t="shared" ref="BJ380" si="2394">BJ377+BJ378+BJ379</f>
        <v>45.368400000000008</v>
      </c>
      <c r="BK380" s="23">
        <f t="shared" si="2375"/>
        <v>-1.1581699346405294</v>
      </c>
      <c r="BL380" s="76">
        <f t="shared" ref="BL380" si="2395">BL377+BL378+BL379</f>
        <v>45.04079999999999</v>
      </c>
      <c r="BM380" s="23">
        <f t="shared" si="2376"/>
        <v>21.731891891891863</v>
      </c>
      <c r="BN380" s="124"/>
      <c r="BO380" s="141"/>
      <c r="BP380" s="124"/>
      <c r="BQ380" s="155"/>
      <c r="BR380" s="155"/>
      <c r="BS380" s="155"/>
      <c r="BT380" s="123"/>
      <c r="BU380" s="76">
        <f t="shared" ref="BU380:CA380" si="2396">BU377+BU378+BU379</f>
        <v>90.206857940000049</v>
      </c>
      <c r="BV380" s="23" t="str">
        <f>IF(ISERROR((BU380/BS380-1)*100),"NA",IF(((BU380/BS380-1)*100)&gt;100,"NM",IF(((BU380/BS380-1)*100)&lt;-50,"NM",(BU380/BS380-1)*100)))</f>
        <v>NA</v>
      </c>
      <c r="BW380" s="76">
        <f t="shared" si="2396"/>
        <v>148.80199999999996</v>
      </c>
      <c r="BX380" s="23">
        <f>IF(ISERROR((BW380/BU380-1)*100),"NA",IF(((BW380/BU380-1)*100)&gt;100,"NM",IF(((BW380/BU380-1)*100)&lt;-50,"NM",(BW380/BU380-1)*100)))</f>
        <v>64.956416172896454</v>
      </c>
      <c r="BY380" s="76">
        <f t="shared" si="2396"/>
        <v>131.4</v>
      </c>
      <c r="BZ380" s="23">
        <f>IF(ISERROR((BY380/BW380-1)*100),"NA",IF(((BY380/BW380-1)*100)&gt;100,"NM",IF(((BY380/BW380-1)*100)&lt;-50,"NM",(BY380/BW380-1)*100)))</f>
        <v>-11.694735285816027</v>
      </c>
      <c r="CA380" s="76">
        <f t="shared" si="2396"/>
        <v>195.7</v>
      </c>
      <c r="CB380" s="23">
        <f>IF(ISERROR((CA380/BY380-1)*100),"NA",IF(((CA380/BY380-1)*100)&gt;100,"NM",IF(((CA380/BY380-1)*100)&lt;-50,"NM",(CA380/BY380-1)*100)))</f>
        <v>48.934550989345496</v>
      </c>
      <c r="CC380" s="76">
        <f t="shared" ref="CC380" si="2397">CC377+CC378+CC379</f>
        <v>215.49999999999991</v>
      </c>
      <c r="CD380" s="23">
        <f>IF(ISERROR((CC380/CA380-1)*100),"NA",IF(((CC380/CA380-1)*100)&gt;100,"NM",IF(((CC380/CA380-1)*100)&lt;-50,"NM",(CC380/CA380-1)*100)))</f>
        <v>10.117526826775647</v>
      </c>
      <c r="CE380" s="76">
        <f t="shared" ref="CE380" si="2398">CE377+CE378+CE379</f>
        <v>176.7999999999999</v>
      </c>
      <c r="CF380" s="23">
        <f>IF(ISERROR((CE380/CC380-1)*100),"NA",IF(((CE380/CC380-1)*100)&gt;100,"NM",IF(((CE380/CC380-1)*100)&lt;-50,"NM",(CE380/CC380-1)*100)))</f>
        <v>-17.958236658932726</v>
      </c>
      <c r="CG380" s="76">
        <f t="shared" ref="CG380" si="2399">CG377+CG378+CG379</f>
        <v>161.2000000000001</v>
      </c>
      <c r="CH380" s="23">
        <f>IF(ISERROR((CG380/CE380-1)*100),"NA",IF(((CG380/CE380-1)*100)&gt;100,"NM",IF(((CG380/CE380-1)*100)&lt;-50,"NM",(CG380/CE380-1)*100)))</f>
        <v>-8.8235294117645964</v>
      </c>
      <c r="CI380" s="76">
        <f t="shared" ref="CI380" si="2400">CI377+CI378+CI379</f>
        <v>181.84123999999997</v>
      </c>
      <c r="CJ380" s="23">
        <f>IF(ISERROR((CI380/CG380-1)*100),"NA",IF(((CI380/CG380-1)*100)&gt;100,"NM",IF(((CI380/CG380-1)*100)&lt;-50,"NM",(CI380/CG380-1)*100)))</f>
        <v>12.804739454094193</v>
      </c>
      <c r="CK380" s="76">
        <f>CK377+CK378+CK379</f>
        <v>189.27488959999982</v>
      </c>
      <c r="CL380" s="23">
        <f>IF(ISERROR((CK380/CI380-1)*100),"NA",IF(((CK380/CI380-1)*100)&gt;100,"NM",IF(((CK380/CI380-1)*100)&lt;-50,"NM",(CK380/CI380-1)*100)))</f>
        <v>4.0879888412550747</v>
      </c>
      <c r="CM380" s="76">
        <f>CM377+CM378+CM379</f>
        <v>197.00588518399991</v>
      </c>
      <c r="CN380" s="23">
        <f>IF(ISERROR((CM380/CK380-1)*100),"NA",IF(((CM380/CK380-1)*100)&gt;100,"NM",IF(((CM380/CK380-1)*100)&lt;-50,"NM",(CM380/CK380-1)*100)))</f>
        <v>4.084533136084878</v>
      </c>
      <c r="CO380" s="76">
        <f>CO377+CO378+CO379</f>
        <v>205.04612059135991</v>
      </c>
      <c r="CP380" s="23">
        <f>IF(ISERROR((CO380/CM380-1)*100),"NA",IF(((CO380/CM380-1)*100)&gt;100,"NM",IF(((CO380/CM380-1)*100)&lt;-50,"NM",(CO380/CM380-1)*100)))</f>
        <v>4.0812158478669591</v>
      </c>
      <c r="CQ380" s="76">
        <f>CQ377+CQ378+CQ379</f>
        <v>213.40796541501425</v>
      </c>
      <c r="CR380" s="23">
        <f>IF(ISERROR((CQ380/CO380-1)*100),"NA",IF(((CQ380/CO380-1)*100)&gt;100,"NM",IF(((CQ380/CO380-1)*100)&lt;-50,"NM",(CQ380/CO380-1)*100)))</f>
        <v>4.0780312251402329</v>
      </c>
      <c r="CS380" s="23">
        <f>IF(ISERROR(((CQ380/CG380)^0.2-1)*100),"NA",IF((((CQ380/CG380)^0.2-1)*100)&gt;100,"NM",IF((((CQ380/CG380)^0.2-1)*100)&lt;-50,"NM",((CQ380/CG380)^0.2-1)*100)))</f>
        <v>5.7716106261564315</v>
      </c>
      <c r="CT380" s="402"/>
      <c r="CV380"/>
      <c r="CW380"/>
      <c r="CX380"/>
      <c r="CY380"/>
      <c r="CZ380"/>
      <c r="DA380"/>
    </row>
    <row r="381" spans="1:105" s="111" customFormat="1" ht="12.75" customHeight="1" x14ac:dyDescent="0.2">
      <c r="A381" s="30" t="s">
        <v>214</v>
      </c>
      <c r="B381" s="38">
        <f>-B378/B377*100</f>
        <v>83.461751070884517</v>
      </c>
      <c r="C381" s="59"/>
      <c r="D381" s="38">
        <f t="shared" ref="D381:P381" si="2401">-D378/D377*100</f>
        <v>81.196778238245855</v>
      </c>
      <c r="E381" s="59"/>
      <c r="F381" s="38">
        <f t="shared" si="2401"/>
        <v>85.597643684941758</v>
      </c>
      <c r="G381" s="59"/>
      <c r="H381" s="38">
        <f t="shared" si="2401"/>
        <v>81.289733188054385</v>
      </c>
      <c r="I381" s="59"/>
      <c r="J381" s="38">
        <f>-J378/J377*100</f>
        <v>76.233364606136405</v>
      </c>
      <c r="K381" s="23">
        <f t="shared" si="2364"/>
        <v>-8.660717480764335</v>
      </c>
      <c r="L381" s="38">
        <f t="shared" si="2401"/>
        <v>75.480512171098923</v>
      </c>
      <c r="M381" s="23">
        <f t="shared" si="2364"/>
        <v>-7.0400158616815922</v>
      </c>
      <c r="N381" s="38">
        <f t="shared" si="2401"/>
        <v>70.319720154893687</v>
      </c>
      <c r="O381" s="23">
        <f t="shared" si="2364"/>
        <v>-17.84853282443305</v>
      </c>
      <c r="P381" s="38">
        <f t="shared" si="2401"/>
        <v>69.469781890381043</v>
      </c>
      <c r="Q381" s="23">
        <f t="shared" si="2364"/>
        <v>-14.540521704418996</v>
      </c>
      <c r="R381" s="38">
        <f>-R378/R377*100</f>
        <v>77.671333824613129</v>
      </c>
      <c r="S381" s="23">
        <f t="shared" si="2364"/>
        <v>1.8862727965714976</v>
      </c>
      <c r="T381" s="38">
        <f>-T378/T377*100</f>
        <v>72.143390589992535</v>
      </c>
      <c r="U381" s="23">
        <f t="shared" si="2364"/>
        <v>-4.4211697630532898</v>
      </c>
      <c r="V381" s="38">
        <f>-V378/V377*100</f>
        <v>72.853998532648561</v>
      </c>
      <c r="W381" s="23">
        <f t="shared" si="2364"/>
        <v>3.6039369499375251</v>
      </c>
      <c r="X381" s="38">
        <f>-X378/X377*100</f>
        <v>78.458213256484143</v>
      </c>
      <c r="Y381" s="23">
        <f t="shared" si="2364"/>
        <v>12.938620392225042</v>
      </c>
      <c r="Z381" s="38">
        <f>-Z378/Z377*100</f>
        <v>72.361195851128741</v>
      </c>
      <c r="AA381" s="23">
        <f>IF(ISERROR((Z381/R381-1)*100),"NA",IF(((Z381/R381-1)*100)&gt;100,"NM",IF(((Z381/R381-1)*100)&lt;-50,"NM",(Z381/R381-1)*100)))</f>
        <v>-6.8366766888219299</v>
      </c>
      <c r="AB381" s="38">
        <f>-AB378/AB377*100</f>
        <v>72.256097560975604</v>
      </c>
      <c r="AC381" s="23">
        <f>IF(ISERROR((AB381/T381-1)*100),"NA",IF(((AB381/T381-1)*100)&gt;100,"NM",IF(((AB381/T381-1)*100)&lt;-50,"NM",(AB381/T381-1)*100)))</f>
        <v>0.15622632934402247</v>
      </c>
      <c r="AD381" s="38">
        <f>-AD378/AD377*100</f>
        <v>72.151127361365027</v>
      </c>
      <c r="AE381" s="23">
        <f>IF(ISERROR((AD381/V381-1)*100),"NA",IF(((AD381/V381-1)*100)&gt;100,"NM",IF(((AD381/V381-1)*100)&lt;-50,"NM",(AD381/V381-1)*100)))</f>
        <v>-0.96476677387659082</v>
      </c>
      <c r="AF381" s="38">
        <f>-AF378/AF377*100</f>
        <v>61.947431302270004</v>
      </c>
      <c r="AG381" s="23">
        <f>IF(ISERROR((AF381/X381-1)*100),"NA",IF(((AF381/X381-1)*100)&gt;100,"NM",IF(((AF381/X381-1)*100)&lt;-50,"NM",(AF381/X381-1)*100)))</f>
        <v>-21.044045319053474</v>
      </c>
      <c r="AH381" s="38">
        <f>-AH378/AH377*100</f>
        <v>70.347330222913413</v>
      </c>
      <c r="AI381" s="23">
        <f>IF(ISERROR((AH381/Z381-1)*100),"NA",IF(((AH381/Z381-1)*100)&gt;100,"NM",IF(((AH381/Z381-1)*100)&lt;-50,"NM",(AH381/Z381-1)*100)))</f>
        <v>-2.7830740005437837</v>
      </c>
      <c r="AJ381" s="38">
        <f>-AJ378/AJ377*100</f>
        <v>72.248062015503876</v>
      </c>
      <c r="AK381" s="23">
        <f>IF(ISERROR((AJ381/AB381-1)*100),"NA",IF(((AJ381/AB381-1)*100)&gt;100,"NM",IF(((AJ381/AB381-1)*100)&lt;-50,"NM",(AJ381/AB381-1)*100)))</f>
        <v>-1.1120923690832729E-2</v>
      </c>
      <c r="AL381" s="38">
        <f>-AL378/AL377*100</f>
        <v>67.311715481171547</v>
      </c>
      <c r="AM381" s="23">
        <f>IF(ISERROR((AL381/AD381-1)*100),"NA",IF(((AL381/AD381-1)*100)&gt;100,"NM",IF(((AL381/AD381-1)*100)&lt;-50,"NM",(AL381/AD381-1)*100)))</f>
        <v>-6.7073267697614014</v>
      </c>
      <c r="AN381" s="465">
        <f t="shared" ref="AN381:AP381" si="2402">-AN378/AN377*100</f>
        <v>75.930647628760838</v>
      </c>
      <c r="AO381" s="23">
        <f>IF(ISERROR((AN381/AF381-1)*100),"NA",IF(((AN381/AF381-1)*100)&gt;100,"NM",IF(((AN381/AF381-1)*100)&lt;-50,"NM",(AN381/AF381-1)*100)))</f>
        <v>22.572713722801986</v>
      </c>
      <c r="AP381" s="465">
        <f t="shared" si="2402"/>
        <v>75.286806883365216</v>
      </c>
      <c r="AQ381" s="23">
        <f t="shared" si="2365"/>
        <v>7.0215552527719494</v>
      </c>
      <c r="AR381" s="465">
        <f t="shared" ref="AR381:AT381" si="2403">-AR378/AR377*100</f>
        <v>76.766698935140369</v>
      </c>
      <c r="AS381" s="23">
        <f t="shared" si="2366"/>
        <v>6.254336508938918</v>
      </c>
      <c r="AT381" s="465">
        <f t="shared" si="2403"/>
        <v>79.518072289156621</v>
      </c>
      <c r="AU381" s="23">
        <f t="shared" si="2367"/>
        <v>18.134074760580777</v>
      </c>
      <c r="AV381" s="465">
        <f t="shared" ref="AV381:AX381" si="2404">-AV378/AV377*100</f>
        <v>82.110743019403685</v>
      </c>
      <c r="AW381" s="23">
        <f t="shared" si="2368"/>
        <v>8.1391316729688477</v>
      </c>
      <c r="AX381" s="465">
        <f t="shared" si="2404"/>
        <v>80.995850622406635</v>
      </c>
      <c r="AY381" s="23">
        <f t="shared" si="2369"/>
        <v>7.5830600013172322</v>
      </c>
      <c r="AZ381" s="465">
        <f t="shared" ref="AZ381" si="2405">-AZ378/AZ377*100</f>
        <v>85.552288954220913</v>
      </c>
      <c r="BA381" s="23">
        <f t="shared" si="2370"/>
        <v>11.444532773909465</v>
      </c>
      <c r="BB381" s="465">
        <f t="shared" ref="BB381:BD381" si="2406">-BB378/BB377*100</f>
        <v>80.580912863070537</v>
      </c>
      <c r="BC381" s="23">
        <f t="shared" si="2371"/>
        <v>1.3366025399220494</v>
      </c>
      <c r="BD381" s="465">
        <f t="shared" si="2406"/>
        <v>83.690987124463518</v>
      </c>
      <c r="BE381" s="23">
        <f t="shared" si="2372"/>
        <v>1.9245278351535555</v>
      </c>
      <c r="BF381" s="50">
        <v>81</v>
      </c>
      <c r="BG381" s="23">
        <f t="shared" si="2373"/>
        <v>5.1229508196692919E-3</v>
      </c>
      <c r="BH381" s="50">
        <v>81.5</v>
      </c>
      <c r="BI381" s="23">
        <f t="shared" si="2374"/>
        <v>-4.736622484045161</v>
      </c>
      <c r="BJ381" s="50">
        <f>BH381</f>
        <v>81.5</v>
      </c>
      <c r="BK381" s="23">
        <f t="shared" si="2375"/>
        <v>1.1405767250257437</v>
      </c>
      <c r="BL381" s="50">
        <v>81</v>
      </c>
      <c r="BM381" s="23">
        <f t="shared" si="2376"/>
        <v>-3.2153846153846088</v>
      </c>
      <c r="BN381" s="124"/>
      <c r="BO381" s="142"/>
      <c r="BP381" s="124"/>
      <c r="BQ381" s="154">
        <v>80.2</v>
      </c>
      <c r="BR381" s="123"/>
      <c r="BS381" s="154">
        <v>83.7</v>
      </c>
      <c r="BT381" s="123"/>
      <c r="BU381" s="38">
        <f>-BU378/BU377*100</f>
        <v>82.878730901832014</v>
      </c>
      <c r="BV381" s="23">
        <f>IF(ISERROR((BU381/BS381-1)*100),"NA",IF(((BU381/BS381-1)*100)&gt;100,"NM",IF(((BU381/BS381-1)*100)&lt;-50,"NM",(BU381/BS381-1)*100)))</f>
        <v>-0.9812056131039304</v>
      </c>
      <c r="BW381" s="38">
        <f>-BW378/BW377*100</f>
        <v>72.935204645032599</v>
      </c>
      <c r="BX381" s="23">
        <f>IF(ISERROR((BW381/BU381-1)*100),"NA",IF(((BW381/BU381-1)*100)&gt;100,"NM",IF(((BW381/BU381-1)*100)&lt;-50,"NM",(BW381/BU381-1)*100)))</f>
        <v>-11.997681610951904</v>
      </c>
      <c r="BY381" s="38">
        <f>-BY378/BY377*100</f>
        <v>75.307508720396555</v>
      </c>
      <c r="BZ381" s="23">
        <f>IF(ISERROR((BY381/BW381-1)*100),"NA",IF(((BY381/BW381-1)*100)&gt;100,"NM",IF(((BY381/BW381-1)*100)&lt;-50,"NM",(BY381/BW381-1)*100)))</f>
        <v>3.2526186591368189</v>
      </c>
      <c r="CA381" s="38">
        <f>-CA378/CA377*100</f>
        <v>69.639065817409758</v>
      </c>
      <c r="CB381" s="23">
        <f>IF(ISERROR((CA381/BY381-1)*100),"NA",IF(((CA381/BY381-1)*100)&gt;100,"NM",IF(((CA381/BY381-1)*100)&lt;-50,"NM",(CA381/BY381-1)*100)))</f>
        <v>-7.5270620410943678</v>
      </c>
      <c r="CC381" s="38">
        <f>-CC378/CC377*100</f>
        <v>71.487656714488836</v>
      </c>
      <c r="CD381" s="23">
        <f>IF(ISERROR((CC381/CA381-1)*100),"NA",IF(((CC381/CA381-1)*100)&gt;100,"NM",IF(((CC381/CA381-1)*100)&lt;-50,"NM",(CC381/CA381-1)*100)))</f>
        <v>2.6545314406227094</v>
      </c>
      <c r="CE381" s="38">
        <f>-CE378/CE377*100</f>
        <v>78.43278217109993</v>
      </c>
      <c r="CF381" s="23">
        <f>IF(ISERROR((CE381/CC381-1)*100),"NA",IF(((CE381/CC381-1)*100)&gt;100,"NM",IF(((CE381/CC381-1)*100)&lt;-50,"NM",(CE381/CC381-1)*100)))</f>
        <v>9.7151393342614476</v>
      </c>
      <c r="CG381" s="38">
        <f>-CG378/CG377*100</f>
        <v>82.688070506767374</v>
      </c>
      <c r="CH381" s="23">
        <f>IF(ISERROR((CG381/CE381-1)*100),"NA",IF(((CG381/CE381-1)*100)&gt;100,"NM",IF(((CG381/CE381-1)*100)&lt;-50,"NM",(CG381/CE381-1)*100)))</f>
        <v>5.4253951190773808</v>
      </c>
      <c r="CI381" s="38">
        <f>-CI378/CI377*100</f>
        <v>81.251337740006306</v>
      </c>
      <c r="CJ381" s="23">
        <f>IF(ISERROR((CI381/CG381-1)*100),"NA",IF(((CI381/CG381-1)*100)&gt;100,"NM",IF(((CI381/CG381-1)*100)&lt;-50,"NM",(CI381/CG381-1)*100)))</f>
        <v>-1.7375333079558075</v>
      </c>
      <c r="CK381" s="50">
        <f>CI381</f>
        <v>81.251337740006306</v>
      </c>
      <c r="CL381" s="23">
        <f>IF(ISERROR((CK381/CI381-1)*100),"NA",IF(((CK381/CI381-1)*100)&gt;100,"NM",IF(((CK381/CI381-1)*100)&lt;-50,"NM",(CK381/CI381-1)*100)))</f>
        <v>0</v>
      </c>
      <c r="CM381" s="50">
        <f>CK381</f>
        <v>81.251337740006306</v>
      </c>
      <c r="CN381" s="23">
        <f>IF(ISERROR((CM381/CK381-1)*100),"NA",IF(((CM381/CK381-1)*100)&gt;100,"NM",IF(((CM381/CK381-1)*100)&lt;-50,"NM",(CM381/CK381-1)*100)))</f>
        <v>0</v>
      </c>
      <c r="CO381" s="50">
        <f>CM381</f>
        <v>81.251337740006306</v>
      </c>
      <c r="CP381" s="23">
        <f>IF(ISERROR((CO381/CM381-1)*100),"NA",IF(((CO381/CM381-1)*100)&gt;100,"NM",IF(((CO381/CM381-1)*100)&lt;-50,"NM",(CO381/CM381-1)*100)))</f>
        <v>0</v>
      </c>
      <c r="CQ381" s="50">
        <f>CO381</f>
        <v>81.251337740006306</v>
      </c>
      <c r="CR381" s="23">
        <f>IF(ISERROR((CQ381/CO381-1)*100),"NA",IF(((CQ381/CO381-1)*100)&gt;100,"NM",IF(((CQ381/CO381-1)*100)&lt;-50,"NM",(CQ381/CO381-1)*100)))</f>
        <v>0</v>
      </c>
      <c r="CS381" s="23">
        <f>IF(ISERROR(((CQ381/CG381)^0.2-1)*100),"NA",IF((((CQ381/CG381)^0.2-1)*100)&gt;100,"NM",IF((((CQ381/CG381)^0.2-1)*100)&lt;-50,"NM",((CQ381/CG381)^0.2-1)*100)))</f>
        <v>-0.34994736866238441</v>
      </c>
      <c r="CT381" s="402"/>
      <c r="CV381"/>
      <c r="CW381"/>
      <c r="CX381"/>
      <c r="CY381"/>
      <c r="CZ381"/>
      <c r="DA381"/>
    </row>
    <row r="382" spans="1:105" s="111" customFormat="1" ht="12.75" customHeight="1" x14ac:dyDescent="0.2">
      <c r="A382" s="30"/>
      <c r="B382" s="38"/>
      <c r="C382" s="61"/>
      <c r="D382" s="38"/>
      <c r="E382" s="61"/>
      <c r="F382" s="38"/>
      <c r="G382" s="61"/>
      <c r="H382" s="38"/>
      <c r="I382" s="61"/>
      <c r="J382" s="38"/>
      <c r="K382" s="179"/>
      <c r="L382" s="38"/>
      <c r="M382" s="179"/>
      <c r="N382" s="38"/>
      <c r="O382" s="179"/>
      <c r="P382" s="38"/>
      <c r="Q382" s="179"/>
      <c r="R382" s="38"/>
      <c r="S382" s="179"/>
      <c r="T382" s="38"/>
      <c r="U382" s="179"/>
      <c r="V382" s="38"/>
      <c r="W382" s="179"/>
      <c r="X382" s="38"/>
      <c r="Y382" s="179"/>
      <c r="Z382" s="38"/>
      <c r="AA382" s="179"/>
      <c r="AB382" s="38"/>
      <c r="AC382" s="179"/>
      <c r="AD382" s="38"/>
      <c r="AE382" s="179"/>
      <c r="AF382" s="38"/>
      <c r="AG382" s="179"/>
      <c r="AH382" s="38"/>
      <c r="AI382" s="179"/>
      <c r="AJ382" s="38"/>
      <c r="AK382" s="179"/>
      <c r="AL382" s="38"/>
      <c r="AM382" s="179"/>
      <c r="AN382" s="465"/>
      <c r="AO382" s="179"/>
      <c r="AP382" s="465"/>
      <c r="AQ382" s="179"/>
      <c r="AR382" s="464"/>
      <c r="AS382" s="179"/>
      <c r="AT382" s="464"/>
      <c r="AU382" s="179"/>
      <c r="AV382" s="464"/>
      <c r="AW382" s="179"/>
      <c r="AX382" s="464"/>
      <c r="AY382" s="179"/>
      <c r="AZ382" s="464"/>
      <c r="BA382" s="179"/>
      <c r="BB382" s="464"/>
      <c r="BC382" s="179"/>
      <c r="BD382" s="464"/>
      <c r="BE382" s="179"/>
      <c r="BF382" s="39"/>
      <c r="BG382" s="179"/>
      <c r="BH382" s="39"/>
      <c r="BI382" s="179"/>
      <c r="BJ382" s="39"/>
      <c r="BK382" s="179"/>
      <c r="BL382" s="39"/>
      <c r="BM382" s="179"/>
      <c r="BN382" s="124"/>
      <c r="BO382" s="142"/>
      <c r="BP382" s="124"/>
      <c r="BQ382" s="124"/>
      <c r="BR382" s="123"/>
      <c r="BS382" s="124"/>
      <c r="BT382" s="123"/>
      <c r="BU382" s="39"/>
      <c r="BV382" s="179"/>
      <c r="BW382" s="38"/>
      <c r="BX382" s="180"/>
      <c r="BY382" s="38"/>
      <c r="BZ382" s="179"/>
      <c r="CA382" s="39"/>
      <c r="CB382" s="179"/>
      <c r="CC382" s="39"/>
      <c r="CD382" s="179"/>
      <c r="CE382" s="39"/>
      <c r="CF382" s="179"/>
      <c r="CG382" s="39"/>
      <c r="CH382" s="179"/>
      <c r="CI382" s="39"/>
      <c r="CJ382" s="179"/>
      <c r="CK382" s="39"/>
      <c r="CL382" s="179"/>
      <c r="CM382" s="39"/>
      <c r="CN382" s="179"/>
      <c r="CO382" s="39"/>
      <c r="CP382" s="179"/>
      <c r="CQ382" s="39"/>
      <c r="CR382" s="179"/>
      <c r="CS382" s="179"/>
      <c r="CV382"/>
      <c r="CW382"/>
      <c r="CX382"/>
      <c r="CY382"/>
      <c r="CZ382"/>
      <c r="DA382"/>
    </row>
    <row r="383" spans="1:105" s="111" customFormat="1" ht="12.75" customHeight="1" x14ac:dyDescent="0.2">
      <c r="A383" s="29" t="s">
        <v>196</v>
      </c>
      <c r="B383" s="38"/>
      <c r="C383" s="61"/>
      <c r="D383" s="38"/>
      <c r="E383" s="61"/>
      <c r="F383" s="38"/>
      <c r="G383" s="61"/>
      <c r="H383" s="38"/>
      <c r="I383" s="61"/>
      <c r="J383" s="38"/>
      <c r="K383" s="179"/>
      <c r="L383" s="38"/>
      <c r="M383" s="179"/>
      <c r="N383" s="38"/>
      <c r="O383" s="179"/>
      <c r="P383" s="38"/>
      <c r="Q383" s="179"/>
      <c r="R383" s="38"/>
      <c r="S383" s="179"/>
      <c r="T383" s="38"/>
      <c r="U383" s="179"/>
      <c r="V383" s="38"/>
      <c r="W383" s="179"/>
      <c r="X383" s="38"/>
      <c r="Y383" s="179"/>
      <c r="Z383" s="38"/>
      <c r="AA383" s="179"/>
      <c r="AB383" s="38"/>
      <c r="AC383" s="179"/>
      <c r="AD383" s="38"/>
      <c r="AE383" s="179"/>
      <c r="AF383" s="38"/>
      <c r="AG383" s="179"/>
      <c r="AH383" s="38"/>
      <c r="AI383" s="179"/>
      <c r="AJ383" s="38"/>
      <c r="AK383" s="179"/>
      <c r="AL383" s="38"/>
      <c r="AM383" s="179"/>
      <c r="AN383" s="465"/>
      <c r="AO383" s="179"/>
      <c r="AP383" s="465"/>
      <c r="AQ383" s="179"/>
      <c r="AR383" s="464"/>
      <c r="AS383" s="179"/>
      <c r="AT383" s="464"/>
      <c r="AU383" s="179"/>
      <c r="AV383" s="464"/>
      <c r="AW383" s="179"/>
      <c r="AX383" s="464"/>
      <c r="AY383" s="179"/>
      <c r="AZ383" s="464"/>
      <c r="BA383" s="179"/>
      <c r="BB383" s="464"/>
      <c r="BC383" s="179"/>
      <c r="BD383" s="464"/>
      <c r="BE383" s="179"/>
      <c r="BF383" s="39"/>
      <c r="BG383" s="179"/>
      <c r="BH383" s="39"/>
      <c r="BI383" s="179"/>
      <c r="BJ383" s="39"/>
      <c r="BK383" s="179"/>
      <c r="BL383" s="39"/>
      <c r="BM383" s="179"/>
      <c r="BN383" s="124"/>
      <c r="BO383" s="142"/>
      <c r="BP383" s="124"/>
      <c r="BQ383" s="124"/>
      <c r="BR383" s="123"/>
      <c r="BS383" s="123"/>
      <c r="BT383" s="123"/>
      <c r="BU383" s="39"/>
      <c r="BV383" s="179"/>
      <c r="BW383" s="38"/>
      <c r="BX383" s="180"/>
      <c r="BY383" s="38"/>
      <c r="BZ383" s="179"/>
      <c r="CA383" s="39"/>
      <c r="CB383" s="179"/>
      <c r="CC383" s="39"/>
      <c r="CD383" s="179"/>
      <c r="CE383" s="39"/>
      <c r="CF383" s="179"/>
      <c r="CG383" s="39"/>
      <c r="CH383" s="179"/>
      <c r="CI383" s="39"/>
      <c r="CJ383" s="179"/>
      <c r="CK383" s="39"/>
      <c r="CL383" s="179"/>
      <c r="CM383" s="39"/>
      <c r="CN383" s="179"/>
      <c r="CO383" s="39"/>
      <c r="CP383" s="179"/>
      <c r="CQ383" s="39"/>
      <c r="CR383" s="179"/>
      <c r="CS383" s="179"/>
      <c r="CV383"/>
      <c r="CW383"/>
      <c r="CX383"/>
      <c r="CY383"/>
      <c r="CZ383"/>
      <c r="DA383"/>
    </row>
    <row r="384" spans="1:105" s="111" customFormat="1" ht="12.75" hidden="1" customHeight="1" outlineLevel="1" x14ac:dyDescent="0.2">
      <c r="A384" s="30" t="s">
        <v>189</v>
      </c>
      <c r="B384" s="75">
        <v>38.810716759999998</v>
      </c>
      <c r="C384" s="59"/>
      <c r="D384" s="75">
        <v>28.91868298</v>
      </c>
      <c r="E384" s="59"/>
      <c r="F384" s="75">
        <v>34.024261979999999</v>
      </c>
      <c r="G384" s="59"/>
      <c r="H384" s="75">
        <v>33.817043779999999</v>
      </c>
      <c r="I384" s="59"/>
      <c r="J384" s="75">
        <v>34.574000000000005</v>
      </c>
      <c r="K384" s="23">
        <f>IF(ISERROR((J384/B384-1)*100),"NA",IF(((J384/B384-1)*100)&gt;100,"NM",IF(((J384/B384-1)*100)&lt;-50,"NM",(J384/B384-1)*100)))</f>
        <v>-10.916357938451004</v>
      </c>
      <c r="L384" s="75">
        <v>34.847000000000001</v>
      </c>
      <c r="M384" s="23">
        <f>IF(ISERROR((L384/D384-1)*100),"NA",IF(((L384/D384-1)*100)&gt;100,"NM",IF(((L384/D384-1)*100)&lt;-50,"NM",(L384/D384-1)*100)))</f>
        <v>20.499955077829757</v>
      </c>
      <c r="N384" s="75">
        <v>34.458999999999996</v>
      </c>
      <c r="O384" s="23">
        <f>IF(ISERROR((N384/F384-1)*100),"NA",IF(((N384/F384-1)*100)&gt;100,"NM",IF(((N384/F384-1)*100)&lt;-50,"NM",(N384/F384-1)*100)))</f>
        <v>1.2777294633327996</v>
      </c>
      <c r="P384" s="75">
        <v>33.027000000000001</v>
      </c>
      <c r="Q384" s="23">
        <f>IF(ISERROR((P384/H384-1)*100),"NA",IF(((P384/H384-1)*100)&gt;100,"NM",IF(((P384/H384-1)*100)&lt;-50,"NM",(P384/H384-1)*100)))</f>
        <v>-2.3362295803846855</v>
      </c>
      <c r="R384" s="75"/>
      <c r="S384" s="23"/>
      <c r="T384" s="75"/>
      <c r="U384" s="23"/>
      <c r="V384" s="75"/>
      <c r="W384" s="23"/>
      <c r="X384" s="75"/>
      <c r="Y384" s="23" t="str">
        <f>IF(ISERROR((X384/P384-1)*100),"NA",IF(((X384/P384-1)*100)&gt;100,"NM",IF(((X384/P384-1)*100)&lt;-50,"NM",(X384/P384-1)*100)))</f>
        <v>NM</v>
      </c>
      <c r="Z384" s="75"/>
      <c r="AA384" s="23" t="str">
        <f>IF(ISERROR((Z384/R384-1)*100),"NA",IF(((Z384/R384-1)*100)&gt;100,"NM",IF(((Z384/R384-1)*100)&lt;-50,"NM",(Z384/R384-1)*100)))</f>
        <v>NA</v>
      </c>
      <c r="AB384" s="75"/>
      <c r="AC384" s="23" t="str">
        <f>IF(ISERROR((AB384/T384-1)*100),"NA",IF(((AB384/T384-1)*100)&gt;100,"NM",IF(((AB384/T384-1)*100)&lt;-50,"NM",(AB384/T384-1)*100)))</f>
        <v>NA</v>
      </c>
      <c r="AD384" s="75"/>
      <c r="AE384" s="23" t="str">
        <f>IF(ISERROR((AD384/V384-1)*100),"NA",IF(((AD384/V384-1)*100)&gt;100,"NM",IF(((AD384/V384-1)*100)&lt;-50,"NM",(AD384/V384-1)*100)))</f>
        <v>NA</v>
      </c>
      <c r="AF384" s="75"/>
      <c r="AG384" s="23" t="str">
        <f>IF(ISERROR((AF384/X384-1)*100),"NA",IF(((AF384/X384-1)*100)&gt;100,"NM",IF(((AF384/X384-1)*100)&lt;-50,"NM",(AF384/X384-1)*100)))</f>
        <v>NA</v>
      </c>
      <c r="AH384" s="75"/>
      <c r="AI384" s="23" t="str">
        <f>IF(ISERROR((AH384/Z384-1)*100),"NA",IF(((AH384/Z384-1)*100)&gt;100,"NM",IF(((AH384/Z384-1)*100)&lt;-50,"NM",(AH384/Z384-1)*100)))</f>
        <v>NA</v>
      </c>
      <c r="AJ384" s="75"/>
      <c r="AK384" s="23" t="str">
        <f>IF(ISERROR((AJ384/AB384-1)*100),"NA",IF(((AJ384/AB384-1)*100)&gt;100,"NM",IF(((AJ384/AB384-1)*100)&lt;-50,"NM",(AJ384/AB384-1)*100)))</f>
        <v>NA</v>
      </c>
      <c r="AL384" s="75"/>
      <c r="AM384" s="23" t="str">
        <f>IF(ISERROR((AL384/AD384-1)*100),"NA",IF(((AL384/AD384-1)*100)&gt;100,"NM",IF(((AL384/AD384-1)*100)&lt;-50,"NM",(AL384/AD384-1)*100)))</f>
        <v>NA</v>
      </c>
      <c r="AN384" s="508"/>
      <c r="AO384" s="23" t="str">
        <f>IF(ISERROR((AN384/AF384-1)*100),"NA",IF(((AN384/AF384-1)*100)&gt;100,"NM",IF(((AN384/AF384-1)*100)&lt;-50,"NM",(AN384/AF384-1)*100)))</f>
        <v>NA</v>
      </c>
      <c r="AP384" s="508"/>
      <c r="AQ384" s="23" t="str">
        <f t="shared" ref="AQ384:AQ388" si="2407">IF(ISERROR((AP384/AH384-1)*100),"NA",IF(((AP384/AH384-1)*100)&gt;100,"NM",IF(((AP384/AH384-1)*100)&lt;-50,"NM",(AP384/AH384-1)*100)))</f>
        <v>NA</v>
      </c>
      <c r="AR384" s="460"/>
      <c r="AS384" s="23" t="str">
        <f t="shared" ref="AS384:AS388" si="2408">IF(ISERROR((AR384/AJ384-1)*100),"NA",IF(((AR384/AJ384-1)*100)&gt;100,"NM",IF(((AR384/AJ384-1)*100)&lt;-50,"NM",(AR384/AJ384-1)*100)))</f>
        <v>NA</v>
      </c>
      <c r="AT384" s="460"/>
      <c r="AU384" s="23" t="str">
        <f t="shared" ref="AU384:AU388" si="2409">IF(ISERROR((AT384/AL384-1)*100),"NA",IF(((AT384/AL384-1)*100)&gt;100,"NM",IF(((AT384/AL384-1)*100)&lt;-50,"NM",(AT384/AL384-1)*100)))</f>
        <v>NA</v>
      </c>
      <c r="AV384" s="460"/>
      <c r="AW384" s="23" t="str">
        <f t="shared" ref="AW384:AW388" si="2410">IF(ISERROR((AV384/AN384-1)*100),"NA",IF(((AV384/AN384-1)*100)&gt;100,"NM",IF(((AV384/AN384-1)*100)&lt;-50,"NM",(AV384/AN384-1)*100)))</f>
        <v>NA</v>
      </c>
      <c r="AX384" s="460"/>
      <c r="AY384" s="23" t="str">
        <f t="shared" ref="AY384:AY388" si="2411">IF(ISERROR((AX384/AP384-1)*100),"NA",IF(((AX384/AP384-1)*100)&gt;100,"NM",IF(((AX384/AP384-1)*100)&lt;-50,"NM",(AX384/AP384-1)*100)))</f>
        <v>NA</v>
      </c>
      <c r="AZ384" s="460"/>
      <c r="BA384" s="23" t="str">
        <f t="shared" ref="BA384:BA388" si="2412">IF(ISERROR((AZ384/AR384-1)*100),"NA",IF(((AZ384/AR384-1)*100)&gt;100,"NM",IF(((AZ384/AR384-1)*100)&lt;-50,"NM",(AZ384/AR384-1)*100)))</f>
        <v>NA</v>
      </c>
      <c r="BB384" s="460"/>
      <c r="BC384" s="23" t="str">
        <f t="shared" ref="BC384:BC388" si="2413">IF(ISERROR((BB384/AT384-1)*100),"NA",IF(((BB384/AT384-1)*100)&gt;100,"NM",IF(((BB384/AT384-1)*100)&lt;-50,"NM",(BB384/AT384-1)*100)))</f>
        <v>NA</v>
      </c>
      <c r="BD384" s="460"/>
      <c r="BE384" s="23" t="str">
        <f t="shared" ref="BE384:BE388" si="2414">IF(ISERROR((BD384/AV384-1)*100),"NA",IF(((BD384/AV384-1)*100)&gt;100,"NM",IF(((BD384/AV384-1)*100)&lt;-50,"NM",(BD384/AV384-1)*100)))</f>
        <v>NA</v>
      </c>
      <c r="BF384" s="77"/>
      <c r="BG384" s="23" t="str">
        <f t="shared" ref="BG384:BG388" si="2415">IF(ISERROR((BF384/AX384-1)*100),"NA",IF(((BF384/AX384-1)*100)&gt;100,"NM",IF(((BF384/AX384-1)*100)&lt;-50,"NM",(BF384/AX384-1)*100)))</f>
        <v>NA</v>
      </c>
      <c r="BH384" s="77"/>
      <c r="BI384" s="23" t="str">
        <f t="shared" ref="BI384:BI388" si="2416">IF(ISERROR((BH384/AZ384-1)*100),"NA",IF(((BH384/AZ384-1)*100)&gt;100,"NM",IF(((BH384/AZ384-1)*100)&lt;-50,"NM",(BH384/AZ384-1)*100)))</f>
        <v>NA</v>
      </c>
      <c r="BJ384" s="77"/>
      <c r="BK384" s="23" t="str">
        <f t="shared" ref="BK384:BK388" si="2417">IF(ISERROR((BJ384/BB384-1)*100),"NA",IF(((BJ384/BB384-1)*100)&gt;100,"NM",IF(((BJ384/BB384-1)*100)&lt;-50,"NM",(BJ384/BB384-1)*100)))</f>
        <v>NA</v>
      </c>
      <c r="BL384" s="77"/>
      <c r="BM384" s="23" t="str">
        <f t="shared" ref="BM384:BM388" si="2418">IF(ISERROR((BL384/BD384-1)*100),"NA",IF(((BL384/BD384-1)*100)&gt;100,"NM",IF(((BL384/BD384-1)*100)&lt;-50,"NM",(BL384/BD384-1)*100)))</f>
        <v>NA</v>
      </c>
      <c r="BN384" s="124"/>
      <c r="BO384" s="141"/>
      <c r="BP384" s="124"/>
      <c r="BQ384" s="155"/>
      <c r="BR384" s="155"/>
      <c r="BS384" s="155"/>
      <c r="BT384" s="123"/>
      <c r="BU384" s="56">
        <f>B384+D384+F384+H384</f>
        <v>135.5707055</v>
      </c>
      <c r="BV384" s="23" t="str">
        <f>IF(ISERROR((BU384/BS384-1)*100),"NA",IF(((BU384/BS384-1)*100)&gt;100,"NM",IF(((BU384/BS384-1)*100)&lt;-50,"NM",(BU384/BS384-1)*100)))</f>
        <v>NA</v>
      </c>
      <c r="BW384" s="56">
        <f>J384+L384+N384+P384</f>
        <v>136.90699999999998</v>
      </c>
      <c r="BX384" s="23">
        <f>IF(ISERROR((BW384/BU384-1)*100),"NA",IF(((BW384/BU384-1)*100)&gt;100,"NM",IF(((BW384/BU384-1)*100)&lt;-50,"NM",(BW384/BU384-1)*100)))</f>
        <v>0.98568086303865154</v>
      </c>
      <c r="BY384" s="56"/>
      <c r="BZ384" s="23"/>
      <c r="CA384" s="56"/>
      <c r="CB384" s="23"/>
      <c r="CC384" s="56"/>
      <c r="CD384" s="23"/>
      <c r="CE384" s="56"/>
      <c r="CF384" s="23"/>
      <c r="CG384" s="56"/>
      <c r="CH384" s="23"/>
      <c r="CI384" s="56"/>
      <c r="CJ384" s="23"/>
      <c r="CK384" s="77"/>
      <c r="CL384" s="23"/>
      <c r="CM384" s="77"/>
      <c r="CN384" s="23"/>
      <c r="CO384" s="77"/>
      <c r="CP384" s="23"/>
      <c r="CQ384" s="77"/>
      <c r="CR384" s="23"/>
      <c r="CS384" s="23" t="str">
        <f>IF(ISERROR(((CQ384/CG384)^0.2-1)*100),"NA",IF((((CQ384/CG384)^0.2-1)*100)&gt;100,"NM",IF((((CQ384/CG384)^0.2-1)*100)&lt;-50,"NM",((CQ384/CG384)^0.2-1)*100)))</f>
        <v>NA</v>
      </c>
      <c r="CV384"/>
      <c r="CW384"/>
      <c r="CX384"/>
      <c r="CY384"/>
      <c r="CZ384"/>
      <c r="DA384"/>
    </row>
    <row r="385" spans="1:105" s="111" customFormat="1" ht="12.75" hidden="1" customHeight="1" outlineLevel="1" x14ac:dyDescent="0.2">
      <c r="A385" s="30" t="s">
        <v>190</v>
      </c>
      <c r="B385" s="75">
        <v>-15.64490853</v>
      </c>
      <c r="C385" s="59"/>
      <c r="D385" s="75">
        <v>-3.0532089300000003</v>
      </c>
      <c r="E385" s="59"/>
      <c r="F385" s="75">
        <v>-14.908902870000002</v>
      </c>
      <c r="G385" s="59"/>
      <c r="H385" s="75">
        <v>-16.140954050000001</v>
      </c>
      <c r="I385" s="59"/>
      <c r="J385" s="75">
        <v>-20.49</v>
      </c>
      <c r="K385" s="23">
        <f>IF(ISERROR((J385/B385-1)*100),"NA",IF(((J385/B385-1)*100)&gt;100,"NM",IF(((J385/B385-1)*100)&lt;-50,"NM",(J385/B385-1)*100)))</f>
        <v>30.969126222178023</v>
      </c>
      <c r="L385" s="75">
        <v>-19.547000000000001</v>
      </c>
      <c r="M385" s="23" t="str">
        <f>IF(ISERROR((L385/D385-1)*100),"NA",IF(((L385/D385-1)*100)&gt;100,"NM",IF(((L385/D385-1)*100)&lt;-50,"NM",(L385/D385-1)*100)))</f>
        <v>NM</v>
      </c>
      <c r="N385" s="75">
        <v>-16.11</v>
      </c>
      <c r="O385" s="23">
        <f>IF(ISERROR((N385/F385-1)*100),"NA",IF(((N385/F385-1)*100)&gt;100,"NM",IF(((N385/F385-1)*100)&lt;-50,"NM",(N385/F385-1)*100)))</f>
        <v>8.056240894941169</v>
      </c>
      <c r="P385" s="75">
        <v>-14.228000000000002</v>
      </c>
      <c r="Q385" s="23">
        <f>IF(ISERROR((P385/H385-1)*100),"NA",IF(((P385/H385-1)*100)&gt;100,"NM",IF(((P385/H385-1)*100)&lt;-50,"NM",(P385/H385-1)*100)))</f>
        <v>-11.851555020070204</v>
      </c>
      <c r="R385" s="75"/>
      <c r="S385" s="23"/>
      <c r="T385" s="75"/>
      <c r="U385" s="23"/>
      <c r="V385" s="75"/>
      <c r="W385" s="23"/>
      <c r="X385" s="75"/>
      <c r="Y385" s="23" t="str">
        <f>IF(ISERROR((X385/P385-1)*100),"NA",IF(((X385/P385-1)*100)&gt;100,"NM",IF(((X385/P385-1)*100)&lt;-50,"NM",(X385/P385-1)*100)))</f>
        <v>NM</v>
      </c>
      <c r="Z385" s="75"/>
      <c r="AA385" s="23" t="str">
        <f>IF(ISERROR((Z385/R385-1)*100),"NA",IF(((Z385/R385-1)*100)&gt;100,"NM",IF(((Z385/R385-1)*100)&lt;-50,"NM",(Z385/R385-1)*100)))</f>
        <v>NA</v>
      </c>
      <c r="AB385" s="75"/>
      <c r="AC385" s="23" t="str">
        <f>IF(ISERROR((AB385/T385-1)*100),"NA",IF(((AB385/T385-1)*100)&gt;100,"NM",IF(((AB385/T385-1)*100)&lt;-50,"NM",(AB385/T385-1)*100)))</f>
        <v>NA</v>
      </c>
      <c r="AD385" s="75"/>
      <c r="AE385" s="23" t="str">
        <f>IF(ISERROR((AD385/V385-1)*100),"NA",IF(((AD385/V385-1)*100)&gt;100,"NM",IF(((AD385/V385-1)*100)&lt;-50,"NM",(AD385/V385-1)*100)))</f>
        <v>NA</v>
      </c>
      <c r="AF385" s="75"/>
      <c r="AG385" s="23" t="str">
        <f>IF(ISERROR((AF385/X385-1)*100),"NA",IF(((AF385/X385-1)*100)&gt;100,"NM",IF(((AF385/X385-1)*100)&lt;-50,"NM",(AF385/X385-1)*100)))</f>
        <v>NA</v>
      </c>
      <c r="AH385" s="75"/>
      <c r="AI385" s="23" t="str">
        <f>IF(ISERROR((AH385/Z385-1)*100),"NA",IF(((AH385/Z385-1)*100)&gt;100,"NM",IF(((AH385/Z385-1)*100)&lt;-50,"NM",(AH385/Z385-1)*100)))</f>
        <v>NA</v>
      </c>
      <c r="AJ385" s="75"/>
      <c r="AK385" s="23" t="str">
        <f>IF(ISERROR((AJ385/AB385-1)*100),"NA",IF(((AJ385/AB385-1)*100)&gt;100,"NM",IF(((AJ385/AB385-1)*100)&lt;-50,"NM",(AJ385/AB385-1)*100)))</f>
        <v>NA</v>
      </c>
      <c r="AL385" s="75"/>
      <c r="AM385" s="23" t="str">
        <f>IF(ISERROR((AL385/AD385-1)*100),"NA",IF(((AL385/AD385-1)*100)&gt;100,"NM",IF(((AL385/AD385-1)*100)&lt;-50,"NM",(AL385/AD385-1)*100)))</f>
        <v>NA</v>
      </c>
      <c r="AN385" s="508"/>
      <c r="AO385" s="23" t="str">
        <f>IF(ISERROR((AN385/AF385-1)*100),"NA",IF(((AN385/AF385-1)*100)&gt;100,"NM",IF(((AN385/AF385-1)*100)&lt;-50,"NM",(AN385/AF385-1)*100)))</f>
        <v>NA</v>
      </c>
      <c r="AP385" s="508"/>
      <c r="AQ385" s="23" t="str">
        <f t="shared" si="2407"/>
        <v>NA</v>
      </c>
      <c r="AR385" s="461"/>
      <c r="AS385" s="23" t="str">
        <f t="shared" si="2408"/>
        <v>NA</v>
      </c>
      <c r="AT385" s="461"/>
      <c r="AU385" s="23" t="str">
        <f t="shared" si="2409"/>
        <v>NA</v>
      </c>
      <c r="AV385" s="461"/>
      <c r="AW385" s="23" t="str">
        <f t="shared" si="2410"/>
        <v>NA</v>
      </c>
      <c r="AX385" s="461"/>
      <c r="AY385" s="23" t="str">
        <f t="shared" si="2411"/>
        <v>NA</v>
      </c>
      <c r="AZ385" s="461"/>
      <c r="BA385" s="23" t="str">
        <f t="shared" si="2412"/>
        <v>NA</v>
      </c>
      <c r="BB385" s="461"/>
      <c r="BC385" s="23" t="str">
        <f t="shared" si="2413"/>
        <v>NA</v>
      </c>
      <c r="BD385" s="461"/>
      <c r="BE385" s="23" t="str">
        <f t="shared" si="2414"/>
        <v>NA</v>
      </c>
      <c r="BF385" s="78"/>
      <c r="BG385" s="23" t="str">
        <f t="shared" si="2415"/>
        <v>NA</v>
      </c>
      <c r="BH385" s="78"/>
      <c r="BI385" s="23" t="str">
        <f t="shared" si="2416"/>
        <v>NA</v>
      </c>
      <c r="BJ385" s="78"/>
      <c r="BK385" s="23" t="str">
        <f t="shared" si="2417"/>
        <v>NA</v>
      </c>
      <c r="BL385" s="78"/>
      <c r="BM385" s="23" t="str">
        <f t="shared" si="2418"/>
        <v>NA</v>
      </c>
      <c r="BN385" s="124"/>
      <c r="BO385" s="141"/>
      <c r="BP385" s="124"/>
      <c r="BQ385" s="155"/>
      <c r="BR385" s="155"/>
      <c r="BS385" s="155"/>
      <c r="BT385" s="123"/>
      <c r="BU385" s="56">
        <f>B385+D385+F385+H385</f>
        <v>-49.747974380000002</v>
      </c>
      <c r="BV385" s="23" t="str">
        <f>IF(ISERROR((BU385/BS385-1)*100),"NA",IF(((BU385/BS385-1)*100)&gt;100,"NM",IF(((BU385/BS385-1)*100)&lt;-50,"NM",(BU385/BS385-1)*100)))</f>
        <v>NA</v>
      </c>
      <c r="BW385" s="56">
        <f>J385+L385+N385+P385</f>
        <v>-70.375</v>
      </c>
      <c r="BX385" s="23">
        <f>IF(ISERROR((BW385/BU385-1)*100),"NA",IF(((BW385/BU385-1)*100)&gt;100,"NM",IF(((BW385/BU385-1)*100)&lt;-50,"NM",(BW385/BU385-1)*100)))</f>
        <v>41.463046238707982</v>
      </c>
      <c r="BY385" s="56"/>
      <c r="BZ385" s="23"/>
      <c r="CA385" s="56"/>
      <c r="CB385" s="23"/>
      <c r="CC385" s="56"/>
      <c r="CD385" s="23"/>
      <c r="CE385" s="56"/>
      <c r="CF385" s="23"/>
      <c r="CG385" s="56"/>
      <c r="CH385" s="23"/>
      <c r="CI385" s="56"/>
      <c r="CJ385" s="23"/>
      <c r="CK385" s="78"/>
      <c r="CL385" s="23"/>
      <c r="CM385" s="78"/>
      <c r="CN385" s="23"/>
      <c r="CO385" s="78"/>
      <c r="CP385" s="23"/>
      <c r="CQ385" s="78"/>
      <c r="CR385" s="23"/>
      <c r="CS385" s="23" t="str">
        <f>IF(ISERROR(((CQ385/CG385)^0.2-1)*100),"NA",IF((((CQ385/CG385)^0.2-1)*100)&gt;100,"NM",IF((((CQ385/CG385)^0.2-1)*100)&lt;-50,"NM",((CQ385/CG385)^0.2-1)*100)))</f>
        <v>NA</v>
      </c>
      <c r="CV385"/>
      <c r="CW385"/>
      <c r="CX385"/>
      <c r="CY385"/>
      <c r="CZ385"/>
      <c r="DA385"/>
    </row>
    <row r="386" spans="1:105" s="111" customFormat="1" ht="12.75" hidden="1" customHeight="1" outlineLevel="1" x14ac:dyDescent="0.2">
      <c r="A386" s="30" t="s">
        <v>14</v>
      </c>
      <c r="B386" s="75">
        <v>0.60163107999999965</v>
      </c>
      <c r="C386" s="59"/>
      <c r="D386" s="75">
        <v>-8.2561614400000032</v>
      </c>
      <c r="E386" s="59"/>
      <c r="F386" s="75">
        <v>-1.7951300000004777E-3</v>
      </c>
      <c r="G386" s="59"/>
      <c r="H386" s="75">
        <v>5.6127679099999996</v>
      </c>
      <c r="I386" s="59"/>
      <c r="J386" s="75">
        <v>-0.33699999999999997</v>
      </c>
      <c r="K386" s="23" t="str">
        <f>IF(ISERROR((J386/B386-1)*100),"NA",IF(((J386/B386-1)*100)&gt;100,"NM",IF(((J386/B386-1)*100)&lt;-50,"NM",(J386/B386-1)*100)))</f>
        <v>NM</v>
      </c>
      <c r="L386" s="75">
        <v>-0.60799999999999998</v>
      </c>
      <c r="M386" s="23" t="str">
        <f>IF(ISERROR((L386/D386-1)*100),"NA",IF(((L386/D386-1)*100)&gt;100,"NM",IF(((L386/D386-1)*100)&lt;-50,"NM",(L386/D386-1)*100)))</f>
        <v>NM</v>
      </c>
      <c r="N386" s="75">
        <v>1.7000000000000001E-2</v>
      </c>
      <c r="O386" s="23" t="str">
        <f>IF(ISERROR((N386/F386-1)*100),"NA",IF(((N386/F386-1)*100)&gt;100,"NM",IF(((N386/F386-1)*100)&lt;-50,"NM",(N386/F386-1)*100)))</f>
        <v>NM</v>
      </c>
      <c r="P386" s="75">
        <v>-1.0760000000000001</v>
      </c>
      <c r="Q386" s="23" t="str">
        <f>IF(ISERROR((P386/H386-1)*100),"NA",IF(((P386/H386-1)*100)&gt;100,"NM",IF(((P386/H386-1)*100)&lt;-50,"NM",(P386/H386-1)*100)))</f>
        <v>NM</v>
      </c>
      <c r="R386" s="75"/>
      <c r="S386" s="23"/>
      <c r="T386" s="75"/>
      <c r="U386" s="23"/>
      <c r="V386" s="75"/>
      <c r="W386" s="23"/>
      <c r="X386" s="75"/>
      <c r="Y386" s="23" t="str">
        <f>IF(ISERROR((X386/P386-1)*100),"NA",IF(((X386/P386-1)*100)&gt;100,"NM",IF(((X386/P386-1)*100)&lt;-50,"NM",(X386/P386-1)*100)))</f>
        <v>NM</v>
      </c>
      <c r="Z386" s="75"/>
      <c r="AA386" s="23" t="str">
        <f>IF(ISERROR((Z386/R386-1)*100),"NA",IF(((Z386/R386-1)*100)&gt;100,"NM",IF(((Z386/R386-1)*100)&lt;-50,"NM",(Z386/R386-1)*100)))</f>
        <v>NA</v>
      </c>
      <c r="AB386" s="75"/>
      <c r="AC386" s="23" t="str">
        <f>IF(ISERROR((AB386/T386-1)*100),"NA",IF(((AB386/T386-1)*100)&gt;100,"NM",IF(((AB386/T386-1)*100)&lt;-50,"NM",(AB386/T386-1)*100)))</f>
        <v>NA</v>
      </c>
      <c r="AD386" s="75"/>
      <c r="AE386" s="23" t="str">
        <f>IF(ISERROR((AD386/V386-1)*100),"NA",IF(((AD386/V386-1)*100)&gt;100,"NM",IF(((AD386/V386-1)*100)&lt;-50,"NM",(AD386/V386-1)*100)))</f>
        <v>NA</v>
      </c>
      <c r="AF386" s="75"/>
      <c r="AG386" s="23" t="str">
        <f>IF(ISERROR((AF386/X386-1)*100),"NA",IF(((AF386/X386-1)*100)&gt;100,"NM",IF(((AF386/X386-1)*100)&lt;-50,"NM",(AF386/X386-1)*100)))</f>
        <v>NA</v>
      </c>
      <c r="AH386" s="75"/>
      <c r="AI386" s="23" t="str">
        <f>IF(ISERROR((AH386/Z386-1)*100),"NA",IF(((AH386/Z386-1)*100)&gt;100,"NM",IF(((AH386/Z386-1)*100)&lt;-50,"NM",(AH386/Z386-1)*100)))</f>
        <v>NA</v>
      </c>
      <c r="AJ386" s="75"/>
      <c r="AK386" s="23" t="str">
        <f>IF(ISERROR((AJ386/AB386-1)*100),"NA",IF(((AJ386/AB386-1)*100)&gt;100,"NM",IF(((AJ386/AB386-1)*100)&lt;-50,"NM",(AJ386/AB386-1)*100)))</f>
        <v>NA</v>
      </c>
      <c r="AL386" s="75"/>
      <c r="AM386" s="23" t="str">
        <f>IF(ISERROR((AL386/AD386-1)*100),"NA",IF(((AL386/AD386-1)*100)&gt;100,"NM",IF(((AL386/AD386-1)*100)&lt;-50,"NM",(AL386/AD386-1)*100)))</f>
        <v>NA</v>
      </c>
      <c r="AN386" s="508"/>
      <c r="AO386" s="23" t="str">
        <f>IF(ISERROR((AN386/AF386-1)*100),"NA",IF(((AN386/AF386-1)*100)&gt;100,"NM",IF(((AN386/AF386-1)*100)&lt;-50,"NM",(AN386/AF386-1)*100)))</f>
        <v>NA</v>
      </c>
      <c r="AP386" s="508"/>
      <c r="AQ386" s="23" t="str">
        <f t="shared" si="2407"/>
        <v>NA</v>
      </c>
      <c r="AR386" s="460"/>
      <c r="AS386" s="23" t="str">
        <f t="shared" si="2408"/>
        <v>NA</v>
      </c>
      <c r="AT386" s="460"/>
      <c r="AU386" s="23" t="str">
        <f t="shared" si="2409"/>
        <v>NA</v>
      </c>
      <c r="AV386" s="460"/>
      <c r="AW386" s="23" t="str">
        <f t="shared" si="2410"/>
        <v>NA</v>
      </c>
      <c r="AX386" s="460"/>
      <c r="AY386" s="23" t="str">
        <f t="shared" si="2411"/>
        <v>NA</v>
      </c>
      <c r="AZ386" s="460"/>
      <c r="BA386" s="23" t="str">
        <f t="shared" si="2412"/>
        <v>NA</v>
      </c>
      <c r="BB386" s="460"/>
      <c r="BC386" s="23" t="str">
        <f t="shared" si="2413"/>
        <v>NA</v>
      </c>
      <c r="BD386" s="460"/>
      <c r="BE386" s="23" t="str">
        <f t="shared" si="2414"/>
        <v>NA</v>
      </c>
      <c r="BF386" s="77"/>
      <c r="BG386" s="23" t="str">
        <f t="shared" si="2415"/>
        <v>NA</v>
      </c>
      <c r="BH386" s="77"/>
      <c r="BI386" s="23" t="str">
        <f t="shared" si="2416"/>
        <v>NA</v>
      </c>
      <c r="BJ386" s="77"/>
      <c r="BK386" s="23" t="str">
        <f t="shared" si="2417"/>
        <v>NA</v>
      </c>
      <c r="BL386" s="77"/>
      <c r="BM386" s="23" t="str">
        <f t="shared" si="2418"/>
        <v>NA</v>
      </c>
      <c r="BN386" s="124"/>
      <c r="BO386" s="141"/>
      <c r="BP386" s="124"/>
      <c r="BQ386" s="155"/>
      <c r="BR386" s="155"/>
      <c r="BS386" s="155"/>
      <c r="BT386" s="123"/>
      <c r="BU386" s="56">
        <f>B386+D386+F386+H386</f>
        <v>-2.0435575800000043</v>
      </c>
      <c r="BV386" s="23" t="str">
        <f>IF(ISERROR((BU386/BS386-1)*100),"NA",IF(((BU386/BS386-1)*100)&gt;100,"NM",IF(((BU386/BS386-1)*100)&lt;-50,"NM",(BU386/BS386-1)*100)))</f>
        <v>NA</v>
      </c>
      <c r="BW386" s="56">
        <f>J386+L386+N386+P386</f>
        <v>-2.004</v>
      </c>
      <c r="BX386" s="23">
        <f>IF(ISERROR((BW386/BU386-1)*100),"NA",IF(((BW386/BU386-1)*100)&gt;100,"NM",IF(((BW386/BU386-1)*100)&lt;-50,"NM",(BW386/BU386-1)*100)))</f>
        <v>-1.9357213316203326</v>
      </c>
      <c r="BY386" s="56"/>
      <c r="BZ386" s="23"/>
      <c r="CA386" s="56"/>
      <c r="CB386" s="23"/>
      <c r="CC386" s="56"/>
      <c r="CD386" s="23"/>
      <c r="CE386" s="56"/>
      <c r="CF386" s="23"/>
      <c r="CG386" s="56"/>
      <c r="CH386" s="23"/>
      <c r="CI386" s="56"/>
      <c r="CJ386" s="23"/>
      <c r="CK386" s="77"/>
      <c r="CL386" s="23"/>
      <c r="CM386" s="77"/>
      <c r="CN386" s="23"/>
      <c r="CO386" s="77"/>
      <c r="CP386" s="23"/>
      <c r="CQ386" s="77"/>
      <c r="CR386" s="23"/>
      <c r="CS386" s="23" t="str">
        <f>IF(ISERROR(((CQ386/CG386)^0.2-1)*100),"NA",IF((((CQ386/CG386)^0.2-1)*100)&gt;100,"NM",IF((((CQ386/CG386)^0.2-1)*100)&lt;-50,"NM",((CQ386/CG386)^0.2-1)*100)))</f>
        <v>NA</v>
      </c>
      <c r="CV386"/>
      <c r="CW386"/>
      <c r="CX386"/>
      <c r="CY386"/>
      <c r="CZ386"/>
      <c r="DA386"/>
    </row>
    <row r="387" spans="1:105" s="111" customFormat="1" ht="12.75" customHeight="1" collapsed="1" x14ac:dyDescent="0.2">
      <c r="A387" s="30" t="s">
        <v>9</v>
      </c>
      <c r="B387" s="76">
        <f t="shared" ref="B387:P387" si="2419">B384+B385+B386</f>
        <v>23.767439309999997</v>
      </c>
      <c r="C387" s="59"/>
      <c r="D387" s="76">
        <f t="shared" si="2419"/>
        <v>17.609312609999996</v>
      </c>
      <c r="E387" s="59"/>
      <c r="F387" s="76">
        <f t="shared" si="2419"/>
        <v>19.113563979999995</v>
      </c>
      <c r="G387" s="59"/>
      <c r="H387" s="76">
        <f t="shared" si="2419"/>
        <v>23.288857639999996</v>
      </c>
      <c r="I387" s="59"/>
      <c r="J387" s="76">
        <f t="shared" si="2419"/>
        <v>13.747000000000007</v>
      </c>
      <c r="K387" s="23">
        <f>IF(ISERROR((J387/B387-1)*100),"NA",IF(((J387/B387-1)*100)&gt;100,"NM",IF(((J387/B387-1)*100)&lt;-50,"NM",(J387/B387-1)*100)))</f>
        <v>-42.16036561323606</v>
      </c>
      <c r="L387" s="76">
        <f t="shared" si="2419"/>
        <v>14.692</v>
      </c>
      <c r="M387" s="23">
        <f>IF(ISERROR((L387/D387-1)*100),"NA",IF(((L387/D387-1)*100)&gt;100,"NM",IF(((L387/D387-1)*100)&lt;-50,"NM",(L387/D387-1)*100)))</f>
        <v>-16.566873872994393</v>
      </c>
      <c r="N387" s="76">
        <f t="shared" si="2419"/>
        <v>18.365999999999996</v>
      </c>
      <c r="O387" s="23">
        <f>IF(ISERROR((N387/F387-1)*100),"NA",IF(((N387/F387-1)*100)&gt;100,"NM",IF(((N387/F387-1)*100)&lt;-50,"NM",(N387/F387-1)*100)))</f>
        <v>-3.9111699983437553</v>
      </c>
      <c r="P387" s="76">
        <f t="shared" si="2419"/>
        <v>17.722999999999999</v>
      </c>
      <c r="Q387" s="23">
        <f>IF(ISERROR((P387/H387-1)*100),"NA",IF(((P387/H387-1)*100)&gt;100,"NM",IF(((P387/H387-1)*100)&lt;-50,"NM",(P387/H387-1)*100)))</f>
        <v>-23.899229949520173</v>
      </c>
      <c r="R387" s="75">
        <v>19.399999999999999</v>
      </c>
      <c r="S387" s="23">
        <f>IF(ISERROR((R387/J387-1)*100),"NA",IF(((R387/J387-1)*100)&gt;100,"NM",IF(((R387/J387-1)*100)&lt;-50,"NM",(R387/J387-1)*100)))</f>
        <v>41.121699279842794</v>
      </c>
      <c r="T387" s="75">
        <v>23.1</v>
      </c>
      <c r="U387" s="23">
        <f>IF(ISERROR((T387/L387-1)*100),"NA",IF(((T387/L387-1)*100)&gt;100,"NM",IF(((T387/L387-1)*100)&lt;-50,"NM",(T387/L387-1)*100)))</f>
        <v>57.22842363190852</v>
      </c>
      <c r="V387" s="75">
        <v>20.5</v>
      </c>
      <c r="W387" s="23">
        <f>IF(ISERROR((V387/N387-1)*100),"NA",IF(((V387/N387-1)*100)&gt;100,"NM",IF(((V387/N387-1)*100)&lt;-50,"NM",(V387/N387-1)*100)))</f>
        <v>11.619296526189714</v>
      </c>
      <c r="X387" s="75">
        <v>18.3</v>
      </c>
      <c r="Y387" s="23">
        <f>IF(ISERROR((X387/P387-1)*100),"NA",IF(((X387/P387-1)*100)&gt;100,"NM",IF(((X387/P387-1)*100)&lt;-50,"NM",(X387/P387-1)*100)))</f>
        <v>3.2556564915646513</v>
      </c>
      <c r="Z387" s="75">
        <v>21</v>
      </c>
      <c r="AA387" s="23">
        <f>IF(ISERROR((Z387/R387-1)*100),"NA",IF(((Z387/R387-1)*100)&gt;100,"NM",IF(((Z387/R387-1)*100)&lt;-50,"NM",(Z387/R387-1)*100)))</f>
        <v>8.2474226804123862</v>
      </c>
      <c r="AB387" s="75">
        <v>19.5</v>
      </c>
      <c r="AC387" s="23">
        <f>IF(ISERROR((AB387/T387-1)*100),"NA",IF(((AB387/T387-1)*100)&gt;100,"NM",IF(((AB387/T387-1)*100)&lt;-50,"NM",(AB387/T387-1)*100)))</f>
        <v>-15.58441558441559</v>
      </c>
      <c r="AD387" s="75">
        <v>18.3</v>
      </c>
      <c r="AE387" s="23">
        <f>IF(ISERROR((AD387/V387-1)*100),"NA",IF(((AD387/V387-1)*100)&gt;100,"NM",IF(((AD387/V387-1)*100)&lt;-50,"NM",(AD387/V387-1)*100)))</f>
        <v>-10.73170731707317</v>
      </c>
      <c r="AF387" s="75">
        <v>20</v>
      </c>
      <c r="AG387" s="23">
        <f>IF(ISERROR((AF387/X387-1)*100),"NA",IF(((AF387/X387-1)*100)&gt;100,"NM",IF(((AF387/X387-1)*100)&lt;-50,"NM",(AF387/X387-1)*100)))</f>
        <v>9.2896174863387859</v>
      </c>
      <c r="AH387" s="75">
        <v>20.2</v>
      </c>
      <c r="AI387" s="23">
        <f>IF(ISERROR((AH387/Z387-1)*100),"NA",IF(((AH387/Z387-1)*100)&gt;100,"NM",IF(((AH387/Z387-1)*100)&lt;-50,"NM",(AH387/Z387-1)*100)))</f>
        <v>-3.8095238095238182</v>
      </c>
      <c r="AJ387" s="75">
        <v>21.1</v>
      </c>
      <c r="AK387" s="23">
        <f>IF(ISERROR((AJ387/AB387-1)*100),"NA",IF(((AJ387/AB387-1)*100)&gt;100,"NM",IF(((AJ387/AB387-1)*100)&lt;-50,"NM",(AJ387/AB387-1)*100)))</f>
        <v>8.2051282051282204</v>
      </c>
      <c r="AL387" s="75">
        <v>21.3</v>
      </c>
      <c r="AM387" s="23">
        <f>IF(ISERROR((AL387/AD387-1)*100),"NA",IF(((AL387/AD387-1)*100)&gt;100,"NM",IF(((AL387/AD387-1)*100)&lt;-50,"NM",(AL387/AD387-1)*100)))</f>
        <v>16.393442622950815</v>
      </c>
      <c r="AN387" s="508">
        <v>20.399999999999999</v>
      </c>
      <c r="AO387" s="23">
        <f>IF(ISERROR((AN387/AF387-1)*100),"NA",IF(((AN387/AF387-1)*100)&gt;100,"NM",IF(((AN387/AF387-1)*100)&lt;-50,"NM",(AN387/AF387-1)*100)))</f>
        <v>2.0000000000000018</v>
      </c>
      <c r="AP387" s="508">
        <v>27.7</v>
      </c>
      <c r="AQ387" s="23">
        <f t="shared" si="2407"/>
        <v>37.128712871287142</v>
      </c>
      <c r="AR387" s="508">
        <v>25</v>
      </c>
      <c r="AS387" s="23">
        <f t="shared" si="2408"/>
        <v>18.483412322274884</v>
      </c>
      <c r="AT387" s="508">
        <v>40</v>
      </c>
      <c r="AU387" s="23">
        <f t="shared" si="2409"/>
        <v>87.793427230046944</v>
      </c>
      <c r="AV387" s="508">
        <v>24.6</v>
      </c>
      <c r="AW387" s="23">
        <f t="shared" si="2410"/>
        <v>20.588235294117663</v>
      </c>
      <c r="AX387" s="508">
        <v>29.6</v>
      </c>
      <c r="AY387" s="23">
        <f t="shared" si="2411"/>
        <v>6.8592057761732939</v>
      </c>
      <c r="AZ387" s="508">
        <v>35.5</v>
      </c>
      <c r="BA387" s="23">
        <f t="shared" si="2412"/>
        <v>41.999999999999993</v>
      </c>
      <c r="BB387" s="508">
        <v>53.9</v>
      </c>
      <c r="BC387" s="23">
        <f t="shared" si="2413"/>
        <v>34.749999999999993</v>
      </c>
      <c r="BD387" s="508">
        <v>39</v>
      </c>
      <c r="BE387" s="23">
        <f t="shared" si="2414"/>
        <v>58.536585365853647</v>
      </c>
      <c r="BF387" s="76">
        <f>AX387*1.02</f>
        <v>30.192000000000004</v>
      </c>
      <c r="BG387" s="23">
        <f t="shared" si="2415"/>
        <v>2.0000000000000018</v>
      </c>
      <c r="BH387" s="76">
        <f>AZ387*1.02</f>
        <v>36.21</v>
      </c>
      <c r="BI387" s="23">
        <f t="shared" si="2416"/>
        <v>2.0000000000000018</v>
      </c>
      <c r="BJ387" s="76">
        <f>BB387*0.8</f>
        <v>43.120000000000005</v>
      </c>
      <c r="BK387" s="23">
        <f t="shared" si="2417"/>
        <v>-19.999999999999986</v>
      </c>
      <c r="BL387" s="76">
        <f>BD387*0.8</f>
        <v>31.200000000000003</v>
      </c>
      <c r="BM387" s="23">
        <f t="shared" si="2418"/>
        <v>-19.999999999999996</v>
      </c>
      <c r="BN387" s="124"/>
      <c r="BO387" s="141"/>
      <c r="BP387" s="124"/>
      <c r="BQ387" s="155"/>
      <c r="BR387" s="155"/>
      <c r="BS387" s="155"/>
      <c r="BT387" s="123"/>
      <c r="BU387" s="76">
        <f>BU384+BU385+BU386</f>
        <v>83.779173540000002</v>
      </c>
      <c r="BV387" s="23" t="str">
        <f>IF(ISERROR((BU387/BS387-1)*100),"NA",IF(((BU387/BS387-1)*100)&gt;100,"NM",IF(((BU387/BS387-1)*100)&lt;-50,"NM",(BU387/BS387-1)*100)))</f>
        <v>NA</v>
      </c>
      <c r="BW387" s="76">
        <f>BW384+BW385+BW386</f>
        <v>64.527999999999977</v>
      </c>
      <c r="BX387" s="23">
        <f>IF(ISERROR((BW387/BU387-1)*100),"NA",IF(((BW387/BU387-1)*100)&gt;100,"NM",IF(((BW387/BU387-1)*100)&lt;-50,"NM",(BW387/BU387-1)*100)))</f>
        <v>-22.978471530049926</v>
      </c>
      <c r="BY387" s="56">
        <f>R387+T387+V387+X387</f>
        <v>81.3</v>
      </c>
      <c r="BZ387" s="23">
        <f>IF(ISERROR((BY387/BW387-1)*100),"NA",IF(((BY387/BW387-1)*100)&gt;100,"NM",IF(((BY387/BW387-1)*100)&lt;-50,"NM",(BY387/BW387-1)*100)))</f>
        <v>25.991817505579018</v>
      </c>
      <c r="CA387" s="56">
        <f>Z387+AB387+AD387+AF387</f>
        <v>78.8</v>
      </c>
      <c r="CB387" s="23">
        <f>IF(ISERROR((CA387/BY387-1)*100),"NA",IF(((CA387/BY387-1)*100)&gt;100,"NM",IF(((CA387/BY387-1)*100)&lt;-50,"NM",(CA387/BY387-1)*100)))</f>
        <v>-3.0750307503075058</v>
      </c>
      <c r="CC387" s="56">
        <f>AH387+AJ387+AL387+AN387</f>
        <v>83</v>
      </c>
      <c r="CD387" s="23">
        <f>IF(ISERROR((CC387/CA387-1)*100),"NA",IF(((CC387/CA387-1)*100)&gt;100,"NM",IF(((CC387/CA387-1)*100)&lt;-50,"NM",(CC387/CA387-1)*100)))</f>
        <v>5.3299492385786795</v>
      </c>
      <c r="CE387" s="56">
        <f>AP387+AR387+AT387+AV387</f>
        <v>117.30000000000001</v>
      </c>
      <c r="CF387" s="23">
        <f>IF(ISERROR((CE387/CC387-1)*100),"NA",IF(((CE387/CC387-1)*100)&gt;100,"NM",IF(((CE387/CC387-1)*100)&lt;-50,"NM",(CE387/CC387-1)*100)))</f>
        <v>41.325301204819297</v>
      </c>
      <c r="CG387" s="56">
        <f>AX387+AZ387+BB387+BD387</f>
        <v>158</v>
      </c>
      <c r="CH387" s="23">
        <f>IF(ISERROR((CG387/CE387-1)*100),"NA",IF(((CG387/CE387-1)*100)&gt;100,"NM",IF(((CG387/CE387-1)*100)&lt;-50,"NM",(CG387/CE387-1)*100)))</f>
        <v>34.697357203751046</v>
      </c>
      <c r="CI387" s="56">
        <f>BF387+BH387+BJ387+BL387</f>
        <v>140.72200000000001</v>
      </c>
      <c r="CJ387" s="23">
        <f>IF(ISERROR((CI387/CG387-1)*100),"NA",IF(((CI387/CG387-1)*100)&gt;100,"NM",IF(((CI387/CG387-1)*100)&lt;-50,"NM",(CI387/CG387-1)*100)))</f>
        <v>-10.935443037974679</v>
      </c>
      <c r="CK387" s="76">
        <f>CI387*1.02</f>
        <v>143.53644</v>
      </c>
      <c r="CL387" s="23">
        <f>IF(ISERROR((CK387/CI387-1)*100),"NA",IF(((CK387/CI387-1)*100)&gt;100,"NM",IF(((CK387/CI387-1)*100)&lt;-50,"NM",(CK387/CI387-1)*100)))</f>
        <v>2.0000000000000018</v>
      </c>
      <c r="CM387" s="76">
        <f>CK387*1.02</f>
        <v>146.40716879999999</v>
      </c>
      <c r="CN387" s="23">
        <f>IF(ISERROR((CM387/CK387-1)*100),"NA",IF(((CM387/CK387-1)*100)&gt;100,"NM",IF(((CM387/CK387-1)*100)&lt;-50,"NM",(CM387/CK387-1)*100)))</f>
        <v>2.0000000000000018</v>
      </c>
      <c r="CO387" s="76">
        <f>CM387*1.02</f>
        <v>149.335312176</v>
      </c>
      <c r="CP387" s="23">
        <f>IF(ISERROR((CO387/CM387-1)*100),"NA",IF(((CO387/CM387-1)*100)&gt;100,"NM",IF(((CO387/CM387-1)*100)&lt;-50,"NM",(CO387/CM387-1)*100)))</f>
        <v>2.0000000000000018</v>
      </c>
      <c r="CQ387" s="76">
        <f>CO387*1.02</f>
        <v>152.32201841951999</v>
      </c>
      <c r="CR387" s="23">
        <f>IF(ISERROR((CQ387/CO387-1)*100),"NA",IF(((CQ387/CO387-1)*100)&gt;100,"NM",IF(((CQ387/CO387-1)*100)&lt;-50,"NM",(CQ387/CO387-1)*100)))</f>
        <v>2.0000000000000018</v>
      </c>
      <c r="CS387" s="23">
        <f>IF(ISERROR(((CQ387/CG387)^0.2-1)*100),"NA",IF((((CQ387/CG387)^0.2-1)*100)&gt;100,"NM",IF((((CQ387/CG387)^0.2-1)*100)&lt;-50,"NM",((CQ387/CG387)^0.2-1)*100)))</f>
        <v>-0.72929188393279221</v>
      </c>
      <c r="CT387" s="402"/>
      <c r="CV387"/>
      <c r="CW387"/>
      <c r="CX387"/>
      <c r="CY387"/>
      <c r="CZ387"/>
      <c r="DA387"/>
    </row>
    <row r="388" spans="1:105" s="111" customFormat="1" ht="12.75" customHeight="1" x14ac:dyDescent="0.2">
      <c r="A388" s="30" t="s">
        <v>214</v>
      </c>
      <c r="B388" s="38">
        <f>-B385/B384*100</f>
        <v>40.31079515162245</v>
      </c>
      <c r="C388" s="59"/>
      <c r="D388" s="38">
        <f t="shared" ref="D388:P388" si="2420">-D385/D384*100</f>
        <v>10.557911410113602</v>
      </c>
      <c r="E388" s="59"/>
      <c r="F388" s="38">
        <f t="shared" si="2420"/>
        <v>43.818446021734999</v>
      </c>
      <c r="G388" s="59"/>
      <c r="H388" s="38">
        <f t="shared" si="2420"/>
        <v>47.730233769121028</v>
      </c>
      <c r="I388" s="59"/>
      <c r="J388" s="38">
        <f t="shared" si="2420"/>
        <v>59.264186961300382</v>
      </c>
      <c r="K388" s="23">
        <f>IF(ISERROR((J388/B388-1)*100),"NA",IF(((J388/B388-1)*100)&gt;100,"NM",IF(((J388/B388-1)*100)&lt;-50,"NM",(J388/B388-1)*100)))</f>
        <v>47.018154165373957</v>
      </c>
      <c r="L388" s="38">
        <f t="shared" si="2420"/>
        <v>56.093781387206931</v>
      </c>
      <c r="M388" s="23" t="str">
        <f>IF(ISERROR((L388/D388-1)*100),"NA",IF(((L388/D388-1)*100)&gt;100,"NM",IF(((L388/D388-1)*100)&lt;-50,"NM",(L388/D388-1)*100)))</f>
        <v>NM</v>
      </c>
      <c r="N388" s="38">
        <f t="shared" si="2420"/>
        <v>46.75121158478192</v>
      </c>
      <c r="O388" s="23">
        <f>IF(ISERROR((N388/F388-1)*100),"NA",IF(((N388/F388-1)*100)&gt;100,"NM",IF(((N388/F388-1)*100)&lt;-50,"NM",(N388/F388-1)*100)))</f>
        <v>6.6929930869574772</v>
      </c>
      <c r="P388" s="38">
        <f t="shared" si="2420"/>
        <v>43.0799043207073</v>
      </c>
      <c r="Q388" s="23">
        <f>IF(ISERROR((P388/H388-1)*100),"NA",IF(((P388/H388-1)*100)&gt;100,"NM",IF(((P388/H388-1)*100)&lt;-50,"NM",(P388/H388-1)*100)))</f>
        <v>-9.742942955000256</v>
      </c>
      <c r="R388" s="38"/>
      <c r="S388" s="23"/>
      <c r="T388" s="38"/>
      <c r="U388" s="23"/>
      <c r="V388" s="38"/>
      <c r="W388" s="23"/>
      <c r="X388" s="38"/>
      <c r="Y388" s="23" t="str">
        <f>IF(ISERROR((X388/P388-1)*100),"NA",IF(((X388/P388-1)*100)&gt;100,"NM",IF(((X388/P388-1)*100)&lt;-50,"NM",(X388/P388-1)*100)))</f>
        <v>NM</v>
      </c>
      <c r="Z388" s="38"/>
      <c r="AA388" s="23" t="str">
        <f>IF(ISERROR((Z388/R388-1)*100),"NA",IF(((Z388/R388-1)*100)&gt;100,"NM",IF(((Z388/R388-1)*100)&lt;-50,"NM",(Z388/R388-1)*100)))</f>
        <v>NA</v>
      </c>
      <c r="AB388" s="38"/>
      <c r="AC388" s="23" t="str">
        <f>IF(ISERROR((AB388/T388-1)*100),"NA",IF(((AB388/T388-1)*100)&gt;100,"NM",IF(((AB388/T388-1)*100)&lt;-50,"NM",(AB388/T388-1)*100)))</f>
        <v>NA</v>
      </c>
      <c r="AD388" s="38"/>
      <c r="AE388" s="23" t="str">
        <f>IF(ISERROR((AD388/V388-1)*100),"NA",IF(((AD388/V388-1)*100)&gt;100,"NM",IF(((AD388/V388-1)*100)&lt;-50,"NM",(AD388/V388-1)*100)))</f>
        <v>NA</v>
      </c>
      <c r="AF388" s="38"/>
      <c r="AG388" s="23" t="str">
        <f>IF(ISERROR((AF388/X388-1)*100),"NA",IF(((AF388/X388-1)*100)&gt;100,"NM",IF(((AF388/X388-1)*100)&lt;-50,"NM",(AF388/X388-1)*100)))</f>
        <v>NA</v>
      </c>
      <c r="AH388" s="38"/>
      <c r="AI388" s="23" t="str">
        <f>IF(ISERROR((AH388/Z388-1)*100),"NA",IF(((AH388/Z388-1)*100)&gt;100,"NM",IF(((AH388/Z388-1)*100)&lt;-50,"NM",(AH388/Z388-1)*100)))</f>
        <v>NA</v>
      </c>
      <c r="AJ388" s="38"/>
      <c r="AK388" s="23" t="str">
        <f>IF(ISERROR((AJ388/AB388-1)*100),"NA",IF(((AJ388/AB388-1)*100)&gt;100,"NM",IF(((AJ388/AB388-1)*100)&lt;-50,"NM",(AJ388/AB388-1)*100)))</f>
        <v>NA</v>
      </c>
      <c r="AL388" s="38"/>
      <c r="AM388" s="23" t="str">
        <f>IF(ISERROR((AL388/AD388-1)*100),"NA",IF(((AL388/AD388-1)*100)&gt;100,"NM",IF(((AL388/AD388-1)*100)&lt;-50,"NM",(AL388/AD388-1)*100)))</f>
        <v>NA</v>
      </c>
      <c r="AN388" s="465"/>
      <c r="AO388" s="23" t="str">
        <f>IF(ISERROR((AN388/AF388-1)*100),"NA",IF(((AN388/AF388-1)*100)&gt;100,"NM",IF(((AN388/AF388-1)*100)&lt;-50,"NM",(AN388/AF388-1)*100)))</f>
        <v>NA</v>
      </c>
      <c r="AP388" s="465"/>
      <c r="AQ388" s="23" t="str">
        <f t="shared" si="2407"/>
        <v>NA</v>
      </c>
      <c r="AR388" s="463"/>
      <c r="AS388" s="23" t="str">
        <f t="shared" si="2408"/>
        <v>NA</v>
      </c>
      <c r="AT388" s="463"/>
      <c r="AU388" s="23" t="str">
        <f t="shared" si="2409"/>
        <v>NA</v>
      </c>
      <c r="AV388" s="463"/>
      <c r="AW388" s="23" t="str">
        <f t="shared" si="2410"/>
        <v>NA</v>
      </c>
      <c r="AX388" s="463"/>
      <c r="AY388" s="23" t="str">
        <f t="shared" si="2411"/>
        <v>NA</v>
      </c>
      <c r="AZ388" s="463"/>
      <c r="BA388" s="23" t="str">
        <f t="shared" si="2412"/>
        <v>NA</v>
      </c>
      <c r="BB388" s="463"/>
      <c r="BC388" s="23" t="str">
        <f t="shared" si="2413"/>
        <v>NA</v>
      </c>
      <c r="BD388" s="463"/>
      <c r="BE388" s="23" t="str">
        <f t="shared" si="2414"/>
        <v>NA</v>
      </c>
      <c r="BF388" s="50"/>
      <c r="BG388" s="23" t="str">
        <f t="shared" si="2415"/>
        <v>NA</v>
      </c>
      <c r="BH388" s="50"/>
      <c r="BI388" s="23" t="str">
        <f t="shared" si="2416"/>
        <v>NA</v>
      </c>
      <c r="BJ388" s="50"/>
      <c r="BK388" s="23" t="str">
        <f t="shared" si="2417"/>
        <v>NA</v>
      </c>
      <c r="BL388" s="50"/>
      <c r="BM388" s="23" t="str">
        <f t="shared" si="2418"/>
        <v>NA</v>
      </c>
      <c r="BN388" s="124"/>
      <c r="BO388" s="142"/>
      <c r="BP388" s="124"/>
      <c r="BQ388" s="155"/>
      <c r="BR388" s="155"/>
      <c r="BS388" s="155"/>
      <c r="BT388" s="123"/>
      <c r="BU388" s="38">
        <f>-BU385/BU384*100</f>
        <v>36.695224234855075</v>
      </c>
      <c r="BV388" s="23" t="str">
        <f>IF(ISERROR((BU388/BS388-1)*100),"NA",IF(((BU388/BS388-1)*100)&gt;100,"NM",IF(((BU388/BS388-1)*100)&lt;-50,"NM",(BU388/BS388-1)*100)))</f>
        <v>NA</v>
      </c>
      <c r="BW388" s="38">
        <f>-BW385/BW384*100</f>
        <v>51.403507490486241</v>
      </c>
      <c r="BX388" s="23">
        <f>IF(ISERROR((BW388/BU388-1)*100),"NA",IF(((BW388/BU388-1)*100)&gt;100,"NM",IF(((BW388/BU388-1)*100)&lt;-50,"NM",(BW388/BU388-1)*100)))</f>
        <v>40.082281992599064</v>
      </c>
      <c r="BY388" s="38"/>
      <c r="BZ388" s="23"/>
      <c r="CA388" s="38"/>
      <c r="CB388" s="23"/>
      <c r="CC388" s="38"/>
      <c r="CD388" s="23"/>
      <c r="CE388" s="38"/>
      <c r="CF388" s="23"/>
      <c r="CG388" s="38"/>
      <c r="CH388" s="23"/>
      <c r="CI388" s="38"/>
      <c r="CJ388" s="23"/>
      <c r="CK388" s="154"/>
      <c r="CL388" s="23"/>
      <c r="CM388" s="154"/>
      <c r="CN388" s="23"/>
      <c r="CO388" s="154"/>
      <c r="CP388" s="23"/>
      <c r="CQ388" s="154"/>
      <c r="CR388" s="23"/>
      <c r="CS388" s="23"/>
      <c r="CV388"/>
      <c r="CW388"/>
      <c r="CX388"/>
      <c r="CY388"/>
      <c r="CZ388"/>
      <c r="DA388"/>
    </row>
    <row r="389" spans="1:105" s="111" customFormat="1" ht="12.75" customHeight="1" x14ac:dyDescent="0.2">
      <c r="A389" s="30"/>
      <c r="B389" s="38"/>
      <c r="C389" s="61"/>
      <c r="D389" s="38"/>
      <c r="E389" s="61"/>
      <c r="F389" s="38"/>
      <c r="G389" s="61"/>
      <c r="H389" s="38"/>
      <c r="I389" s="61"/>
      <c r="J389" s="38"/>
      <c r="K389" s="180"/>
      <c r="L389" s="38"/>
      <c r="M389" s="180"/>
      <c r="N389" s="38"/>
      <c r="O389" s="180"/>
      <c r="P389" s="38"/>
      <c r="Q389" s="180"/>
      <c r="R389" s="38"/>
      <c r="S389" s="180"/>
      <c r="T389" s="38"/>
      <c r="U389" s="180"/>
      <c r="V389" s="38"/>
      <c r="W389" s="180"/>
      <c r="X389" s="38"/>
      <c r="Y389" s="180"/>
      <c r="Z389" s="38"/>
      <c r="AA389" s="180"/>
      <c r="AB389" s="38"/>
      <c r="AC389" s="180"/>
      <c r="AD389" s="38"/>
      <c r="AE389" s="180"/>
      <c r="AF389" s="38"/>
      <c r="AG389" s="180"/>
      <c r="AH389" s="38"/>
      <c r="AI389" s="180"/>
      <c r="AJ389" s="38"/>
      <c r="AK389" s="180"/>
      <c r="AL389" s="38"/>
      <c r="AM389" s="180"/>
      <c r="AN389" s="465"/>
      <c r="AO389" s="180"/>
      <c r="AP389" s="465"/>
      <c r="AQ389" s="180"/>
      <c r="AR389" s="465"/>
      <c r="AS389" s="180"/>
      <c r="AT389" s="465"/>
      <c r="AU389" s="180"/>
      <c r="AV389" s="465"/>
      <c r="AW389" s="180"/>
      <c r="AX389" s="465"/>
      <c r="AY389" s="180"/>
      <c r="AZ389" s="465"/>
      <c r="BA389" s="180"/>
      <c r="BB389" s="465"/>
      <c r="BC389" s="180"/>
      <c r="BD389" s="465"/>
      <c r="BE389" s="180"/>
      <c r="BF389" s="38"/>
      <c r="BG389" s="180"/>
      <c r="BH389" s="38"/>
      <c r="BI389" s="180"/>
      <c r="BJ389" s="38"/>
      <c r="BK389" s="180"/>
      <c r="BL389" s="38"/>
      <c r="BM389" s="180"/>
      <c r="BN389" s="124"/>
      <c r="BO389" s="142"/>
      <c r="BP389" s="124"/>
      <c r="BQ389" s="124"/>
      <c r="BR389" s="123"/>
      <c r="BS389" s="123"/>
      <c r="BT389" s="123"/>
      <c r="BU389" s="38"/>
      <c r="BV389" s="180"/>
      <c r="BW389" s="38"/>
      <c r="BX389" s="180"/>
      <c r="BY389" s="38"/>
      <c r="BZ389" s="180"/>
      <c r="CA389" s="38"/>
      <c r="CB389" s="180"/>
      <c r="CC389" s="38"/>
      <c r="CD389" s="180"/>
      <c r="CE389" s="38"/>
      <c r="CF389" s="180"/>
      <c r="CG389" s="38"/>
      <c r="CH389" s="180"/>
      <c r="CI389" s="38"/>
      <c r="CJ389" s="180"/>
      <c r="CK389" s="38"/>
      <c r="CL389" s="180"/>
      <c r="CM389" s="38"/>
      <c r="CN389" s="180"/>
      <c r="CO389" s="38"/>
      <c r="CP389" s="180"/>
      <c r="CQ389" s="38"/>
      <c r="CR389" s="180"/>
      <c r="CS389" s="180"/>
      <c r="CV389"/>
      <c r="CW389"/>
      <c r="CX389"/>
      <c r="CY389"/>
      <c r="CZ389"/>
      <c r="DA389"/>
    </row>
    <row r="390" spans="1:105" ht="12.75" customHeight="1" x14ac:dyDescent="0.2">
      <c r="A390" s="3" t="s">
        <v>100</v>
      </c>
      <c r="B390" s="35"/>
      <c r="C390" s="60"/>
      <c r="D390" s="35"/>
      <c r="E390" s="60"/>
      <c r="F390" s="35"/>
      <c r="G390" s="60"/>
      <c r="H390" s="35"/>
      <c r="I390" s="60"/>
      <c r="J390" s="35"/>
      <c r="K390" s="177"/>
      <c r="L390" s="35"/>
      <c r="M390" s="177"/>
      <c r="N390" s="35"/>
      <c r="O390" s="177"/>
      <c r="P390" s="35"/>
      <c r="Q390" s="177"/>
      <c r="R390" s="37"/>
      <c r="S390" s="177"/>
      <c r="T390" s="37"/>
      <c r="U390" s="177"/>
      <c r="V390" s="37"/>
      <c r="W390" s="177"/>
      <c r="X390" s="37"/>
      <c r="Y390" s="177"/>
      <c r="Z390" s="37"/>
      <c r="AA390" s="177"/>
      <c r="AB390" s="37"/>
      <c r="AC390" s="177"/>
      <c r="AD390" s="37"/>
      <c r="AE390" s="177"/>
      <c r="AF390" s="37"/>
      <c r="AG390" s="177"/>
      <c r="AH390" s="37"/>
      <c r="AI390" s="177"/>
      <c r="AJ390" s="37"/>
      <c r="AK390" s="177"/>
      <c r="AL390" s="37"/>
      <c r="AM390" s="177"/>
      <c r="AN390" s="411"/>
      <c r="AO390" s="177"/>
      <c r="AP390" s="411"/>
      <c r="AQ390" s="177"/>
      <c r="AR390" s="411"/>
      <c r="AS390" s="177"/>
      <c r="AT390" s="411"/>
      <c r="AU390" s="177"/>
      <c r="AV390" s="411"/>
      <c r="AW390" s="177"/>
      <c r="AX390" s="411"/>
      <c r="AY390" s="177"/>
      <c r="AZ390" s="411"/>
      <c r="BA390" s="177"/>
      <c r="BB390" s="411"/>
      <c r="BC390" s="177"/>
      <c r="BD390" s="411"/>
      <c r="BE390" s="177"/>
      <c r="BF390" s="37"/>
      <c r="BG390" s="177"/>
      <c r="BH390" s="37"/>
      <c r="BI390" s="177"/>
      <c r="BJ390" s="37"/>
      <c r="BK390" s="177"/>
      <c r="BL390" s="37"/>
      <c r="BM390" s="177"/>
      <c r="BN390" s="10"/>
      <c r="BO390" s="138"/>
      <c r="BP390" s="10"/>
      <c r="BQ390" s="32"/>
      <c r="BR390" s="32"/>
      <c r="BS390" s="32"/>
      <c r="BT390" s="32"/>
      <c r="BU390" s="37"/>
      <c r="BV390" s="177"/>
      <c r="BW390" s="37"/>
      <c r="BX390" s="177"/>
      <c r="BY390" s="37"/>
      <c r="BZ390" s="177"/>
      <c r="CA390" s="37"/>
      <c r="CB390" s="177"/>
      <c r="CC390" s="37"/>
      <c r="CD390" s="177"/>
      <c r="CE390" s="37"/>
      <c r="CF390" s="177"/>
      <c r="CG390" s="37"/>
      <c r="CH390" s="177"/>
      <c r="CI390" s="37"/>
      <c r="CJ390" s="177"/>
      <c r="CK390" s="37"/>
      <c r="CL390" s="177"/>
      <c r="CM390" s="37"/>
      <c r="CN390" s="177"/>
      <c r="CO390" s="37"/>
      <c r="CP390" s="177"/>
      <c r="CQ390" s="37"/>
      <c r="CR390" s="177"/>
      <c r="CS390" s="177"/>
    </row>
    <row r="391" spans="1:105" ht="12.75" customHeight="1" x14ac:dyDescent="0.2">
      <c r="A391" s="12" t="s">
        <v>327</v>
      </c>
      <c r="B391" s="74"/>
      <c r="C391" s="66"/>
      <c r="D391" s="74"/>
      <c r="E391" s="66"/>
      <c r="F391" s="74"/>
      <c r="G391" s="66"/>
      <c r="H391" s="74"/>
      <c r="I391" s="59"/>
      <c r="J391" s="49">
        <v>26.6</v>
      </c>
      <c r="K391" s="23"/>
      <c r="L391" s="49">
        <v>28</v>
      </c>
      <c r="M391" s="23"/>
      <c r="N391" s="49">
        <v>27.1</v>
      </c>
      <c r="O391" s="23"/>
      <c r="P391" s="49">
        <v>24.8</v>
      </c>
      <c r="Q391" s="23"/>
      <c r="R391" s="49">
        <v>26.7</v>
      </c>
      <c r="S391" s="23"/>
      <c r="T391" s="49">
        <v>26.4</v>
      </c>
      <c r="U391" s="23"/>
      <c r="V391" s="49">
        <v>26.4</v>
      </c>
      <c r="W391" s="23"/>
      <c r="X391" s="49">
        <v>27</v>
      </c>
      <c r="Y391" s="23"/>
      <c r="Z391" s="49">
        <v>25.2</v>
      </c>
      <c r="AA391" s="23"/>
      <c r="AB391" s="49">
        <v>26</v>
      </c>
      <c r="AC391" s="23"/>
      <c r="AD391" s="49">
        <v>26.9</v>
      </c>
      <c r="AE391" s="23"/>
      <c r="AF391" s="49">
        <v>25.9</v>
      </c>
      <c r="AG391" s="23"/>
      <c r="AH391" s="49">
        <v>24.9</v>
      </c>
      <c r="AI391" s="23"/>
      <c r="AJ391" s="49">
        <v>25.9</v>
      </c>
      <c r="AK391" s="23"/>
      <c r="AL391" s="49">
        <v>25.3</v>
      </c>
      <c r="AM391" s="23"/>
      <c r="AN391" s="158">
        <v>25.6</v>
      </c>
      <c r="AO391" s="23"/>
      <c r="AP391" s="158">
        <v>24.6</v>
      </c>
      <c r="AQ391" s="23"/>
      <c r="AR391" s="158">
        <v>25.7</v>
      </c>
      <c r="AS391" s="23"/>
      <c r="AT391" s="158">
        <v>26.4</v>
      </c>
      <c r="AU391" s="23"/>
      <c r="AV391" s="158">
        <v>26.9</v>
      </c>
      <c r="AW391" s="23"/>
      <c r="AX391" s="158">
        <v>23</v>
      </c>
      <c r="AY391" s="23"/>
      <c r="AZ391" s="158">
        <v>24.4</v>
      </c>
      <c r="BA391" s="23"/>
      <c r="BB391" s="158">
        <v>25</v>
      </c>
      <c r="BC391" s="23"/>
      <c r="BD391" s="158">
        <v>24</v>
      </c>
      <c r="BE391" s="23"/>
      <c r="BF391" s="56"/>
      <c r="BG391" s="23"/>
      <c r="BH391" s="56"/>
      <c r="BI391" s="23"/>
      <c r="BJ391" s="56"/>
      <c r="BK391" s="23"/>
      <c r="BL391" s="56"/>
      <c r="BM391" s="23"/>
      <c r="BN391" s="35"/>
      <c r="BO391" s="137"/>
      <c r="BP391" s="35"/>
      <c r="BQ391" s="48"/>
      <c r="BR391" s="35"/>
      <c r="BS391" s="48"/>
      <c r="BT391" s="35"/>
      <c r="BU391" s="56"/>
      <c r="BV391" s="23"/>
      <c r="BW391" s="56">
        <f>J391+L391+N391+P391</f>
        <v>106.5</v>
      </c>
      <c r="BX391" s="23" t="str">
        <f t="shared" ref="BX391:BX398" si="2421">IF(ISERROR((BW391/BU391-1)*100),"NA",IF(((BW391/BU391-1)*100)&gt;100,"NM",IF(((BW391/BU391-1)*100)&lt;-50,"NM",(BW391/BU391-1)*100)))</f>
        <v>NA</v>
      </c>
      <c r="BY391" s="56">
        <f>R391+T391+V391+X391</f>
        <v>106.5</v>
      </c>
      <c r="BZ391" s="23">
        <f t="shared" ref="BZ391:CR398" si="2422">IF(ISERROR((BY391/BW391-1)*100),"NA",IF(((BY391/BW391-1)*100)&gt;100,"NM",IF(((BY391/BW391-1)*100)&lt;-50,"NM",(BY391/BW391-1)*100)))</f>
        <v>0</v>
      </c>
      <c r="CA391" s="56"/>
      <c r="CB391" s="23" t="str">
        <f t="shared" si="2422"/>
        <v>NM</v>
      </c>
      <c r="CC391" s="56"/>
      <c r="CD391" s="23" t="str">
        <f t="shared" si="2422"/>
        <v>NA</v>
      </c>
      <c r="CE391" s="56"/>
      <c r="CF391" s="23" t="str">
        <f t="shared" si="2422"/>
        <v>NA</v>
      </c>
      <c r="CG391" s="56"/>
      <c r="CH391" s="23" t="str">
        <f t="shared" si="2422"/>
        <v>NA</v>
      </c>
      <c r="CI391" s="56"/>
      <c r="CJ391" s="23" t="str">
        <f t="shared" si="2422"/>
        <v>NA</v>
      </c>
      <c r="CK391" s="56"/>
      <c r="CL391" s="23" t="str">
        <f t="shared" si="2422"/>
        <v>NA</v>
      </c>
      <c r="CM391" s="56"/>
      <c r="CN391" s="23" t="str">
        <f t="shared" si="2422"/>
        <v>NA</v>
      </c>
      <c r="CO391" s="56"/>
      <c r="CP391" s="23" t="str">
        <f t="shared" si="2422"/>
        <v>NA</v>
      </c>
      <c r="CQ391" s="56"/>
      <c r="CR391" s="23" t="str">
        <f t="shared" si="2422"/>
        <v>NA</v>
      </c>
      <c r="CS391" s="23"/>
      <c r="CT391" s="402"/>
    </row>
    <row r="392" spans="1:105" ht="12.75" customHeight="1" x14ac:dyDescent="0.2">
      <c r="A392" s="12" t="s">
        <v>328</v>
      </c>
      <c r="B392" s="74"/>
      <c r="C392" s="66"/>
      <c r="D392" s="74"/>
      <c r="E392" s="66"/>
      <c r="F392" s="74"/>
      <c r="G392" s="66"/>
      <c r="H392" s="74"/>
      <c r="I392" s="59"/>
      <c r="J392" s="49">
        <f>1+16.2</f>
        <v>17.2</v>
      </c>
      <c r="K392" s="23"/>
      <c r="L392" s="49">
        <f>1+16.2</f>
        <v>17.2</v>
      </c>
      <c r="M392" s="23"/>
      <c r="N392" s="49">
        <f>0.9+16.1</f>
        <v>17</v>
      </c>
      <c r="O392" s="23"/>
      <c r="P392" s="49">
        <f>0.9+16.6</f>
        <v>17.5</v>
      </c>
      <c r="Q392" s="23"/>
      <c r="R392" s="49">
        <f>0.9+16.3</f>
        <v>17.2</v>
      </c>
      <c r="S392" s="23"/>
      <c r="T392" s="49">
        <f>0.8+16.1</f>
        <v>16.900000000000002</v>
      </c>
      <c r="U392" s="23"/>
      <c r="V392" s="49">
        <f>0.8+15.8</f>
        <v>16.600000000000001</v>
      </c>
      <c r="W392" s="23"/>
      <c r="X392" s="49">
        <f>0.6+15.7</f>
        <v>16.3</v>
      </c>
      <c r="Y392" s="23"/>
      <c r="Z392" s="49">
        <f>0.8+15.8</f>
        <v>16.600000000000001</v>
      </c>
      <c r="AA392" s="23"/>
      <c r="AB392" s="49">
        <f>0.7+16.4</f>
        <v>17.099999999999998</v>
      </c>
      <c r="AC392" s="23"/>
      <c r="AD392" s="49">
        <f>0.7+14.9</f>
        <v>15.6</v>
      </c>
      <c r="AE392" s="23"/>
      <c r="AF392" s="49">
        <f>0.8+15.3</f>
        <v>16.100000000000001</v>
      </c>
      <c r="AG392" s="23"/>
      <c r="AH392" s="49">
        <f>0.8+15.4</f>
        <v>16.2</v>
      </c>
      <c r="AI392" s="23"/>
      <c r="AJ392" s="49">
        <f>0.8+15.2</f>
        <v>16</v>
      </c>
      <c r="AK392" s="23"/>
      <c r="AL392" s="49">
        <f>0.8+15.2</f>
        <v>16</v>
      </c>
      <c r="AM392" s="23"/>
      <c r="AN392" s="158">
        <f>15.1+0.8</f>
        <v>15.9</v>
      </c>
      <c r="AO392" s="23"/>
      <c r="AP392" s="158">
        <f>15.2+0.8</f>
        <v>16</v>
      </c>
      <c r="AQ392" s="23"/>
      <c r="AR392" s="158">
        <f>15+0.8</f>
        <v>15.8</v>
      </c>
      <c r="AS392" s="23"/>
      <c r="AT392" s="158">
        <f>14.7+0.9</f>
        <v>15.6</v>
      </c>
      <c r="AU392" s="23"/>
      <c r="AV392" s="158">
        <f>14.7+1</f>
        <v>15.7</v>
      </c>
      <c r="AW392" s="23"/>
      <c r="AX392" s="158">
        <f>1+14.8</f>
        <v>15.8</v>
      </c>
      <c r="AY392" s="23"/>
      <c r="AZ392" s="158">
        <f>0.8+14.6</f>
        <v>15.4</v>
      </c>
      <c r="BA392" s="23"/>
      <c r="BB392" s="158">
        <f>0.8+14.4</f>
        <v>15.200000000000001</v>
      </c>
      <c r="BC392" s="23"/>
      <c r="BD392" s="158">
        <f>1+14</f>
        <v>15</v>
      </c>
      <c r="BE392" s="23"/>
      <c r="BF392" s="56"/>
      <c r="BG392" s="23"/>
      <c r="BH392" s="56"/>
      <c r="BI392" s="23"/>
      <c r="BJ392" s="56"/>
      <c r="BK392" s="23"/>
      <c r="BL392" s="56"/>
      <c r="BM392" s="23"/>
      <c r="BN392" s="35"/>
      <c r="BO392" s="137"/>
      <c r="BP392" s="35"/>
      <c r="BQ392" s="48"/>
      <c r="BR392" s="35"/>
      <c r="BS392" s="48"/>
      <c r="BT392" s="35"/>
      <c r="BU392" s="56"/>
      <c r="BV392" s="23"/>
      <c r="BW392" s="56">
        <f>J392+L392+N392+P392</f>
        <v>68.900000000000006</v>
      </c>
      <c r="BX392" s="23" t="str">
        <f t="shared" si="2421"/>
        <v>NA</v>
      </c>
      <c r="BY392" s="56">
        <f>R392+T392+V392+X392</f>
        <v>67</v>
      </c>
      <c r="BZ392" s="23">
        <f t="shared" si="2422"/>
        <v>-2.7576197387518264</v>
      </c>
      <c r="CA392" s="56"/>
      <c r="CB392" s="23" t="str">
        <f t="shared" si="2422"/>
        <v>NM</v>
      </c>
      <c r="CC392" s="56"/>
      <c r="CD392" s="23" t="str">
        <f t="shared" si="2422"/>
        <v>NA</v>
      </c>
      <c r="CE392" s="56"/>
      <c r="CF392" s="23" t="str">
        <f t="shared" si="2422"/>
        <v>NA</v>
      </c>
      <c r="CG392" s="56"/>
      <c r="CH392" s="23" t="str">
        <f t="shared" si="2422"/>
        <v>NA</v>
      </c>
      <c r="CI392" s="56"/>
      <c r="CJ392" s="23" t="str">
        <f t="shared" si="2422"/>
        <v>NA</v>
      </c>
      <c r="CK392" s="56"/>
      <c r="CL392" s="23" t="str">
        <f t="shared" si="2422"/>
        <v>NA</v>
      </c>
      <c r="CM392" s="56"/>
      <c r="CN392" s="23" t="str">
        <f t="shared" si="2422"/>
        <v>NA</v>
      </c>
      <c r="CO392" s="56"/>
      <c r="CP392" s="23" t="str">
        <f t="shared" si="2422"/>
        <v>NA</v>
      </c>
      <c r="CQ392" s="56"/>
      <c r="CR392" s="23" t="str">
        <f t="shared" si="2422"/>
        <v>NA</v>
      </c>
      <c r="CS392" s="23"/>
      <c r="CT392" s="402"/>
    </row>
    <row r="393" spans="1:105" ht="12.75" customHeight="1" x14ac:dyDescent="0.2">
      <c r="A393" s="12" t="s">
        <v>329</v>
      </c>
      <c r="B393" s="74"/>
      <c r="C393" s="66"/>
      <c r="D393" s="74"/>
      <c r="E393" s="66"/>
      <c r="F393" s="74"/>
      <c r="G393" s="66"/>
      <c r="H393" s="74"/>
      <c r="I393" s="59"/>
      <c r="J393" s="49">
        <v>5.9</v>
      </c>
      <c r="K393" s="23"/>
      <c r="L393" s="49">
        <v>-1.4</v>
      </c>
      <c r="M393" s="23"/>
      <c r="N393" s="49">
        <v>3.7</v>
      </c>
      <c r="O393" s="23"/>
      <c r="P393" s="49">
        <v>3.1</v>
      </c>
      <c r="Q393" s="23"/>
      <c r="R393" s="49">
        <v>2.5</v>
      </c>
      <c r="S393" s="23"/>
      <c r="T393" s="49">
        <v>2.2000000000000002</v>
      </c>
      <c r="U393" s="23"/>
      <c r="V393" s="49">
        <v>6.5</v>
      </c>
      <c r="W393" s="23"/>
      <c r="X393" s="49">
        <v>2.9</v>
      </c>
      <c r="Y393" s="23"/>
      <c r="Z393" s="49">
        <v>2.2999999999999998</v>
      </c>
      <c r="AA393" s="23"/>
      <c r="AB393" s="49">
        <v>2.5</v>
      </c>
      <c r="AC393" s="23"/>
      <c r="AD393" s="49">
        <v>3</v>
      </c>
      <c r="AE393" s="23"/>
      <c r="AF393" s="49">
        <v>2.7</v>
      </c>
      <c r="AG393" s="23"/>
      <c r="AH393" s="49">
        <v>2.2999999999999998</v>
      </c>
      <c r="AI393" s="23"/>
      <c r="AJ393" s="49">
        <v>2.9</v>
      </c>
      <c r="AK393" s="23"/>
      <c r="AL393" s="49">
        <v>2.2999999999999998</v>
      </c>
      <c r="AM393" s="23"/>
      <c r="AN393" s="158">
        <v>2</v>
      </c>
      <c r="AO393" s="23"/>
      <c r="AP393" s="158">
        <v>1.6</v>
      </c>
      <c r="AQ393" s="23"/>
      <c r="AR393" s="158">
        <v>2.6</v>
      </c>
      <c r="AS393" s="23"/>
      <c r="AT393" s="158">
        <v>2.7</v>
      </c>
      <c r="AU393" s="23"/>
      <c r="AV393" s="158">
        <v>4.2</v>
      </c>
      <c r="AW393" s="23"/>
      <c r="AX393" s="158">
        <v>4.5</v>
      </c>
      <c r="AY393" s="23"/>
      <c r="AZ393" s="158">
        <v>3.5</v>
      </c>
      <c r="BA393" s="23"/>
      <c r="BB393" s="158">
        <v>3.7</v>
      </c>
      <c r="BC393" s="23"/>
      <c r="BD393" s="158">
        <v>4</v>
      </c>
      <c r="BE393" s="23"/>
      <c r="BF393" s="56"/>
      <c r="BG393" s="23"/>
      <c r="BH393" s="56"/>
      <c r="BI393" s="23"/>
      <c r="BJ393" s="56"/>
      <c r="BK393" s="23"/>
      <c r="BL393" s="56"/>
      <c r="BM393" s="23"/>
      <c r="BN393" s="35"/>
      <c r="BO393" s="137"/>
      <c r="BP393" s="35"/>
      <c r="BQ393" s="48"/>
      <c r="BR393" s="35"/>
      <c r="BS393" s="48"/>
      <c r="BT393" s="35"/>
      <c r="BU393" s="56"/>
      <c r="BV393" s="23" t="str">
        <f t="shared" ref="BV393:BV398" si="2423">IF(ISERROR((BU393/BS393-1)*100),"NA",IF(((BU393/BS393-1)*100)&gt;100,"NM",IF(((BU393/BS393-1)*100)&lt;-50,"NM",(BU393/BS393-1)*100)))</f>
        <v>NA</v>
      </c>
      <c r="BW393" s="56">
        <f>J393+L393+N393+P393</f>
        <v>11.299999999999999</v>
      </c>
      <c r="BX393" s="23" t="str">
        <f t="shared" si="2421"/>
        <v>NA</v>
      </c>
      <c r="BY393" s="56">
        <f>R393+T393+V393+X393</f>
        <v>14.1</v>
      </c>
      <c r="BZ393" s="23">
        <f t="shared" si="2422"/>
        <v>24.77876106194692</v>
      </c>
      <c r="CA393" s="56"/>
      <c r="CB393" s="23" t="str">
        <f t="shared" si="2422"/>
        <v>NM</v>
      </c>
      <c r="CC393" s="56"/>
      <c r="CD393" s="23" t="str">
        <f t="shared" si="2422"/>
        <v>NA</v>
      </c>
      <c r="CE393" s="56"/>
      <c r="CF393" s="23" t="str">
        <f t="shared" si="2422"/>
        <v>NA</v>
      </c>
      <c r="CG393" s="56"/>
      <c r="CH393" s="23" t="str">
        <f t="shared" si="2422"/>
        <v>NA</v>
      </c>
      <c r="CI393" s="56"/>
      <c r="CJ393" s="23" t="str">
        <f t="shared" si="2422"/>
        <v>NA</v>
      </c>
      <c r="CK393" s="56"/>
      <c r="CL393" s="23" t="str">
        <f t="shared" si="2422"/>
        <v>NA</v>
      </c>
      <c r="CM393" s="56"/>
      <c r="CN393" s="23" t="str">
        <f t="shared" si="2422"/>
        <v>NA</v>
      </c>
      <c r="CO393" s="56"/>
      <c r="CP393" s="23" t="str">
        <f t="shared" si="2422"/>
        <v>NA</v>
      </c>
      <c r="CQ393" s="56"/>
      <c r="CR393" s="23" t="str">
        <f t="shared" si="2422"/>
        <v>NA</v>
      </c>
      <c r="CS393" s="23"/>
      <c r="CT393" s="402"/>
    </row>
    <row r="394" spans="1:105" ht="12.75" customHeight="1" x14ac:dyDescent="0.2">
      <c r="A394" s="4" t="s">
        <v>18</v>
      </c>
      <c r="B394" s="49">
        <v>14.654999999999999</v>
      </c>
      <c r="C394" s="59"/>
      <c r="D394" s="49">
        <v>18.300999999999998</v>
      </c>
      <c r="E394" s="59"/>
      <c r="F394" s="49">
        <v>17.791</v>
      </c>
      <c r="G394" s="59"/>
      <c r="H394" s="49">
        <v>7.766</v>
      </c>
      <c r="I394" s="59"/>
      <c r="J394" s="56">
        <f>J391-J392+J393</f>
        <v>15.300000000000002</v>
      </c>
      <c r="K394" s="23">
        <f t="shared" ref="K394:Y398" si="2424">IF(ISERROR((J394/B394-1)*100),"NA",IF(((J394/B394-1)*100)&gt;100,"NM",IF(((J394/B394-1)*100)&lt;-50,"NM",(J394/B394-1)*100)))</f>
        <v>4.401228249744138</v>
      </c>
      <c r="L394" s="56">
        <f>L391-L392+L393</f>
        <v>9.4</v>
      </c>
      <c r="M394" s="23">
        <f t="shared" si="2424"/>
        <v>-48.636686519862295</v>
      </c>
      <c r="N394" s="56">
        <f>N391-N392+N393</f>
        <v>13.8</v>
      </c>
      <c r="O394" s="23">
        <f t="shared" si="2424"/>
        <v>-22.43269068630206</v>
      </c>
      <c r="P394" s="56">
        <f>P391-P392+P393</f>
        <v>10.4</v>
      </c>
      <c r="Q394" s="23">
        <f t="shared" si="2424"/>
        <v>33.917074426989437</v>
      </c>
      <c r="R394" s="56">
        <f>R391-R392+R393</f>
        <v>12</v>
      </c>
      <c r="S394" s="23">
        <f t="shared" si="2424"/>
        <v>-21.568627450980404</v>
      </c>
      <c r="T394" s="56">
        <f>T391-T392+T393</f>
        <v>11.699999999999996</v>
      </c>
      <c r="U394" s="23">
        <f t="shared" si="2424"/>
        <v>24.468085106382919</v>
      </c>
      <c r="V394" s="56">
        <f>V391-V392+V393</f>
        <v>16.299999999999997</v>
      </c>
      <c r="W394" s="23">
        <f t="shared" si="2424"/>
        <v>18.115942028985476</v>
      </c>
      <c r="X394" s="56">
        <f>X391-X392+X393</f>
        <v>13.6</v>
      </c>
      <c r="Y394" s="23">
        <f t="shared" si="2424"/>
        <v>30.76923076923077</v>
      </c>
      <c r="Z394" s="56">
        <f>Z391-Z392+Z393</f>
        <v>10.899999999999999</v>
      </c>
      <c r="AA394" s="23">
        <f>IF(ISERROR((Z394/R394-1)*100),"NA",IF(((Z394/R394-1)*100)&gt;100,"NM",IF(((Z394/R394-1)*100)&lt;-50,"NM",(Z394/R394-1)*100)))</f>
        <v>-9.1666666666666785</v>
      </c>
      <c r="AB394" s="56">
        <f>AB391-AB392+AB393</f>
        <v>11.400000000000002</v>
      </c>
      <c r="AC394" s="23">
        <f>IF(ISERROR((AB394/T394-1)*100),"NA",IF(((AB394/T394-1)*100)&gt;100,"NM",IF(((AB394/T394-1)*100)&lt;-50,"NM",(AB394/T394-1)*100)))</f>
        <v>-2.5641025641025106</v>
      </c>
      <c r="AD394" s="56">
        <f>AD391-AD392+AD393</f>
        <v>14.299999999999999</v>
      </c>
      <c r="AE394" s="23">
        <f>IF(ISERROR((AD394/V394-1)*100),"NA",IF(((AD394/V394-1)*100)&gt;100,"NM",IF(((AD394/V394-1)*100)&lt;-50,"NM",(AD394/V394-1)*100)))</f>
        <v>-12.269938650306745</v>
      </c>
      <c r="AF394" s="56">
        <f>AF391-AF392+AF393</f>
        <v>12.499999999999996</v>
      </c>
      <c r="AG394" s="23">
        <f>IF(ISERROR((AF394/X394-1)*100),"NA",IF(((AF394/X394-1)*100)&gt;100,"NM",IF(((AF394/X394-1)*100)&lt;-50,"NM",(AF394/X394-1)*100)))</f>
        <v>-8.0882352941176734</v>
      </c>
      <c r="AH394" s="56">
        <f>AH391-AH392+AH393</f>
        <v>11</v>
      </c>
      <c r="AI394" s="23">
        <f>IF(ISERROR((AH394/Z394-1)*100),"NA",IF(((AH394/Z394-1)*100)&gt;100,"NM",IF(((AH394/Z394-1)*100)&lt;-50,"NM",(AH394/Z394-1)*100)))</f>
        <v>0.91743119266056716</v>
      </c>
      <c r="AJ394" s="56">
        <f>AJ391-AJ392+AJ393</f>
        <v>12.799999999999999</v>
      </c>
      <c r="AK394" s="23">
        <f>IF(ISERROR((AJ394/AB394-1)*100),"NA",IF(((AJ394/AB394-1)*100)&gt;100,"NM",IF(((AJ394/AB394-1)*100)&lt;-50,"NM",(AJ394/AB394-1)*100)))</f>
        <v>12.280701754385937</v>
      </c>
      <c r="AL394" s="56">
        <f>AL391-AL392+AL393</f>
        <v>11.600000000000001</v>
      </c>
      <c r="AM394" s="23">
        <f>IF(ISERROR((AL394/AD394-1)*100),"NA",IF(((AL394/AD394-1)*100)&gt;100,"NM",IF(((AL394/AD394-1)*100)&lt;-50,"NM",(AL394/AD394-1)*100)))</f>
        <v>-18.881118881118862</v>
      </c>
      <c r="AN394" s="413">
        <f t="shared" ref="AN394:AP394" si="2425">AN391-AN392+AN393</f>
        <v>11.700000000000001</v>
      </c>
      <c r="AO394" s="23">
        <f>IF(ISERROR((AN394/AF394-1)*100),"NA",IF(((AN394/AF394-1)*100)&gt;100,"NM",IF(((AN394/AF394-1)*100)&lt;-50,"NM",(AN394/AF394-1)*100)))</f>
        <v>-6.3999999999999613</v>
      </c>
      <c r="AP394" s="413">
        <f t="shared" si="2425"/>
        <v>10.200000000000001</v>
      </c>
      <c r="AQ394" s="23">
        <f t="shared" ref="AQ394:AQ398" si="2426">IF(ISERROR((AP394/AH394-1)*100),"NA",IF(((AP394/AH394-1)*100)&gt;100,"NM",IF(((AP394/AH394-1)*100)&lt;-50,"NM",(AP394/AH394-1)*100)))</f>
        <v>-7.2727272727272645</v>
      </c>
      <c r="AR394" s="413">
        <f t="shared" ref="AR394:AT394" si="2427">AR391-AR392+AR393</f>
        <v>12.499999999999998</v>
      </c>
      <c r="AS394" s="23">
        <f t="shared" ref="AS394:AS398" si="2428">IF(ISERROR((AR394/AJ394-1)*100),"NA",IF(((AR394/AJ394-1)*100)&gt;100,"NM",IF(((AR394/AJ394-1)*100)&lt;-50,"NM",(AR394/AJ394-1)*100)))</f>
        <v>-2.3437500000000111</v>
      </c>
      <c r="AT394" s="413">
        <f t="shared" si="2427"/>
        <v>13.5</v>
      </c>
      <c r="AU394" s="23">
        <f t="shared" ref="AU394:AU398" si="2429">IF(ISERROR((AT394/AL394-1)*100),"NA",IF(((AT394/AL394-1)*100)&gt;100,"NM",IF(((AT394/AL394-1)*100)&lt;-50,"NM",(AT394/AL394-1)*100)))</f>
        <v>16.37931034482758</v>
      </c>
      <c r="AV394" s="413">
        <f t="shared" ref="AV394:AX394" si="2430">AV391-AV392+AV393</f>
        <v>15.399999999999999</v>
      </c>
      <c r="AW394" s="23">
        <f t="shared" ref="AW394:AW398" si="2431">IF(ISERROR((AV394/AN394-1)*100),"NA",IF(((AV394/AN394-1)*100)&gt;100,"NM",IF(((AV394/AN394-1)*100)&lt;-50,"NM",(AV394/AN394-1)*100)))</f>
        <v>31.6239316239316</v>
      </c>
      <c r="AX394" s="413">
        <f t="shared" si="2430"/>
        <v>11.7</v>
      </c>
      <c r="AY394" s="23">
        <f t="shared" ref="AY394:AY398" si="2432">IF(ISERROR((AX394/AP394-1)*100),"NA",IF(((AX394/AP394-1)*100)&gt;100,"NM",IF(((AX394/AP394-1)*100)&lt;-50,"NM",(AX394/AP394-1)*100)))</f>
        <v>14.705882352941146</v>
      </c>
      <c r="AZ394" s="413">
        <f t="shared" ref="AZ394" si="2433">AZ391-AZ392+AZ393</f>
        <v>12.499999999999998</v>
      </c>
      <c r="BA394" s="23">
        <f t="shared" ref="BA394:BA398" si="2434">IF(ISERROR((AZ394/AR394-1)*100),"NA",IF(((AZ394/AR394-1)*100)&gt;100,"NM",IF(((AZ394/AR394-1)*100)&lt;-50,"NM",(AZ394/AR394-1)*100)))</f>
        <v>0</v>
      </c>
      <c r="BB394" s="413">
        <f t="shared" ref="BB394:BD394" si="2435">BB391-BB392+BB393</f>
        <v>13.5</v>
      </c>
      <c r="BC394" s="23">
        <f t="shared" ref="BC394:BC398" si="2436">IF(ISERROR((BB394/AT394-1)*100),"NA",IF(((BB394/AT394-1)*100)&gt;100,"NM",IF(((BB394/AT394-1)*100)&lt;-50,"NM",(BB394/AT394-1)*100)))</f>
        <v>0</v>
      </c>
      <c r="BD394" s="413">
        <f t="shared" si="2435"/>
        <v>13</v>
      </c>
      <c r="BE394" s="23">
        <f t="shared" ref="BE394:BE398" si="2437">IF(ISERROR((BD394/AV394-1)*100),"NA",IF(((BD394/AV394-1)*100)&gt;100,"NM",IF(((BD394/AV394-1)*100)&lt;-50,"NM",(BD394/AV394-1)*100)))</f>
        <v>-15.584415584415579</v>
      </c>
      <c r="BF394" s="56">
        <f t="shared" ref="BF394" si="2438">BF365*BF403/400</f>
        <v>12.545946518863492</v>
      </c>
      <c r="BG394" s="23">
        <f t="shared" ref="BG394:BG398" si="2439">IF(ISERROR((BF394/AX394-1)*100),"NA",IF(((BF394/AX394-1)*100)&gt;100,"NM",IF(((BF394/AX394-1)*100)&lt;-50,"NM",(BF394/AX394-1)*100)))</f>
        <v>7.2303121270383963</v>
      </c>
      <c r="BH394" s="56">
        <f t="shared" ref="BH394" si="2440">BH365*BH403/400</f>
        <v>12.702770850349284</v>
      </c>
      <c r="BI394" s="23">
        <f t="shared" ref="BI394:BI398" si="2441">IF(ISERROR((BH394/AZ394-1)*100),"NA",IF(((BH394/AZ394-1)*100)&gt;100,"NM",IF(((BH394/AZ394-1)*100)&lt;-50,"NM",(BH394/AZ394-1)*100)))</f>
        <v>1.6221668027942782</v>
      </c>
      <c r="BJ394" s="56">
        <f t="shared" ref="BJ394" si="2442">BJ365*BJ403/400</f>
        <v>12.393999340226699</v>
      </c>
      <c r="BK394" s="23">
        <f t="shared" ref="BK394:BK398" si="2443">IF(ISERROR((BJ394/BB394-1)*100),"NA",IF(((BJ394/BB394-1)*100)&gt;100,"NM",IF(((BJ394/BB394-1)*100)&lt;-50,"NM",(BJ394/BB394-1)*100)))</f>
        <v>-8.1925974798022327</v>
      </c>
      <c r="BL394" s="56">
        <f t="shared" ref="BL394" si="2444">BL365*BL403/400</f>
        <v>12.541129969040414</v>
      </c>
      <c r="BM394" s="23">
        <f t="shared" ref="BM394:BM398" si="2445">IF(ISERROR((BL394/BD394-1)*100),"NA",IF(((BL394/BD394-1)*100)&gt;100,"NM",IF(((BL394/BD394-1)*100)&lt;-50,"NM",(BL394/BD394-1)*100)))</f>
        <v>-3.5297694689198966</v>
      </c>
      <c r="BN394" s="10"/>
      <c r="BO394" s="137"/>
      <c r="BP394" s="10"/>
      <c r="BQ394" s="49">
        <v>25.9</v>
      </c>
      <c r="BR394" s="32"/>
      <c r="BS394" s="49">
        <v>60.7</v>
      </c>
      <c r="BT394" s="32"/>
      <c r="BU394" s="56">
        <f>B394+D394+F394+H394</f>
        <v>58.512999999999998</v>
      </c>
      <c r="BV394" s="23">
        <f t="shared" si="2423"/>
        <v>-3.6029654036243919</v>
      </c>
      <c r="BW394" s="56">
        <f>BW391-BW392+BW393</f>
        <v>48.899999999999991</v>
      </c>
      <c r="BX394" s="23">
        <f t="shared" si="2421"/>
        <v>-16.428827781860456</v>
      </c>
      <c r="BY394" s="56">
        <f>BY391-BY392+BY393</f>
        <v>53.6</v>
      </c>
      <c r="BZ394" s="23">
        <f t="shared" si="2422"/>
        <v>9.6114519427403131</v>
      </c>
      <c r="CA394" s="56">
        <f>Z394+AB394+AD394+AF394</f>
        <v>49.099999999999994</v>
      </c>
      <c r="CB394" s="23">
        <f t="shared" si="2422"/>
        <v>-8.3955223880597174</v>
      </c>
      <c r="CC394" s="56">
        <f>AH394+AJ394+AL394+AN394</f>
        <v>47.1</v>
      </c>
      <c r="CD394" s="23">
        <f t="shared" si="2422"/>
        <v>-4.0733197556008012</v>
      </c>
      <c r="CE394" s="56">
        <f>AP394+AR394+AT394+AV394</f>
        <v>51.6</v>
      </c>
      <c r="CF394" s="23">
        <f t="shared" si="2422"/>
        <v>9.554140127388532</v>
      </c>
      <c r="CG394" s="56">
        <f>AX394+AZ394+BB394+BD394</f>
        <v>50.699999999999996</v>
      </c>
      <c r="CH394" s="23">
        <f t="shared" si="2422"/>
        <v>-1.7441860465116421</v>
      </c>
      <c r="CI394" s="56">
        <f>BF394+BH394+BJ394+BL394</f>
        <v>50.183846678479888</v>
      </c>
      <c r="CJ394" s="23">
        <f t="shared" si="2422"/>
        <v>-1.0180538885998125</v>
      </c>
      <c r="CK394" s="56">
        <f>CK365*CK403/100</f>
        <v>49.758537175091263</v>
      </c>
      <c r="CL394" s="23">
        <f t="shared" si="2422"/>
        <v>-0.84750279529889339</v>
      </c>
      <c r="CM394" s="56">
        <f>CM365*CM403/100</f>
        <v>49.174289690620952</v>
      </c>
      <c r="CN394" s="23">
        <f t="shared" si="2422"/>
        <v>-1.1741653144151876</v>
      </c>
      <c r="CO394" s="56">
        <f>CO365*CO403/100</f>
        <v>48.407221114765889</v>
      </c>
      <c r="CP394" s="23">
        <f t="shared" si="2422"/>
        <v>-1.5598976226826267</v>
      </c>
      <c r="CQ394" s="56">
        <f>CQ365*CQ403/100</f>
        <v>47.440509957098747</v>
      </c>
      <c r="CR394" s="23">
        <f t="shared" si="2422"/>
        <v>-1.9970391511944463</v>
      </c>
      <c r="CS394" s="23">
        <f>IF(ISERROR(((CQ394/CG394)^0.2-1)*100),"NA",IF((((CQ394/CG394)^0.2-1)*100)&gt;100,"NM",IF((((CQ394/CG394)^0.2-1)*100)&lt;-50,"NM",((CQ394/CG394)^0.2-1)*100)))</f>
        <v>-1.3201960732845852</v>
      </c>
      <c r="CT394" s="402"/>
    </row>
    <row r="395" spans="1:105" ht="12.75" customHeight="1" x14ac:dyDescent="0.2">
      <c r="A395" s="4" t="s">
        <v>209</v>
      </c>
      <c r="B395" s="56">
        <f t="shared" ref="B395:N395" si="2446">B373+B380+B387</f>
        <v>63.897955239999987</v>
      </c>
      <c r="C395" s="59"/>
      <c r="D395" s="56">
        <f t="shared" si="2446"/>
        <v>70.835866799999991</v>
      </c>
      <c r="E395" s="59"/>
      <c r="F395" s="56">
        <f t="shared" si="2446"/>
        <v>60.323191009999988</v>
      </c>
      <c r="G395" s="59"/>
      <c r="H395" s="56">
        <f t="shared" si="2446"/>
        <v>74.85143746</v>
      </c>
      <c r="I395" s="59"/>
      <c r="J395" s="56">
        <f t="shared" si="2446"/>
        <v>64.183000000000021</v>
      </c>
      <c r="K395" s="23">
        <f t="shared" si="2424"/>
        <v>0.44609371133927933</v>
      </c>
      <c r="L395" s="56">
        <f t="shared" si="2446"/>
        <v>80.927999999999997</v>
      </c>
      <c r="M395" s="23">
        <f t="shared" si="2424"/>
        <v>14.247207884805624</v>
      </c>
      <c r="N395" s="56">
        <f t="shared" si="2446"/>
        <v>82.841999999999999</v>
      </c>
      <c r="O395" s="23">
        <f t="shared" si="2424"/>
        <v>37.330268198621972</v>
      </c>
      <c r="P395" s="56">
        <f>P373+P380+P387</f>
        <v>80.621000000000024</v>
      </c>
      <c r="Q395" s="23">
        <f t="shared" si="2424"/>
        <v>7.7080183571400784</v>
      </c>
      <c r="R395" s="49">
        <v>62.8</v>
      </c>
      <c r="S395" s="23">
        <f t="shared" si="2424"/>
        <v>-2.15477618684079</v>
      </c>
      <c r="T395" s="49">
        <v>86.9</v>
      </c>
      <c r="U395" s="23">
        <f t="shared" si="2424"/>
        <v>7.379398971925677</v>
      </c>
      <c r="V395" s="49">
        <v>76.3</v>
      </c>
      <c r="W395" s="23">
        <f t="shared" si="2424"/>
        <v>-7.8969604789840941</v>
      </c>
      <c r="X395" s="49">
        <v>78.3</v>
      </c>
      <c r="Y395" s="23">
        <f t="shared" si="2424"/>
        <v>-2.8789025191947815</v>
      </c>
      <c r="Z395" s="49">
        <v>83.1</v>
      </c>
      <c r="AA395" s="23">
        <f>IF(ISERROR((Z395/R395-1)*100),"NA",IF(((Z395/R395-1)*100)&gt;100,"NM",IF(((Z395/R395-1)*100)&lt;-50,"NM",(Z395/R395-1)*100)))</f>
        <v>32.324840764331199</v>
      </c>
      <c r="AB395" s="49">
        <v>91.5</v>
      </c>
      <c r="AC395" s="23">
        <f>IF(ISERROR((AB395/T395-1)*100),"NA",IF(((AB395/T395-1)*100)&gt;100,"NM",IF(((AB395/T395-1)*100)&lt;-50,"NM",(AB395/T395-1)*100)))</f>
        <v>5.2934407364787051</v>
      </c>
      <c r="AD395" s="49">
        <v>88.3</v>
      </c>
      <c r="AE395" s="23">
        <f>IF(ISERROR((AD395/V395-1)*100),"NA",IF(((AD395/V395-1)*100)&gt;100,"NM",IF(((AD395/V395-1)*100)&lt;-50,"NM",(AD395/V395-1)*100)))</f>
        <v>15.727391874180864</v>
      </c>
      <c r="AF395" s="49">
        <v>111.7</v>
      </c>
      <c r="AG395" s="23">
        <f>IF(ISERROR((AF395/X395-1)*100),"NA",IF(((AF395/X395-1)*100)&gt;100,"NM",IF(((AF395/X395-1)*100)&lt;-50,"NM",(AF395/X395-1)*100)))</f>
        <v>42.656449553001295</v>
      </c>
      <c r="AH395" s="49">
        <v>102.8</v>
      </c>
      <c r="AI395" s="23">
        <f>IF(ISERROR((AH395/Z395-1)*100),"NA",IF(((AH395/Z395-1)*100)&gt;100,"NM",IF(((AH395/Z395-1)*100)&lt;-50,"NM",(AH395/Z395-1)*100)))</f>
        <v>23.706377858002405</v>
      </c>
      <c r="AJ395" s="49">
        <v>104.2</v>
      </c>
      <c r="AK395" s="23">
        <f>IF(ISERROR((AJ395/AB395-1)*100),"NA",IF(((AJ395/AB395-1)*100)&gt;100,"NM",IF(((AJ395/AB395-1)*100)&lt;-50,"NM",(AJ395/AB395-1)*100)))</f>
        <v>13.879781420765024</v>
      </c>
      <c r="AL395" s="49">
        <v>109.4</v>
      </c>
      <c r="AM395" s="23">
        <f>IF(ISERROR((AL395/AD395-1)*100),"NA",IF(((AL395/AD395-1)*100)&gt;100,"NM",IF(((AL395/AD395-1)*100)&lt;-50,"NM",(AL395/AD395-1)*100)))</f>
        <v>23.895809739524367</v>
      </c>
      <c r="AN395" s="158">
        <v>89.4</v>
      </c>
      <c r="AO395" s="23">
        <f>IF(ISERROR((AN395/AF395-1)*100),"NA",IF(((AN395/AF395-1)*100)&gt;100,"NM",IF(((AN395/AF395-1)*100)&lt;-50,"NM",(AN395/AF395-1)*100)))</f>
        <v>-19.964189794091315</v>
      </c>
      <c r="AP395" s="158">
        <v>95.8</v>
      </c>
      <c r="AQ395" s="23">
        <f t="shared" si="2426"/>
        <v>-6.8093385214007762</v>
      </c>
      <c r="AR395" s="158">
        <v>102.3</v>
      </c>
      <c r="AS395" s="23">
        <f t="shared" si="2428"/>
        <v>-1.8234165067178565</v>
      </c>
      <c r="AT395" s="158">
        <v>105.7</v>
      </c>
      <c r="AU395" s="23">
        <f t="shared" si="2429"/>
        <v>-3.3820840950639863</v>
      </c>
      <c r="AV395" s="158">
        <v>92</v>
      </c>
      <c r="AW395" s="23">
        <f t="shared" si="2431"/>
        <v>2.9082774049216997</v>
      </c>
      <c r="AX395" s="158">
        <v>91.8</v>
      </c>
      <c r="AY395" s="23">
        <f t="shared" si="2432"/>
        <v>-4.1753653444676413</v>
      </c>
      <c r="AZ395" s="158">
        <v>101</v>
      </c>
      <c r="BA395" s="23">
        <f t="shared" si="2434"/>
        <v>-1.2707722385141729</v>
      </c>
      <c r="BB395" s="158">
        <v>127.8</v>
      </c>
      <c r="BC395" s="23">
        <f t="shared" si="2436"/>
        <v>20.908230842005658</v>
      </c>
      <c r="BD395" s="158">
        <v>102</v>
      </c>
      <c r="BE395" s="23">
        <f t="shared" si="2437"/>
        <v>10.869565217391308</v>
      </c>
      <c r="BF395" s="56">
        <f t="shared" ref="BF395" si="2447">BF373+BF380+BF387</f>
        <v>96.586399999999998</v>
      </c>
      <c r="BG395" s="23">
        <f t="shared" si="2439"/>
        <v>5.2139433551198211</v>
      </c>
      <c r="BH395" s="56">
        <f t="shared" ref="BH395" si="2448">BH373+BH380+BH387</f>
        <v>106.42544000000001</v>
      </c>
      <c r="BI395" s="23">
        <f t="shared" si="2441"/>
        <v>5.3717227722772432</v>
      </c>
      <c r="BJ395" s="56">
        <f t="shared" ref="BJ395" si="2449">BJ373+BJ380+BJ387</f>
        <v>114.8888</v>
      </c>
      <c r="BK395" s="23">
        <f t="shared" si="2443"/>
        <v>-10.102660406885756</v>
      </c>
      <c r="BL395" s="56">
        <f t="shared" ref="BL395" si="2450">BL373+BL380+BL387</f>
        <v>102.49629999999999</v>
      </c>
      <c r="BM395" s="23">
        <f t="shared" si="2445"/>
        <v>0.4865686274509784</v>
      </c>
      <c r="BO395" s="137"/>
      <c r="BQ395" s="49">
        <v>258.7</v>
      </c>
      <c r="BR395" s="32"/>
      <c r="BS395" s="49">
        <v>273.89999999999998</v>
      </c>
      <c r="BT395" s="32"/>
      <c r="BU395" s="56">
        <f t="shared" ref="BU395:BW395" si="2451">BU373+BU380+BU387</f>
        <v>269.90845051000002</v>
      </c>
      <c r="BV395" s="23">
        <f t="shared" si="2423"/>
        <v>-1.4573017488134221</v>
      </c>
      <c r="BW395" s="56">
        <f t="shared" si="2451"/>
        <v>308.5739999999999</v>
      </c>
      <c r="BX395" s="23">
        <f t="shared" si="2421"/>
        <v>14.325431240459551</v>
      </c>
      <c r="BY395" s="56">
        <f>R395+T395+V395+X395</f>
        <v>304.3</v>
      </c>
      <c r="BZ395" s="23">
        <f t="shared" si="2422"/>
        <v>-1.3850810502504696</v>
      </c>
      <c r="CA395" s="56">
        <f>Z395+AB395+AD395+AF395</f>
        <v>374.59999999999997</v>
      </c>
      <c r="CB395" s="23">
        <f t="shared" si="2422"/>
        <v>23.10220177456457</v>
      </c>
      <c r="CC395" s="56">
        <f>AH395+AJ395+AL395+AN395</f>
        <v>405.79999999999995</v>
      </c>
      <c r="CD395" s="23">
        <f t="shared" si="2422"/>
        <v>8.328884143085947</v>
      </c>
      <c r="CE395" s="56">
        <f>AP395+AR395+AT395+AV395</f>
        <v>395.8</v>
      </c>
      <c r="CF395" s="23">
        <f t="shared" si="2422"/>
        <v>-2.4642681123706156</v>
      </c>
      <c r="CG395" s="56">
        <f>AX395+AZ395+BB395+BD395</f>
        <v>422.6</v>
      </c>
      <c r="CH395" s="23">
        <f t="shared" si="2422"/>
        <v>6.7710965133906065</v>
      </c>
      <c r="CI395" s="56">
        <f>BF395+BH395+BJ395+BL395</f>
        <v>420.39693999999997</v>
      </c>
      <c r="CJ395" s="23">
        <f t="shared" si="2422"/>
        <v>-0.52131093232372638</v>
      </c>
      <c r="CK395" s="56">
        <f>CK373+CK380+CK387</f>
        <v>433.3689920999999</v>
      </c>
      <c r="CL395" s="23">
        <f t="shared" si="2422"/>
        <v>3.0856675835937208</v>
      </c>
      <c r="CM395" s="56">
        <f>CM373+CM380+CM387</f>
        <v>446.70249098399995</v>
      </c>
      <c r="CN395" s="23">
        <f t="shared" si="2422"/>
        <v>3.076708100270209</v>
      </c>
      <c r="CO395" s="56">
        <f>CO373+CO380+CO387</f>
        <v>460.40442756110997</v>
      </c>
      <c r="CP395" s="23">
        <f t="shared" si="2422"/>
        <v>3.0673517281999629</v>
      </c>
      <c r="CQ395" s="56">
        <f>CQ373+CQ380+CQ387</f>
        <v>474.48166860890933</v>
      </c>
      <c r="CR395" s="23">
        <f t="shared" si="2422"/>
        <v>3.0575815967649245</v>
      </c>
      <c r="CS395" s="23">
        <f>IF(ISERROR(((CQ395/CG395)^0.2-1)*100),"NA",IF((((CQ395/CG395)^0.2-1)*100)&gt;100,"NM",IF((((CQ395/CG395)^0.2-1)*100)&lt;-50,"NM",((CQ395/CG395)^0.2-1)*100)))</f>
        <v>2.342963647793872</v>
      </c>
      <c r="CT395" s="402"/>
    </row>
    <row r="396" spans="1:105" ht="12.75" customHeight="1" x14ac:dyDescent="0.2">
      <c r="A396" s="4" t="s">
        <v>103</v>
      </c>
      <c r="B396" s="56">
        <f t="shared" ref="B396:N396" si="2452">B394+B395</f>
        <v>78.552955239999989</v>
      </c>
      <c r="C396" s="59"/>
      <c r="D396" s="56">
        <f t="shared" si="2452"/>
        <v>89.136866799999993</v>
      </c>
      <c r="E396" s="59"/>
      <c r="F396" s="56">
        <f t="shared" si="2452"/>
        <v>78.114191009999985</v>
      </c>
      <c r="G396" s="59"/>
      <c r="H396" s="56">
        <f t="shared" si="2452"/>
        <v>82.617437460000005</v>
      </c>
      <c r="I396" s="59"/>
      <c r="J396" s="56">
        <f t="shared" si="2452"/>
        <v>79.483000000000018</v>
      </c>
      <c r="K396" s="23">
        <f t="shared" si="2424"/>
        <v>1.1839717005661887</v>
      </c>
      <c r="L396" s="56">
        <f t="shared" si="2452"/>
        <v>90.328000000000003</v>
      </c>
      <c r="M396" s="23">
        <f t="shared" si="2424"/>
        <v>1.3362969136806235</v>
      </c>
      <c r="N396" s="56">
        <f t="shared" si="2452"/>
        <v>96.641999999999996</v>
      </c>
      <c r="O396" s="23">
        <f t="shared" si="2424"/>
        <v>23.718877134153683</v>
      </c>
      <c r="P396" s="56">
        <f>P394+P395</f>
        <v>91.021000000000029</v>
      </c>
      <c r="Q396" s="23">
        <f t="shared" si="2424"/>
        <v>10.171657217120412</v>
      </c>
      <c r="R396" s="56">
        <f>R394+R395</f>
        <v>74.8</v>
      </c>
      <c r="S396" s="23">
        <f t="shared" si="2424"/>
        <v>-5.8918259250405942</v>
      </c>
      <c r="T396" s="56">
        <f>T394+T395</f>
        <v>98.6</v>
      </c>
      <c r="U396" s="23">
        <f t="shared" si="2424"/>
        <v>9.1577362501106929</v>
      </c>
      <c r="V396" s="56">
        <f>V394+V395</f>
        <v>92.6</v>
      </c>
      <c r="W396" s="23">
        <f t="shared" si="2424"/>
        <v>-4.1824465553279122</v>
      </c>
      <c r="X396" s="56">
        <f>X394+X395</f>
        <v>91.899999999999991</v>
      </c>
      <c r="Y396" s="23">
        <f t="shared" si="2424"/>
        <v>0.96571120950106337</v>
      </c>
      <c r="Z396" s="56">
        <f>Z394+Z395</f>
        <v>94</v>
      </c>
      <c r="AA396" s="23">
        <f>IF(ISERROR((Z396/R396-1)*100),"NA",IF(((Z396/R396-1)*100)&gt;100,"NM",IF(((Z396/R396-1)*100)&lt;-50,"NM",(Z396/R396-1)*100)))</f>
        <v>25.668449197860976</v>
      </c>
      <c r="AB396" s="56">
        <f>AB394+AB395</f>
        <v>102.9</v>
      </c>
      <c r="AC396" s="23">
        <f>IF(ISERROR((AB396/T396-1)*100),"NA",IF(((AB396/T396-1)*100)&gt;100,"NM",IF(((AB396/T396-1)*100)&lt;-50,"NM",(AB396/T396-1)*100)))</f>
        <v>4.3610547667342958</v>
      </c>
      <c r="AD396" s="56">
        <f>AD394+AD395</f>
        <v>102.6</v>
      </c>
      <c r="AE396" s="23">
        <f>IF(ISERROR((AD396/V396-1)*100),"NA",IF(((AD396/V396-1)*100)&gt;100,"NM",IF(((AD396/V396-1)*100)&lt;-50,"NM",(AD396/V396-1)*100)))</f>
        <v>10.799136069114468</v>
      </c>
      <c r="AF396" s="56">
        <f>AF394+AF395</f>
        <v>124.2</v>
      </c>
      <c r="AG396" s="23">
        <f>IF(ISERROR((AF396/X396-1)*100),"NA",IF(((AF396/X396-1)*100)&gt;100,"NM",IF(((AF396/X396-1)*100)&lt;-50,"NM",(AF396/X396-1)*100)))</f>
        <v>35.146898803046803</v>
      </c>
      <c r="AH396" s="56">
        <f>AH394+AH395</f>
        <v>113.8</v>
      </c>
      <c r="AI396" s="23">
        <f>IF(ISERROR((AH396/Z396-1)*100),"NA",IF(((AH396/Z396-1)*100)&gt;100,"NM",IF(((AH396/Z396-1)*100)&lt;-50,"NM",(AH396/Z396-1)*100)))</f>
        <v>21.063829787234045</v>
      </c>
      <c r="AJ396" s="56">
        <f>AJ394+AJ395</f>
        <v>117</v>
      </c>
      <c r="AK396" s="23">
        <f>IF(ISERROR((AJ396/AB396-1)*100),"NA",IF(((AJ396/AB396-1)*100)&gt;100,"NM",IF(((AJ396/AB396-1)*100)&lt;-50,"NM",(AJ396/AB396-1)*100)))</f>
        <v>13.702623906705536</v>
      </c>
      <c r="AL396" s="56">
        <f>AL394+AL395</f>
        <v>121</v>
      </c>
      <c r="AM396" s="23">
        <f>IF(ISERROR((AL396/AD396-1)*100),"NA",IF(((AL396/AD396-1)*100)&gt;100,"NM",IF(((AL396/AD396-1)*100)&lt;-50,"NM",(AL396/AD396-1)*100)))</f>
        <v>17.93372319688109</v>
      </c>
      <c r="AN396" s="413">
        <f t="shared" ref="AN396:AP396" si="2453">AN394+AN395</f>
        <v>101.10000000000001</v>
      </c>
      <c r="AO396" s="23">
        <f>IF(ISERROR((AN396/AF396-1)*100),"NA",IF(((AN396/AF396-1)*100)&gt;100,"NM",IF(((AN396/AF396-1)*100)&lt;-50,"NM",(AN396/AF396-1)*100)))</f>
        <v>-18.599033816425113</v>
      </c>
      <c r="AP396" s="413">
        <f t="shared" si="2453"/>
        <v>106</v>
      </c>
      <c r="AQ396" s="23">
        <f t="shared" si="2426"/>
        <v>-6.8541300527240718</v>
      </c>
      <c r="AR396" s="413">
        <f t="shared" ref="AR396:AT396" si="2454">AR394+AR395</f>
        <v>114.8</v>
      </c>
      <c r="AS396" s="23">
        <f t="shared" si="2428"/>
        <v>-1.8803418803418848</v>
      </c>
      <c r="AT396" s="413">
        <f t="shared" si="2454"/>
        <v>119.2</v>
      </c>
      <c r="AU396" s="23">
        <f t="shared" si="2429"/>
        <v>-1.4876033057851235</v>
      </c>
      <c r="AV396" s="413">
        <f t="shared" ref="AV396:AX396" si="2455">AV394+AV395</f>
        <v>107.4</v>
      </c>
      <c r="AW396" s="23">
        <f t="shared" si="2431"/>
        <v>6.2314540059347223</v>
      </c>
      <c r="AX396" s="413">
        <f t="shared" si="2455"/>
        <v>103.5</v>
      </c>
      <c r="AY396" s="23">
        <f t="shared" si="2432"/>
        <v>-2.3584905660377409</v>
      </c>
      <c r="AZ396" s="413">
        <f t="shared" ref="AZ396" si="2456">AZ394+AZ395</f>
        <v>113.5</v>
      </c>
      <c r="BA396" s="23">
        <f t="shared" si="2434"/>
        <v>-1.1324041811846652</v>
      </c>
      <c r="BB396" s="413">
        <f t="shared" ref="BB396:BD396" si="2457">BB394+BB395</f>
        <v>141.30000000000001</v>
      </c>
      <c r="BC396" s="23">
        <f t="shared" si="2436"/>
        <v>18.540268456375841</v>
      </c>
      <c r="BD396" s="413">
        <f t="shared" si="2457"/>
        <v>115</v>
      </c>
      <c r="BE396" s="23">
        <f t="shared" si="2437"/>
        <v>7.0763500931098733</v>
      </c>
      <c r="BF396" s="56">
        <f t="shared" ref="BF396" si="2458">BF394+BF395</f>
        <v>109.13234651886349</v>
      </c>
      <c r="BG396" s="23">
        <f t="shared" si="2439"/>
        <v>5.441880694554091</v>
      </c>
      <c r="BH396" s="56">
        <f t="shared" ref="BH396" si="2459">BH394+BH395</f>
        <v>119.12821085034929</v>
      </c>
      <c r="BI396" s="23">
        <f t="shared" si="2441"/>
        <v>4.958776079602889</v>
      </c>
      <c r="BJ396" s="56">
        <f t="shared" ref="BJ396" si="2460">BJ394+BJ395</f>
        <v>127.2827993402267</v>
      </c>
      <c r="BK396" s="23">
        <f t="shared" si="2443"/>
        <v>-9.9201703183109053</v>
      </c>
      <c r="BL396" s="56">
        <f t="shared" ref="BL396" si="2461">BL394+BL395</f>
        <v>115.0374299690404</v>
      </c>
      <c r="BM396" s="23">
        <f t="shared" si="2445"/>
        <v>3.2547799165572044E-2</v>
      </c>
      <c r="BN396" s="10"/>
      <c r="BO396" s="137"/>
      <c r="BP396" s="10"/>
      <c r="BQ396" s="56">
        <f t="shared" ref="BQ396:CA396" si="2462">BQ394+BQ395</f>
        <v>284.59999999999997</v>
      </c>
      <c r="BR396" s="32"/>
      <c r="BS396" s="56">
        <f t="shared" si="2462"/>
        <v>334.59999999999997</v>
      </c>
      <c r="BT396" s="32"/>
      <c r="BU396" s="56">
        <f t="shared" si="2462"/>
        <v>328.42145051</v>
      </c>
      <c r="BV396" s="23">
        <f t="shared" si="2423"/>
        <v>-1.8465479647340022</v>
      </c>
      <c r="BW396" s="56">
        <f t="shared" si="2462"/>
        <v>357.47399999999988</v>
      </c>
      <c r="BX396" s="23">
        <f t="shared" si="2421"/>
        <v>8.8461181341488846</v>
      </c>
      <c r="BY396" s="56">
        <f t="shared" si="2462"/>
        <v>357.90000000000003</v>
      </c>
      <c r="BZ396" s="23">
        <f t="shared" si="2422"/>
        <v>0.11916950603405585</v>
      </c>
      <c r="CA396" s="56">
        <f t="shared" si="2462"/>
        <v>423.69999999999993</v>
      </c>
      <c r="CB396" s="23">
        <f t="shared" si="2422"/>
        <v>18.385023749650721</v>
      </c>
      <c r="CC396" s="56">
        <f t="shared" ref="CC396" si="2463">CC394+CC395</f>
        <v>452.9</v>
      </c>
      <c r="CD396" s="23">
        <f t="shared" si="2422"/>
        <v>6.8916686334670851</v>
      </c>
      <c r="CE396" s="56">
        <f t="shared" ref="CE396" si="2464">CE394+CE395</f>
        <v>447.40000000000003</v>
      </c>
      <c r="CF396" s="23">
        <f t="shared" si="2422"/>
        <v>-1.2143961139324255</v>
      </c>
      <c r="CG396" s="56">
        <f t="shared" ref="CG396" si="2465">CG394+CG395</f>
        <v>473.3</v>
      </c>
      <c r="CH396" s="23">
        <f t="shared" si="2422"/>
        <v>5.7890031291908839</v>
      </c>
      <c r="CI396" s="56">
        <f t="shared" ref="CI396" si="2466">CI394+CI395</f>
        <v>470.58078667847985</v>
      </c>
      <c r="CJ396" s="23">
        <f t="shared" si="2422"/>
        <v>-0.5745221469512285</v>
      </c>
      <c r="CK396" s="56">
        <f>CK394+CK395</f>
        <v>483.12752927509115</v>
      </c>
      <c r="CL396" s="23">
        <f t="shared" si="2422"/>
        <v>2.6662250036110668</v>
      </c>
      <c r="CM396" s="56">
        <f>CM394+CM395</f>
        <v>495.87678067462093</v>
      </c>
      <c r="CN396" s="23">
        <f t="shared" si="2422"/>
        <v>2.6388997991191765</v>
      </c>
      <c r="CO396" s="56">
        <f>CO394+CO395</f>
        <v>508.81164867587586</v>
      </c>
      <c r="CP396" s="23">
        <f t="shared" si="2422"/>
        <v>2.6084843060523166</v>
      </c>
      <c r="CQ396" s="56">
        <f>CQ394+CQ395</f>
        <v>521.92217856600803</v>
      </c>
      <c r="CR396" s="23">
        <f t="shared" si="2422"/>
        <v>2.5766960965321495</v>
      </c>
      <c r="CS396" s="23">
        <f>IF(ISERROR(((CQ396/CG396)^0.2-1)*100),"NA",IF((((CQ396/CG396)^0.2-1)*100)&gt;100,"NM",IF((((CQ396/CG396)^0.2-1)*100)&lt;-50,"NM",((CQ396/CG396)^0.2-1)*100)))</f>
        <v>1.9750318278687784</v>
      </c>
      <c r="CT396" s="402"/>
    </row>
    <row r="397" spans="1:105" ht="12.75" customHeight="1" x14ac:dyDescent="0.2">
      <c r="A397" s="4" t="s">
        <v>102</v>
      </c>
      <c r="B397" s="49">
        <v>16.646000000000001</v>
      </c>
      <c r="C397" s="59"/>
      <c r="D397" s="49">
        <v>16.558</v>
      </c>
      <c r="E397" s="59"/>
      <c r="F397" s="49">
        <v>16.204999999999998</v>
      </c>
      <c r="G397" s="59"/>
      <c r="H397" s="49">
        <v>16.170000000000002</v>
      </c>
      <c r="I397" s="59"/>
      <c r="J397" s="49">
        <v>16.187000000000001</v>
      </c>
      <c r="K397" s="23">
        <f t="shared" si="2424"/>
        <v>-2.7574191998077646</v>
      </c>
      <c r="L397" s="49">
        <v>16.170000000000002</v>
      </c>
      <c r="M397" s="23">
        <f t="shared" si="2424"/>
        <v>-2.3432781736924646</v>
      </c>
      <c r="N397" s="49">
        <v>16.106000000000002</v>
      </c>
      <c r="O397" s="23">
        <f t="shared" si="2424"/>
        <v>-0.61092255476702384</v>
      </c>
      <c r="P397" s="49">
        <v>16.600000000000001</v>
      </c>
      <c r="Q397" s="23">
        <f t="shared" si="2424"/>
        <v>2.6592455163883644</v>
      </c>
      <c r="R397" s="49">
        <v>16.3</v>
      </c>
      <c r="S397" s="23">
        <f t="shared" si="2424"/>
        <v>0.69809106072773464</v>
      </c>
      <c r="T397" s="49">
        <v>16.100000000000001</v>
      </c>
      <c r="U397" s="23">
        <f t="shared" si="2424"/>
        <v>-0.43290043290042934</v>
      </c>
      <c r="V397" s="49">
        <v>15.8</v>
      </c>
      <c r="W397" s="23">
        <f t="shared" si="2424"/>
        <v>-1.8999130758723504</v>
      </c>
      <c r="X397" s="49">
        <v>15.7</v>
      </c>
      <c r="Y397" s="23">
        <f t="shared" si="2424"/>
        <v>-5.4216867469879642</v>
      </c>
      <c r="Z397" s="49">
        <v>15.8</v>
      </c>
      <c r="AA397" s="23">
        <f>IF(ISERROR((Z397/R397-1)*100),"NA",IF(((Z397/R397-1)*100)&gt;100,"NM",IF(((Z397/R397-1)*100)&lt;-50,"NM",(Z397/R397-1)*100)))</f>
        <v>-3.0674846625766916</v>
      </c>
      <c r="AB397" s="49">
        <v>16.399999999999999</v>
      </c>
      <c r="AC397" s="23">
        <f>IF(ISERROR((AB397/T397-1)*100),"NA",IF(((AB397/T397-1)*100)&gt;100,"NM",IF(((AB397/T397-1)*100)&lt;-50,"NM",(AB397/T397-1)*100)))</f>
        <v>1.8633540372670732</v>
      </c>
      <c r="AD397" s="49">
        <v>14.9</v>
      </c>
      <c r="AE397" s="23">
        <f>IF(ISERROR((AD397/V397-1)*100),"NA",IF(((AD397/V397-1)*100)&gt;100,"NM",IF(((AD397/V397-1)*100)&lt;-50,"NM",(AD397/V397-1)*100)))</f>
        <v>-5.6962025316455662</v>
      </c>
      <c r="AF397" s="49">
        <v>15.3</v>
      </c>
      <c r="AG397" s="23">
        <f>IF(ISERROR((AF397/X397-1)*100),"NA",IF(((AF397/X397-1)*100)&gt;100,"NM",IF(((AF397/X397-1)*100)&lt;-50,"NM",(AF397/X397-1)*100)))</f>
        <v>-2.547770700636931</v>
      </c>
      <c r="AH397" s="49">
        <v>15.4</v>
      </c>
      <c r="AI397" s="23">
        <f>IF(ISERROR((AH397/Z397-1)*100),"NA",IF(((AH397/Z397-1)*100)&gt;100,"NM",IF(((AH397/Z397-1)*100)&lt;-50,"NM",(AH397/Z397-1)*100)))</f>
        <v>-2.5316455696202556</v>
      </c>
      <c r="AJ397" s="49">
        <v>15.2</v>
      </c>
      <c r="AK397" s="23">
        <f>IF(ISERROR((AJ397/AB397-1)*100),"NA",IF(((AJ397/AB397-1)*100)&gt;100,"NM",IF(((AJ397/AB397-1)*100)&lt;-50,"NM",(AJ397/AB397-1)*100)))</f>
        <v>-7.3170731707317032</v>
      </c>
      <c r="AL397" s="49">
        <v>15.2</v>
      </c>
      <c r="AM397" s="23">
        <f>IF(ISERROR((AL397/AD397-1)*100),"NA",IF(((AL397/AD397-1)*100)&gt;100,"NM",IF(((AL397/AD397-1)*100)&lt;-50,"NM",(AL397/AD397-1)*100)))</f>
        <v>2.0134228187919323</v>
      </c>
      <c r="AN397" s="158">
        <v>15.1</v>
      </c>
      <c r="AO397" s="23">
        <f>IF(ISERROR((AN397/AF397-1)*100),"NA",IF(((AN397/AF397-1)*100)&gt;100,"NM",IF(((AN397/AF397-1)*100)&lt;-50,"NM",(AN397/AF397-1)*100)))</f>
        <v>-1.3071895424836666</v>
      </c>
      <c r="AP397" s="158">
        <v>15.2</v>
      </c>
      <c r="AQ397" s="23">
        <f t="shared" si="2426"/>
        <v>-1.2987012987013102</v>
      </c>
      <c r="AR397" s="158">
        <v>15</v>
      </c>
      <c r="AS397" s="23">
        <f t="shared" si="2428"/>
        <v>-1.3157894736842035</v>
      </c>
      <c r="AT397" s="158">
        <v>14.7</v>
      </c>
      <c r="AU397" s="23">
        <f t="shared" si="2429"/>
        <v>-3.289473684210531</v>
      </c>
      <c r="AV397" s="158">
        <v>14.7</v>
      </c>
      <c r="AW397" s="23">
        <f t="shared" si="2431"/>
        <v>-2.6490066225165587</v>
      </c>
      <c r="AX397" s="158">
        <v>14.8</v>
      </c>
      <c r="AY397" s="23">
        <f t="shared" si="2432"/>
        <v>-2.631578947368407</v>
      </c>
      <c r="AZ397" s="158">
        <v>14.6</v>
      </c>
      <c r="BA397" s="23">
        <f t="shared" si="2434"/>
        <v>-2.6666666666666727</v>
      </c>
      <c r="BB397" s="158">
        <v>14.4</v>
      </c>
      <c r="BC397" s="23">
        <f t="shared" si="2436"/>
        <v>-2.0408163265306034</v>
      </c>
      <c r="BD397" s="158">
        <v>14</v>
      </c>
      <c r="BE397" s="23">
        <f t="shared" si="2437"/>
        <v>-4.7619047619047556</v>
      </c>
      <c r="BF397" s="36">
        <f t="shared" ref="BF397" si="2467">BF365*BF402/400</f>
        <v>13.906856606136508</v>
      </c>
      <c r="BG397" s="23">
        <f t="shared" si="2439"/>
        <v>-6.0347526612398177</v>
      </c>
      <c r="BH397" s="36">
        <f t="shared" ref="BH397" si="2468">BH365*BH402/400</f>
        <v>14.080692313713211</v>
      </c>
      <c r="BI397" s="23">
        <f t="shared" si="2441"/>
        <v>-3.5569019608684194</v>
      </c>
      <c r="BJ397" s="36">
        <f t="shared" ref="BJ397" si="2469">BJ365*BJ402/400</f>
        <v>14.256700967634627</v>
      </c>
      <c r="BK397" s="23">
        <f t="shared" si="2443"/>
        <v>-0.99513216920398273</v>
      </c>
      <c r="BL397" s="36">
        <f t="shared" ref="BL397" si="2470">BL365*BL402/400</f>
        <v>14.425943947289234</v>
      </c>
      <c r="BM397" s="23">
        <f t="shared" si="2445"/>
        <v>3.0424567663516644</v>
      </c>
      <c r="BN397" s="10"/>
      <c r="BO397" s="137"/>
      <c r="BP397" s="10"/>
      <c r="BQ397" s="153"/>
      <c r="BR397" s="153"/>
      <c r="BS397" s="153"/>
      <c r="BT397" s="32"/>
      <c r="BU397" s="56">
        <f>B397+D397+F397+H397</f>
        <v>65.579000000000008</v>
      </c>
      <c r="BV397" s="23" t="str">
        <f t="shared" si="2423"/>
        <v>NA</v>
      </c>
      <c r="BW397" s="56">
        <f>J397+L397+N397+P397</f>
        <v>65.063000000000002</v>
      </c>
      <c r="BX397" s="23">
        <f t="shared" si="2421"/>
        <v>-0.7868372497293441</v>
      </c>
      <c r="BY397" s="56">
        <f>R397+T397+V397+X397</f>
        <v>63.900000000000006</v>
      </c>
      <c r="BZ397" s="23">
        <f t="shared" si="2422"/>
        <v>-1.7874982709066511</v>
      </c>
      <c r="CA397" s="56">
        <f>Z397+AB397+AD397+AF397</f>
        <v>62.400000000000006</v>
      </c>
      <c r="CB397" s="23">
        <f t="shared" si="2422"/>
        <v>-2.3474178403755874</v>
      </c>
      <c r="CC397" s="56">
        <f>AH397+AJ397+AL397+AN397</f>
        <v>60.9</v>
      </c>
      <c r="CD397" s="23">
        <f t="shared" si="2422"/>
        <v>-2.4038461538461675</v>
      </c>
      <c r="CE397" s="56">
        <f>AP397+AR397+AT397+AV397</f>
        <v>59.599999999999994</v>
      </c>
      <c r="CF397" s="23">
        <f t="shared" si="2422"/>
        <v>-2.1346469622331776</v>
      </c>
      <c r="CG397" s="56">
        <f>AX397+AZ397+BB397+BD397</f>
        <v>57.8</v>
      </c>
      <c r="CH397" s="23">
        <f t="shared" si="2422"/>
        <v>-3.0201342281879096</v>
      </c>
      <c r="CI397" s="56">
        <f>BF397+BH397+BJ397+BL397</f>
        <v>56.670193834773578</v>
      </c>
      <c r="CJ397" s="23">
        <f t="shared" si="2422"/>
        <v>-1.9546819467585075</v>
      </c>
      <c r="CK397" s="56">
        <f>CK365*CK402/100</f>
        <v>59.493967671258915</v>
      </c>
      <c r="CL397" s="23">
        <f t="shared" si="2422"/>
        <v>4.9828201483098411</v>
      </c>
      <c r="CM397" s="56">
        <f>CM365*CM402/100</f>
        <v>62.46866605482186</v>
      </c>
      <c r="CN397" s="23">
        <f t="shared" si="2422"/>
        <v>5.0000000000000044</v>
      </c>
      <c r="CO397" s="56">
        <f>CO365*CO402/100</f>
        <v>65.592099357562972</v>
      </c>
      <c r="CP397" s="23">
        <f t="shared" si="2422"/>
        <v>5.0000000000000266</v>
      </c>
      <c r="CQ397" s="56">
        <f>CQ365*CQ402/100</f>
        <v>68.871704325441101</v>
      </c>
      <c r="CR397" s="23">
        <f t="shared" si="2422"/>
        <v>4.99999999999996</v>
      </c>
      <c r="CS397" s="23">
        <f>IF(ISERROR(((CQ397/CG397)^0.2-1)*100),"NA",IF((((CQ397/CG397)^0.2-1)*100)&gt;100,"NM",IF((((CQ397/CG397)^0.2-1)*100)&lt;-50,"NM",((CQ397/CG397)^0.2-1)*100)))</f>
        <v>3.5672866569408823</v>
      </c>
      <c r="CT397" s="402"/>
    </row>
    <row r="398" spans="1:105" ht="12.75" customHeight="1" x14ac:dyDescent="0.2">
      <c r="A398" s="4" t="s">
        <v>15</v>
      </c>
      <c r="B398" s="36">
        <f t="shared" ref="B398:Z398" si="2471">B396+B397</f>
        <v>95.198955239999989</v>
      </c>
      <c r="C398" s="59"/>
      <c r="D398" s="36">
        <f t="shared" si="2471"/>
        <v>105.6948668</v>
      </c>
      <c r="E398" s="59"/>
      <c r="F398" s="36">
        <f t="shared" si="2471"/>
        <v>94.319191009999983</v>
      </c>
      <c r="G398" s="59"/>
      <c r="H398" s="36">
        <f t="shared" si="2471"/>
        <v>98.787437460000007</v>
      </c>
      <c r="I398" s="59"/>
      <c r="J398" s="36">
        <f t="shared" si="2471"/>
        <v>95.670000000000016</v>
      </c>
      <c r="K398" s="23">
        <f t="shared" si="2424"/>
        <v>0.49480034608835322</v>
      </c>
      <c r="L398" s="36">
        <f t="shared" si="2471"/>
        <v>106.498</v>
      </c>
      <c r="M398" s="23">
        <f t="shared" si="2424"/>
        <v>0.7598601751584777</v>
      </c>
      <c r="N398" s="36">
        <f t="shared" si="2471"/>
        <v>112.74799999999999</v>
      </c>
      <c r="O398" s="23">
        <f t="shared" si="2424"/>
        <v>19.538769144071779</v>
      </c>
      <c r="P398" s="56">
        <f t="shared" si="2471"/>
        <v>107.62100000000004</v>
      </c>
      <c r="Q398" s="23">
        <f t="shared" si="2424"/>
        <v>8.9419897581378471</v>
      </c>
      <c r="R398" s="56">
        <f t="shared" si="2471"/>
        <v>91.1</v>
      </c>
      <c r="S398" s="23">
        <f t="shared" si="2424"/>
        <v>-4.7768370440054557</v>
      </c>
      <c r="T398" s="56">
        <f t="shared" si="2471"/>
        <v>114.69999999999999</v>
      </c>
      <c r="U398" s="23">
        <f t="shared" si="2424"/>
        <v>7.7015530808090205</v>
      </c>
      <c r="V398" s="56">
        <f t="shared" si="2471"/>
        <v>108.39999999999999</v>
      </c>
      <c r="W398" s="23">
        <f t="shared" si="2424"/>
        <v>-3.8563876964558097</v>
      </c>
      <c r="X398" s="56">
        <f t="shared" si="2471"/>
        <v>107.6</v>
      </c>
      <c r="Y398" s="23">
        <f t="shared" si="2424"/>
        <v>-1.9512920340869488E-2</v>
      </c>
      <c r="Z398" s="56">
        <f t="shared" si="2471"/>
        <v>109.8</v>
      </c>
      <c r="AA398" s="23">
        <f>IF(ISERROR((Z398/R398-1)*100),"NA",IF(((Z398/R398-1)*100)&gt;100,"NM",IF(((Z398/R398-1)*100)&lt;-50,"NM",(Z398/R398-1)*100)))</f>
        <v>20.526893523600442</v>
      </c>
      <c r="AB398" s="56">
        <f t="shared" ref="AB398:AD398" si="2472">AB396+AB397</f>
        <v>119.30000000000001</v>
      </c>
      <c r="AC398" s="23">
        <f>IF(ISERROR((AB398/T398-1)*100),"NA",IF(((AB398/T398-1)*100)&gt;100,"NM",IF(((AB398/T398-1)*100)&lt;-50,"NM",(AB398/T398-1)*100)))</f>
        <v>4.0104620749782161</v>
      </c>
      <c r="AD398" s="56">
        <f t="shared" si="2472"/>
        <v>117.5</v>
      </c>
      <c r="AE398" s="23">
        <f>IF(ISERROR((AD398/V398-1)*100),"NA",IF(((AD398/V398-1)*100)&gt;100,"NM",IF(((AD398/V398-1)*100)&lt;-50,"NM",(AD398/V398-1)*100)))</f>
        <v>8.3948339483394854</v>
      </c>
      <c r="AF398" s="56">
        <f t="shared" ref="AF398:AH398" si="2473">AF396+AF397</f>
        <v>139.5</v>
      </c>
      <c r="AG398" s="23">
        <f>IF(ISERROR((AF398/X398-1)*100),"NA",IF(((AF398/X398-1)*100)&gt;100,"NM",IF(((AF398/X398-1)*100)&lt;-50,"NM",(AF398/X398-1)*100)))</f>
        <v>29.646840148698892</v>
      </c>
      <c r="AH398" s="56">
        <f t="shared" si="2473"/>
        <v>129.19999999999999</v>
      </c>
      <c r="AI398" s="23">
        <f>IF(ISERROR((AH398/Z398-1)*100),"NA",IF(((AH398/Z398-1)*100)&gt;100,"NM",IF(((AH398/Z398-1)*100)&lt;-50,"NM",(AH398/Z398-1)*100)))</f>
        <v>17.668488160291428</v>
      </c>
      <c r="AJ398" s="56">
        <f t="shared" ref="AJ398:AL398" si="2474">AJ396+AJ397</f>
        <v>132.19999999999999</v>
      </c>
      <c r="AK398" s="23">
        <f>IF(ISERROR((AJ398/AB398-1)*100),"NA",IF(((AJ398/AB398-1)*100)&gt;100,"NM",IF(((AJ398/AB398-1)*100)&lt;-50,"NM",(AJ398/AB398-1)*100)))</f>
        <v>10.813076278290001</v>
      </c>
      <c r="AL398" s="56">
        <f t="shared" si="2474"/>
        <v>136.19999999999999</v>
      </c>
      <c r="AM398" s="23">
        <f>IF(ISERROR((AL398/AD398-1)*100),"NA",IF(((AL398/AD398-1)*100)&gt;100,"NM",IF(((AL398/AD398-1)*100)&lt;-50,"NM",(AL398/AD398-1)*100)))</f>
        <v>15.914893617021274</v>
      </c>
      <c r="AN398" s="413">
        <f t="shared" ref="AN398:AP398" si="2475">AN396+AN397</f>
        <v>116.2</v>
      </c>
      <c r="AO398" s="23">
        <f>IF(ISERROR((AN398/AF398-1)*100),"NA",IF(((AN398/AF398-1)*100)&gt;100,"NM",IF(((AN398/AF398-1)*100)&lt;-50,"NM",(AN398/AF398-1)*100)))</f>
        <v>-16.702508960573471</v>
      </c>
      <c r="AP398" s="413">
        <f t="shared" si="2475"/>
        <v>121.2</v>
      </c>
      <c r="AQ398" s="23">
        <f t="shared" si="2426"/>
        <v>-6.1919504643962782</v>
      </c>
      <c r="AR398" s="413">
        <f t="shared" ref="AR398:AT398" si="2476">AR396+AR397</f>
        <v>129.80000000000001</v>
      </c>
      <c r="AS398" s="23">
        <f t="shared" si="2428"/>
        <v>-1.8154311649016486</v>
      </c>
      <c r="AT398" s="413">
        <f t="shared" si="2476"/>
        <v>133.9</v>
      </c>
      <c r="AU398" s="23">
        <f t="shared" si="2429"/>
        <v>-1.6886930983847193</v>
      </c>
      <c r="AV398" s="413">
        <f t="shared" ref="AV398:AX398" si="2477">AV396+AV397</f>
        <v>122.10000000000001</v>
      </c>
      <c r="AW398" s="23">
        <f t="shared" si="2431"/>
        <v>5.0774526678141196</v>
      </c>
      <c r="AX398" s="413">
        <f t="shared" si="2477"/>
        <v>118.3</v>
      </c>
      <c r="AY398" s="23">
        <f t="shared" si="2432"/>
        <v>-2.3927392739274023</v>
      </c>
      <c r="AZ398" s="413">
        <f t="shared" ref="AZ398" si="2478">AZ396+AZ397</f>
        <v>128.1</v>
      </c>
      <c r="BA398" s="23">
        <f t="shared" si="2434"/>
        <v>-1.3097072419106404</v>
      </c>
      <c r="BB398" s="413">
        <f t="shared" ref="BB398:BD398" si="2479">BB396+BB397</f>
        <v>155.70000000000002</v>
      </c>
      <c r="BC398" s="23">
        <f t="shared" si="2436"/>
        <v>16.28080657206872</v>
      </c>
      <c r="BD398" s="413">
        <f t="shared" si="2479"/>
        <v>129</v>
      </c>
      <c r="BE398" s="23">
        <f t="shared" si="2437"/>
        <v>5.6511056511056479</v>
      </c>
      <c r="BF398" s="36">
        <f t="shared" ref="BF398" si="2480">BF396+BF397</f>
        <v>123.039203125</v>
      </c>
      <c r="BG398" s="23">
        <f t="shared" si="2439"/>
        <v>4.00608886306002</v>
      </c>
      <c r="BH398" s="36">
        <f t="shared" ref="BH398" si="2481">BH396+BH397</f>
        <v>133.20890316406249</v>
      </c>
      <c r="BI398" s="23">
        <f t="shared" si="2441"/>
        <v>3.9882148041081145</v>
      </c>
      <c r="BJ398" s="36">
        <f t="shared" ref="BJ398" si="2482">BJ396+BJ397</f>
        <v>141.53950030786132</v>
      </c>
      <c r="BK398" s="23">
        <f t="shared" si="2443"/>
        <v>-9.0947332640582523</v>
      </c>
      <c r="BL398" s="36">
        <f t="shared" ref="BL398" si="2483">BL396+BL397</f>
        <v>129.46337391632963</v>
      </c>
      <c r="BM398" s="23">
        <f t="shared" si="2445"/>
        <v>0.359204586302031</v>
      </c>
      <c r="BN398" s="10"/>
      <c r="BO398" s="137"/>
      <c r="BP398" s="10"/>
      <c r="BQ398" s="153"/>
      <c r="BR398" s="153"/>
      <c r="BS398" s="153"/>
      <c r="BT398" s="32"/>
      <c r="BU398" s="56">
        <f t="shared" ref="BU398:CA398" si="2484">BU396+BU397</f>
        <v>394.00045051000001</v>
      </c>
      <c r="BV398" s="23" t="str">
        <f t="shared" si="2423"/>
        <v>NA</v>
      </c>
      <c r="BW398" s="56">
        <f t="shared" si="2484"/>
        <v>422.53699999999986</v>
      </c>
      <c r="BX398" s="23">
        <f t="shared" si="2421"/>
        <v>7.2427707768003113</v>
      </c>
      <c r="BY398" s="56">
        <f t="shared" si="2484"/>
        <v>421.80000000000007</v>
      </c>
      <c r="BZ398" s="23">
        <f t="shared" si="2422"/>
        <v>-0.17442259494430123</v>
      </c>
      <c r="CA398" s="56">
        <f t="shared" si="2484"/>
        <v>486.09999999999991</v>
      </c>
      <c r="CB398" s="23">
        <f t="shared" si="2422"/>
        <v>15.244191559981001</v>
      </c>
      <c r="CC398" s="56">
        <f t="shared" ref="CC398" si="2485">CC396+CC397</f>
        <v>513.79999999999995</v>
      </c>
      <c r="CD398" s="23">
        <f t="shared" si="2422"/>
        <v>5.6984159637934795</v>
      </c>
      <c r="CE398" s="56">
        <f t="shared" ref="CE398" si="2486">CE396+CE397</f>
        <v>507</v>
      </c>
      <c r="CF398" s="23">
        <f t="shared" si="2422"/>
        <v>-1.3234721681588124</v>
      </c>
      <c r="CG398" s="56">
        <f t="shared" ref="CG398" si="2487">CG396+CG397</f>
        <v>531.1</v>
      </c>
      <c r="CH398" s="23">
        <f t="shared" si="2422"/>
        <v>4.7534516765286083</v>
      </c>
      <c r="CI398" s="56">
        <f t="shared" ref="CI398" si="2488">CI396+CI397</f>
        <v>527.25098051325347</v>
      </c>
      <c r="CJ398" s="23">
        <f t="shared" si="2422"/>
        <v>-0.72472594365402543</v>
      </c>
      <c r="CK398" s="56">
        <f>CK396+CK397</f>
        <v>542.62149694635002</v>
      </c>
      <c r="CL398" s="23">
        <f t="shared" si="2422"/>
        <v>2.9152181790414344</v>
      </c>
      <c r="CM398" s="56">
        <f>CM396+CM397</f>
        <v>558.34544672944276</v>
      </c>
      <c r="CN398" s="23">
        <f t="shared" si="2422"/>
        <v>2.8977749447046675</v>
      </c>
      <c r="CO398" s="56">
        <f>CO396+CO397</f>
        <v>574.40374803343889</v>
      </c>
      <c r="CP398" s="23">
        <f t="shared" si="2422"/>
        <v>2.8760512686293094</v>
      </c>
      <c r="CQ398" s="56">
        <f>CQ396+CQ397</f>
        <v>590.79388289144913</v>
      </c>
      <c r="CR398" s="23">
        <f t="shared" si="2422"/>
        <v>2.8534171154217525</v>
      </c>
      <c r="CS398" s="23">
        <f>IF(ISERROR(((CQ398/CG398)^0.2-1)*100),"NA",IF((((CQ398/CG398)^0.2-1)*100)&gt;100,"NM",IF((((CQ398/CG398)^0.2-1)*100)&lt;-50,"NM",((CQ398/CG398)^0.2-1)*100)))</f>
        <v>2.1531910698945111</v>
      </c>
      <c r="CT398" s="402"/>
    </row>
    <row r="399" spans="1:105" ht="12.75" customHeight="1" x14ac:dyDescent="0.2">
      <c r="B399" s="35"/>
      <c r="C399" s="60"/>
      <c r="D399" s="35"/>
      <c r="E399" s="60"/>
      <c r="F399" s="35"/>
      <c r="G399" s="60"/>
      <c r="H399" s="35"/>
      <c r="I399" s="60"/>
      <c r="J399" s="35"/>
      <c r="K399" s="177"/>
      <c r="L399" s="35"/>
      <c r="M399" s="177"/>
      <c r="N399" s="35"/>
      <c r="O399" s="177"/>
      <c r="P399" s="37"/>
      <c r="Q399" s="177"/>
      <c r="R399" s="37"/>
      <c r="S399" s="177"/>
      <c r="T399" s="37"/>
      <c r="U399" s="177"/>
      <c r="V399" s="37"/>
      <c r="W399" s="177"/>
      <c r="X399" s="37"/>
      <c r="Y399" s="177"/>
      <c r="Z399" s="37"/>
      <c r="AA399" s="177"/>
      <c r="AB399" s="37"/>
      <c r="AC399" s="177"/>
      <c r="AD399" s="37"/>
      <c r="AE399" s="177"/>
      <c r="AF399" s="37"/>
      <c r="AG399" s="177"/>
      <c r="AH399" s="37"/>
      <c r="AI399" s="177"/>
      <c r="AJ399" s="37"/>
      <c r="AK399" s="177"/>
      <c r="AL399" s="37"/>
      <c r="AM399" s="177"/>
      <c r="AN399" s="411"/>
      <c r="AO399" s="177"/>
      <c r="AP399" s="411"/>
      <c r="AQ399" s="177"/>
      <c r="AR399" s="409"/>
      <c r="AS399" s="177"/>
      <c r="AT399" s="409"/>
      <c r="AU399" s="177"/>
      <c r="AV399" s="409"/>
      <c r="AW399" s="177"/>
      <c r="AX399" s="409"/>
      <c r="AY399" s="177"/>
      <c r="AZ399" s="409"/>
      <c r="BA399" s="177"/>
      <c r="BB399" s="409"/>
      <c r="BC399" s="177"/>
      <c r="BD399" s="409"/>
      <c r="BE399" s="177"/>
      <c r="BF399" s="35"/>
      <c r="BG399" s="177"/>
      <c r="BH399" s="35"/>
      <c r="BI399" s="177"/>
      <c r="BJ399" s="35"/>
      <c r="BK399" s="177"/>
      <c r="BL399" s="35"/>
      <c r="BM399" s="177"/>
      <c r="BN399" s="10"/>
      <c r="BO399" s="138"/>
      <c r="BP399" s="10"/>
      <c r="BQ399" s="10"/>
      <c r="BR399" s="10"/>
      <c r="BS399" s="10"/>
      <c r="BT399" s="10"/>
      <c r="BU399" s="37"/>
      <c r="BV399" s="177"/>
      <c r="BW399" s="37"/>
      <c r="BX399" s="177"/>
      <c r="BY399" s="37"/>
      <c r="BZ399" s="177"/>
      <c r="CA399" s="37"/>
      <c r="CB399" s="177"/>
      <c r="CC399" s="37"/>
      <c r="CD399" s="177"/>
      <c r="CE399" s="37"/>
      <c r="CF399" s="177"/>
      <c r="CG399" s="37"/>
      <c r="CH399" s="177"/>
      <c r="CI399" s="37"/>
      <c r="CJ399" s="177"/>
      <c r="CK399" s="37"/>
      <c r="CL399" s="177"/>
      <c r="CM399" s="37"/>
      <c r="CN399" s="177"/>
      <c r="CO399" s="37"/>
      <c r="CP399" s="177"/>
      <c r="CQ399" s="37"/>
      <c r="CR399" s="177"/>
      <c r="CS399" s="177"/>
    </row>
    <row r="400" spans="1:105" ht="12.75" customHeight="1" x14ac:dyDescent="0.2">
      <c r="A400" s="11" t="s">
        <v>152</v>
      </c>
      <c r="B400" s="35"/>
      <c r="C400" s="60"/>
      <c r="D400" s="35"/>
      <c r="E400" s="60"/>
      <c r="F400" s="35"/>
      <c r="G400" s="60"/>
      <c r="H400" s="35"/>
      <c r="I400" s="60"/>
      <c r="J400" s="35"/>
      <c r="L400" s="35"/>
      <c r="N400" s="35"/>
      <c r="P400" s="37"/>
      <c r="R400" s="37"/>
      <c r="T400" s="37"/>
      <c r="V400" s="37"/>
      <c r="X400" s="37"/>
      <c r="Z400" s="37"/>
      <c r="AB400" s="37"/>
      <c r="AD400" s="37"/>
      <c r="AF400" s="37"/>
      <c r="AH400" s="37"/>
      <c r="AJ400" s="37"/>
      <c r="AL400" s="37"/>
      <c r="AN400" s="411"/>
      <c r="AP400" s="411"/>
      <c r="AR400" s="409"/>
      <c r="AT400" s="409"/>
      <c r="AV400" s="409"/>
      <c r="AX400" s="409"/>
      <c r="AZ400" s="409"/>
      <c r="BB400" s="409"/>
      <c r="BD400" s="409"/>
      <c r="BF400" s="35"/>
      <c r="BH400" s="35"/>
      <c r="BJ400" s="35"/>
      <c r="BL400" s="35"/>
      <c r="BN400" s="10"/>
      <c r="BO400" s="138"/>
      <c r="BP400" s="10"/>
      <c r="BQ400" s="10"/>
      <c r="BR400" s="10"/>
      <c r="BS400" s="10"/>
      <c r="BT400" s="10"/>
      <c r="BU400" s="37"/>
      <c r="BW400" s="35"/>
      <c r="BY400" s="35"/>
      <c r="CA400" s="35"/>
      <c r="CC400" s="35"/>
      <c r="CE400" s="35"/>
      <c r="CG400" s="35"/>
      <c r="CI400" s="35"/>
      <c r="CK400" s="35"/>
      <c r="CM400" s="35"/>
      <c r="CO400" s="35"/>
      <c r="CQ400" s="35"/>
    </row>
    <row r="401" spans="1:97" ht="12.75" customHeight="1" x14ac:dyDescent="0.2">
      <c r="A401" s="34" t="s">
        <v>112</v>
      </c>
      <c r="B401" s="35">
        <f t="shared" ref="B401:N401" si="2489">(B394+B397)/B365*400</f>
        <v>7.2716924149146251</v>
      </c>
      <c r="C401" s="59"/>
      <c r="D401" s="35">
        <f t="shared" si="2489"/>
        <v>8.1391588594110242</v>
      </c>
      <c r="E401" s="59"/>
      <c r="F401" s="35">
        <f t="shared" si="2489"/>
        <v>7.9367321329559033</v>
      </c>
      <c r="G401" s="59"/>
      <c r="H401" s="35">
        <f t="shared" si="2489"/>
        <v>5.5502159357699767</v>
      </c>
      <c r="I401" s="59"/>
      <c r="J401" s="35">
        <f t="shared" si="2489"/>
        <v>7.2939336904589549</v>
      </c>
      <c r="K401" s="23">
        <f t="shared" ref="K401:Y403" si="2490">IF(ISERROR((J401/B401-1)*100),"NA",IF(((J401/B401-1)*100)&gt;100,"NM",IF(((J401/B401-1)*100)&lt;-50,"NM",(J401/B401-1)*100)))</f>
        <v>0.30586106060690454</v>
      </c>
      <c r="L401" s="35">
        <f t="shared" si="2489"/>
        <v>5.8773164775175983</v>
      </c>
      <c r="M401" s="23">
        <f t="shared" si="2490"/>
        <v>-27.789633068509733</v>
      </c>
      <c r="N401" s="35">
        <f t="shared" si="2489"/>
        <v>6.8204572666628662</v>
      </c>
      <c r="O401" s="23">
        <f t="shared" si="2490"/>
        <v>-14.064666006024062</v>
      </c>
      <c r="P401" s="37">
        <f>(P394+P397)/P365*400</f>
        <v>6.1742510862108393</v>
      </c>
      <c r="Q401" s="23">
        <f t="shared" si="2490"/>
        <v>11.243439132144161</v>
      </c>
      <c r="R401" s="37">
        <f>(R394+R397)/R365*400</f>
        <v>6.4971589278539872</v>
      </c>
      <c r="S401" s="23">
        <f t="shared" si="2490"/>
        <v>-10.923800467876642</v>
      </c>
      <c r="T401" s="37">
        <f>(T394+T397)/T365*400</f>
        <v>6.3790729692519506</v>
      </c>
      <c r="U401" s="23">
        <f t="shared" si="2490"/>
        <v>8.5371698742736193</v>
      </c>
      <c r="V401" s="37">
        <f>(V394+V397)/V365*400</f>
        <v>7.3352566482904393</v>
      </c>
      <c r="W401" s="23">
        <f t="shared" si="2490"/>
        <v>7.5478719607821265</v>
      </c>
      <c r="X401" s="37">
        <f>(X394+X397)/X365*400</f>
        <v>6.7109482363719639</v>
      </c>
      <c r="Y401" s="23">
        <f t="shared" si="2490"/>
        <v>8.6925060653874056</v>
      </c>
      <c r="Z401" s="37">
        <f>(Z394+Z397)/Z365*400</f>
        <v>6.1033802897391212</v>
      </c>
      <c r="AA401" s="23">
        <f>IF(ISERROR((Z401/R401-1)*100),"NA",IF(((Z401/R401-1)*100)&gt;100,"NM",IF(((Z401/R401-1)*100)&lt;-50,"NM",(Z401/R401-1)*100)))</f>
        <v>-6.0607819892891435</v>
      </c>
      <c r="AB401" s="37">
        <f>(AB394+AB397)/AB365*400</f>
        <v>6.2616138296075219</v>
      </c>
      <c r="AC401" s="23">
        <f>IF(ISERROR((AB401/T401-1)*100),"NA",IF(((AB401/T401-1)*100)&gt;100,"NM",IF(((AB401/T401-1)*100)&lt;-50,"NM",(AB401/T401-1)*100)))</f>
        <v>-1.8413198941382047</v>
      </c>
      <c r="AD401" s="37">
        <f>(AD394+AD397)/AD365*400</f>
        <v>6.5395705607345826</v>
      </c>
      <c r="AE401" s="23">
        <f>IF(ISERROR((AD401/V401-1)*100),"NA",IF(((AD401/V401-1)*100)&gt;100,"NM",IF(((AD401/V401-1)*100)&lt;-50,"NM",(AD401/V401-1)*100)))</f>
        <v>-10.847419875094621</v>
      </c>
      <c r="AF401" s="37">
        <f>(AF394+AF397)/AF365*400</f>
        <v>6.279115728846099</v>
      </c>
      <c r="AG401" s="23">
        <f>IF(ISERROR((AF401/X401-1)*100),"NA",IF(((AF401/X401-1)*100)&gt;100,"NM",IF(((AF401/X401-1)*100)&lt;-50,"NM",(AF401/X401-1)*100)))</f>
        <v>-6.4347465114604985</v>
      </c>
      <c r="AH401" s="37">
        <f>(AH394+AH397)/AH365*400</f>
        <v>6.0059718470069665</v>
      </c>
      <c r="AI401" s="23">
        <f>IF(ISERROR((AH401/Z401-1)*100),"NA",IF(((AH401/Z401-1)*100)&gt;100,"NM",IF(((AH401/Z401-1)*100)&lt;-50,"NM",(AH401/Z401-1)*100)))</f>
        <v>-1.5959753138095611</v>
      </c>
      <c r="AJ401" s="37">
        <f>(AJ394+AJ397)/AJ365*400</f>
        <v>6.3022254733702834</v>
      </c>
      <c r="AK401" s="23">
        <f>IF(ISERROR((AJ401/AB401-1)*100),"NA",IF(((AJ401/AB401-1)*100)&gt;100,"NM",IF(((AJ401/AB401-1)*100)&lt;-50,"NM",(AJ401/AB401-1)*100)))</f>
        <v>0.64858109854575297</v>
      </c>
      <c r="AL401" s="37">
        <f>(AL394+AL397)/AL365*400</f>
        <v>5.9651661009404044</v>
      </c>
      <c r="AM401" s="23">
        <f>IF(ISERROR((AL401/AD401-1)*100),"NA",IF(((AL401/AD401-1)*100)&gt;100,"NM",IF(((AL401/AD401-1)*100)&lt;-50,"NM",(AL401/AD401-1)*100)))</f>
        <v>-8.7835195669126005</v>
      </c>
      <c r="AN401" s="411">
        <f t="shared" ref="AN401:AP401" si="2491">(AN394+AN397)/AN365*400</f>
        <v>6.0002238889510808</v>
      </c>
      <c r="AO401" s="23">
        <f>IF(ISERROR((AN401/AF401-1)*100),"NA",IF(((AN401/AF401-1)*100)&gt;100,"NM",IF(((AN401/AF401-1)*100)&lt;-50,"NM",(AN401/AF401-1)*100)))</f>
        <v>-4.4415782721410331</v>
      </c>
      <c r="AP401" s="411">
        <f t="shared" si="2491"/>
        <v>5.7289464039019986</v>
      </c>
      <c r="AQ401" s="23">
        <f t="shared" ref="AQ401:AQ403" si="2492">IF(ISERROR((AP401/AH401-1)*100),"NA",IF(((AP401/AH401-1)*100)&gt;100,"NM",IF(((AP401/AH401-1)*100)&lt;-50,"NM",(AP401/AH401-1)*100)))</f>
        <v>-4.6124998611677075</v>
      </c>
      <c r="AR401" s="411">
        <f t="shared" ref="AR401:AT401" si="2493">(AR394+AR397)/AR365*400</f>
        <v>6.1733591491988671</v>
      </c>
      <c r="AS401" s="23">
        <f t="shared" ref="AS401:AS403" si="2494">IF(ISERROR((AR401/AJ401-1)*100),"NA",IF(((AR401/AJ401-1)*100)&gt;100,"NM",IF(((AR401/AJ401-1)*100)&lt;-50,"NM",(AR401/AJ401-1)*100)))</f>
        <v>-2.0447748928681508</v>
      </c>
      <c r="AT401" s="411">
        <f t="shared" si="2493"/>
        <v>6.274335298698408</v>
      </c>
      <c r="AU401" s="23">
        <f t="shared" ref="AU401:AU403" si="2495">IF(ISERROR((AT401/AL401-1)*100),"NA",IF(((AT401/AL401-1)*100)&gt;100,"NM",IF(((AT401/AL401-1)*100)&lt;-50,"NM",(AT401/AL401-1)*100)))</f>
        <v>5.1829101239823538</v>
      </c>
      <c r="AV401" s="411">
        <f t="shared" ref="AV401:AX401" si="2496">(AV394+AV397)/AV365*400</f>
        <v>6.7317100444494127</v>
      </c>
      <c r="AW401" s="23">
        <f t="shared" ref="AW401:AW403" si="2497">IF(ISERROR((AV401/AN401-1)*100),"NA",IF(((AV401/AN401-1)*100)&gt;100,"NM",IF(((AV401/AN401-1)*100)&lt;-50,"NM",(AV401/AN401-1)*100)))</f>
        <v>12.190981020646641</v>
      </c>
      <c r="AX401" s="411">
        <f t="shared" si="2496"/>
        <v>5.9507101555044066</v>
      </c>
      <c r="AY401" s="23">
        <f t="shared" ref="AY401:AY403" si="2498">IF(ISERROR((AX401/AP401-1)*100),"NA",IF(((AX401/AP401-1)*100)&gt;100,"NM",IF(((AX401/AP401-1)*100)&lt;-50,"NM",(AX401/AP401-1)*100)))</f>
        <v>3.8709343039300181</v>
      </c>
      <c r="AZ401" s="411">
        <f t="shared" ref="AZ401" si="2499">(AZ394+AZ397)/AZ365*400</f>
        <v>5.963908450704225</v>
      </c>
      <c r="BA401" s="23">
        <f t="shared" ref="BA401:BA403" si="2500">IF(ISERROR((AZ401/AR401-1)*100),"NA",IF(((AZ401/AR401-1)*100)&gt;100,"NM",IF(((AZ401/AR401-1)*100)&lt;-50,"NM",(AZ401/AR401-1)*100)))</f>
        <v>-3.3928157010243432</v>
      </c>
      <c r="BB401" s="411">
        <f t="shared" ref="BB401:BD401" si="2501">(BB394+BB397)/BB365*400</f>
        <v>6.0179568066003402</v>
      </c>
      <c r="BC401" s="23">
        <f t="shared" ref="BC401:BC403" si="2502">IF(ISERROR((BB401/AT401-1)*100),"NA",IF(((BB401/AT401-1)*100)&gt;100,"NM",IF(((BB401/AT401-1)*100)&lt;-50,"NM",(BB401/AT401-1)*100)))</f>
        <v>-4.0861458607615813</v>
      </c>
      <c r="BD401" s="411">
        <f t="shared" si="2501"/>
        <v>5.880591326127794</v>
      </c>
      <c r="BE401" s="23">
        <f t="shared" ref="BE401:BE403" si="2503">IF(ISERROR((BD401/AV401-1)*100),"NA",IF(((BD401/AV401-1)*100)&gt;100,"NM",IF(((BD401/AV401-1)*100)&lt;-50,"NM",(BD401/AV401-1)*100)))</f>
        <v>-12.643425113406403</v>
      </c>
      <c r="BF401" s="47">
        <v>5.8</v>
      </c>
      <c r="BG401" s="23">
        <f t="shared" ref="BG401:BG403" si="2504">IF(ISERROR((BF401/AX401-1)*100),"NA",IF(((BF401/AX401-1)*100)&gt;100,"NM",IF(((BF401/AX401-1)*100)&lt;-50,"NM",(BF401/AX401-1)*100)))</f>
        <v>-2.5326415094339638</v>
      </c>
      <c r="BH401" s="47">
        <f t="shared" ref="BF401:BJ402" si="2505">BF401</f>
        <v>5.8</v>
      </c>
      <c r="BI401" s="23">
        <f t="shared" ref="BI401:BI403" si="2506">IF(ISERROR((BH401/AZ401-1)*100),"NA",IF(((BH401/AZ401-1)*100)&gt;100,"NM",IF(((BH401/AZ401-1)*100)&lt;-50,"NM",(BH401/AZ401-1)*100)))</f>
        <v>-2.7483394833948349</v>
      </c>
      <c r="BJ401" s="47">
        <f>BH401-0.1</f>
        <v>5.7</v>
      </c>
      <c r="BK401" s="23">
        <f t="shared" ref="BK401:BK403" si="2507">IF(ISERROR((BJ401/BB401-1)*100),"NA",IF(((BJ401/BB401-1)*100)&gt;100,"NM",IF(((BJ401/BB401-1)*100)&lt;-50,"NM",(BJ401/BB401-1)*100)))</f>
        <v>-5.2834677419354881</v>
      </c>
      <c r="BL401" s="47">
        <f>BJ401</f>
        <v>5.7</v>
      </c>
      <c r="BM401" s="23">
        <f t="shared" ref="BM401:BM403" si="2508">IF(ISERROR((BL401/BD401-1)*100),"NA",IF(((BL401/BD401-1)*100)&gt;100,"NM",IF(((BL401/BD401-1)*100)&lt;-50,"NM",(BL401/BD401-1)*100)))</f>
        <v>-3.0709722222222235</v>
      </c>
      <c r="BN401" s="10"/>
      <c r="BO401" s="138"/>
      <c r="BP401" s="10"/>
      <c r="BQ401" s="152"/>
      <c r="BR401" s="152"/>
      <c r="BS401" s="152"/>
      <c r="BT401" s="10"/>
      <c r="BU401" s="37">
        <f>(BU394+BU397)/BU365*100</f>
        <v>7.1816656056484751</v>
      </c>
      <c r="BV401" s="23" t="str">
        <f>IF(ISERROR((BU401/BS401-1)*100),"NA",IF(((BU401/BS401-1)*100)&gt;100,"NM",IF(((BU401/BS401-1)*100)&lt;-50,"NM",(BU401/BS401-1)*100)))</f>
        <v>NA</v>
      </c>
      <c r="BW401" s="37">
        <f>(BW394+BW397)/BW365*100</f>
        <v>6.5620429550296535</v>
      </c>
      <c r="BX401" s="23">
        <f>IF(ISERROR((BW401/BU401-1)*100),"NA",IF(((BW401/BU401-1)*100)&gt;100,"NM",IF(((BW401/BU401-1)*100)&lt;-50,"NM",(BW401/BU401-1)*100)))</f>
        <v>-8.6278404571145764</v>
      </c>
      <c r="BY401" s="37">
        <f>(BY394+BY397)/BY365*100</f>
        <v>6.7437656039257332</v>
      </c>
      <c r="BZ401" s="23">
        <f>IF(ISERROR((BY401/BW401-1)*100),"NA",IF(((BY401/BW401-1)*100)&gt;100,"NM",IF(((BY401/BW401-1)*100)&lt;-50,"NM",(BY401/BW401-1)*100)))</f>
        <v>2.7692998985444639</v>
      </c>
      <c r="CA401" s="37">
        <f>(CA394+CA397)/CA365*100</f>
        <v>6.3708824957860744</v>
      </c>
      <c r="CB401" s="23">
        <f>IF(ISERROR((CA401/BY401-1)*100),"NA",IF(((CA401/BY401-1)*100)&gt;100,"NM",IF(((CA401/BY401-1)*100)&lt;-50,"NM",(CA401/BY401-1)*100)))</f>
        <v>-5.529301135890508</v>
      </c>
      <c r="CC401" s="37">
        <f>(CC394+CC397)/CC365*100</f>
        <v>6.1034190449279455</v>
      </c>
      <c r="CD401" s="23">
        <f>IF(ISERROR((CC401/CA401-1)*100),"NA",IF(((CC401/CA401-1)*100)&gt;100,"NM",IF(((CC401/CA401-1)*100)&lt;-50,"NM",(CC401/CA401-1)*100)))</f>
        <v>-4.1982166683350197</v>
      </c>
      <c r="CE401" s="37">
        <f>(CE394+CE397)/CE365*100</f>
        <v>6.2575616893165629</v>
      </c>
      <c r="CF401" s="23">
        <f>IF(ISERROR((CE401/CC401-1)*100),"NA",IF(((CE401/CC401-1)*100)&gt;100,"NM",IF(((CE401/CC401-1)*100)&lt;-50,"NM",(CE401/CC401-1)*100)))</f>
        <v>2.5255130485709154</v>
      </c>
      <c r="CG401" s="37">
        <f>(CG394+CG397)/CG365*100</f>
        <v>6.0459155243508302</v>
      </c>
      <c r="CH401" s="23">
        <f>IF(ISERROR((CG401/CE401-1)*100),"NA",IF(((CG401/CE401-1)*100)&gt;100,"NM",IF(((CG401/CE401-1)*100)&lt;-50,"NM",(CG401/CE401-1)*100)))</f>
        <v>-3.3822465598233431</v>
      </c>
      <c r="CI401" s="37">
        <f>(CI394+CI397)/CI365*100</f>
        <v>5.7510068410497936</v>
      </c>
      <c r="CJ401" s="23">
        <f>IF(ISERROR((CI401/CG401-1)*100),"NA",IF(((CI401/CG401-1)*100)&gt;100,"NM",IF(((CI401/CG401-1)*100)&lt;-50,"NM",(CI401/CG401-1)*100)))</f>
        <v>-4.877816802322954</v>
      </c>
      <c r="CK401" s="252">
        <f>CI401-0.15</f>
        <v>5.6010068410497933</v>
      </c>
      <c r="CL401" s="23">
        <f>IF(ISERROR((CK401/CI401-1)*100),"NA",IF(((CK401/CI401-1)*100)&gt;100,"NM",IF(((CK401/CI401-1)*100)&lt;-50,"NM",(CK401/CI401-1)*100)))</f>
        <v>-2.6082389422548369</v>
      </c>
      <c r="CM401" s="252">
        <f>CK401-0.15</f>
        <v>5.4510068410497929</v>
      </c>
      <c r="CN401" s="23">
        <f>IF(ISERROR((CM401/CK401-1)*100),"NA",IF(((CM401/CK401-1)*100)&gt;100,"NM",IF(((CM401/CK401-1)*100)&lt;-50,"NM",(CM401/CK401-1)*100)))</f>
        <v>-2.6780899266298008</v>
      </c>
      <c r="CO401" s="252">
        <f>CM401-0.15</f>
        <v>5.3010068410497926</v>
      </c>
      <c r="CP401" s="23">
        <f>IF(ISERROR((CO401/CM401-1)*100),"NA",IF(((CO401/CM401-1)*100)&gt;100,"NM",IF(((CO401/CM401-1)*100)&lt;-50,"NM",(CO401/CM401-1)*100)))</f>
        <v>-2.7517852091176631</v>
      </c>
      <c r="CQ401" s="252">
        <f>CO401-0.15</f>
        <v>5.1510068410497922</v>
      </c>
      <c r="CR401" s="23">
        <f>IF(ISERROR((CQ401/CO401-1)*100),"NA",IF(((CQ401/CO401-1)*100)&gt;100,"NM",IF(((CQ401/CO401-1)*100)&lt;-50,"NM",(CQ401/CO401-1)*100)))</f>
        <v>-2.8296511303934624</v>
      </c>
      <c r="CS401" s="23">
        <f>IF(ISERROR(((CQ401/CG401)^0.2-1)*100),"NA",IF((((CQ401/CG401)^0.2-1)*100)&gt;100,"NM",IF((((CQ401/CG401)^0.2-1)*100)&lt;-50,"NM",((CQ401/CG401)^0.2-1)*100)))</f>
        <v>-3.1530360981279482</v>
      </c>
    </row>
    <row r="402" spans="1:97" ht="12.75" customHeight="1" x14ac:dyDescent="0.2">
      <c r="A402" s="34" t="s">
        <v>113</v>
      </c>
      <c r="B402" s="35">
        <f t="shared" ref="B402:N402" si="2509">B397/B365*400</f>
        <v>3.8671158090370548</v>
      </c>
      <c r="C402" s="59"/>
      <c r="D402" s="35">
        <f t="shared" si="2509"/>
        <v>3.8660946210197591</v>
      </c>
      <c r="E402" s="59"/>
      <c r="F402" s="35">
        <f t="shared" si="2509"/>
        <v>3.7832316806256747</v>
      </c>
      <c r="G402" s="59"/>
      <c r="H402" s="35">
        <f t="shared" si="2509"/>
        <v>3.7494565374916666</v>
      </c>
      <c r="I402" s="59"/>
      <c r="J402" s="35">
        <f t="shared" si="2509"/>
        <v>3.7497031996525267</v>
      </c>
      <c r="K402" s="23">
        <f t="shared" si="2490"/>
        <v>-3.0361803261786613</v>
      </c>
      <c r="L402" s="35">
        <f t="shared" si="2509"/>
        <v>3.7167073696308006</v>
      </c>
      <c r="M402" s="23">
        <f t="shared" si="2490"/>
        <v>-3.8640350543090118</v>
      </c>
      <c r="N402" s="35">
        <f t="shared" si="2509"/>
        <v>3.6731854723758484</v>
      </c>
      <c r="O402" s="23">
        <f t="shared" si="2490"/>
        <v>-2.9087885051656936</v>
      </c>
      <c r="P402" s="37">
        <f>P397/P365*400</f>
        <v>3.7960210381888868</v>
      </c>
      <c r="Q402" s="23">
        <f t="shared" si="2490"/>
        <v>1.2418999988828006</v>
      </c>
      <c r="R402" s="37">
        <f>R397/R365*400</f>
        <v>3.742179877173851</v>
      </c>
      <c r="S402" s="23">
        <f t="shared" si="2490"/>
        <v>-0.20063781259734847</v>
      </c>
      <c r="T402" s="37">
        <f>T397/T365*400</f>
        <v>3.6943552088113818</v>
      </c>
      <c r="U402" s="23">
        <f t="shared" si="2490"/>
        <v>-0.60139684393929471</v>
      </c>
      <c r="V402" s="37">
        <f>V397/V365*400</f>
        <v>3.61050015710246</v>
      </c>
      <c r="W402" s="23">
        <f t="shared" si="2490"/>
        <v>-1.7065654796038054</v>
      </c>
      <c r="X402" s="37">
        <f>X397/X365*400</f>
        <v>3.5959688502061384</v>
      </c>
      <c r="Y402" s="23">
        <f t="shared" si="2490"/>
        <v>-5.2700495063166208</v>
      </c>
      <c r="Z402" s="37">
        <f>Z397/Z365*400</f>
        <v>3.6117381489841991</v>
      </c>
      <c r="AA402" s="23">
        <f>IF(ISERROR((Z402/R402-1)*100),"NA",IF(((Z402/R402-1)*100)&gt;100,"NM",IF(((Z402/R402-1)*100)&lt;-50,"NM",(Z402/R402-1)*100)))</f>
        <v>-3.4857150770679524</v>
      </c>
      <c r="AB402" s="37">
        <f>AB397/AB365*400</f>
        <v>3.6939016836533582</v>
      </c>
      <c r="AC402" s="23">
        <f>IF(ISERROR((AB402/T402-1)*100),"NA",IF(((AB402/T402-1)*100)&gt;100,"NM",IF(((AB402/T402-1)*100)&lt;-50,"NM",(AB402/T402-1)*100)))</f>
        <v>-1.2276165457558719E-2</v>
      </c>
      <c r="AD402" s="37">
        <f>AD397/AD365*400</f>
        <v>3.3369726491419618</v>
      </c>
      <c r="AE402" s="23">
        <f>IF(ISERROR((AD402/V402-1)*100),"NA",IF(((AD402/V402-1)*100)&gt;100,"NM",IF(((AD402/V402-1)*100)&lt;-50,"NM",(AD402/V402-1)*100)))</f>
        <v>-7.5758896567951535</v>
      </c>
      <c r="AF402" s="37">
        <f>AF397/AF365*400</f>
        <v>3.4557723255879615</v>
      </c>
      <c r="AG402" s="23">
        <f>IF(ISERROR((AF402/X402-1)*100),"NA",IF(((AF402/X402-1)*100)&gt;100,"NM",IF(((AF402/X402-1)*100)&lt;-50,"NM",(AF402/X402-1)*100)))</f>
        <v>-3.8987135444774501</v>
      </c>
      <c r="AH402" s="37">
        <f>AH397/AH365*400</f>
        <v>3.5034835774207309</v>
      </c>
      <c r="AI402" s="23">
        <f>IF(ISERROR((AH402/Z402-1)*100),"NA",IF(((AH402/Z402-1)*100)&gt;100,"NM",IF(((AH402/Z402-1)*100)&lt;-50,"NM",(AH402/Z402-1)*100)))</f>
        <v>-2.9972984501635214</v>
      </c>
      <c r="AJ402" s="37">
        <f>AJ397/AJ365*400</f>
        <v>3.4212081141152968</v>
      </c>
      <c r="AK402" s="23">
        <f>IF(ISERROR((AJ402/AB402-1)*100),"NA",IF(((AJ402/AB402-1)*100)&gt;100,"NM",IF(((AJ402/AB402-1)*100)&lt;-50,"NM",(AJ402/AB402-1)*100)))</f>
        <v>-7.3822638741256608</v>
      </c>
      <c r="AL402" s="37">
        <f>AL397/AL365*400</f>
        <v>3.3832285348617215</v>
      </c>
      <c r="AM402" s="23">
        <f>IF(ISERROR((AL402/AD402-1)*100),"NA",IF(((AL402/AD402-1)*100)&gt;100,"NM",IF(((AL402/AD402-1)*100)&lt;-50,"NM",(AL402/AD402-1)*100)))</f>
        <v>1.3861631659358498</v>
      </c>
      <c r="AN402" s="411">
        <f t="shared" ref="AN402:AP402" si="2510">AN397/AN365*400</f>
        <v>3.3807231613119897</v>
      </c>
      <c r="AO402" s="23">
        <f>IF(ISERROR((AN402/AF402-1)*100),"NA",IF(((AN402/AF402-1)*100)&gt;100,"NM",IF(((AN402/AF402-1)*100)&lt;-50,"NM",(AN402/AF402-1)*100)))</f>
        <v>-2.1717045338975893</v>
      </c>
      <c r="AP402" s="411">
        <f t="shared" si="2510"/>
        <v>3.4283458795004087</v>
      </c>
      <c r="AQ402" s="23">
        <f t="shared" si="2492"/>
        <v>-2.1446567754611401</v>
      </c>
      <c r="AR402" s="411">
        <f t="shared" ref="AR402:AT402" si="2511">AR397/AR365*400</f>
        <v>3.3672868086539269</v>
      </c>
      <c r="AS402" s="23">
        <f t="shared" si="2494"/>
        <v>-1.5760896052742335</v>
      </c>
      <c r="AT402" s="411">
        <f t="shared" si="2511"/>
        <v>3.2706641450661911</v>
      </c>
      <c r="AU402" s="23">
        <f t="shared" si="2495"/>
        <v>-3.3271293569333449</v>
      </c>
      <c r="AV402" s="411">
        <f t="shared" ref="AV402:AX402" si="2512">AV397/AV365*400</f>
        <v>3.2875793240334343</v>
      </c>
      <c r="AW402" s="23">
        <f t="shared" si="2497"/>
        <v>-2.7551453589713115</v>
      </c>
      <c r="AX402" s="411">
        <f t="shared" si="2512"/>
        <v>3.3234154830741587</v>
      </c>
      <c r="AY402" s="23">
        <f t="shared" si="2498"/>
        <v>-3.0606712424692928</v>
      </c>
      <c r="AZ402" s="411">
        <f t="shared" ref="AZ402" si="2513">AZ397/AZ365*400</f>
        <v>3.2130281690140845</v>
      </c>
      <c r="BA402" s="23">
        <f t="shared" si="2500"/>
        <v>-4.581095950704217</v>
      </c>
      <c r="BB402" s="411">
        <f t="shared" ref="BB402:BD402" si="2514">BB397/BB365*400</f>
        <v>3.1060422227614661</v>
      </c>
      <c r="BC402" s="23">
        <f t="shared" si="2502"/>
        <v>-5.0332872775414099</v>
      </c>
      <c r="BD402" s="411">
        <f t="shared" si="2514"/>
        <v>3.0491955024366342</v>
      </c>
      <c r="BE402" s="23">
        <f t="shared" si="2503"/>
        <v>-7.2510439475672932</v>
      </c>
      <c r="BF402" s="47">
        <f t="shared" si="2505"/>
        <v>3.0491955024366342</v>
      </c>
      <c r="BG402" s="23">
        <f t="shared" si="2504"/>
        <v>-8.2511495187436275</v>
      </c>
      <c r="BH402" s="47">
        <f t="shared" si="2505"/>
        <v>3.0491955024366342</v>
      </c>
      <c r="BI402" s="23">
        <f t="shared" si="2506"/>
        <v>-5.0990112118351689</v>
      </c>
      <c r="BJ402" s="47">
        <f t="shared" si="2505"/>
        <v>3.0491955024366342</v>
      </c>
      <c r="BK402" s="23">
        <f t="shared" si="2507"/>
        <v>-1.8301979254580658</v>
      </c>
      <c r="BL402" s="47">
        <f t="shared" ref="BL402" si="2515">BJ402</f>
        <v>3.0491955024366342</v>
      </c>
      <c r="BM402" s="23">
        <f t="shared" si="2508"/>
        <v>0</v>
      </c>
      <c r="BN402" s="10"/>
      <c r="BO402" s="138"/>
      <c r="BP402" s="10"/>
      <c r="BQ402" s="152"/>
      <c r="BR402" s="152"/>
      <c r="BS402" s="152"/>
      <c r="BT402" s="10"/>
      <c r="BU402" s="37">
        <f>BU397/BU365*100</f>
        <v>3.7953006539730314</v>
      </c>
      <c r="BV402" s="23" t="str">
        <f>IF(ISERROR((BU402/BS402-1)*100),"NA",IF(((BU402/BS402-1)*100)&gt;100,"NM",IF(((BU402/BS402-1)*100)&lt;-50,"NM",(BU402/BS402-1)*100)))</f>
        <v>NA</v>
      </c>
      <c r="BW402" s="37">
        <f>BW397/BW365*100</f>
        <v>3.7463580353544081</v>
      </c>
      <c r="BX402" s="23">
        <f>IF(ISERROR((BW402/BU402-1)*100),"NA",IF(((BW402/BU402-1)*100)&gt;100,"NM",IF(((BW402/BU402-1)*100)&lt;-50,"NM",(BW402/BU402-1)*100)))</f>
        <v>-1.289558406061686</v>
      </c>
      <c r="BY402" s="37">
        <f>BY397/BY365*100</f>
        <v>3.6674606135391863</v>
      </c>
      <c r="BZ402" s="23">
        <f>IF(ISERROR((BY402/BW402-1)*100),"NA",IF(((BY402/BW402-1)*100)&gt;100,"NM",IF(((BY402/BW402-1)*100)&lt;-50,"NM",(BY402/BW402-1)*100)))</f>
        <v>-2.1059765529793606</v>
      </c>
      <c r="CA402" s="37">
        <f>CA397/CA365*100</f>
        <v>3.5654086792560635</v>
      </c>
      <c r="CB402" s="23">
        <f>IF(ISERROR((CA402/BY402-1)*100),"NA",IF(((CA402/BY402-1)*100)&gt;100,"NM",IF(((CA402/BY402-1)*100)&lt;-50,"NM",(CA402/BY402-1)*100)))</f>
        <v>-2.7826320453552267</v>
      </c>
      <c r="CC402" s="37">
        <f>CC397/CC365*100</f>
        <v>3.4416501836677029</v>
      </c>
      <c r="CD402" s="23">
        <f>IF(ISERROR((CC402/CA402-1)*100),"NA",IF(((CC402/CA402-1)*100)&gt;100,"NM",IF(((CC402/CA402-1)*100)&lt;-50,"NM",(CC402/CA402-1)*100)))</f>
        <v>-3.4710886386854045</v>
      </c>
      <c r="CE402" s="37">
        <f>CE397/CE365*100</f>
        <v>3.3538729917559995</v>
      </c>
      <c r="CF402" s="23">
        <f>IF(ISERROR((CE402/CC402-1)*100),"NA",IF(((CE402/CC402-1)*100)&gt;100,"NM",IF(((CE402/CC402-1)*100)&lt;-50,"NM",(CE402/CC402-1)*100)))</f>
        <v>-2.5504390983211667</v>
      </c>
      <c r="CG402" s="37">
        <f>CG397/CG365*100</f>
        <v>3.2207734314053269</v>
      </c>
      <c r="CH402" s="23">
        <f>IF(ISERROR((CG402/CE402-1)*100),"NA",IF(((CG402/CE402-1)*100)&gt;100,"NM",IF(((CG402/CE402-1)*100)&lt;-50,"NM",(CG402/CE402-1)*100)))</f>
        <v>-3.9685331161268933</v>
      </c>
      <c r="CI402" s="37">
        <f>CI397/CI365*100</f>
        <v>3.0500547369285198</v>
      </c>
      <c r="CJ402" s="23">
        <f>IF(ISERROR((CI402/CG402-1)*100),"NA",IF(((CI402/CG402-1)*100)&gt;100,"NM",IF(((CI402/CG402-1)*100)&lt;-50,"NM",(CI402/CG402-1)*100)))</f>
        <v>-5.3005496385480573</v>
      </c>
      <c r="CK402" s="47">
        <f>CI402</f>
        <v>3.0500547369285198</v>
      </c>
      <c r="CL402" s="23">
        <f>IF(ISERROR((CK402/CI402-1)*100),"NA",IF(((CK402/CI402-1)*100)&gt;100,"NM",IF(((CK402/CI402-1)*100)&lt;-50,"NM",(CK402/CI402-1)*100)))</f>
        <v>0</v>
      </c>
      <c r="CM402" s="47">
        <f>CK402</f>
        <v>3.0500547369285198</v>
      </c>
      <c r="CN402" s="23">
        <f>IF(ISERROR((CM402/CK402-1)*100),"NA",IF(((CM402/CK402-1)*100)&gt;100,"NM",IF(((CM402/CK402-1)*100)&lt;-50,"NM",(CM402/CK402-1)*100)))</f>
        <v>0</v>
      </c>
      <c r="CO402" s="47">
        <f>CM402</f>
        <v>3.0500547369285198</v>
      </c>
      <c r="CP402" s="23">
        <f>IF(ISERROR((CO402/CM402-1)*100),"NA",IF(((CO402/CM402-1)*100)&gt;100,"NM",IF(((CO402/CM402-1)*100)&lt;-50,"NM",(CO402/CM402-1)*100)))</f>
        <v>0</v>
      </c>
      <c r="CQ402" s="47">
        <f>CO402</f>
        <v>3.0500547369285198</v>
      </c>
      <c r="CR402" s="23">
        <f>IF(ISERROR((CQ402/CO402-1)*100),"NA",IF(((CQ402/CO402-1)*100)&gt;100,"NM",IF(((CQ402/CO402-1)*100)&lt;-50,"NM",(CQ402/CO402-1)*100)))</f>
        <v>0</v>
      </c>
      <c r="CS402" s="23">
        <f>IF(ISERROR(((CQ402/CG402)^0.2-1)*100),"NA",IF((((CQ402/CG402)^0.2-1)*100)&gt;100,"NM",IF((((CQ402/CG402)^0.2-1)*100)&lt;-50,"NM",((CQ402/CG402)^0.2-1)*100)))</f>
        <v>-1.0833290597004441</v>
      </c>
    </row>
    <row r="403" spans="1:97" ht="12.75" customHeight="1" x14ac:dyDescent="0.2">
      <c r="A403" s="34" t="s">
        <v>110</v>
      </c>
      <c r="B403" s="35">
        <f t="shared" ref="B403:Z403" si="2516">B401-B402</f>
        <v>3.4045766058775704</v>
      </c>
      <c r="C403" s="59"/>
      <c r="D403" s="35">
        <f t="shared" si="2516"/>
        <v>4.2730642383912656</v>
      </c>
      <c r="E403" s="59"/>
      <c r="F403" s="35">
        <f t="shared" si="2516"/>
        <v>4.1535004523302286</v>
      </c>
      <c r="G403" s="59"/>
      <c r="H403" s="35">
        <f t="shared" si="2516"/>
        <v>1.8007593982783101</v>
      </c>
      <c r="I403" s="59"/>
      <c r="J403" s="35">
        <f t="shared" si="2516"/>
        <v>3.5442304908064282</v>
      </c>
      <c r="K403" s="23">
        <f t="shared" si="2490"/>
        <v>4.1019457364467327</v>
      </c>
      <c r="L403" s="35">
        <f t="shared" si="2516"/>
        <v>2.1606091078867977</v>
      </c>
      <c r="M403" s="23">
        <f t="shared" si="2490"/>
        <v>-49.436540446201448</v>
      </c>
      <c r="N403" s="35">
        <f t="shared" si="2516"/>
        <v>3.1472717942870179</v>
      </c>
      <c r="O403" s="23">
        <f t="shared" si="2490"/>
        <v>-24.226039447731097</v>
      </c>
      <c r="P403" s="37">
        <f t="shared" si="2516"/>
        <v>2.3782300480219525</v>
      </c>
      <c r="Q403" s="23">
        <f t="shared" si="2490"/>
        <v>32.068173588084939</v>
      </c>
      <c r="R403" s="37">
        <f t="shared" si="2516"/>
        <v>2.7549790506801362</v>
      </c>
      <c r="S403" s="23">
        <f t="shared" si="2490"/>
        <v>-22.268626213040431</v>
      </c>
      <c r="T403" s="37">
        <f t="shared" si="2516"/>
        <v>2.6847177604405688</v>
      </c>
      <c r="U403" s="23">
        <f t="shared" si="2490"/>
        <v>24.257449005497335</v>
      </c>
      <c r="V403" s="37">
        <f t="shared" si="2516"/>
        <v>3.7247564911879794</v>
      </c>
      <c r="W403" s="23">
        <f t="shared" si="2490"/>
        <v>18.348739309684724</v>
      </c>
      <c r="X403" s="37">
        <f t="shared" si="2516"/>
        <v>3.1149793861658255</v>
      </c>
      <c r="Y403" s="23">
        <f t="shared" si="2490"/>
        <v>30.978892843299597</v>
      </c>
      <c r="Z403" s="37">
        <f t="shared" si="2516"/>
        <v>2.4916421407549221</v>
      </c>
      <c r="AA403" s="23">
        <f>IF(ISERROR((Z403/R403-1)*100),"NA",IF(((Z403/R403-1)*100)&gt;100,"NM",IF(((Z403/R403-1)*100)&lt;-50,"NM",(Z403/R403-1)*100)))</f>
        <v>-9.5585812117229274</v>
      </c>
      <c r="AB403" s="37">
        <f t="shared" ref="AB403:AD403" si="2517">AB401-AB402</f>
        <v>2.5677121459541636</v>
      </c>
      <c r="AC403" s="23">
        <f>IF(ISERROR((AB403/T403-1)*100),"NA",IF(((AB403/T403-1)*100)&gt;100,"NM",IF(((AB403/T403-1)*100)&lt;-50,"NM",(AB403/T403-1)*100)))</f>
        <v>-4.3582091276218264</v>
      </c>
      <c r="AD403" s="37">
        <f t="shared" si="2517"/>
        <v>3.2025979115926209</v>
      </c>
      <c r="AE403" s="23">
        <f>IF(ISERROR((AD403/V403-1)*100),"NA",IF(((AD403/V403-1)*100)&gt;100,"NM",IF(((AD403/V403-1)*100)&lt;-50,"NM",(AD403/V403-1)*100)))</f>
        <v>-14.018596405716188</v>
      </c>
      <c r="AF403" s="37">
        <f t="shared" ref="AF403:AH403" si="2518">AF401-AF402</f>
        <v>2.8233434032581375</v>
      </c>
      <c r="AG403" s="23">
        <f>IF(ISERROR((AF403/X403-1)*100),"NA",IF(((AF403/X403-1)*100)&gt;100,"NM",IF(((AF403/X403-1)*100)&lt;-50,"NM",(AF403/X403-1)*100)))</f>
        <v>-9.362372804227693</v>
      </c>
      <c r="AH403" s="37">
        <f t="shared" si="2518"/>
        <v>2.5024882695862356</v>
      </c>
      <c r="AI403" s="23">
        <f>IF(ISERROR((AH403/Z403-1)*100),"NA",IF(((AH403/Z403-1)*100)&gt;100,"NM",IF(((AH403/Z403-1)*100)&lt;-50,"NM",(AH403/Z403-1)*100)))</f>
        <v>0.4353004251255399</v>
      </c>
      <c r="AJ403" s="37">
        <f t="shared" ref="AJ403:AL403" si="2519">AJ401-AJ402</f>
        <v>2.8810173592549866</v>
      </c>
      <c r="AK403" s="23">
        <f>IF(ISERROR((AJ403/AB403-1)*100),"NA",IF(((AJ403/AB403-1)*100)&gt;100,"NM",IF(((AJ403/AB403-1)*100)&lt;-50,"NM",(AJ403/AB403-1)*100)))</f>
        <v>12.201726497827448</v>
      </c>
      <c r="AL403" s="37">
        <f t="shared" si="2519"/>
        <v>2.581937566078683</v>
      </c>
      <c r="AM403" s="23">
        <f>IF(ISERROR((AL403/AD403-1)*100),"NA",IF(((AL403/AD403-1)*100)&gt;100,"NM",IF(((AL403/AD403-1)*100)&lt;-50,"NM",(AL403/AD403-1)*100)))</f>
        <v>-19.379902274565886</v>
      </c>
      <c r="AN403" s="411">
        <f t="shared" ref="AN403:AP403" si="2520">AN401-AN402</f>
        <v>2.6195007276390911</v>
      </c>
      <c r="AO403" s="23">
        <f>IF(ISERROR((AN403/AF403-1)*100),"NA",IF(((AN403/AF403-1)*100)&gt;100,"NM",IF(((AN403/AF403-1)*100)&lt;-50,"NM",(AN403/AF403-1)*100)))</f>
        <v>-7.2199037277510092</v>
      </c>
      <c r="AP403" s="411">
        <f t="shared" si="2520"/>
        <v>2.3006005244015899</v>
      </c>
      <c r="AQ403" s="23">
        <f t="shared" si="2492"/>
        <v>-8.0674801811568937</v>
      </c>
      <c r="AR403" s="411">
        <f t="shared" ref="AR403:AT403" si="2521">AR401-AR402</f>
        <v>2.8060723405449401</v>
      </c>
      <c r="AS403" s="23">
        <f t="shared" si="2494"/>
        <v>-2.6013386718859222</v>
      </c>
      <c r="AT403" s="411">
        <f t="shared" si="2521"/>
        <v>3.0036711536322169</v>
      </c>
      <c r="AU403" s="23">
        <f t="shared" si="2495"/>
        <v>16.333996340354638</v>
      </c>
      <c r="AV403" s="411">
        <f t="shared" ref="AV403:AX403" si="2522">AV401-AV402</f>
        <v>3.4441307204159783</v>
      </c>
      <c r="AW403" s="23">
        <f t="shared" si="2497"/>
        <v>31.48042617724758</v>
      </c>
      <c r="AX403" s="411">
        <f t="shared" si="2522"/>
        <v>2.6272946724302479</v>
      </c>
      <c r="AY403" s="23">
        <f t="shared" si="2498"/>
        <v>14.200385706407449</v>
      </c>
      <c r="AZ403" s="411">
        <f t="shared" ref="AZ403" si="2523">AZ401-AZ402</f>
        <v>2.7508802816901405</v>
      </c>
      <c r="BA403" s="23">
        <f t="shared" si="2500"/>
        <v>-1.9668794014084945</v>
      </c>
      <c r="BB403" s="411">
        <f t="shared" ref="BB403:BD403" si="2524">BB401-BB402</f>
        <v>2.911914583838874</v>
      </c>
      <c r="BC403" s="23">
        <f t="shared" si="2502"/>
        <v>-3.0548140958235548</v>
      </c>
      <c r="BD403" s="411">
        <f t="shared" si="2524"/>
        <v>2.8313958236911598</v>
      </c>
      <c r="BE403" s="23">
        <f t="shared" si="2503"/>
        <v>-17.790698044434649</v>
      </c>
      <c r="BF403" s="35">
        <f t="shared" ref="BF403" si="2525">BF401-BF402</f>
        <v>2.7508044975633656</v>
      </c>
      <c r="BG403" s="23">
        <f t="shared" si="2504"/>
        <v>4.7010267416585982</v>
      </c>
      <c r="BH403" s="35">
        <f t="shared" ref="BH403" si="2526">BH401-BH402</f>
        <v>2.7508044975633656</v>
      </c>
      <c r="BI403" s="23">
        <f t="shared" si="2506"/>
        <v>-2.7549045765185021E-3</v>
      </c>
      <c r="BJ403" s="35">
        <f t="shared" ref="BJ403" si="2527">BJ401-BJ402</f>
        <v>2.650804497563366</v>
      </c>
      <c r="BK403" s="23">
        <f t="shared" si="2507"/>
        <v>-8.9669555461780686</v>
      </c>
      <c r="BL403" s="35">
        <f t="shared" ref="BL403" si="2528">BL401-BL402</f>
        <v>2.650804497563366</v>
      </c>
      <c r="BM403" s="23">
        <f t="shared" si="2508"/>
        <v>-6.3781730769230771</v>
      </c>
      <c r="BN403" s="10"/>
      <c r="BO403" s="138"/>
      <c r="BP403" s="10"/>
      <c r="BQ403" s="152"/>
      <c r="BR403" s="152"/>
      <c r="BS403" s="152"/>
      <c r="BT403" s="10"/>
      <c r="BU403" s="37">
        <f t="shared" ref="BU403:CA403" si="2529">BU401-BU402</f>
        <v>3.3863649516754437</v>
      </c>
      <c r="BV403" s="23" t="str">
        <f>IF(ISERROR((BU403/BS403-1)*100),"NA",IF(((BU403/BS403-1)*100)&gt;100,"NM",IF(((BU403/BS403-1)*100)&lt;-50,"NM",(BU403/BS403-1)*100)))</f>
        <v>NA</v>
      </c>
      <c r="BW403" s="37">
        <f t="shared" si="2529"/>
        <v>2.8156849196752454</v>
      </c>
      <c r="BX403" s="23">
        <f>IF(ISERROR((BW403/BU403-1)*100),"NA",IF(((BW403/BU403-1)*100)&gt;100,"NM",IF(((BW403/BU403-1)*100)&lt;-50,"NM",(BW403/BU403-1)*100)))</f>
        <v>-16.852289701316682</v>
      </c>
      <c r="BY403" s="37">
        <f t="shared" si="2529"/>
        <v>3.0763049903865469</v>
      </c>
      <c r="BZ403" s="23">
        <f>IF(ISERROR((BY403/BW403-1)*100),"NA",IF(((BY403/BW403-1)*100)&gt;100,"NM",IF(((BY403/BW403-1)*100)&lt;-50,"NM",(BY403/BW403-1)*100)))</f>
        <v>9.2560097505995476</v>
      </c>
      <c r="CA403" s="37">
        <f t="shared" si="2529"/>
        <v>2.8054738165300108</v>
      </c>
      <c r="CB403" s="23">
        <f>IF(ISERROR((CA403/BY403-1)*100),"NA",IF(((CA403/BY403-1)*100)&gt;100,"NM",IF(((CA403/BY403-1)*100)&lt;-50,"NM",(CA403/BY403-1)*100)))</f>
        <v>-8.8037816374801459</v>
      </c>
      <c r="CC403" s="37">
        <f t="shared" ref="CC403" si="2530">CC401-CC402</f>
        <v>2.6617688612602426</v>
      </c>
      <c r="CD403" s="23">
        <f>IF(ISERROR((CC403/CA403-1)*100),"NA",IF(((CC403/CA403-1)*100)&gt;100,"NM",IF(((CC403/CA403-1)*100)&lt;-50,"NM",(CC403/CA403-1)*100)))</f>
        <v>-5.1223060583581503</v>
      </c>
      <c r="CE403" s="37">
        <f t="shared" ref="CE403" si="2531">CE401-CE402</f>
        <v>2.9036886975605634</v>
      </c>
      <c r="CF403" s="23">
        <f>IF(ISERROR((CE403/CC403-1)*100),"NA",IF(((CE403/CC403-1)*100)&gt;100,"NM",IF(((CE403/CC403-1)*100)&lt;-50,"NM",(CE403/CC403-1)*100)))</f>
        <v>9.0886868435969816</v>
      </c>
      <c r="CG403" s="37">
        <f t="shared" ref="CG403" si="2532">CG401-CG402</f>
        <v>2.8251420929455033</v>
      </c>
      <c r="CH403" s="23">
        <f>IF(ISERROR((CG403/CE403-1)*100),"NA",IF(((CG403/CE403-1)*100)&gt;100,"NM",IF(((CG403/CE403-1)*100)&lt;-50,"NM",(CG403/CE403-1)*100)))</f>
        <v>-2.7050628630076012</v>
      </c>
      <c r="CI403" s="37">
        <f t="shared" ref="CI403" si="2533">CI401-CI402</f>
        <v>2.7009521041212738</v>
      </c>
      <c r="CJ403" s="23">
        <f>IF(ISERROR((CI403/CG403-1)*100),"NA",IF(((CI403/CG403-1)*100)&gt;100,"NM",IF(((CI403/CG403-1)*100)&lt;-50,"NM",(CI403/CG403-1)*100)))</f>
        <v>-4.3958846931748008</v>
      </c>
      <c r="CK403" s="35">
        <f>CK401-CK402</f>
        <v>2.5509521041212735</v>
      </c>
      <c r="CL403" s="23">
        <f>IF(ISERROR((CK403/CI403-1)*100),"NA",IF(((CK403/CI403-1)*100)&gt;100,"NM",IF(((CK403/CI403-1)*100)&lt;-50,"NM",(CK403/CI403-1)*100)))</f>
        <v>-5.5535971841604077</v>
      </c>
      <c r="CM403" s="35">
        <f>CM401-CM402</f>
        <v>2.4009521041212731</v>
      </c>
      <c r="CN403" s="23">
        <f>IF(ISERROR((CM403/CK403-1)*100),"NA",IF(((CM403/CK403-1)*100)&gt;100,"NM",IF(((CM403/CK403-1)*100)&lt;-50,"NM",(CM403/CK403-1)*100)))</f>
        <v>-5.8801574423001934</v>
      </c>
      <c r="CO403" s="35">
        <f>CO401-CO402</f>
        <v>2.2509521041212728</v>
      </c>
      <c r="CP403" s="23">
        <f>IF(ISERROR((CO403/CM403-1)*100),"NA",IF(((CO403/CM403-1)*100)&gt;100,"NM",IF(((CO403/CM403-1)*100)&lt;-50,"NM",(CO403/CM403-1)*100)))</f>
        <v>-6.2475215454120487</v>
      </c>
      <c r="CQ403" s="35">
        <f>CQ401-CQ402</f>
        <v>2.1009521041212724</v>
      </c>
      <c r="CR403" s="23">
        <f>IF(ISERROR((CQ403/CO403-1)*100),"NA",IF(((CQ403/CO403-1)*100)&gt;100,"NM",IF(((CQ403/CO403-1)*100)&lt;-50,"NM",(CQ403/CO403-1)*100)))</f>
        <v>-6.6638468106613669</v>
      </c>
      <c r="CS403" s="23">
        <f>IF(ISERROR(((CQ403/CG403)^0.2-1)*100),"NA",IF((((CQ403/CG403)^0.2-1)*100)&gt;100,"NM",IF((((CQ403/CG403)^0.2-1)*100)&lt;-50,"NM",((CQ403/CG403)^0.2-1)*100)))</f>
        <v>-5.7513428366135706</v>
      </c>
    </row>
    <row r="404" spans="1:97" ht="12.75" customHeight="1" x14ac:dyDescent="0.2">
      <c r="A404" s="34"/>
      <c r="B404" s="37"/>
      <c r="C404" s="59"/>
      <c r="D404" s="37"/>
      <c r="E404" s="59"/>
      <c r="F404" s="37"/>
      <c r="G404" s="59"/>
      <c r="H404" s="37"/>
      <c r="I404" s="59"/>
      <c r="J404" s="37"/>
      <c r="K404" s="177"/>
      <c r="L404" s="37"/>
      <c r="M404" s="177"/>
      <c r="N404" s="37"/>
      <c r="O404" s="177"/>
      <c r="P404" s="37"/>
      <c r="Q404" s="177"/>
      <c r="R404" s="37"/>
      <c r="S404" s="177"/>
      <c r="T404" s="37"/>
      <c r="U404" s="177"/>
      <c r="V404" s="37"/>
      <c r="W404" s="177"/>
      <c r="X404" s="37"/>
      <c r="Y404" s="177"/>
      <c r="Z404" s="37"/>
      <c r="AA404" s="177"/>
      <c r="AB404" s="37"/>
      <c r="AC404" s="177"/>
      <c r="AD404" s="37"/>
      <c r="AE404" s="177"/>
      <c r="AF404" s="37"/>
      <c r="AG404" s="177"/>
      <c r="AH404" s="37"/>
      <c r="AI404" s="177"/>
      <c r="AJ404" s="37"/>
      <c r="AK404" s="177"/>
      <c r="AL404" s="37"/>
      <c r="AM404" s="177"/>
      <c r="AN404" s="411"/>
      <c r="AO404" s="177"/>
      <c r="AP404" s="411"/>
      <c r="AQ404" s="177"/>
      <c r="AR404" s="411"/>
      <c r="AS404" s="177"/>
      <c r="AT404" s="411"/>
      <c r="AU404" s="177"/>
      <c r="AV404" s="411"/>
      <c r="AW404" s="177"/>
      <c r="AX404" s="411"/>
      <c r="AY404" s="177"/>
      <c r="AZ404" s="411"/>
      <c r="BA404" s="177"/>
      <c r="BB404" s="411"/>
      <c r="BC404" s="177"/>
      <c r="BD404" s="411"/>
      <c r="BE404" s="177"/>
      <c r="BF404" s="37"/>
      <c r="BG404" s="177"/>
      <c r="BH404" s="37"/>
      <c r="BI404" s="177"/>
      <c r="BJ404" s="37"/>
      <c r="BK404" s="177"/>
      <c r="BL404" s="37"/>
      <c r="BM404" s="177"/>
      <c r="BN404" s="10"/>
      <c r="BO404" s="138"/>
      <c r="BP404" s="10"/>
      <c r="BQ404" s="10"/>
      <c r="BR404" s="10"/>
      <c r="BS404" s="10"/>
      <c r="BT404" s="10"/>
      <c r="BU404" s="37"/>
      <c r="BV404" s="177"/>
      <c r="BW404" s="37"/>
      <c r="BX404" s="177"/>
      <c r="BY404" s="37"/>
      <c r="BZ404" s="177"/>
      <c r="CA404" s="37"/>
      <c r="CB404" s="177"/>
      <c r="CC404" s="37"/>
      <c r="CD404" s="177"/>
      <c r="CE404" s="37"/>
      <c r="CF404" s="177"/>
      <c r="CG404" s="37"/>
      <c r="CH404" s="177"/>
      <c r="CI404" s="37"/>
      <c r="CJ404" s="177"/>
      <c r="CK404" s="37"/>
      <c r="CL404" s="177"/>
      <c r="CM404" s="37"/>
      <c r="CN404" s="177"/>
      <c r="CO404" s="37"/>
      <c r="CP404" s="177"/>
      <c r="CQ404" s="37"/>
      <c r="CR404" s="177"/>
      <c r="CS404" s="177"/>
    </row>
    <row r="405" spans="1:97" ht="12.75" customHeight="1" x14ac:dyDescent="0.2">
      <c r="A405" s="3" t="s">
        <v>124</v>
      </c>
      <c r="B405" s="35"/>
      <c r="C405" s="60"/>
      <c r="D405" s="35"/>
      <c r="E405" s="60"/>
      <c r="F405" s="35"/>
      <c r="G405" s="60"/>
      <c r="H405" s="35"/>
      <c r="I405" s="60"/>
      <c r="J405" s="35"/>
      <c r="L405" s="35"/>
      <c r="N405" s="35"/>
      <c r="P405" s="37"/>
      <c r="R405" s="37"/>
      <c r="T405" s="37"/>
      <c r="V405" s="37"/>
      <c r="X405" s="37"/>
      <c r="Z405" s="37"/>
      <c r="AB405" s="37"/>
      <c r="AD405" s="37"/>
      <c r="AF405" s="37"/>
      <c r="AH405" s="37"/>
      <c r="AJ405" s="37"/>
      <c r="AL405" s="37"/>
      <c r="AN405" s="411"/>
      <c r="AP405" s="411"/>
      <c r="AR405" s="409"/>
      <c r="AT405" s="409"/>
      <c r="AV405" s="409"/>
      <c r="AX405" s="409"/>
      <c r="AZ405" s="409"/>
      <c r="BB405" s="409"/>
      <c r="BD405" s="409"/>
      <c r="BF405" s="35"/>
      <c r="BH405" s="35"/>
      <c r="BJ405" s="35"/>
      <c r="BL405" s="35"/>
      <c r="BN405" s="10"/>
      <c r="BO405" s="138"/>
      <c r="BP405" s="10"/>
      <c r="BQ405" s="10"/>
      <c r="BR405" s="10"/>
      <c r="BS405" s="10"/>
      <c r="BT405" s="10"/>
      <c r="BU405" s="37"/>
      <c r="BW405" s="35"/>
      <c r="BY405" s="35"/>
      <c r="CA405" s="35"/>
      <c r="CC405" s="35"/>
      <c r="CE405" s="35"/>
      <c r="CG405" s="35"/>
      <c r="CI405" s="35"/>
      <c r="CK405" s="35"/>
      <c r="CM405" s="35"/>
      <c r="CO405" s="35"/>
      <c r="CQ405" s="35"/>
    </row>
    <row r="406" spans="1:97" ht="12.75" customHeight="1" x14ac:dyDescent="0.2">
      <c r="A406" s="31" t="s">
        <v>102</v>
      </c>
      <c r="B406" s="56">
        <f>B397</f>
        <v>16.646000000000001</v>
      </c>
      <c r="C406" s="59"/>
      <c r="D406" s="56">
        <f>D397</f>
        <v>16.558</v>
      </c>
      <c r="E406" s="59"/>
      <c r="F406" s="56">
        <f>F397</f>
        <v>16.204999999999998</v>
      </c>
      <c r="G406" s="59"/>
      <c r="H406" s="56">
        <f>H397</f>
        <v>16.170000000000002</v>
      </c>
      <c r="I406" s="59"/>
      <c r="J406" s="56">
        <f>J397</f>
        <v>16.187000000000001</v>
      </c>
      <c r="K406" s="23">
        <f>IF(ISERROR((J406/B406-1)*100),"NA",IF(((J406/B406-1)*100)&gt;100,"NM",IF(((J406/B406-1)*100)&lt;-50,"NM",(J406/B406-1)*100)))</f>
        <v>-2.7574191998077646</v>
      </c>
      <c r="L406" s="56">
        <f>L397</f>
        <v>16.170000000000002</v>
      </c>
      <c r="M406" s="23">
        <f>IF(ISERROR((L406/D406-1)*100),"NA",IF(((L406/D406-1)*100)&gt;100,"NM",IF(((L406/D406-1)*100)&lt;-50,"NM",(L406/D406-1)*100)))</f>
        <v>-2.3432781736924646</v>
      </c>
      <c r="N406" s="56">
        <f>N397</f>
        <v>16.106000000000002</v>
      </c>
      <c r="O406" s="23">
        <f>IF(ISERROR((N406/F406-1)*100),"NA",IF(((N406/F406-1)*100)&gt;100,"NM",IF(((N406/F406-1)*100)&lt;-50,"NM",(N406/F406-1)*100)))</f>
        <v>-0.61092255476702384</v>
      </c>
      <c r="P406" s="56">
        <f>P397</f>
        <v>16.600000000000001</v>
      </c>
      <c r="Q406" s="23">
        <f>IF(ISERROR((P406/H406-1)*100),"NA",IF(((P406/H406-1)*100)&gt;100,"NM",IF(((P406/H406-1)*100)&lt;-50,"NM",(P406/H406-1)*100)))</f>
        <v>2.6592455163883644</v>
      </c>
      <c r="R406" s="56">
        <f>R397</f>
        <v>16.3</v>
      </c>
      <c r="S406" s="23">
        <f>IF(ISERROR((R406/J406-1)*100),"NA",IF(((R406/J406-1)*100)&gt;100,"NM",IF(((R406/J406-1)*100)&lt;-50,"NM",(R406/J406-1)*100)))</f>
        <v>0.69809106072773464</v>
      </c>
      <c r="T406" s="56">
        <f>T397</f>
        <v>16.100000000000001</v>
      </c>
      <c r="U406" s="23">
        <f>IF(ISERROR((T406/L406-1)*100),"NA",IF(((T406/L406-1)*100)&gt;100,"NM",IF(((T406/L406-1)*100)&lt;-50,"NM",(T406/L406-1)*100)))</f>
        <v>-0.43290043290042934</v>
      </c>
      <c r="V406" s="56">
        <f>V397</f>
        <v>15.8</v>
      </c>
      <c r="W406" s="23">
        <f>IF(ISERROR((V406/N406-1)*100),"NA",IF(((V406/N406-1)*100)&gt;100,"NM",IF(((V406/N406-1)*100)&lt;-50,"NM",(V406/N406-1)*100)))</f>
        <v>-1.8999130758723504</v>
      </c>
      <c r="X406" s="56">
        <f>X397</f>
        <v>15.7</v>
      </c>
      <c r="Y406" s="23">
        <f>IF(ISERROR((X406/P406-1)*100),"NA",IF(((X406/P406-1)*100)&gt;100,"NM",IF(((X406/P406-1)*100)&lt;-50,"NM",(X406/P406-1)*100)))</f>
        <v>-5.4216867469879642</v>
      </c>
      <c r="Z406" s="56">
        <f>Z397</f>
        <v>15.8</v>
      </c>
      <c r="AA406" s="23">
        <f>IF(ISERROR((Z406/R406-1)*100),"NA",IF(((Z406/R406-1)*100)&gt;100,"NM",IF(((Z406/R406-1)*100)&lt;-50,"NM",(Z406/R406-1)*100)))</f>
        <v>-3.0674846625766916</v>
      </c>
      <c r="AB406" s="56">
        <f>AB397</f>
        <v>16.399999999999999</v>
      </c>
      <c r="AC406" s="23">
        <f>IF(ISERROR((AB406/T406-1)*100),"NA",IF(((AB406/T406-1)*100)&gt;100,"NM",IF(((AB406/T406-1)*100)&lt;-50,"NM",(AB406/T406-1)*100)))</f>
        <v>1.8633540372670732</v>
      </c>
      <c r="AD406" s="56">
        <f>AD397</f>
        <v>14.9</v>
      </c>
      <c r="AE406" s="23">
        <f>IF(ISERROR((AD406/V406-1)*100),"NA",IF(((AD406/V406-1)*100)&gt;100,"NM",IF(((AD406/V406-1)*100)&lt;-50,"NM",(AD406/V406-1)*100)))</f>
        <v>-5.6962025316455662</v>
      </c>
      <c r="AF406" s="56">
        <f>AF397</f>
        <v>15.3</v>
      </c>
      <c r="AG406" s="23">
        <f>IF(ISERROR((AF406/X406-1)*100),"NA",IF(((AF406/X406-1)*100)&gt;100,"NM",IF(((AF406/X406-1)*100)&lt;-50,"NM",(AF406/X406-1)*100)))</f>
        <v>-2.547770700636931</v>
      </c>
      <c r="AH406" s="56">
        <f>AH397</f>
        <v>15.4</v>
      </c>
      <c r="AI406" s="23">
        <f>IF(ISERROR((AH406/Z406-1)*100),"NA",IF(((AH406/Z406-1)*100)&gt;100,"NM",IF(((AH406/Z406-1)*100)&lt;-50,"NM",(AH406/Z406-1)*100)))</f>
        <v>-2.5316455696202556</v>
      </c>
      <c r="AJ406" s="56">
        <f>AJ397</f>
        <v>15.2</v>
      </c>
      <c r="AK406" s="23">
        <f>IF(ISERROR((AJ406/AB406-1)*100),"NA",IF(((AJ406/AB406-1)*100)&gt;100,"NM",IF(((AJ406/AB406-1)*100)&lt;-50,"NM",(AJ406/AB406-1)*100)))</f>
        <v>-7.3170731707317032</v>
      </c>
      <c r="AL406" s="56">
        <f>AL397</f>
        <v>15.2</v>
      </c>
      <c r="AM406" s="23">
        <f>IF(ISERROR((AL406/AD406-1)*100),"NA",IF(((AL406/AD406-1)*100)&gt;100,"NM",IF(((AL406/AD406-1)*100)&lt;-50,"NM",(AL406/AD406-1)*100)))</f>
        <v>2.0134228187919323</v>
      </c>
      <c r="AN406" s="413">
        <f t="shared" ref="AN406:AP406" si="2534">AN397</f>
        <v>15.1</v>
      </c>
      <c r="AO406" s="23">
        <f>IF(ISERROR((AN406/AF406-1)*100),"NA",IF(((AN406/AF406-1)*100)&gt;100,"NM",IF(((AN406/AF406-1)*100)&lt;-50,"NM",(AN406/AF406-1)*100)))</f>
        <v>-1.3071895424836666</v>
      </c>
      <c r="AP406" s="413">
        <f t="shared" si="2534"/>
        <v>15.2</v>
      </c>
      <c r="AQ406" s="23">
        <f t="shared" ref="AQ406:AQ410" si="2535">IF(ISERROR((AP406/AH406-1)*100),"NA",IF(((AP406/AH406-1)*100)&gt;100,"NM",IF(((AP406/AH406-1)*100)&lt;-50,"NM",(AP406/AH406-1)*100)))</f>
        <v>-1.2987012987013102</v>
      </c>
      <c r="AR406" s="413">
        <f t="shared" ref="AR406:AT406" si="2536">AR397</f>
        <v>15</v>
      </c>
      <c r="AS406" s="23">
        <f t="shared" ref="AS406:AS410" si="2537">IF(ISERROR((AR406/AJ406-1)*100),"NA",IF(((AR406/AJ406-1)*100)&gt;100,"NM",IF(((AR406/AJ406-1)*100)&lt;-50,"NM",(AR406/AJ406-1)*100)))</f>
        <v>-1.3157894736842035</v>
      </c>
      <c r="AT406" s="413">
        <f t="shared" si="2536"/>
        <v>14.7</v>
      </c>
      <c r="AU406" s="23">
        <f t="shared" ref="AU406:AU410" si="2538">IF(ISERROR((AT406/AL406-1)*100),"NA",IF(((AT406/AL406-1)*100)&gt;100,"NM",IF(((AT406/AL406-1)*100)&lt;-50,"NM",(AT406/AL406-1)*100)))</f>
        <v>-3.289473684210531</v>
      </c>
      <c r="AV406" s="413">
        <f t="shared" ref="AV406:AX406" si="2539">AV397</f>
        <v>14.7</v>
      </c>
      <c r="AW406" s="23">
        <f t="shared" ref="AW406:AW410" si="2540">IF(ISERROR((AV406/AN406-1)*100),"NA",IF(((AV406/AN406-1)*100)&gt;100,"NM",IF(((AV406/AN406-1)*100)&lt;-50,"NM",(AV406/AN406-1)*100)))</f>
        <v>-2.6490066225165587</v>
      </c>
      <c r="AX406" s="413">
        <f t="shared" si="2539"/>
        <v>14.8</v>
      </c>
      <c r="AY406" s="23">
        <f t="shared" ref="AY406:AY410" si="2541">IF(ISERROR((AX406/AP406-1)*100),"NA",IF(((AX406/AP406-1)*100)&gt;100,"NM",IF(((AX406/AP406-1)*100)&lt;-50,"NM",(AX406/AP406-1)*100)))</f>
        <v>-2.631578947368407</v>
      </c>
      <c r="AZ406" s="413">
        <f t="shared" ref="AZ406" si="2542">AZ397</f>
        <v>14.6</v>
      </c>
      <c r="BA406" s="23">
        <f t="shared" ref="BA406:BA410" si="2543">IF(ISERROR((AZ406/AR406-1)*100),"NA",IF(((AZ406/AR406-1)*100)&gt;100,"NM",IF(((AZ406/AR406-1)*100)&lt;-50,"NM",(AZ406/AR406-1)*100)))</f>
        <v>-2.6666666666666727</v>
      </c>
      <c r="BB406" s="413">
        <f t="shared" ref="BB406:BD406" si="2544">BB397</f>
        <v>14.4</v>
      </c>
      <c r="BC406" s="23">
        <f t="shared" ref="BC406:BC410" si="2545">IF(ISERROR((BB406/AT406-1)*100),"NA",IF(((BB406/AT406-1)*100)&gt;100,"NM",IF(((BB406/AT406-1)*100)&lt;-50,"NM",(BB406/AT406-1)*100)))</f>
        <v>-2.0408163265306034</v>
      </c>
      <c r="BD406" s="413">
        <f t="shared" si="2544"/>
        <v>14</v>
      </c>
      <c r="BE406" s="23">
        <f t="shared" ref="BE406:BE410" si="2546">IF(ISERROR((BD406/AV406-1)*100),"NA",IF(((BD406/AV406-1)*100)&gt;100,"NM",IF(((BD406/AV406-1)*100)&lt;-50,"NM",(BD406/AV406-1)*100)))</f>
        <v>-4.7619047619047556</v>
      </c>
      <c r="BF406" s="56">
        <f t="shared" ref="BF406" si="2547">BF397</f>
        <v>13.906856606136508</v>
      </c>
      <c r="BG406" s="23">
        <f t="shared" ref="BG406:BG410" si="2548">IF(ISERROR((BF406/AX406-1)*100),"NA",IF(((BF406/AX406-1)*100)&gt;100,"NM",IF(((BF406/AX406-1)*100)&lt;-50,"NM",(BF406/AX406-1)*100)))</f>
        <v>-6.0347526612398177</v>
      </c>
      <c r="BH406" s="56">
        <f t="shared" ref="BH406" si="2549">BH397</f>
        <v>14.080692313713211</v>
      </c>
      <c r="BI406" s="23">
        <f t="shared" ref="BI406:BI410" si="2550">IF(ISERROR((BH406/AZ406-1)*100),"NA",IF(((BH406/AZ406-1)*100)&gt;100,"NM",IF(((BH406/AZ406-1)*100)&lt;-50,"NM",(BH406/AZ406-1)*100)))</f>
        <v>-3.5569019608684194</v>
      </c>
      <c r="BJ406" s="56">
        <f t="shared" ref="BJ406" si="2551">BJ397</f>
        <v>14.256700967634627</v>
      </c>
      <c r="BK406" s="23">
        <f t="shared" ref="BK406:BK410" si="2552">IF(ISERROR((BJ406/BB406-1)*100),"NA",IF(((BJ406/BB406-1)*100)&gt;100,"NM",IF(((BJ406/BB406-1)*100)&lt;-50,"NM",(BJ406/BB406-1)*100)))</f>
        <v>-0.99513216920398273</v>
      </c>
      <c r="BL406" s="56">
        <f t="shared" ref="BL406" si="2553">BL397</f>
        <v>14.425943947289234</v>
      </c>
      <c r="BM406" s="23">
        <f t="shared" ref="BM406:BM410" si="2554">IF(ISERROR((BL406/BD406-1)*100),"NA",IF(((BL406/BD406-1)*100)&gt;100,"NM",IF(((BL406/BD406-1)*100)&lt;-50,"NM",(BL406/BD406-1)*100)))</f>
        <v>3.0424567663516644</v>
      </c>
      <c r="BN406" s="35"/>
      <c r="BO406" s="137"/>
      <c r="BP406" s="35"/>
      <c r="BQ406" s="48"/>
      <c r="BR406" s="35"/>
      <c r="BS406" s="48"/>
      <c r="BT406" s="35"/>
      <c r="BU406" s="56">
        <f>BU397</f>
        <v>65.579000000000008</v>
      </c>
      <c r="BV406" s="23" t="str">
        <f>IF(ISERROR((BU406/BS406-1)*100),"NA",IF(((BU406/BS406-1)*100)&gt;100,"NM",IF(((BU406/BS406-1)*100)&lt;-50,"NM",(BU406/BS406-1)*100)))</f>
        <v>NA</v>
      </c>
      <c r="BW406" s="56">
        <f>BW397</f>
        <v>65.063000000000002</v>
      </c>
      <c r="BX406" s="23">
        <f>IF(ISERROR((BW406/BU406-1)*100),"NA",IF(((BW406/BU406-1)*100)&gt;100,"NM",IF(((BW406/BU406-1)*100)&lt;-50,"NM",(BW406/BU406-1)*100)))</f>
        <v>-0.7868372497293441</v>
      </c>
      <c r="BY406" s="56">
        <f>BY397</f>
        <v>63.900000000000006</v>
      </c>
      <c r="BZ406" s="23">
        <f>IF(ISERROR((BY406/BW406-1)*100),"NA",IF(((BY406/BW406-1)*100)&gt;100,"NM",IF(((BY406/BW406-1)*100)&lt;-50,"NM",(BY406/BW406-1)*100)))</f>
        <v>-1.7874982709066511</v>
      </c>
      <c r="CA406" s="56">
        <f>CA397</f>
        <v>62.400000000000006</v>
      </c>
      <c r="CB406" s="23">
        <f>IF(ISERROR((CA406/BY406-1)*100),"NA",IF(((CA406/BY406-1)*100)&gt;100,"NM",IF(((CA406/BY406-1)*100)&lt;-50,"NM",(CA406/BY406-1)*100)))</f>
        <v>-2.3474178403755874</v>
      </c>
      <c r="CC406" s="56">
        <f>CC397</f>
        <v>60.9</v>
      </c>
      <c r="CD406" s="23">
        <f>IF(ISERROR((CC406/CA406-1)*100),"NA",IF(((CC406/CA406-1)*100)&gt;100,"NM",IF(((CC406/CA406-1)*100)&lt;-50,"NM",(CC406/CA406-1)*100)))</f>
        <v>-2.4038461538461675</v>
      </c>
      <c r="CE406" s="56">
        <f>CE397</f>
        <v>59.599999999999994</v>
      </c>
      <c r="CF406" s="23">
        <f>IF(ISERROR((CE406/CC406-1)*100),"NA",IF(((CE406/CC406-1)*100)&gt;100,"NM",IF(((CE406/CC406-1)*100)&lt;-50,"NM",(CE406/CC406-1)*100)))</f>
        <v>-2.1346469622331776</v>
      </c>
      <c r="CG406" s="56">
        <f>CG397</f>
        <v>57.8</v>
      </c>
      <c r="CH406" s="23">
        <f>IF(ISERROR((CG406/CE406-1)*100),"NA",IF(((CG406/CE406-1)*100)&gt;100,"NM",IF(((CG406/CE406-1)*100)&lt;-50,"NM",(CG406/CE406-1)*100)))</f>
        <v>-3.0201342281879096</v>
      </c>
      <c r="CI406" s="56">
        <f>CI397</f>
        <v>56.670193834773578</v>
      </c>
      <c r="CJ406" s="23">
        <f>IF(ISERROR((CI406/CG406-1)*100),"NA",IF(((CI406/CG406-1)*100)&gt;100,"NM",IF(((CI406/CG406-1)*100)&lt;-50,"NM",(CI406/CG406-1)*100)))</f>
        <v>-1.9546819467585075</v>
      </c>
      <c r="CK406" s="56">
        <f>CK397</f>
        <v>59.493967671258915</v>
      </c>
      <c r="CL406" s="23">
        <f>IF(ISERROR((CK406/CI406-1)*100),"NA",IF(((CK406/CI406-1)*100)&gt;100,"NM",IF(((CK406/CI406-1)*100)&lt;-50,"NM",(CK406/CI406-1)*100)))</f>
        <v>4.9828201483098411</v>
      </c>
      <c r="CM406" s="56">
        <f>CM397</f>
        <v>62.46866605482186</v>
      </c>
      <c r="CN406" s="23">
        <f>IF(ISERROR((CM406/CK406-1)*100),"NA",IF(((CM406/CK406-1)*100)&gt;100,"NM",IF(((CM406/CK406-1)*100)&lt;-50,"NM",(CM406/CK406-1)*100)))</f>
        <v>5.0000000000000044</v>
      </c>
      <c r="CO406" s="56">
        <f>CO397</f>
        <v>65.592099357562972</v>
      </c>
      <c r="CP406" s="23">
        <f>IF(ISERROR((CO406/CM406-1)*100),"NA",IF(((CO406/CM406-1)*100)&gt;100,"NM",IF(((CO406/CM406-1)*100)&lt;-50,"NM",(CO406/CM406-1)*100)))</f>
        <v>5.0000000000000266</v>
      </c>
      <c r="CQ406" s="56">
        <f>CQ397</f>
        <v>68.871704325441101</v>
      </c>
      <c r="CR406" s="23">
        <f>IF(ISERROR((CQ406/CO406-1)*100),"NA",IF(((CQ406/CO406-1)*100)&gt;100,"NM",IF(((CQ406/CO406-1)*100)&lt;-50,"NM",(CQ406/CO406-1)*100)))</f>
        <v>4.99999999999996</v>
      </c>
      <c r="CS406" s="23">
        <f>IF(ISERROR(((CQ406/CG406)^0.2-1)*100),"NA",IF((((CQ406/CG406)^0.2-1)*100)&gt;100,"NM",IF((((CQ406/CG406)^0.2-1)*100)&lt;-50,"NM",((CQ406/CG406)^0.2-1)*100)))</f>
        <v>3.5672866569408823</v>
      </c>
    </row>
    <row r="407" spans="1:97" ht="12.75" customHeight="1" x14ac:dyDescent="0.2">
      <c r="A407" s="4" t="s">
        <v>161</v>
      </c>
      <c r="B407" s="49">
        <v>41.664000000000001</v>
      </c>
      <c r="C407" s="59"/>
      <c r="D407" s="49">
        <v>40.088999999999999</v>
      </c>
      <c r="E407" s="59"/>
      <c r="F407" s="49">
        <v>39.485999999999997</v>
      </c>
      <c r="G407" s="59"/>
      <c r="H407" s="49">
        <v>37.707000000000001</v>
      </c>
      <c r="I407" s="59"/>
      <c r="J407" s="49">
        <v>44.023000000000003</v>
      </c>
      <c r="K407" s="23">
        <f t="shared" ref="K407:Y410" si="2555">IF(ISERROR((J407/B407-1)*100),"NA",IF(((J407/B407-1)*100)&gt;100,"NM",IF(((J407/B407-1)*100)&lt;-50,"NM",(J407/B407-1)*100)))</f>
        <v>5.6619623655913998</v>
      </c>
      <c r="L407" s="49">
        <v>39.731000000000002</v>
      </c>
      <c r="M407" s="23">
        <f t="shared" si="2555"/>
        <v>-0.89301304597270148</v>
      </c>
      <c r="N407" s="49">
        <v>40.279000000000003</v>
      </c>
      <c r="O407" s="23">
        <f t="shared" si="2555"/>
        <v>2.0083067416299505</v>
      </c>
      <c r="P407" s="49">
        <v>41.6</v>
      </c>
      <c r="Q407" s="23">
        <f t="shared" si="2555"/>
        <v>10.324342960193068</v>
      </c>
      <c r="R407" s="49">
        <v>39.6</v>
      </c>
      <c r="S407" s="23">
        <f t="shared" si="2555"/>
        <v>-10.047020875451473</v>
      </c>
      <c r="T407" s="49">
        <v>41</v>
      </c>
      <c r="U407" s="23">
        <f t="shared" si="2555"/>
        <v>3.193979512219669</v>
      </c>
      <c r="V407" s="49">
        <v>39.9</v>
      </c>
      <c r="W407" s="23">
        <f t="shared" si="2555"/>
        <v>-0.94093696467142385</v>
      </c>
      <c r="X407" s="49">
        <v>38.5</v>
      </c>
      <c r="Y407" s="23">
        <f t="shared" si="2555"/>
        <v>-7.4519230769230838</v>
      </c>
      <c r="Z407" s="49">
        <v>44.7</v>
      </c>
      <c r="AA407" s="23">
        <f>IF(ISERROR((Z407/R407-1)*100),"NA",IF(((Z407/R407-1)*100)&gt;100,"NM",IF(((Z407/R407-1)*100)&lt;-50,"NM",(Z407/R407-1)*100)))</f>
        <v>12.87878787878789</v>
      </c>
      <c r="AB407" s="49">
        <v>42</v>
      </c>
      <c r="AC407" s="23">
        <f>IF(ISERROR((AB407/T407-1)*100),"NA",IF(((AB407/T407-1)*100)&gt;100,"NM",IF(((AB407/T407-1)*100)&lt;-50,"NM",(AB407/T407-1)*100)))</f>
        <v>2.4390243902439046</v>
      </c>
      <c r="AD407" s="49">
        <v>40</v>
      </c>
      <c r="AE407" s="23">
        <f>IF(ISERROR((AD407/V407-1)*100),"NA",IF(((AD407/V407-1)*100)&gt;100,"NM",IF(((AD407/V407-1)*100)&lt;-50,"NM",(AD407/V407-1)*100)))</f>
        <v>0.25062656641603454</v>
      </c>
      <c r="AF407" s="49">
        <v>43.5</v>
      </c>
      <c r="AG407" s="23">
        <f>IF(ISERROR((AF407/X407-1)*100),"NA",IF(((AF407/X407-1)*100)&gt;100,"NM",IF(((AF407/X407-1)*100)&lt;-50,"NM",(AF407/X407-1)*100)))</f>
        <v>12.987012987012992</v>
      </c>
      <c r="AH407" s="49">
        <v>45.9</v>
      </c>
      <c r="AI407" s="23">
        <f>IF(ISERROR((AH407/Z407-1)*100),"NA",IF(((AH407/Z407-1)*100)&gt;100,"NM",IF(((AH407/Z407-1)*100)&lt;-50,"NM",(AH407/Z407-1)*100)))</f>
        <v>2.6845637583892579</v>
      </c>
      <c r="AJ407" s="49">
        <v>47.5</v>
      </c>
      <c r="AK407" s="23">
        <f>IF(ISERROR((AJ407/AB407-1)*100),"NA",IF(((AJ407/AB407-1)*100)&gt;100,"NM",IF(((AJ407/AB407-1)*100)&lt;-50,"NM",(AJ407/AB407-1)*100)))</f>
        <v>13.095238095238093</v>
      </c>
      <c r="AL407" s="49">
        <v>47.4</v>
      </c>
      <c r="AM407" s="23">
        <f>IF(ISERROR((AL407/AD407-1)*100),"NA",IF(((AL407/AD407-1)*100)&gt;100,"NM",IF(((AL407/AD407-1)*100)&lt;-50,"NM",(AL407/AD407-1)*100)))</f>
        <v>18.500000000000007</v>
      </c>
      <c r="AN407" s="158">
        <v>48.6</v>
      </c>
      <c r="AO407" s="23">
        <f>IF(ISERROR((AN407/AF407-1)*100),"NA",IF(((AN407/AF407-1)*100)&gt;100,"NM",IF(((AN407/AF407-1)*100)&lt;-50,"NM",(AN407/AF407-1)*100)))</f>
        <v>11.724137931034484</v>
      </c>
      <c r="AP407" s="158">
        <v>51.5</v>
      </c>
      <c r="AQ407" s="23">
        <f t="shared" si="2535"/>
        <v>12.200435729847502</v>
      </c>
      <c r="AR407" s="158">
        <v>49</v>
      </c>
      <c r="AS407" s="23">
        <f t="shared" si="2537"/>
        <v>3.1578947368421151</v>
      </c>
      <c r="AT407" s="158">
        <v>46.6</v>
      </c>
      <c r="AU407" s="23">
        <f t="shared" si="2538"/>
        <v>-1.6877637130801593</v>
      </c>
      <c r="AV407" s="158">
        <v>46.7</v>
      </c>
      <c r="AW407" s="23">
        <f t="shared" si="2540"/>
        <v>-3.9094650205761305</v>
      </c>
      <c r="AX407" s="158">
        <v>54.5</v>
      </c>
      <c r="AY407" s="23">
        <f t="shared" si="2541"/>
        <v>5.8252427184465994</v>
      </c>
      <c r="AZ407" s="158">
        <v>51</v>
      </c>
      <c r="BA407" s="23">
        <f t="shared" si="2543"/>
        <v>4.081632653061229</v>
      </c>
      <c r="BB407" s="158">
        <v>48.7</v>
      </c>
      <c r="BC407" s="23">
        <f t="shared" si="2545"/>
        <v>4.5064377682403567</v>
      </c>
      <c r="BD407" s="158">
        <v>51</v>
      </c>
      <c r="BE407" s="23">
        <f t="shared" si="2546"/>
        <v>9.2077087794432586</v>
      </c>
      <c r="BF407" s="36">
        <f t="shared" ref="BF407" si="2556">BF$398*BF413/100</f>
        <v>52.537739734375002</v>
      </c>
      <c r="BG407" s="23">
        <f t="shared" si="2548"/>
        <v>-3.6004775516054965</v>
      </c>
      <c r="BH407" s="36">
        <f t="shared" ref="BH407" si="2557">BH$398*BH413/100</f>
        <v>50.219756492851566</v>
      </c>
      <c r="BI407" s="23">
        <f t="shared" si="2550"/>
        <v>-1.5298892297028077</v>
      </c>
      <c r="BJ407" s="36">
        <f t="shared" ref="BJ407" si="2558">BJ$398*BJ413/100</f>
        <v>53.360391616063716</v>
      </c>
      <c r="BK407" s="23">
        <f t="shared" si="2552"/>
        <v>9.569592640787917</v>
      </c>
      <c r="BL407" s="36">
        <f t="shared" ref="BL407" si="2559">BL$398*BL413/100</f>
        <v>48.807691966456275</v>
      </c>
      <c r="BM407" s="23">
        <f t="shared" si="2554"/>
        <v>-4.2986432030269084</v>
      </c>
      <c r="BN407" s="10"/>
      <c r="BO407" s="137"/>
      <c r="BP407" s="10"/>
      <c r="BQ407" s="49">
        <v>160.80000000000001</v>
      </c>
      <c r="BR407" s="32"/>
      <c r="BS407" s="49">
        <v>164.8</v>
      </c>
      <c r="BT407" s="10"/>
      <c r="BU407" s="56">
        <f>B407+D407+F407+H407</f>
        <v>158.946</v>
      </c>
      <c r="BV407" s="23">
        <f>IF(ISERROR((BU407/BS407-1)*100),"NA",IF(((BU407/BS407-1)*100)&gt;100,"NM",IF(((BU407/BS407-1)*100)&lt;-50,"NM",(BU407/BS407-1)*100)))</f>
        <v>-3.5521844660194257</v>
      </c>
      <c r="BW407" s="56">
        <f>J407+L407+N407+P407</f>
        <v>165.63300000000001</v>
      </c>
      <c r="BX407" s="23">
        <f>IF(ISERROR((BW407/BU407-1)*100),"NA",IF(((BW407/BU407-1)*100)&gt;100,"NM",IF(((BW407/BU407-1)*100)&lt;-50,"NM",(BW407/BU407-1)*100)))</f>
        <v>4.207089200105707</v>
      </c>
      <c r="BY407" s="56">
        <f>R407+T407+V407+X407</f>
        <v>159</v>
      </c>
      <c r="BZ407" s="23">
        <f>IF(ISERROR((BY407/BW407-1)*100),"NA",IF(((BY407/BW407-1)*100)&gt;100,"NM",IF(((BY407/BW407-1)*100)&lt;-50,"NM",(BY407/BW407-1)*100)))</f>
        <v>-4.0046367571679564</v>
      </c>
      <c r="CA407" s="56">
        <f>Z407+AB407+AD407+AF407</f>
        <v>170.2</v>
      </c>
      <c r="CB407" s="23">
        <f>IF(ISERROR((CA407/BY407-1)*100),"NA",IF(((CA407/BY407-1)*100)&gt;100,"NM",IF(((CA407/BY407-1)*100)&lt;-50,"NM",(CA407/BY407-1)*100)))</f>
        <v>7.0440251572327028</v>
      </c>
      <c r="CC407" s="56">
        <f>AH407+AJ407+AL407+AN407</f>
        <v>189.4</v>
      </c>
      <c r="CD407" s="23">
        <f>IF(ISERROR((CC407/CA407-1)*100),"NA",IF(((CC407/CA407-1)*100)&gt;100,"NM",IF(((CC407/CA407-1)*100)&lt;-50,"NM",(CC407/CA407-1)*100)))</f>
        <v>11.280846063454764</v>
      </c>
      <c r="CE407" s="56">
        <f>AP407+AR407+AT407+AV407</f>
        <v>193.8</v>
      </c>
      <c r="CF407" s="23">
        <f>IF(ISERROR((CE407/CC407-1)*100),"NA",IF(((CE407/CC407-1)*100)&gt;100,"NM",IF(((CE407/CC407-1)*100)&lt;-50,"NM",(CE407/CC407-1)*100)))</f>
        <v>2.3231256599788752</v>
      </c>
      <c r="CG407" s="56">
        <f>AX407+AZ407+BB407+BD407</f>
        <v>205.2</v>
      </c>
      <c r="CH407" s="23">
        <f>IF(ISERROR((CG407/CE407-1)*100),"NA",IF(((CG407/CE407-1)*100)&gt;100,"NM",IF(((CG407/CE407-1)*100)&lt;-50,"NM",(CG407/CE407-1)*100)))</f>
        <v>5.8823529411764497</v>
      </c>
      <c r="CI407" s="56">
        <f>BF407+BH407+BJ407+BL407</f>
        <v>204.92557980974655</v>
      </c>
      <c r="CJ407" s="23">
        <f>IF(ISERROR((CI407/CG407-1)*100),"NA",IF(((CI407/CG407-1)*100)&gt;100,"NM",IF(((CI407/CG407-1)*100)&lt;-50,"NM",(CI407/CG407-1)*100)))</f>
        <v>-0.13373303618589016</v>
      </c>
      <c r="CK407" s="36">
        <f>CK$398*CK413/100</f>
        <v>205.47339259640285</v>
      </c>
      <c r="CL407" s="23">
        <f>IF(ISERROR((CK407/CI407-1)*100),"NA",IF(((CK407/CI407-1)*100)&gt;100,"NM",IF(((CK407/CI407-1)*100)&lt;-50,"NM",(CK407/CI407-1)*100)))</f>
        <v>0.26732279453101082</v>
      </c>
      <c r="CM407" s="36">
        <f>CM$398*CM413/100</f>
        <v>211.42754908509605</v>
      </c>
      <c r="CN407" s="23">
        <f>IF(ISERROR((CM407/CK407-1)*100),"NA",IF(((CM407/CK407-1)*100)&gt;100,"NM",IF(((CM407/CK407-1)*100)&lt;-50,"NM",(CM407/CK407-1)*100)))</f>
        <v>2.8977749447046675</v>
      </c>
      <c r="CO407" s="36">
        <f>CO$398*CO413/100</f>
        <v>217.50831379278981</v>
      </c>
      <c r="CP407" s="23">
        <f>IF(ISERROR((CO407/CM407-1)*100),"NA",IF(((CO407/CM407-1)*100)&gt;100,"NM",IF(((CO407/CM407-1)*100)&lt;-50,"NM",(CO407/CM407-1)*100)))</f>
        <v>2.8760512686293094</v>
      </c>
      <c r="CQ407" s="36">
        <f>CQ$398*CQ413/100</f>
        <v>223.71473324601854</v>
      </c>
      <c r="CR407" s="23">
        <f>IF(ISERROR((CQ407/CO407-1)*100),"NA",IF(((CQ407/CO407-1)*100)&gt;100,"NM",IF(((CQ407/CO407-1)*100)&lt;-50,"NM",(CQ407/CO407-1)*100)))</f>
        <v>2.8534171154217525</v>
      </c>
      <c r="CS407" s="23">
        <f>IF(ISERROR(((CQ407/CG407)^0.2-1)*100),"NA",IF((((CQ407/CG407)^0.2-1)*100)&gt;100,"NM",IF((((CQ407/CG407)^0.2-1)*100)&lt;-50,"NM",((CQ407/CG407)^0.2-1)*100)))</f>
        <v>1.742743916480749</v>
      </c>
    </row>
    <row r="408" spans="1:97" ht="12.75" customHeight="1" x14ac:dyDescent="0.2">
      <c r="A408" s="4" t="s">
        <v>162</v>
      </c>
      <c r="B408" s="49">
        <v>20.067</v>
      </c>
      <c r="C408" s="59"/>
      <c r="D408" s="49">
        <v>14.798</v>
      </c>
      <c r="E408" s="59"/>
      <c r="F408" s="49">
        <v>17.04</v>
      </c>
      <c r="G408" s="59"/>
      <c r="H408" s="49">
        <v>18.384</v>
      </c>
      <c r="I408" s="59"/>
      <c r="J408" s="49">
        <v>17.451000000000001</v>
      </c>
      <c r="K408" s="23">
        <f t="shared" si="2555"/>
        <v>-13.036328300194345</v>
      </c>
      <c r="L408" s="49">
        <v>17.696000000000002</v>
      </c>
      <c r="M408" s="23">
        <f t="shared" si="2555"/>
        <v>19.583727530747417</v>
      </c>
      <c r="N408" s="49">
        <v>16.68</v>
      </c>
      <c r="O408" s="23">
        <f t="shared" si="2555"/>
        <v>-2.1126760563380254</v>
      </c>
      <c r="P408" s="49">
        <v>17.7</v>
      </c>
      <c r="Q408" s="23">
        <f t="shared" si="2555"/>
        <v>-3.7206266318537962</v>
      </c>
      <c r="R408" s="49">
        <v>19.7</v>
      </c>
      <c r="S408" s="23">
        <f t="shared" si="2555"/>
        <v>12.887513609535262</v>
      </c>
      <c r="T408" s="49">
        <v>19.600000000000001</v>
      </c>
      <c r="U408" s="23">
        <f t="shared" si="2555"/>
        <v>10.759493670886066</v>
      </c>
      <c r="V408" s="49">
        <v>18.7</v>
      </c>
      <c r="W408" s="23">
        <f t="shared" si="2555"/>
        <v>12.110311750599511</v>
      </c>
      <c r="X408" s="49">
        <v>18</v>
      </c>
      <c r="Y408" s="23">
        <f t="shared" si="2555"/>
        <v>1.6949152542372836</v>
      </c>
      <c r="Z408" s="49">
        <v>23.4</v>
      </c>
      <c r="AA408" s="23">
        <f>IF(ISERROR((Z408/R408-1)*100),"NA",IF(((Z408/R408-1)*100)&gt;100,"NM",IF(((Z408/R408-1)*100)&lt;-50,"NM",(Z408/R408-1)*100)))</f>
        <v>18.781725888324875</v>
      </c>
      <c r="AB408" s="49">
        <v>18.899999999999999</v>
      </c>
      <c r="AC408" s="23">
        <f>IF(ISERROR((AB408/T408-1)*100),"NA",IF(((AB408/T408-1)*100)&gt;100,"NM",IF(((AB408/T408-1)*100)&lt;-50,"NM",(AB408/T408-1)*100)))</f>
        <v>-3.5714285714285809</v>
      </c>
      <c r="AD408" s="49">
        <v>21</v>
      </c>
      <c r="AE408" s="23">
        <f>IF(ISERROR((AD408/V408-1)*100),"NA",IF(((AD408/V408-1)*100)&gt;100,"NM",IF(((AD408/V408-1)*100)&lt;-50,"NM",(AD408/V408-1)*100)))</f>
        <v>12.299465240641716</v>
      </c>
      <c r="AF408" s="49">
        <v>20.2</v>
      </c>
      <c r="AG408" s="23">
        <f>IF(ISERROR((AF408/X408-1)*100),"NA",IF(((AF408/X408-1)*100)&gt;100,"NM",IF(((AF408/X408-1)*100)&lt;-50,"NM",(AF408/X408-1)*100)))</f>
        <v>12.222222222222223</v>
      </c>
      <c r="AH408" s="49">
        <v>22.7</v>
      </c>
      <c r="AI408" s="23">
        <f>IF(ISERROR((AH408/Z408-1)*100),"NA",IF(((AH408/Z408-1)*100)&gt;100,"NM",IF(((AH408/Z408-1)*100)&lt;-50,"NM",(AH408/Z408-1)*100)))</f>
        <v>-2.9914529914529919</v>
      </c>
      <c r="AJ408" s="49">
        <v>26.7</v>
      </c>
      <c r="AK408" s="23">
        <f>IF(ISERROR((AJ408/AB408-1)*100),"NA",IF(((AJ408/AB408-1)*100)&gt;100,"NM",IF(((AJ408/AB408-1)*100)&lt;-50,"NM",(AJ408/AB408-1)*100)))</f>
        <v>41.26984126984128</v>
      </c>
      <c r="AL408" s="49">
        <v>24.2</v>
      </c>
      <c r="AM408" s="23">
        <f>IF(ISERROR((AL408/AD408-1)*100),"NA",IF(((AL408/AD408-1)*100)&gt;100,"NM",IF(((AL408/AD408-1)*100)&lt;-50,"NM",(AL408/AD408-1)*100)))</f>
        <v>15.238095238095228</v>
      </c>
      <c r="AN408" s="158">
        <v>25.7</v>
      </c>
      <c r="AO408" s="23">
        <f>IF(ISERROR((AN408/AF408-1)*100),"NA",IF(((AN408/AF408-1)*100)&gt;100,"NM",IF(((AN408/AF408-1)*100)&lt;-50,"NM",(AN408/AF408-1)*100)))</f>
        <v>27.227722772277229</v>
      </c>
      <c r="AP408" s="158">
        <v>28</v>
      </c>
      <c r="AQ408" s="23">
        <f t="shared" si="2535"/>
        <v>23.348017621145377</v>
      </c>
      <c r="AR408" s="158">
        <v>28.2</v>
      </c>
      <c r="AS408" s="23">
        <f t="shared" si="2537"/>
        <v>5.6179775280898792</v>
      </c>
      <c r="AT408" s="158">
        <v>29</v>
      </c>
      <c r="AU408" s="23">
        <f t="shared" si="2538"/>
        <v>19.834710743801654</v>
      </c>
      <c r="AV408" s="158">
        <v>26.4</v>
      </c>
      <c r="AW408" s="23">
        <f t="shared" si="2540"/>
        <v>2.7237354085603016</v>
      </c>
      <c r="AX408" s="158">
        <v>35.4</v>
      </c>
      <c r="AY408" s="23">
        <f t="shared" si="2541"/>
        <v>26.428571428571423</v>
      </c>
      <c r="AZ408" s="158">
        <v>32.299999999999997</v>
      </c>
      <c r="BA408" s="23">
        <f t="shared" si="2543"/>
        <v>14.539007092198574</v>
      </c>
      <c r="BB408" s="158">
        <v>32.1</v>
      </c>
      <c r="BC408" s="23">
        <f t="shared" si="2545"/>
        <v>10.689655172413804</v>
      </c>
      <c r="BD408" s="158">
        <v>31</v>
      </c>
      <c r="BE408" s="23">
        <f t="shared" si="2546"/>
        <v>17.424242424242429</v>
      </c>
      <c r="BF408" s="36">
        <f t="shared" ref="BF408" si="2560">BF$398*BF414/100</f>
        <v>36.818155457523247</v>
      </c>
      <c r="BG408" s="23">
        <f t="shared" si="2548"/>
        <v>4.00608886306002</v>
      </c>
      <c r="BH408" s="36">
        <f t="shared" ref="BH408" si="2561">BH$398*BH414/100</f>
        <v>32.256104350086297</v>
      </c>
      <c r="BI408" s="23">
        <f t="shared" si="2550"/>
        <v>-0.13589984493406204</v>
      </c>
      <c r="BJ408" s="36">
        <f t="shared" ref="BJ408" si="2562">BJ$398*BJ414/100</f>
        <v>34.273331460183847</v>
      </c>
      <c r="BK408" s="23">
        <f t="shared" si="2552"/>
        <v>6.7705029912269232</v>
      </c>
      <c r="BL408" s="36">
        <f t="shared" ref="BL408" si="2563">BL$398*BL414/100</f>
        <v>31.111353421753634</v>
      </c>
      <c r="BM408" s="23">
        <f t="shared" si="2554"/>
        <v>0.35920458630205321</v>
      </c>
      <c r="BN408" s="10"/>
      <c r="BO408" s="137"/>
      <c r="BP408" s="10"/>
      <c r="BQ408" s="49">
        <v>77.2</v>
      </c>
      <c r="BR408" s="32"/>
      <c r="BS408" s="49">
        <v>68.400000000000006</v>
      </c>
      <c r="BT408" s="10"/>
      <c r="BU408" s="56">
        <f>B408+D408+F408+H408</f>
        <v>70.289000000000001</v>
      </c>
      <c r="BV408" s="23">
        <f>IF(ISERROR((BU408/BS408-1)*100),"NA",IF(((BU408/BS408-1)*100)&gt;100,"NM",IF(((BU408/BS408-1)*100)&lt;-50,"NM",(BU408/BS408-1)*100)))</f>
        <v>2.7616959064327373</v>
      </c>
      <c r="BW408" s="56">
        <f>J408+L408+N408+P408</f>
        <v>69.527000000000001</v>
      </c>
      <c r="BX408" s="23">
        <f>IF(ISERROR((BW408/BU408-1)*100),"NA",IF(((BW408/BU408-1)*100)&gt;100,"NM",IF(((BW408/BU408-1)*100)&lt;-50,"NM",(BW408/BU408-1)*100)))</f>
        <v>-1.0840956621946507</v>
      </c>
      <c r="BY408" s="56">
        <f>R408+T408+V408+X408</f>
        <v>76</v>
      </c>
      <c r="BZ408" s="23">
        <f>IF(ISERROR((BY408/BW408-1)*100),"NA",IF(((BY408/BW408-1)*100)&gt;100,"NM",IF(((BY408/BW408-1)*100)&lt;-50,"NM",(BY408/BW408-1)*100)))</f>
        <v>9.3100522099328398</v>
      </c>
      <c r="CA408" s="56">
        <f>Z408+AB408+AD408+AF408</f>
        <v>83.5</v>
      </c>
      <c r="CB408" s="23">
        <f>IF(ISERROR((CA408/BY408-1)*100),"NA",IF(((CA408/BY408-1)*100)&gt;100,"NM",IF(((CA408/BY408-1)*100)&lt;-50,"NM",(CA408/BY408-1)*100)))</f>
        <v>9.8684210526315717</v>
      </c>
      <c r="CC408" s="56">
        <f>AH408+AJ408+AL408+AN408</f>
        <v>99.3</v>
      </c>
      <c r="CD408" s="23">
        <f>IF(ISERROR((CC408/CA408-1)*100),"NA",IF(((CC408/CA408-1)*100)&gt;100,"NM",IF(((CC408/CA408-1)*100)&lt;-50,"NM",(CC408/CA408-1)*100)))</f>
        <v>18.922155688622745</v>
      </c>
      <c r="CE408" s="56">
        <f>AP408+AR408+AT408+AV408</f>
        <v>111.6</v>
      </c>
      <c r="CF408" s="23">
        <f>IF(ISERROR((CE408/CC408-1)*100),"NA",IF(((CE408/CC408-1)*100)&gt;100,"NM",IF(((CE408/CC408-1)*100)&lt;-50,"NM",(CE408/CC408-1)*100)))</f>
        <v>12.38670694864048</v>
      </c>
      <c r="CG408" s="56">
        <f>AX408+AZ408+BB408+BD408</f>
        <v>130.79999999999998</v>
      </c>
      <c r="CH408" s="23">
        <f>IF(ISERROR((CG408/CE408-1)*100),"NA",IF(((CG408/CE408-1)*100)&gt;100,"NM",IF(((CG408/CE408-1)*100)&lt;-50,"NM",(CG408/CE408-1)*100)))</f>
        <v>17.204301075268802</v>
      </c>
      <c r="CI408" s="56">
        <f>BF408+BH408+BJ408+BL408</f>
        <v>134.45894468954702</v>
      </c>
      <c r="CJ408" s="23">
        <f>IF(ISERROR((CI408/CG408-1)*100),"NA",IF(((CI408/CG408-1)*100)&gt;100,"NM",IF(((CI408/CG408-1)*100)&lt;-50,"NM",(CI408/CG408-1)*100)))</f>
        <v>2.7973583253417811</v>
      </c>
      <c r="CK408" s="36">
        <f>CK$398*CK414/100</f>
        <v>138.37871628848399</v>
      </c>
      <c r="CL408" s="23">
        <f>IF(ISERROR((CK408/CI408-1)*100),"NA",IF(((CK408/CI408-1)*100)&gt;100,"NM",IF(((CK408/CI408-1)*100)&lt;-50,"NM",(CK408/CI408-1)*100)))</f>
        <v>2.9152181790414566</v>
      </c>
      <c r="CM408" s="36">
        <f>CM$398*CM414/100</f>
        <v>142.38862005789562</v>
      </c>
      <c r="CN408" s="23">
        <f>IF(ISERROR((CM408/CK408-1)*100),"NA",IF(((CM408/CK408-1)*100)&gt;100,"NM",IF(((CM408/CK408-1)*100)&lt;-50,"NM",(CM408/CK408-1)*100)))</f>
        <v>2.8977749447046675</v>
      </c>
      <c r="CO408" s="36">
        <f>CO$398*CO414/100</f>
        <v>146.4837897714545</v>
      </c>
      <c r="CP408" s="23">
        <f>IF(ISERROR((CO408/CM408-1)*100),"NA",IF(((CO408/CM408-1)*100)&gt;100,"NM",IF(((CO408/CM408-1)*100)&lt;-50,"NM",(CO408/CM408-1)*100)))</f>
        <v>2.8760512686293094</v>
      </c>
      <c r="CQ408" s="36">
        <f>CQ$398*CQ414/100</f>
        <v>150.66358330011161</v>
      </c>
      <c r="CR408" s="23">
        <f>IF(ISERROR((CQ408/CO408-1)*100),"NA",IF(((CQ408/CO408-1)*100)&gt;100,"NM",IF(((CQ408/CO408-1)*100)&lt;-50,"NM",(CQ408/CO408-1)*100)))</f>
        <v>2.8534171154217525</v>
      </c>
      <c r="CS408" s="23">
        <f>IF(ISERROR(((CQ408/CG408)^0.2-1)*100),"NA",IF((((CQ408/CG408)^0.2-1)*100)&gt;100,"NM",IF((((CQ408/CG408)^0.2-1)*100)&lt;-50,"NM",((CQ408/CG408)^0.2-1)*100)))</f>
        <v>2.8679558151393891</v>
      </c>
    </row>
    <row r="409" spans="1:97" ht="12.75" customHeight="1" x14ac:dyDescent="0.2">
      <c r="A409" s="4" t="s">
        <v>158</v>
      </c>
      <c r="B409" s="49">
        <v>3.4860000000000002</v>
      </c>
      <c r="C409" s="59"/>
      <c r="D409" s="49">
        <v>3.359</v>
      </c>
      <c r="E409" s="59"/>
      <c r="F409" s="49">
        <v>3.5960000000000001</v>
      </c>
      <c r="G409" s="59"/>
      <c r="H409" s="49">
        <v>5.4269999999999996</v>
      </c>
      <c r="I409" s="59"/>
      <c r="J409" s="49">
        <v>2.5129999999999999</v>
      </c>
      <c r="K409" s="23">
        <f t="shared" si="2555"/>
        <v>-27.911646586345384</v>
      </c>
      <c r="L409" s="49">
        <v>3.8959999999999999</v>
      </c>
      <c r="M409" s="23">
        <f t="shared" si="2555"/>
        <v>15.986900863352194</v>
      </c>
      <c r="N409" s="49">
        <v>3.653</v>
      </c>
      <c r="O409" s="23">
        <f t="shared" si="2555"/>
        <v>1.5850945494994439</v>
      </c>
      <c r="P409" s="49">
        <v>3.1</v>
      </c>
      <c r="Q409" s="23">
        <f t="shared" si="2555"/>
        <v>-42.878201584669242</v>
      </c>
      <c r="R409" s="49">
        <v>3.1</v>
      </c>
      <c r="S409" s="23">
        <f t="shared" si="2555"/>
        <v>23.358535614803031</v>
      </c>
      <c r="T409" s="49">
        <v>3.9</v>
      </c>
      <c r="U409" s="23">
        <f t="shared" si="2555"/>
        <v>0.10266940451746365</v>
      </c>
      <c r="V409" s="49">
        <v>4.9000000000000004</v>
      </c>
      <c r="W409" s="23">
        <f t="shared" si="2555"/>
        <v>34.136326307144827</v>
      </c>
      <c r="X409" s="49">
        <f>4.4+0.5</f>
        <v>4.9000000000000004</v>
      </c>
      <c r="Y409" s="23">
        <f t="shared" si="2555"/>
        <v>58.06451612903227</v>
      </c>
      <c r="Z409" s="49">
        <f>4.4+4.6</f>
        <v>9</v>
      </c>
      <c r="AA409" s="23" t="str">
        <f>IF(ISERROR((Z409/R409-1)*100),"NA",IF(((Z409/R409-1)*100)&gt;100,"NM",IF(((Z409/R409-1)*100)&lt;-50,"NM",(Z409/R409-1)*100)))</f>
        <v>NM</v>
      </c>
      <c r="AB409" s="49">
        <f>2.4+1.8</f>
        <v>4.2</v>
      </c>
      <c r="AC409" s="23">
        <f>IF(ISERROR((AB409/T409-1)*100),"NA",IF(((AB409/T409-1)*100)&gt;100,"NM",IF(((AB409/T409-1)*100)&lt;-50,"NM",(AB409/T409-1)*100)))</f>
        <v>7.6923076923077094</v>
      </c>
      <c r="AD409" s="49">
        <f>3.2+1.4</f>
        <v>4.5999999999999996</v>
      </c>
      <c r="AE409" s="23">
        <f>IF(ISERROR((AD409/V409-1)*100),"NA",IF(((AD409/V409-1)*100)&gt;100,"NM",IF(((AD409/V409-1)*100)&lt;-50,"NM",(AD409/V409-1)*100)))</f>
        <v>-6.1224489795918551</v>
      </c>
      <c r="AF409" s="49">
        <v>3.3</v>
      </c>
      <c r="AG409" s="23">
        <f>IF(ISERROR((AF409/X409-1)*100),"NA",IF(((AF409/X409-1)*100)&gt;100,"NM",IF(((AF409/X409-1)*100)&lt;-50,"NM",(AF409/X409-1)*100)))</f>
        <v>-32.653061224489811</v>
      </c>
      <c r="AH409" s="49">
        <f>3.9+0.7</f>
        <v>4.5999999999999996</v>
      </c>
      <c r="AI409" s="23">
        <f>IF(ISERROR((AH409/Z409-1)*100),"NA",IF(((AH409/Z409-1)*100)&gt;100,"NM",IF(((AH409/Z409-1)*100)&lt;-50,"NM",(AH409/Z409-1)*100)))</f>
        <v>-48.888888888888893</v>
      </c>
      <c r="AJ409" s="49">
        <f>4.2+0.9</f>
        <v>5.1000000000000005</v>
      </c>
      <c r="AK409" s="23">
        <f>IF(ISERROR((AJ409/AB409-1)*100),"NA",IF(((AJ409/AB409-1)*100)&gt;100,"NM",IF(((AJ409/AB409-1)*100)&lt;-50,"NM",(AJ409/AB409-1)*100)))</f>
        <v>21.428571428571441</v>
      </c>
      <c r="AL409" s="49">
        <f>2.6+2.6</f>
        <v>5.2</v>
      </c>
      <c r="AM409" s="23">
        <f>IF(ISERROR((AL409/AD409-1)*100),"NA",IF(((AL409/AD409-1)*100)&gt;100,"NM",IF(((AL409/AD409-1)*100)&lt;-50,"NM",(AL409/AD409-1)*100)))</f>
        <v>13.043478260869579</v>
      </c>
      <c r="AN409" s="158">
        <f>3+0.2</f>
        <v>3.2</v>
      </c>
      <c r="AO409" s="23">
        <f>IF(ISERROR((AN409/AF409-1)*100),"NA",IF(((AN409/AF409-1)*100)&gt;100,"NM",IF(((AN409/AF409-1)*100)&lt;-50,"NM",(AN409/AF409-1)*100)))</f>
        <v>-3.0303030303030165</v>
      </c>
      <c r="AP409" s="158">
        <f>3.4+2.3</f>
        <v>5.6999999999999993</v>
      </c>
      <c r="AQ409" s="23">
        <f t="shared" si="2535"/>
        <v>23.913043478260864</v>
      </c>
      <c r="AR409" s="158">
        <f>3.8+1.5</f>
        <v>5.3</v>
      </c>
      <c r="AS409" s="23">
        <f t="shared" si="2537"/>
        <v>3.9215686274509665</v>
      </c>
      <c r="AT409" s="158">
        <f>2.1+0.2</f>
        <v>2.3000000000000003</v>
      </c>
      <c r="AU409" s="23" t="str">
        <f t="shared" si="2538"/>
        <v>NM</v>
      </c>
      <c r="AV409" s="158">
        <f>2.4</f>
        <v>2.4</v>
      </c>
      <c r="AW409" s="23">
        <f t="shared" si="2540"/>
        <v>-25.000000000000011</v>
      </c>
      <c r="AX409" s="158">
        <f>2.5+0.5</f>
        <v>3</v>
      </c>
      <c r="AY409" s="23">
        <f t="shared" si="2541"/>
        <v>-47.368421052631568</v>
      </c>
      <c r="AZ409" s="158">
        <f>2.2+1</f>
        <v>3.2</v>
      </c>
      <c r="BA409" s="23">
        <f t="shared" si="2543"/>
        <v>-39.622641509433954</v>
      </c>
      <c r="BB409" s="158">
        <f>1.9+0.6</f>
        <v>2.5</v>
      </c>
      <c r="BC409" s="23">
        <f t="shared" si="2545"/>
        <v>8.6956521739130377</v>
      </c>
      <c r="BD409" s="158">
        <v>3</v>
      </c>
      <c r="BE409" s="23">
        <f t="shared" si="2546"/>
        <v>25</v>
      </c>
      <c r="BF409" s="36">
        <f t="shared" ref="BF409" si="2564">BF407*BF415/100</f>
        <v>2.8919856734518357</v>
      </c>
      <c r="BG409" s="23">
        <f t="shared" si="2548"/>
        <v>-3.6004775516054743</v>
      </c>
      <c r="BH409" s="36">
        <f t="shared" ref="BH409" si="2565">BH407*BH415/100</f>
        <v>3.1510435446495095</v>
      </c>
      <c r="BI409" s="23">
        <f t="shared" si="2550"/>
        <v>-1.5298892297028299</v>
      </c>
      <c r="BJ409" s="36">
        <f t="shared" ref="BJ409" si="2566">BJ407*BJ415/100</f>
        <v>2.739239816019698</v>
      </c>
      <c r="BK409" s="23">
        <f t="shared" si="2552"/>
        <v>9.569592640787917</v>
      </c>
      <c r="BL409" s="36">
        <f t="shared" ref="BL409" si="2567">BL407*BL415/100</f>
        <v>2.8710407039091921</v>
      </c>
      <c r="BM409" s="23">
        <f t="shared" si="2554"/>
        <v>-4.2986432030269306</v>
      </c>
      <c r="BN409" s="10"/>
      <c r="BO409" s="137"/>
      <c r="BP409" s="10"/>
      <c r="BQ409" s="49">
        <v>9.4</v>
      </c>
      <c r="BR409" s="32"/>
      <c r="BS409" s="49">
        <f>17.4+2</f>
        <v>19.399999999999999</v>
      </c>
      <c r="BT409" s="10"/>
      <c r="BU409" s="56">
        <f>B409+D409+F409+H409</f>
        <v>15.868</v>
      </c>
      <c r="BV409" s="23">
        <f>IF(ISERROR((BU409/BS409-1)*100),"NA",IF(((BU409/BS409-1)*100)&gt;100,"NM",IF(((BU409/BS409-1)*100)&lt;-50,"NM",(BU409/BS409-1)*100)))</f>
        <v>-18.206185567010301</v>
      </c>
      <c r="BW409" s="56">
        <f>J409+L409+N409+P409</f>
        <v>13.161999999999999</v>
      </c>
      <c r="BX409" s="23">
        <f>IF(ISERROR((BW409/BU409-1)*100),"NA",IF(((BW409/BU409-1)*100)&gt;100,"NM",IF(((BW409/BU409-1)*100)&lt;-50,"NM",(BW409/BU409-1)*100)))</f>
        <v>-17.053188807663233</v>
      </c>
      <c r="BY409" s="56">
        <f>R409+T409+V409+X409</f>
        <v>16.8</v>
      </c>
      <c r="BZ409" s="23">
        <f>IF(ISERROR((BY409/BW409-1)*100),"NA",IF(((BY409/BW409-1)*100)&gt;100,"NM",IF(((BY409/BW409-1)*100)&lt;-50,"NM",(BY409/BW409-1)*100)))</f>
        <v>27.640176265005323</v>
      </c>
      <c r="CA409" s="56">
        <f>Z409+AB409+AD409+AF409</f>
        <v>21.099999999999998</v>
      </c>
      <c r="CB409" s="23">
        <f>IF(ISERROR((CA409/BY409-1)*100),"NA",IF(((CA409/BY409-1)*100)&gt;100,"NM",IF(((CA409/BY409-1)*100)&lt;-50,"NM",(CA409/BY409-1)*100)))</f>
        <v>25.59523809523807</v>
      </c>
      <c r="CC409" s="56">
        <f>AH409+AJ409+AL409+AN409</f>
        <v>18.099999999999998</v>
      </c>
      <c r="CD409" s="23">
        <f>IF(ISERROR((CC409/CA409-1)*100),"NA",IF(((CC409/CA409-1)*100)&gt;100,"NM",IF(((CC409/CA409-1)*100)&lt;-50,"NM",(CC409/CA409-1)*100)))</f>
        <v>-14.218009478672988</v>
      </c>
      <c r="CE409" s="56">
        <f>AP409+AR409+AT409+AV409</f>
        <v>15.700000000000001</v>
      </c>
      <c r="CF409" s="23">
        <f>IF(ISERROR((CE409/CC409-1)*100),"NA",IF(((CE409/CC409-1)*100)&gt;100,"NM",IF(((CE409/CC409-1)*100)&lt;-50,"NM",(CE409/CC409-1)*100)))</f>
        <v>-13.25966850828728</v>
      </c>
      <c r="CG409" s="56">
        <f>AX409+AZ409+BB409+BD409</f>
        <v>11.7</v>
      </c>
      <c r="CH409" s="23">
        <f>IF(ISERROR((CG409/CE409-1)*100),"NA",IF(((CG409/CE409-1)*100)&gt;100,"NM",IF(((CG409/CE409-1)*100)&lt;-50,"NM",(CG409/CE409-1)*100)))</f>
        <v>-25.477707006369432</v>
      </c>
      <c r="CI409" s="56">
        <f>BF409+BH409+BJ409+BL409</f>
        <v>11.653309738030234</v>
      </c>
      <c r="CJ409" s="23">
        <f>IF(ISERROR((CI409/CG409-1)*100),"NA",IF(((CI409/CG409-1)*100)&gt;100,"NM",IF(((CI409/CG409-1)*100)&lt;-50,"NM",(CI409/CG409-1)*100)))</f>
        <v>-0.39906206811765044</v>
      </c>
      <c r="CK409" s="36">
        <f>CK407*CK415/100</f>
        <v>11.684461691277292</v>
      </c>
      <c r="CL409" s="23">
        <f>IF(ISERROR((CK409/CI409-1)*100),"NA",IF(((CK409/CI409-1)*100)&gt;100,"NM",IF(((CK409/CI409-1)*100)&lt;-50,"NM",(CK409/CI409-1)*100)))</f>
        <v>0.26732279453101082</v>
      </c>
      <c r="CM409" s="36">
        <f>CM407*CM415/100</f>
        <v>12.023051094590739</v>
      </c>
      <c r="CN409" s="23">
        <f>IF(ISERROR((CM409/CK409-1)*100),"NA",IF(((CM409/CK409-1)*100)&gt;100,"NM",IF(((CM409/CK409-1)*100)&lt;-50,"NM",(CM409/CK409-1)*100)))</f>
        <v>2.8977749447046675</v>
      </c>
      <c r="CO409" s="36">
        <f>CO407*CO415/100</f>
        <v>12.368840208124668</v>
      </c>
      <c r="CP409" s="23">
        <f>IF(ISERROR((CO409/CM409-1)*100),"NA",IF(((CO409/CM409-1)*100)&gt;100,"NM",IF(((CO409/CM409-1)*100)&lt;-50,"NM",(CO409/CM409-1)*100)))</f>
        <v>2.8760512686293316</v>
      </c>
      <c r="CQ409" s="36">
        <f>CQ407*CQ415/100</f>
        <v>12.721774811602465</v>
      </c>
      <c r="CR409" s="23">
        <f>IF(ISERROR((CQ409/CO409-1)*100),"NA",IF(((CQ409/CO409-1)*100)&gt;100,"NM",IF(((CQ409/CO409-1)*100)&lt;-50,"NM",(CQ409/CO409-1)*100)))</f>
        <v>2.8534171154217525</v>
      </c>
      <c r="CS409" s="23">
        <f>IF(ISERROR(((CQ409/CG409)^0.2-1)*100),"NA",IF((((CQ409/CG409)^0.2-1)*100)&gt;100,"NM",IF((((CQ409/CG409)^0.2-1)*100)&lt;-50,"NM",((CQ409/CG409)^0.2-1)*100)))</f>
        <v>1.6886234625832497</v>
      </c>
    </row>
    <row r="410" spans="1:97" ht="12.75" customHeight="1" x14ac:dyDescent="0.2">
      <c r="A410" s="4" t="s">
        <v>11</v>
      </c>
      <c r="B410" s="56">
        <f>SUM(B406:B409)</f>
        <v>81.863000000000014</v>
      </c>
      <c r="C410" s="59"/>
      <c r="D410" s="56">
        <f>SUM(D406:D409)</f>
        <v>74.803999999999988</v>
      </c>
      <c r="E410" s="59"/>
      <c r="F410" s="56">
        <f>SUM(F406:F409)</f>
        <v>76.326999999999998</v>
      </c>
      <c r="G410" s="59"/>
      <c r="H410" s="56">
        <f>SUM(H406:H409)</f>
        <v>77.687999999999988</v>
      </c>
      <c r="I410" s="59"/>
      <c r="J410" s="56">
        <f>SUM(J406:J409)</f>
        <v>80.174000000000007</v>
      </c>
      <c r="K410" s="23">
        <f t="shared" si="2555"/>
        <v>-2.0632031564931763</v>
      </c>
      <c r="L410" s="56">
        <f>SUM(L406:L409)</f>
        <v>77.493000000000009</v>
      </c>
      <c r="M410" s="23">
        <f t="shared" si="2555"/>
        <v>3.5947275546762469</v>
      </c>
      <c r="N410" s="56">
        <f>SUM(N406:N409)</f>
        <v>76.718000000000004</v>
      </c>
      <c r="O410" s="23">
        <f t="shared" si="2555"/>
        <v>0.51226957695180708</v>
      </c>
      <c r="P410" s="56">
        <f>SUM(P406:P409)</f>
        <v>79</v>
      </c>
      <c r="Q410" s="23">
        <f t="shared" si="2555"/>
        <v>1.688806508083629</v>
      </c>
      <c r="R410" s="56">
        <f>SUM(R406:R409)</f>
        <v>78.7</v>
      </c>
      <c r="S410" s="23">
        <f t="shared" si="2555"/>
        <v>-1.8385012597600281</v>
      </c>
      <c r="T410" s="56">
        <f>SUM(T406:T409)</f>
        <v>80.600000000000009</v>
      </c>
      <c r="U410" s="23">
        <f t="shared" si="2555"/>
        <v>4.0093943969132573</v>
      </c>
      <c r="V410" s="56">
        <f>SUM(V406:V409)</f>
        <v>79.300000000000011</v>
      </c>
      <c r="W410" s="23">
        <f t="shared" si="2555"/>
        <v>3.3655726165958466</v>
      </c>
      <c r="X410" s="56">
        <f>SUM(X406:X409)</f>
        <v>77.100000000000009</v>
      </c>
      <c r="Y410" s="23">
        <f t="shared" si="2555"/>
        <v>-2.4050632911392311</v>
      </c>
      <c r="Z410" s="56">
        <f>SUM(Z406:Z409)</f>
        <v>92.9</v>
      </c>
      <c r="AA410" s="23">
        <f>IF(ISERROR((Z410/R410-1)*100),"NA",IF(((Z410/R410-1)*100)&gt;100,"NM",IF(((Z410/R410-1)*100)&lt;-50,"NM",(Z410/R410-1)*100)))</f>
        <v>18.043202033036842</v>
      </c>
      <c r="AB410" s="56">
        <f>SUM(AB406:AB409)</f>
        <v>81.5</v>
      </c>
      <c r="AC410" s="23">
        <f>IF(ISERROR((AB410/T410-1)*100),"NA",IF(((AB410/T410-1)*100)&gt;100,"NM",IF(((AB410/T410-1)*100)&lt;-50,"NM",(AB410/T410-1)*100)))</f>
        <v>1.1166253101736912</v>
      </c>
      <c r="AD410" s="56">
        <f>SUM(AD406:AD409)</f>
        <v>80.5</v>
      </c>
      <c r="AE410" s="23">
        <f>IF(ISERROR((AD410/V410-1)*100),"NA",IF(((AD410/V410-1)*100)&gt;100,"NM",IF(((AD410/V410-1)*100)&lt;-50,"NM",(AD410/V410-1)*100)))</f>
        <v>1.5132408575031286</v>
      </c>
      <c r="AF410" s="56">
        <f>SUM(AF406:AF409)</f>
        <v>82.3</v>
      </c>
      <c r="AG410" s="23">
        <f>IF(ISERROR((AF410/X410-1)*100),"NA",IF(((AF410/X410-1)*100)&gt;100,"NM",IF(((AF410/X410-1)*100)&lt;-50,"NM",(AF410/X410-1)*100)))</f>
        <v>6.7444876783397945</v>
      </c>
      <c r="AH410" s="56">
        <f>SUM(AH406:AH409)</f>
        <v>88.6</v>
      </c>
      <c r="AI410" s="23">
        <f>IF(ISERROR((AH410/Z410-1)*100),"NA",IF(((AH410/Z410-1)*100)&gt;100,"NM",IF(((AH410/Z410-1)*100)&lt;-50,"NM",(AH410/Z410-1)*100)))</f>
        <v>-4.6286329386437171</v>
      </c>
      <c r="AJ410" s="56">
        <f>SUM(AJ406:AJ409)</f>
        <v>94.5</v>
      </c>
      <c r="AK410" s="23">
        <f>IF(ISERROR((AJ410/AB410-1)*100),"NA",IF(((AJ410/AB410-1)*100)&gt;100,"NM",IF(((AJ410/AB410-1)*100)&lt;-50,"NM",(AJ410/AB410-1)*100)))</f>
        <v>15.95092024539877</v>
      </c>
      <c r="AL410" s="56">
        <f>SUM(AL406:AL409)</f>
        <v>92</v>
      </c>
      <c r="AM410" s="23">
        <f>IF(ISERROR((AL410/AD410-1)*100),"NA",IF(((AL410/AD410-1)*100)&gt;100,"NM",IF(((AL410/AD410-1)*100)&lt;-50,"NM",(AL410/AD410-1)*100)))</f>
        <v>14.285714285714279</v>
      </c>
      <c r="AN410" s="413">
        <f t="shared" ref="AN410:AP410" si="2568">SUM(AN406:AN409)</f>
        <v>92.600000000000009</v>
      </c>
      <c r="AO410" s="23">
        <f>IF(ISERROR((AN410/AF410-1)*100),"NA",IF(((AN410/AF410-1)*100)&gt;100,"NM",IF(((AN410/AF410-1)*100)&lt;-50,"NM",(AN410/AF410-1)*100)))</f>
        <v>12.515188335358452</v>
      </c>
      <c r="AP410" s="413">
        <f t="shared" si="2568"/>
        <v>100.4</v>
      </c>
      <c r="AQ410" s="23">
        <f t="shared" si="2535"/>
        <v>13.318284424379257</v>
      </c>
      <c r="AR410" s="413">
        <f t="shared" ref="AR410:AT410" si="2569">SUM(AR406:AR409)</f>
        <v>97.5</v>
      </c>
      <c r="AS410" s="23">
        <f t="shared" si="2537"/>
        <v>3.1746031746031855</v>
      </c>
      <c r="AT410" s="413">
        <f t="shared" si="2569"/>
        <v>92.6</v>
      </c>
      <c r="AU410" s="23">
        <f t="shared" si="2538"/>
        <v>0.65217391304346339</v>
      </c>
      <c r="AV410" s="413">
        <f t="shared" ref="AV410:AX410" si="2570">SUM(AV406:AV409)</f>
        <v>90.200000000000017</v>
      </c>
      <c r="AW410" s="23">
        <f t="shared" si="2540"/>
        <v>-2.591792656587466</v>
      </c>
      <c r="AX410" s="413">
        <f t="shared" si="2570"/>
        <v>107.69999999999999</v>
      </c>
      <c r="AY410" s="23">
        <f t="shared" si="2541"/>
        <v>7.2709163346613481</v>
      </c>
      <c r="AZ410" s="413">
        <f t="shared" ref="AZ410" si="2571">SUM(AZ406:AZ409)</f>
        <v>101.1</v>
      </c>
      <c r="BA410" s="23">
        <f t="shared" si="2543"/>
        <v>3.6923076923076836</v>
      </c>
      <c r="BB410" s="413">
        <f t="shared" ref="BB410:BD410" si="2572">SUM(BB406:BB409)</f>
        <v>97.7</v>
      </c>
      <c r="BC410" s="23">
        <f t="shared" si="2545"/>
        <v>5.5075593952483848</v>
      </c>
      <c r="BD410" s="413">
        <f t="shared" si="2572"/>
        <v>99</v>
      </c>
      <c r="BE410" s="23">
        <f t="shared" si="2546"/>
        <v>9.7560975609755971</v>
      </c>
      <c r="BF410" s="56">
        <f t="shared" ref="BF410" si="2573">SUM(BF406:BF409)</f>
        <v>106.1547374714866</v>
      </c>
      <c r="BG410" s="23">
        <f t="shared" si="2548"/>
        <v>-1.4347841490375046</v>
      </c>
      <c r="BH410" s="56">
        <f t="shared" ref="BH410" si="2574">SUM(BH406:BH409)</f>
        <v>99.707596701300574</v>
      </c>
      <c r="BI410" s="23">
        <f t="shared" si="2550"/>
        <v>-1.3772535100884498</v>
      </c>
      <c r="BJ410" s="56">
        <f t="shared" ref="BJ410" si="2575">SUM(BJ406:BJ409)</f>
        <v>104.62966385990188</v>
      </c>
      <c r="BK410" s="23">
        <f t="shared" si="2552"/>
        <v>7.0927982189374461</v>
      </c>
      <c r="BL410" s="56">
        <f t="shared" ref="BL410" si="2576">SUM(BL406:BL409)</f>
        <v>97.216030039408338</v>
      </c>
      <c r="BM410" s="23">
        <f t="shared" si="2554"/>
        <v>-1.8019898591834949</v>
      </c>
      <c r="BN410" s="10"/>
      <c r="BO410" s="137"/>
      <c r="BP410" s="10"/>
      <c r="BQ410" s="36">
        <f>SUM(BQ407:BQ409)</f>
        <v>247.4</v>
      </c>
      <c r="BR410" s="10"/>
      <c r="BS410" s="36">
        <f>SUM(BS407:BS409)</f>
        <v>252.60000000000002</v>
      </c>
      <c r="BT410" s="10"/>
      <c r="BU410" s="56">
        <f>SUM(BU406:BU409)</f>
        <v>310.68200000000002</v>
      </c>
      <c r="BV410" s="23">
        <f>IF(ISERROR((BU410/BS410-1)*100),"NA",IF(((BU410/BS410-1)*100)&gt;100,"NM",IF(((BU410/BS410-1)*100)&lt;-50,"NM",(BU410/BS410-1)*100)))</f>
        <v>22.993665874901016</v>
      </c>
      <c r="BW410" s="56">
        <f>SUM(BW406:BW409)</f>
        <v>313.38499999999999</v>
      </c>
      <c r="BX410" s="23">
        <f>IF(ISERROR((BW410/BU410-1)*100),"NA",IF(((BW410/BU410-1)*100)&gt;100,"NM",IF(((BW410/BU410-1)*100)&lt;-50,"NM",(BW410/BU410-1)*100)))</f>
        <v>0.87002143671019994</v>
      </c>
      <c r="BY410" s="56">
        <f>SUM(BY406:BY409)</f>
        <v>315.7</v>
      </c>
      <c r="BZ410" s="23">
        <f>IF(ISERROR((BY410/BW410-1)*100),"NA",IF(((BY410/BW410-1)*100)&gt;100,"NM",IF(((BY410/BW410-1)*100)&lt;-50,"NM",(BY410/BW410-1)*100)))</f>
        <v>0.73870797900346119</v>
      </c>
      <c r="CA410" s="56">
        <f>SUM(CA406:CA409)</f>
        <v>337.20000000000005</v>
      </c>
      <c r="CB410" s="23">
        <f>IF(ISERROR((CA410/BY410-1)*100),"NA",IF(((CA410/BY410-1)*100)&gt;100,"NM",IF(((CA410/BY410-1)*100)&lt;-50,"NM",(CA410/BY410-1)*100)))</f>
        <v>6.8102629078238941</v>
      </c>
      <c r="CC410" s="56">
        <f>SUM(CC406:CC409)</f>
        <v>367.70000000000005</v>
      </c>
      <c r="CD410" s="23">
        <f>IF(ISERROR((CC410/CA410-1)*100),"NA",IF(((CC410/CA410-1)*100)&gt;100,"NM",IF(((CC410/CA410-1)*100)&lt;-50,"NM",(CC410/CA410-1)*100)))</f>
        <v>9.0450771055753165</v>
      </c>
      <c r="CE410" s="56">
        <f>SUM(CE406:CE409)</f>
        <v>380.7</v>
      </c>
      <c r="CF410" s="23">
        <f>IF(ISERROR((CE410/CC410-1)*100),"NA",IF(((CE410/CC410-1)*100)&gt;100,"NM",IF(((CE410/CC410-1)*100)&lt;-50,"NM",(CE410/CC410-1)*100)))</f>
        <v>3.5354908893119319</v>
      </c>
      <c r="CG410" s="56">
        <f>SUM(CG406:CG409)</f>
        <v>405.49999999999994</v>
      </c>
      <c r="CH410" s="23">
        <f>IF(ISERROR((CG410/CE410-1)*100),"NA",IF(((CG410/CE410-1)*100)&gt;100,"NM",IF(((CG410/CE410-1)*100)&lt;-50,"NM",(CG410/CE410-1)*100)))</f>
        <v>6.51431573417387</v>
      </c>
      <c r="CI410" s="56">
        <f>SUM(CI406:CI409)</f>
        <v>407.70802807209742</v>
      </c>
      <c r="CJ410" s="23">
        <f>IF(ISERROR((CI410/CG410-1)*100),"NA",IF(((CI410/CG410-1)*100)&gt;100,"NM",IF(((CI410/CG410-1)*100)&lt;-50,"NM",(CI410/CG410-1)*100)))</f>
        <v>0.54451986981443046</v>
      </c>
      <c r="CK410" s="56">
        <f>SUM(CK406:CK409)</f>
        <v>415.03053824742307</v>
      </c>
      <c r="CL410" s="23">
        <f>IF(ISERROR((CK410/CI410-1)*100),"NA",IF(((CK410/CI410-1)*100)&gt;100,"NM",IF(((CK410/CI410-1)*100)&lt;-50,"NM",(CK410/CI410-1)*100)))</f>
        <v>1.7960181480730419</v>
      </c>
      <c r="CM410" s="56">
        <f>SUM(CM406:CM409)</f>
        <v>428.30788629240431</v>
      </c>
      <c r="CN410" s="23">
        <f>IF(ISERROR((CM410/CK410-1)*100),"NA",IF(((CM410/CK410-1)*100)&gt;100,"NM",IF(((CM410/CK410-1)*100)&lt;-50,"NM",(CM410/CK410-1)*100)))</f>
        <v>3.1991255633978977</v>
      </c>
      <c r="CO410" s="56">
        <f>SUM(CO406:CO409)</f>
        <v>441.95304312993193</v>
      </c>
      <c r="CP410" s="23">
        <f>IF(ISERROR((CO410/CM410-1)*100),"NA",IF(((CO410/CM410-1)*100)&gt;100,"NM",IF(((CO410/CM410-1)*100)&lt;-50,"NM",(CO410/CM410-1)*100)))</f>
        <v>3.1858289969034281</v>
      </c>
      <c r="CQ410" s="56">
        <f>SUM(CQ406:CQ409)</f>
        <v>455.97179568317375</v>
      </c>
      <c r="CR410" s="23">
        <f>IF(ISERROR((CQ410/CO410-1)*100),"NA",IF(((CQ410/CO410-1)*100)&gt;100,"NM",IF(((CQ410/CO410-1)*100)&lt;-50,"NM",(CQ410/CO410-1)*100)))</f>
        <v>3.1720004582297623</v>
      </c>
      <c r="CS410" s="23">
        <f>IF(ISERROR(((CQ410/CG410)^0.2-1)*100),"NA",IF((((CQ410/CG410)^0.2-1)*100)&gt;100,"NM",IF((((CQ410/CG410)^0.2-1)*100)&lt;-50,"NM",((CQ410/CG410)^0.2-1)*100)))</f>
        <v>2.3739414796745129</v>
      </c>
    </row>
    <row r="411" spans="1:97" ht="12.75" customHeight="1" x14ac:dyDescent="0.2">
      <c r="B411" s="37"/>
      <c r="C411" s="59"/>
      <c r="D411" s="37"/>
      <c r="E411" s="59"/>
      <c r="F411" s="37"/>
      <c r="G411" s="59"/>
      <c r="H411" s="37"/>
      <c r="I411" s="59"/>
      <c r="J411" s="37"/>
      <c r="L411" s="37"/>
      <c r="N411" s="37"/>
      <c r="P411" s="35"/>
      <c r="R411" s="35"/>
      <c r="T411" s="35"/>
      <c r="V411" s="35"/>
      <c r="X411" s="35"/>
      <c r="Z411" s="35"/>
      <c r="AB411" s="35"/>
      <c r="AD411" s="35"/>
      <c r="AF411" s="35"/>
      <c r="AH411" s="35"/>
      <c r="AJ411" s="35"/>
      <c r="AL411" s="35"/>
      <c r="AN411" s="409"/>
      <c r="AP411" s="409"/>
      <c r="AR411" s="409"/>
      <c r="AT411" s="409"/>
      <c r="AV411" s="409"/>
      <c r="AX411" s="409"/>
      <c r="AZ411" s="409"/>
      <c r="BB411" s="409"/>
      <c r="BD411" s="409"/>
      <c r="BF411" s="35"/>
      <c r="BH411" s="35"/>
      <c r="BJ411" s="35"/>
      <c r="BL411" s="35"/>
      <c r="BN411" s="10"/>
      <c r="BO411" s="138"/>
      <c r="BP411" s="10"/>
      <c r="BQ411" s="10"/>
      <c r="BR411" s="10"/>
      <c r="BS411" s="10"/>
      <c r="BT411" s="10"/>
      <c r="BU411" s="37"/>
      <c r="BW411" s="35"/>
      <c r="BY411" s="35"/>
      <c r="CA411" s="35"/>
      <c r="CC411" s="35"/>
      <c r="CE411" s="35"/>
      <c r="CG411" s="35"/>
      <c r="CI411" s="35"/>
      <c r="CK411" s="35"/>
      <c r="CM411" s="35"/>
      <c r="CO411" s="35"/>
      <c r="CQ411" s="35"/>
    </row>
    <row r="412" spans="1:97" ht="12.75" customHeight="1" x14ac:dyDescent="0.2">
      <c r="A412" s="11" t="s">
        <v>125</v>
      </c>
      <c r="B412" s="37"/>
      <c r="C412" s="59"/>
      <c r="D412" s="37"/>
      <c r="E412" s="59"/>
      <c r="F412" s="37"/>
      <c r="G412" s="59"/>
      <c r="H412" s="37"/>
      <c r="I412" s="59"/>
      <c r="J412" s="37"/>
      <c r="L412" s="37"/>
      <c r="N412" s="37"/>
      <c r="P412" s="35"/>
      <c r="R412" s="35"/>
      <c r="T412" s="35"/>
      <c r="V412" s="35"/>
      <c r="X412" s="35"/>
      <c r="Z412" s="35"/>
      <c r="AB412" s="35"/>
      <c r="AD412" s="35"/>
      <c r="AF412" s="35"/>
      <c r="AH412" s="35"/>
      <c r="AJ412" s="35"/>
      <c r="AL412" s="35"/>
      <c r="AN412" s="409"/>
      <c r="AP412" s="409"/>
      <c r="AR412" s="409"/>
      <c r="AT412" s="409"/>
      <c r="AV412" s="409"/>
      <c r="AX412" s="409"/>
      <c r="AZ412" s="409"/>
      <c r="BB412" s="409"/>
      <c r="BD412" s="409"/>
      <c r="BF412" s="35"/>
      <c r="BH412" s="35"/>
      <c r="BJ412" s="35"/>
      <c r="BL412" s="35"/>
      <c r="BN412" s="10"/>
      <c r="BO412" s="138"/>
      <c r="BP412" s="10"/>
      <c r="BQ412" s="10"/>
      <c r="BR412" s="10"/>
      <c r="BS412" s="10"/>
      <c r="BT412" s="10"/>
      <c r="BU412" s="37"/>
      <c r="BW412" s="35"/>
      <c r="BY412" s="35"/>
      <c r="CA412" s="35"/>
      <c r="CC412" s="35"/>
      <c r="CE412" s="35"/>
      <c r="CG412" s="35"/>
      <c r="CI412" s="35"/>
      <c r="CK412" s="35"/>
      <c r="CM412" s="35"/>
      <c r="CO412" s="35"/>
      <c r="CQ412" s="35"/>
    </row>
    <row r="413" spans="1:97" ht="12.75" customHeight="1" x14ac:dyDescent="0.2">
      <c r="A413" s="4" t="s">
        <v>126</v>
      </c>
      <c r="B413" s="37">
        <f t="shared" ref="B413:P413" si="2577">B407/B398*100</f>
        <v>43.76518617768815</v>
      </c>
      <c r="C413" s="59"/>
      <c r="D413" s="37">
        <f t="shared" si="2577"/>
        <v>37.928994296249016</v>
      </c>
      <c r="E413" s="59"/>
      <c r="F413" s="37">
        <f t="shared" si="2577"/>
        <v>41.864226757218034</v>
      </c>
      <c r="G413" s="59"/>
      <c r="H413" s="37">
        <f t="shared" si="2577"/>
        <v>38.169833097723519</v>
      </c>
      <c r="I413" s="59"/>
      <c r="J413" s="37">
        <f t="shared" si="2577"/>
        <v>46.015469844256295</v>
      </c>
      <c r="K413" s="23">
        <f t="shared" ref="K413:Y415" si="2578">IF(ISERROR((J413/B413-1)*100),"NA",IF(((J413/B413-1)*100)&gt;100,"NM",IF(((J413/B413-1)*100)&lt;-50,"NM",(J413/B413-1)*100)))</f>
        <v>5.1417207673512877</v>
      </c>
      <c r="L413" s="37">
        <f t="shared" si="2577"/>
        <v>37.30680388364101</v>
      </c>
      <c r="M413" s="23">
        <f t="shared" si="2578"/>
        <v>-1.6404084109067352</v>
      </c>
      <c r="N413" s="37">
        <f t="shared" si="2577"/>
        <v>35.724802213786504</v>
      </c>
      <c r="O413" s="23">
        <f t="shared" si="2578"/>
        <v>-14.665085250554643</v>
      </c>
      <c r="P413" s="35">
        <f t="shared" si="2577"/>
        <v>38.654166008492751</v>
      </c>
      <c r="Q413" s="23">
        <f t="shared" si="2578"/>
        <v>1.2688892548448738</v>
      </c>
      <c r="R413" s="35">
        <f>R407/R398*100</f>
        <v>43.468715697036231</v>
      </c>
      <c r="S413" s="23">
        <f t="shared" si="2578"/>
        <v>-5.5345607810586177</v>
      </c>
      <c r="T413" s="35">
        <f>T407/T398*100</f>
        <v>35.745422842197037</v>
      </c>
      <c r="U413" s="23">
        <f t="shared" si="2578"/>
        <v>-4.1852447245652069</v>
      </c>
      <c r="V413" s="35">
        <f>V407/V398*100</f>
        <v>36.808118081180815</v>
      </c>
      <c r="W413" s="23">
        <f t="shared" si="2578"/>
        <v>3.0323915046791994</v>
      </c>
      <c r="X413" s="35">
        <f>X407/X398*100</f>
        <v>35.780669144981417</v>
      </c>
      <c r="Y413" s="23">
        <f t="shared" si="2578"/>
        <v>-7.4338607199027296</v>
      </c>
      <c r="Z413" s="35">
        <f>Z407/Z398*100</f>
        <v>40.710382513661209</v>
      </c>
      <c r="AA413" s="23">
        <f>IF(ISERROR((Z413/R413-1)*100),"NA",IF(((Z413/R413-1)*100)&gt;100,"NM",IF(((Z413/R413-1)*100)&lt;-50,"NM",(Z413/R413-1)*100)))</f>
        <v>-6.3455594193299163</v>
      </c>
      <c r="AB413" s="35">
        <f>AB407/AB398*100</f>
        <v>35.205364626990779</v>
      </c>
      <c r="AC413" s="23">
        <f>IF(ISERROR((AB413/T413-1)*100),"NA",IF(((AB413/T413-1)*100)&gt;100,"NM",IF(((AB413/T413-1)*100)&lt;-50,"NM",(AB413/T413-1)*100)))</f>
        <v>-1.51084578741848</v>
      </c>
      <c r="AD413" s="35">
        <f>AD407/AD398*100</f>
        <v>34.042553191489361</v>
      </c>
      <c r="AE413" s="23">
        <f>IF(ISERROR((AD413/V413-1)*100),"NA",IF(((AD413/V413-1)*100)&gt;100,"NM",IF(((AD413/V413-1)*100)&lt;-50,"NM",(AD413/V413-1)*100)))</f>
        <v>-7.5134645123447026</v>
      </c>
      <c r="AF413" s="35">
        <f>AF407/AF398*100</f>
        <v>31.182795698924732</v>
      </c>
      <c r="AG413" s="23">
        <f>IF(ISERROR((AF413/X413-1)*100),"NA",IF(((AF413/X413-1)*100)&gt;100,"NM",IF(((AF413/X413-1)*100)&lt;-50,"NM",(AF413/X413-1)*100)))</f>
        <v>-12.850160592096083</v>
      </c>
      <c r="AH413" s="35">
        <f>AH407/AH398*100</f>
        <v>35.526315789473685</v>
      </c>
      <c r="AI413" s="23">
        <f>IF(ISERROR((AH413/Z413-1)*100),"NA",IF(((AH413/Z413-1)*100)&gt;100,"NM",IF(((AH413/Z413-1)*100)&lt;-50,"NM",(AH413/Z413-1)*100)))</f>
        <v>-12.734016248675395</v>
      </c>
      <c r="AJ413" s="35">
        <f>AJ407/AJ398*100</f>
        <v>35.930408472012104</v>
      </c>
      <c r="AK413" s="23">
        <f>IF(ISERROR((AJ413/AB413-1)*100),"NA",IF(((AJ413/AB413-1)*100)&gt;100,"NM",IF(((AJ413/AB413-1)*100)&lt;-50,"NM",(AJ413/AB413-1)*100)))</f>
        <v>2.0594697788343774</v>
      </c>
      <c r="AL413" s="35">
        <f>AL407/AL398*100</f>
        <v>34.801762114537446</v>
      </c>
      <c r="AM413" s="23">
        <f>IF(ISERROR((AL413/AD413-1)*100),"NA",IF(((AL413/AD413-1)*100)&gt;100,"NM",IF(((AL413/AD413-1)*100)&lt;-50,"NM",(AL413/AD413-1)*100)))</f>
        <v>2.2301762114537604</v>
      </c>
      <c r="AN413" s="409">
        <f t="shared" ref="AN413:AP413" si="2579">AN407/AN398*100</f>
        <v>41.824440619621342</v>
      </c>
      <c r="AO413" s="23">
        <f>IF(ISERROR((AN413/AF413-1)*100),"NA",IF(((AN413/AF413-1)*100)&gt;100,"NM",IF(((AN413/AF413-1)*100)&lt;-50,"NM",(AN413/AF413-1)*100)))</f>
        <v>34.126654400854648</v>
      </c>
      <c r="AP413" s="409">
        <f t="shared" si="2579"/>
        <v>42.491749174917494</v>
      </c>
      <c r="AQ413" s="23">
        <f t="shared" ref="AQ413:AQ415" si="2580">IF(ISERROR((AP413/AH413-1)*100),"NA",IF(((AP413/AH413-1)*100)&gt;100,"NM",IF(((AP413/AH413-1)*100)&lt;-50,"NM",(AP413/AH413-1)*100)))</f>
        <v>19.60640508495295</v>
      </c>
      <c r="AR413" s="409">
        <f t="shared" ref="AR413:AT413" si="2581">AR407/AR398*100</f>
        <v>37.750385208012318</v>
      </c>
      <c r="AS413" s="23">
        <f t="shared" ref="AS413:AS415" si="2582">IF(ISERROR((AR413/AJ413-1)*100),"NA",IF(((AR413/AJ413-1)*100)&gt;100,"NM",IF(((AR413/AJ413-1)*100)&lt;-50,"NM",(AR413/AJ413-1)*100)))</f>
        <v>5.0652826210363822</v>
      </c>
      <c r="AT413" s="409">
        <f t="shared" si="2581"/>
        <v>34.802091112770725</v>
      </c>
      <c r="AU413" s="23">
        <f t="shared" ref="AU413:AU415" si="2583">IF(ISERROR((AT413/AL413-1)*100),"NA",IF(((AT413/AL413-1)*100)&gt;100,"NM",IF(((AT413/AL413-1)*100)&lt;-50,"NM",(AT413/AL413-1)*100)))</f>
        <v>9.4534935384249508E-4</v>
      </c>
      <c r="AV413" s="409">
        <f t="shared" ref="AV413:AX413" si="2584">AV407/AV398*100</f>
        <v>38.247338247338249</v>
      </c>
      <c r="AW413" s="23">
        <f t="shared" ref="AW413:AW415" si="2585">IF(ISERROR((AV413/AN413-1)*100),"NA",IF(((AV413/AN413-1)*100)&gt;100,"NM",IF(((AV413/AN413-1)*100)&lt;-50,"NM",(AV413/AN413-1)*100)))</f>
        <v>-8.5526604045122472</v>
      </c>
      <c r="AX413" s="409">
        <f t="shared" si="2584"/>
        <v>46.069315300084533</v>
      </c>
      <c r="AY413" s="23">
        <f t="shared" ref="AY413:AY415" si="2586">IF(ISERROR((AX413/AP413-1)*100),"NA",IF(((AX413/AP413-1)*100)&gt;100,"NM",IF(((AX413/AP413-1)*100)&lt;-50,"NM",(AX413/AP413-1)*100)))</f>
        <v>8.4194371722377639</v>
      </c>
      <c r="AZ413" s="409">
        <f t="shared" ref="AZ413" si="2587">AZ407/AZ398*100</f>
        <v>39.812646370023415</v>
      </c>
      <c r="BA413" s="23">
        <f t="shared" ref="BA413:BA415" si="2588">IF(ISERROR((AZ413/AR413-1)*100),"NA",IF(((AZ413/AR413-1)*100)&gt;100,"NM",IF(((AZ413/AR413-1)*100)&lt;-50,"NM",(AZ413/AR413-1)*100)))</f>
        <v>5.4628877312049129</v>
      </c>
      <c r="BB413" s="409">
        <f t="shared" ref="BB413:BD413" si="2589">BB407/BB398*100</f>
        <v>31.278098908156711</v>
      </c>
      <c r="BC413" s="23">
        <f t="shared" ref="BC413:BC415" si="2590">IF(ISERROR((BB413/AT413-1)*100),"NA",IF(((BB413/AT413-1)*100)&gt;100,"NM",IF(((BB413/AT413-1)*100)&lt;-50,"NM",(BB413/AT413-1)*100)))</f>
        <v>-10.12580592699177</v>
      </c>
      <c r="BD413" s="409">
        <f t="shared" si="2589"/>
        <v>39.534883720930232</v>
      </c>
      <c r="BE413" s="23">
        <f t="shared" ref="BE413:BE415" si="2591">IF(ISERROR((BD413/AV413-1)*100),"NA",IF(((BD413/AV413-1)*100)&gt;100,"NM",IF(((BD413/AV413-1)*100)&lt;-50,"NM",(BD413/AV413-1)*100)))</f>
        <v>3.36636621682187</v>
      </c>
      <c r="BF413" s="114">
        <v>42.7</v>
      </c>
      <c r="BG413" s="23">
        <f t="shared" ref="BG413:BG415" si="2592">IF(ISERROR((BF413/AX413-1)*100),"NA",IF(((BF413/AX413-1)*100)&gt;100,"NM",IF(((BF413/AX413-1)*100)&lt;-50,"NM",(BF413/AX413-1)*100)))</f>
        <v>-7.3135779816513757</v>
      </c>
      <c r="BH413" s="114">
        <f>BF413-5</f>
        <v>37.700000000000003</v>
      </c>
      <c r="BI413" s="23">
        <f t="shared" ref="BI413:BI415" si="2593">IF(ISERROR((BH413/AZ413-1)*100),"NA",IF(((BH413/AZ413-1)*100)&gt;100,"NM",IF(((BH413/AZ413-1)*100)&lt;-50,"NM",(BH413/AZ413-1)*100)))</f>
        <v>-5.3064705882352792</v>
      </c>
      <c r="BJ413" s="114">
        <f>BH413</f>
        <v>37.700000000000003</v>
      </c>
      <c r="BK413" s="23">
        <f t="shared" ref="BK413:BK415" si="2594">IF(ISERROR((BJ413/BB413-1)*100),"NA",IF(((BJ413/BB413-1)*100)&gt;100,"NM",IF(((BJ413/BB413-1)*100)&lt;-50,"NM",(BJ413/BB413-1)*100)))</f>
        <v>20.531622176591391</v>
      </c>
      <c r="BL413" s="114">
        <f>BJ413</f>
        <v>37.700000000000003</v>
      </c>
      <c r="BM413" s="23">
        <f t="shared" ref="BM413:BM415" si="2595">IF(ISERROR((BL413/BD413-1)*100),"NA",IF(((BL413/BD413-1)*100)&gt;100,"NM",IF(((BL413/BD413-1)*100)&lt;-50,"NM",(BL413/BD413-1)*100)))</f>
        <v>-4.6411764705882259</v>
      </c>
      <c r="BN413" s="10"/>
      <c r="BO413" s="138"/>
      <c r="BP413" s="10"/>
      <c r="BQ413" s="152"/>
      <c r="BR413" s="152"/>
      <c r="BS413" s="152"/>
      <c r="BT413" s="10"/>
      <c r="BU413" s="35">
        <f>BU407/BU398*100</f>
        <v>40.341578237856822</v>
      </c>
      <c r="BV413" s="23" t="str">
        <f>IF(ISERROR((BU413/BS413-1)*100),"NA",IF(((BU413/BS413-1)*100)&gt;100,"NM",IF(((BU413/BS413-1)*100)&lt;-50,"NM",(BU413/BS413-1)*100)))</f>
        <v>NA</v>
      </c>
      <c r="BW413" s="35">
        <f>BW407/BW398*100</f>
        <v>39.199644054840185</v>
      </c>
      <c r="BX413" s="23">
        <f>IF(ISERROR((BW413/BU413-1)*100),"NA",IF(((BW413/BU413-1)*100)&gt;100,"NM",IF(((BW413/BU413-1)*100)&lt;-50,"NM",(BW413/BU413-1)*100)))</f>
        <v>-2.830663134406175</v>
      </c>
      <c r="BY413" s="35">
        <f>BY407/BY398*100</f>
        <v>37.69559032716927</v>
      </c>
      <c r="BZ413" s="23">
        <f>IF(ISERROR((BY413/BW413-1)*100),"NA",IF(((BY413/BW413-1)*100)&gt;100,"NM",IF(((BY413/BW413-1)*100)&lt;-50,"NM",(BY413/BW413-1)*100)))</f>
        <v>-3.8369065942709835</v>
      </c>
      <c r="CA413" s="35">
        <f>CA407/CA398*100</f>
        <v>35.013371734211077</v>
      </c>
      <c r="CB413" s="23">
        <f>IF(ISERROR((CA413/BY413-1)*100),"NA",IF(((CA413/BY413-1)*100)&gt;100,"NM",IF(((CA413/BY413-1)*100)&lt;-50,"NM",(CA413/BY413-1)*100)))</f>
        <v>-7.1154704560362658</v>
      </c>
      <c r="CC413" s="35">
        <f>CC407/CC398*100</f>
        <v>36.862592448423513</v>
      </c>
      <c r="CD413" s="23">
        <f>IF(ISERROR((CC413/CA413-1)*100),"NA",IF(((CC413/CA413-1)*100)&gt;100,"NM",IF(((CC413/CA413-1)*100)&lt;-50,"NM",(CC413/CA413-1)*100)))</f>
        <v>5.2814699716725366</v>
      </c>
      <c r="CE413" s="35">
        <f>CE407/CE398*100</f>
        <v>38.22485207100592</v>
      </c>
      <c r="CF413" s="23">
        <f>IF(ISERROR((CE413/CC413-1)*100),"NA",IF(((CE413/CC413-1)*100)&gt;100,"NM",IF(((CE413/CC413-1)*100)&lt;-50,"NM",(CE413/CC413-1)*100)))</f>
        <v>3.6955068325387641</v>
      </c>
      <c r="CG413" s="35">
        <f>CG407/CG398*100</f>
        <v>38.636791564677083</v>
      </c>
      <c r="CH413" s="23">
        <f>IF(ISERROR((CG413/CE413-1)*100),"NA",IF(((CG413/CE413-1)*100)&gt;100,"NM",IF(((CG413/CE413-1)*100)&lt;-50,"NM",(CG413/CE413-1)*100)))</f>
        <v>1.0776745267867982</v>
      </c>
      <c r="CI413" s="35">
        <f>CI407/CI398*100</f>
        <v>38.866799187411914</v>
      </c>
      <c r="CJ413" s="23">
        <f>IF(ISERROR((CI413/CG413-1)*100),"NA",IF(((CI413/CG413-1)*100)&gt;100,"NM",IF(((CI413/CG413-1)*100)&lt;-50,"NM",(CI413/CG413-1)*100)))</f>
        <v>0.59530725357928027</v>
      </c>
      <c r="CK413" s="114">
        <f>CI413-1</f>
        <v>37.866799187411914</v>
      </c>
      <c r="CL413" s="23">
        <f>IF(ISERROR((CK413/CI413-1)*100),"NA",IF(((CK413/CI413-1)*100)&gt;100,"NM",IF(((CK413/CI413-1)*100)&lt;-50,"NM",(CK413/CI413-1)*100)))</f>
        <v>-2.5728900267246058</v>
      </c>
      <c r="CM413" s="114">
        <f>CK413</f>
        <v>37.866799187411914</v>
      </c>
      <c r="CN413" s="23">
        <f>IF(ISERROR((CM413/CK413-1)*100),"NA",IF(((CM413/CK413-1)*100)&gt;100,"NM",IF(((CM413/CK413-1)*100)&lt;-50,"NM",(CM413/CK413-1)*100)))</f>
        <v>0</v>
      </c>
      <c r="CO413" s="114">
        <f>CM413</f>
        <v>37.866799187411914</v>
      </c>
      <c r="CP413" s="23">
        <f>IF(ISERROR((CO413/CM413-1)*100),"NA",IF(((CO413/CM413-1)*100)&gt;100,"NM",IF(((CO413/CM413-1)*100)&lt;-50,"NM",(CO413/CM413-1)*100)))</f>
        <v>0</v>
      </c>
      <c r="CQ413" s="114">
        <f>CO413</f>
        <v>37.866799187411914</v>
      </c>
      <c r="CR413" s="23">
        <f>IF(ISERROR((CQ413/CO413-1)*100),"NA",IF(((CQ413/CO413-1)*100)&gt;100,"NM",IF(((CQ413/CO413-1)*100)&lt;-50,"NM",(CQ413/CO413-1)*100)))</f>
        <v>0</v>
      </c>
      <c r="CS413" s="23">
        <f>IF(ISERROR(((CQ413/CG413)^0.2-1)*100),"NA",IF((((CQ413/CG413)^0.2-1)*100)&gt;100,"NM",IF((((CQ413/CG413)^0.2-1)*100)&lt;-50,"NM",((CQ413/CG413)^0.2-1)*100)))</f>
        <v>-0.40179572377032624</v>
      </c>
    </row>
    <row r="414" spans="1:97" ht="12.75" customHeight="1" x14ac:dyDescent="0.2">
      <c r="A414" s="4" t="s">
        <v>172</v>
      </c>
      <c r="B414" s="37">
        <f t="shared" ref="B414:P414" si="2596">B408/B398*100</f>
        <v>21.079012841485888</v>
      </c>
      <c r="C414" s="59"/>
      <c r="D414" s="37">
        <f t="shared" si="2596"/>
        <v>14.000679927059617</v>
      </c>
      <c r="E414" s="59"/>
      <c r="F414" s="37">
        <f t="shared" si="2596"/>
        <v>18.066312716988183</v>
      </c>
      <c r="G414" s="59"/>
      <c r="H414" s="37">
        <f t="shared" si="2596"/>
        <v>18.609653689462142</v>
      </c>
      <c r="I414" s="59"/>
      <c r="J414" s="37">
        <f t="shared" si="2596"/>
        <v>18.240827845719661</v>
      </c>
      <c r="K414" s="23">
        <f t="shared" si="2578"/>
        <v>-13.464506222892735</v>
      </c>
      <c r="L414" s="37">
        <f t="shared" si="2596"/>
        <v>16.616274484027869</v>
      </c>
      <c r="M414" s="23">
        <f t="shared" si="2578"/>
        <v>18.681910954288728</v>
      </c>
      <c r="N414" s="37">
        <f t="shared" si="2596"/>
        <v>14.794053996523221</v>
      </c>
      <c r="O414" s="23">
        <f t="shared" si="2578"/>
        <v>-18.112487986483149</v>
      </c>
      <c r="P414" s="35">
        <f t="shared" si="2596"/>
        <v>16.446604287267348</v>
      </c>
      <c r="Q414" s="23">
        <f t="shared" si="2578"/>
        <v>-11.623265205733713</v>
      </c>
      <c r="R414" s="35">
        <f>R408/R398*100</f>
        <v>21.62458836443469</v>
      </c>
      <c r="S414" s="23">
        <f t="shared" si="2578"/>
        <v>18.550476696204619</v>
      </c>
      <c r="T414" s="35">
        <f>T408/T398*100</f>
        <v>17.088055797733219</v>
      </c>
      <c r="U414" s="23">
        <f t="shared" si="2578"/>
        <v>2.8392725105669259</v>
      </c>
      <c r="V414" s="35">
        <f>V408/V398*100</f>
        <v>17.250922509225092</v>
      </c>
      <c r="W414" s="23">
        <f t="shared" si="2578"/>
        <v>16.607134956241644</v>
      </c>
      <c r="X414" s="35">
        <f>X408/X398*100</f>
        <v>16.728624535315987</v>
      </c>
      <c r="Y414" s="23">
        <f t="shared" si="2578"/>
        <v>1.7147627748724581</v>
      </c>
      <c r="Z414" s="35">
        <f>Z408/Z398*100</f>
        <v>21.311475409836063</v>
      </c>
      <c r="AA414" s="23">
        <f>IF(ISERROR((Z414/R414-1)*100),"NA",IF(((Z414/R414-1)*100)&gt;100,"NM",IF(((Z414/R414-1)*100)&lt;-50,"NM",(Z414/R414-1)*100)))</f>
        <v>-1.4479487392860313</v>
      </c>
      <c r="AB414" s="35">
        <f>AB408/AB398*100</f>
        <v>15.842414082145847</v>
      </c>
      <c r="AC414" s="23">
        <f>IF(ISERROR((AB414/T414-1)*100),"NA",IF(((AB414/T414-1)*100)&gt;100,"NM",IF(((AB414/T414-1)*100)&lt;-50,"NM",(AB414/T414-1)*100)))</f>
        <v>-7.2895461621363067</v>
      </c>
      <c r="AD414" s="35">
        <f>AD408/AD398*100</f>
        <v>17.872340425531917</v>
      </c>
      <c r="AE414" s="23">
        <f>IF(ISERROR((AD414/V414-1)*100),"NA",IF(((AD414/V414-1)*100)&gt;100,"NM",IF(((AD414/V414-1)*100)&lt;-50,"NM",(AD414/V414-1)*100)))</f>
        <v>3.6022300603026691</v>
      </c>
      <c r="AF414" s="35">
        <f>AF408/AF398*100</f>
        <v>14.480286738351253</v>
      </c>
      <c r="AG414" s="23">
        <f>IF(ISERROR((AF414/X414-1)*100),"NA",IF(((AF414/X414-1)*100)&gt;100,"NM",IF(((AF414/X414-1)*100)&lt;-50,"NM",(AF414/X414-1)*100)))</f>
        <v>-13.440063719633633</v>
      </c>
      <c r="AH414" s="35">
        <f>AH408/AH398*100</f>
        <v>17.569659442724458</v>
      </c>
      <c r="AI414" s="23">
        <f>IF(ISERROR((AH414/Z414-1)*100),"NA",IF(((AH414/Z414-1)*100)&gt;100,"NM",IF(((AH414/Z414-1)*100)&lt;-50,"NM",(AH414/Z414-1)*100)))</f>
        <v>-17.557751845677537</v>
      </c>
      <c r="AJ414" s="35">
        <f>AJ408/AJ398*100</f>
        <v>20.196671709531014</v>
      </c>
      <c r="AK414" s="23">
        <f>IF(ISERROR((AJ414/AB414-1)*100),"NA",IF(((AJ414/AB414-1)*100)&gt;100,"NM",IF(((AJ414/AB414-1)*100)&lt;-50,"NM",(AJ414/AB414-1)*100)))</f>
        <v>27.484811372859809</v>
      </c>
      <c r="AL414" s="35">
        <f>AL408/AL398*100</f>
        <v>17.767988252569751</v>
      </c>
      <c r="AM414" s="23">
        <f>IF(ISERROR((AL414/AD414-1)*100),"NA",IF(((AL414/AD414-1)*100)&gt;100,"NM",IF(((AL414/AD414-1)*100)&lt;-50,"NM",(AL414/AD414-1)*100)))</f>
        <v>-0.58387525347878277</v>
      </c>
      <c r="AN414" s="409">
        <f t="shared" ref="AN414:AP414" si="2597">AN408/AN398*100</f>
        <v>22.117039586919105</v>
      </c>
      <c r="AO414" s="23">
        <f>IF(ISERROR((AN414/AF414-1)*100),"NA",IF(((AN414/AF414-1)*100)&gt;100,"NM",IF(((AN414/AF414-1)*100)&lt;-50,"NM",(AN414/AF414-1)*100)))</f>
        <v>52.738961503723523</v>
      </c>
      <c r="AP414" s="409">
        <f t="shared" si="2597"/>
        <v>23.1023102310231</v>
      </c>
      <c r="AQ414" s="23">
        <f t="shared" si="2580"/>
        <v>31.489800962475091</v>
      </c>
      <c r="AR414" s="409">
        <f t="shared" ref="AR414:AT414" si="2598">AR408/AR398*100</f>
        <v>21.725731895223419</v>
      </c>
      <c r="AS414" s="23">
        <f t="shared" si="2582"/>
        <v>7.5708523051886134</v>
      </c>
      <c r="AT414" s="409">
        <f t="shared" si="2598"/>
        <v>21.657953696788649</v>
      </c>
      <c r="AU414" s="23">
        <f t="shared" si="2583"/>
        <v>21.893111301760904</v>
      </c>
      <c r="AV414" s="409">
        <f t="shared" ref="AV414:AX414" si="2599">AV408/AV398*100</f>
        <v>21.621621621621621</v>
      </c>
      <c r="AW414" s="23">
        <f t="shared" si="2585"/>
        <v>-2.2399831738353138</v>
      </c>
      <c r="AX414" s="409">
        <f t="shared" si="2599"/>
        <v>29.92392223161454</v>
      </c>
      <c r="AY414" s="23">
        <f t="shared" si="2586"/>
        <v>29.527834802560093</v>
      </c>
      <c r="AZ414" s="409">
        <f t="shared" ref="AZ414" si="2600">AZ408/AZ398*100</f>
        <v>25.214676034348166</v>
      </c>
      <c r="BA414" s="23">
        <f t="shared" si="2588"/>
        <v>16.0590407538437</v>
      </c>
      <c r="BB414" s="409">
        <f t="shared" ref="BB414:BD414" si="2601">BB408/BB398*100</f>
        <v>20.616570327552985</v>
      </c>
      <c r="BC414" s="23">
        <f t="shared" si="2590"/>
        <v>-4.8083183841605255</v>
      </c>
      <c r="BD414" s="409">
        <f t="shared" si="2601"/>
        <v>24.031007751937985</v>
      </c>
      <c r="BE414" s="23">
        <f t="shared" si="2591"/>
        <v>11.143410852713176</v>
      </c>
      <c r="BF414" s="114">
        <f>AX414</f>
        <v>29.92392223161454</v>
      </c>
      <c r="BG414" s="23">
        <f t="shared" si="2592"/>
        <v>0</v>
      </c>
      <c r="BH414" s="114">
        <f>AZ414-1</f>
        <v>24.214676034348166</v>
      </c>
      <c r="BI414" s="23">
        <f t="shared" si="2593"/>
        <v>-3.9659442724458205</v>
      </c>
      <c r="BJ414" s="114">
        <f>BH414</f>
        <v>24.214676034348166</v>
      </c>
      <c r="BK414" s="23">
        <f t="shared" si="2594"/>
        <v>17.452494035763543</v>
      </c>
      <c r="BL414" s="114">
        <f>BD414</f>
        <v>24.031007751937985</v>
      </c>
      <c r="BM414" s="23">
        <f t="shared" si="2595"/>
        <v>0</v>
      </c>
      <c r="BN414" s="10"/>
      <c r="BO414" s="138"/>
      <c r="BP414" s="10"/>
      <c r="BQ414" s="152"/>
      <c r="BR414" s="152"/>
      <c r="BS414" s="152"/>
      <c r="BT414" s="10"/>
      <c r="BU414" s="35">
        <f>BU408/BU398*100</f>
        <v>17.839827317206588</v>
      </c>
      <c r="BV414" s="23" t="str">
        <f>IF(ISERROR((BU414/BS414-1)*100),"NA",IF(((BU414/BS414-1)*100)&gt;100,"NM",IF(((BU414/BS414-1)*100)&lt;-50,"NM",(BU414/BS414-1)*100)))</f>
        <v>NA</v>
      </c>
      <c r="BW414" s="35">
        <f>BW408/BW398*100</f>
        <v>16.454653675299447</v>
      </c>
      <c r="BX414" s="23">
        <f>IF(ISERROR((BW414/BU414-1)*100),"NA",IF(((BW414/BU414-1)*100)&gt;100,"NM",IF(((BW414/BU414-1)*100)&lt;-50,"NM",(BW414/BU414-1)*100)))</f>
        <v>-7.7645014005888635</v>
      </c>
      <c r="BY414" s="35">
        <f>BY408/BY398*100</f>
        <v>18.018018018018015</v>
      </c>
      <c r="BZ414" s="23">
        <f>IF(ISERROR((BY414/BW414-1)*100),"NA",IF(((BY414/BW414-1)*100)&gt;100,"NM",IF(((BY414/BW414-1)*100)&lt;-50,"NM",(BY414/BW414-1)*100)))</f>
        <v>9.5010467772128173</v>
      </c>
      <c r="CA414" s="35">
        <f>CA408/CA398*100</f>
        <v>17.177535486525407</v>
      </c>
      <c r="CB414" s="23">
        <f>IF(ISERROR((CA414/BY414-1)*100),"NA",IF(((CA414/BY414-1)*100)&gt;100,"NM",IF(((CA414/BY414-1)*100)&lt;-50,"NM",(CA414/BY414-1)*100)))</f>
        <v>-4.6646780497839764</v>
      </c>
      <c r="CC414" s="35">
        <f>CC408/CC398*100</f>
        <v>19.326586220319193</v>
      </c>
      <c r="CD414" s="23">
        <f>IF(ISERROR((CC414/CA414-1)*100),"NA",IF(((CC414/CA414-1)*100)&gt;100,"NM",IF(((CC414/CA414-1)*100)&lt;-50,"NM",(CC414/CA414-1)*100)))</f>
        <v>12.510821098169567</v>
      </c>
      <c r="CE414" s="35">
        <f>CE408/CE398*100</f>
        <v>22.011834319526628</v>
      </c>
      <c r="CF414" s="23">
        <f>IF(ISERROR((CE414/CC414-1)*100),"NA",IF(((CE414/CC414-1)*100)&gt;100,"NM",IF(((CE414/CC414-1)*100)&lt;-50,"NM",(CE414/CC414-1)*100)))</f>
        <v>13.894063175959515</v>
      </c>
      <c r="CG414" s="35">
        <f>CG408/CG398*100</f>
        <v>24.628130295612873</v>
      </c>
      <c r="CH414" s="23">
        <f>IF(ISERROR((CG414/CE414-1)*100),"NA",IF(((CG414/CE414-1)*100)&gt;100,"NM",IF(((CG414/CE414-1)*100)&lt;-50,"NM",(CG414/CE414-1)*100)))</f>
        <v>11.885860751574606</v>
      </c>
      <c r="CI414" s="35">
        <f>CI408/CI398*100</f>
        <v>25.50188613374559</v>
      </c>
      <c r="CJ414" s="23">
        <f>IF(ISERROR((CI414/CG414-1)*100),"NA",IF(((CI414/CG414-1)*100)&gt;100,"NM",IF(((CI414/CG414-1)*100)&lt;-50,"NM",(CI414/CG414-1)*100)))</f>
        <v>3.5477960675251108</v>
      </c>
      <c r="CK414" s="47">
        <f>CI414</f>
        <v>25.50188613374559</v>
      </c>
      <c r="CL414" s="23">
        <f>IF(ISERROR((CK414/CI414-1)*100),"NA",IF(((CK414/CI414-1)*100)&gt;100,"NM",IF(((CK414/CI414-1)*100)&lt;-50,"NM",(CK414/CI414-1)*100)))</f>
        <v>0</v>
      </c>
      <c r="CM414" s="47">
        <f>CK414</f>
        <v>25.50188613374559</v>
      </c>
      <c r="CN414" s="23">
        <f>IF(ISERROR((CM414/CK414-1)*100),"NA",IF(((CM414/CK414-1)*100)&gt;100,"NM",IF(((CM414/CK414-1)*100)&lt;-50,"NM",(CM414/CK414-1)*100)))</f>
        <v>0</v>
      </c>
      <c r="CO414" s="47">
        <f>CM414</f>
        <v>25.50188613374559</v>
      </c>
      <c r="CP414" s="23">
        <f>IF(ISERROR((CO414/CM414-1)*100),"NA",IF(((CO414/CM414-1)*100)&gt;100,"NM",IF(((CO414/CM414-1)*100)&lt;-50,"NM",(CO414/CM414-1)*100)))</f>
        <v>0</v>
      </c>
      <c r="CQ414" s="47">
        <f>CO414</f>
        <v>25.50188613374559</v>
      </c>
      <c r="CR414" s="23">
        <f>IF(ISERROR((CQ414/CO414-1)*100),"NA",IF(((CQ414/CO414-1)*100)&gt;100,"NM",IF(((CQ414/CO414-1)*100)&lt;-50,"NM",(CQ414/CO414-1)*100)))</f>
        <v>0</v>
      </c>
      <c r="CS414" s="23">
        <f>IF(ISERROR(((CQ414/CG414)^0.2-1)*100),"NA",IF((((CQ414/CG414)^0.2-1)*100)&gt;100,"NM",IF((((CQ414/CG414)^0.2-1)*100)&lt;-50,"NM",((CQ414/CG414)^0.2-1)*100)))</f>
        <v>0.6996988912033375</v>
      </c>
    </row>
    <row r="415" spans="1:97" ht="12.75" customHeight="1" x14ac:dyDescent="0.2">
      <c r="A415" s="4" t="s">
        <v>127</v>
      </c>
      <c r="B415" s="37">
        <f t="shared" ref="B415:N415" si="2602">B409/B407*100</f>
        <v>8.366935483870968</v>
      </c>
      <c r="C415" s="59"/>
      <c r="D415" s="37">
        <f t="shared" si="2602"/>
        <v>8.3788570430791491</v>
      </c>
      <c r="E415" s="59"/>
      <c r="F415" s="37">
        <f t="shared" si="2602"/>
        <v>9.1070252747809359</v>
      </c>
      <c r="G415" s="59"/>
      <c r="H415" s="37">
        <f t="shared" si="2602"/>
        <v>14.392553106850187</v>
      </c>
      <c r="I415" s="59"/>
      <c r="J415" s="37">
        <f t="shared" si="2602"/>
        <v>5.7083797106058185</v>
      </c>
      <c r="K415" s="23">
        <f t="shared" si="2578"/>
        <v>-31.774546109385881</v>
      </c>
      <c r="L415" s="37">
        <f t="shared" si="2602"/>
        <v>9.8059449799904339</v>
      </c>
      <c r="M415" s="23">
        <f t="shared" si="2578"/>
        <v>17.032011998462782</v>
      </c>
      <c r="N415" s="37">
        <f t="shared" si="2602"/>
        <v>9.0692420367933657</v>
      </c>
      <c r="O415" s="23">
        <f t="shared" si="2578"/>
        <v>-0.41488012657875384</v>
      </c>
      <c r="P415" s="35">
        <f>P409/P407*100</f>
        <v>7.4519230769230766</v>
      </c>
      <c r="Q415" s="23">
        <f t="shared" si="2578"/>
        <v>-48.223758345027001</v>
      </c>
      <c r="R415" s="35">
        <f>R409/R407*100</f>
        <v>7.8282828282828287</v>
      </c>
      <c r="S415" s="23">
        <f t="shared" si="2578"/>
        <v>37.136687206325128</v>
      </c>
      <c r="T415" s="35">
        <f>T409/T407*100</f>
        <v>9.5121951219512191</v>
      </c>
      <c r="U415" s="23">
        <f t="shared" si="2578"/>
        <v>-2.9956302899784459</v>
      </c>
      <c r="V415" s="35">
        <f>V409/V407*100</f>
        <v>12.280701754385966</v>
      </c>
      <c r="W415" s="23">
        <f t="shared" si="2578"/>
        <v>35.410453316428224</v>
      </c>
      <c r="X415" s="35">
        <f>X409/X407*100</f>
        <v>12.727272727272728</v>
      </c>
      <c r="Y415" s="23">
        <f t="shared" si="2578"/>
        <v>70.791788856305018</v>
      </c>
      <c r="Z415" s="35">
        <f>Z409/Z407*100</f>
        <v>20.134228187919462</v>
      </c>
      <c r="AA415" s="23" t="str">
        <f>IF(ISERROR((Z415/R415-1)*100),"NA",IF(((Z415/R415-1)*100)&gt;100,"NM",IF(((Z415/R415-1)*100)&lt;-50,"NM",(Z415/R415-1)*100)))</f>
        <v>NM</v>
      </c>
      <c r="AB415" s="35">
        <f>AB409/AB407*100</f>
        <v>10</v>
      </c>
      <c r="AC415" s="23">
        <f>IF(ISERROR((AB415/T415-1)*100),"NA",IF(((AB415/T415-1)*100)&gt;100,"NM",IF(((AB415/T415-1)*100)&lt;-50,"NM",(AB415/T415-1)*100)))</f>
        <v>5.1282051282051322</v>
      </c>
      <c r="AD415" s="35">
        <f>AD409/AD407*100</f>
        <v>11.5</v>
      </c>
      <c r="AE415" s="23">
        <f>IF(ISERROR((AD415/V415-1)*100),"NA",IF(((AD415/V415-1)*100)&gt;100,"NM",IF(((AD415/V415-1)*100)&lt;-50,"NM",(AD415/V415-1)*100)))</f>
        <v>-6.3571428571428612</v>
      </c>
      <c r="AF415" s="35">
        <f>AF409/AF407*100</f>
        <v>7.5862068965517242</v>
      </c>
      <c r="AG415" s="23">
        <f>IF(ISERROR((AF415/X415-1)*100),"NA",IF(((AF415/X415-1)*100)&gt;100,"NM",IF(((AF415/X415-1)*100)&lt;-50,"NM",(AF415/X415-1)*100)))</f>
        <v>-40.394088669950747</v>
      </c>
      <c r="AH415" s="35">
        <f>AH409/AH407*100</f>
        <v>10.021786492374728</v>
      </c>
      <c r="AI415" s="23" t="str">
        <f>IF(ISERROR((AH415/Z415-1)*100),"NA",IF(((AH415/Z415-1)*100)&gt;100,"NM",IF(((AH415/Z415-1)*100)&lt;-50,"NM",(AH415/Z415-1)*100)))</f>
        <v>NM</v>
      </c>
      <c r="AJ415" s="35">
        <f>AJ409/AJ407*100</f>
        <v>10.736842105263159</v>
      </c>
      <c r="AK415" s="23">
        <f>IF(ISERROR((AJ415/AB415-1)*100),"NA",IF(((AJ415/AB415-1)*100)&gt;100,"NM",IF(((AJ415/AB415-1)*100)&lt;-50,"NM",(AJ415/AB415-1)*100)))</f>
        <v>7.3684210526316019</v>
      </c>
      <c r="AL415" s="35">
        <f>AL409/AL407*100</f>
        <v>10.970464135021098</v>
      </c>
      <c r="AM415" s="23">
        <f>IF(ISERROR((AL415/AD415-1)*100),"NA",IF(((AL415/AD415-1)*100)&gt;100,"NM",IF(((AL415/AD415-1)*100)&lt;-50,"NM",(AL415/AD415-1)*100)))</f>
        <v>-4.6046596954687153</v>
      </c>
      <c r="AN415" s="409">
        <f t="shared" ref="AN415:AP415" si="2603">AN409/AN407*100</f>
        <v>6.5843621399176957</v>
      </c>
      <c r="AO415" s="23">
        <f>IF(ISERROR((AN415/AF415-1)*100),"NA",IF(((AN415/AF415-1)*100)&gt;100,"NM",IF(((AN415/AF415-1)*100)&lt;-50,"NM",(AN415/AF415-1)*100)))</f>
        <v>-13.206135428357646</v>
      </c>
      <c r="AP415" s="409">
        <f t="shared" si="2603"/>
        <v>11.067961165048542</v>
      </c>
      <c r="AQ415" s="23">
        <f t="shared" si="2580"/>
        <v>10.439003799071322</v>
      </c>
      <c r="AR415" s="409">
        <f t="shared" ref="AR415:AT415" si="2604">AR409/AR407*100</f>
        <v>10.816326530612244</v>
      </c>
      <c r="AS415" s="23">
        <f t="shared" si="2582"/>
        <v>0.74029611844734777</v>
      </c>
      <c r="AT415" s="409">
        <f t="shared" si="2604"/>
        <v>4.9356223175965672</v>
      </c>
      <c r="AU415" s="23" t="str">
        <f t="shared" si="2583"/>
        <v>NM</v>
      </c>
      <c r="AV415" s="409">
        <f t="shared" ref="AV415:AX415" si="2605">AV409/AV407*100</f>
        <v>5.1391862955032108</v>
      </c>
      <c r="AW415" s="23">
        <f t="shared" si="2585"/>
        <v>-21.948608137044989</v>
      </c>
      <c r="AX415" s="409">
        <f t="shared" si="2605"/>
        <v>5.5045871559633035</v>
      </c>
      <c r="AY415" s="23" t="str">
        <f t="shared" si="2586"/>
        <v>NM</v>
      </c>
      <c r="AZ415" s="409">
        <f t="shared" ref="AZ415" si="2606">AZ409/AZ407*100</f>
        <v>6.2745098039215685</v>
      </c>
      <c r="BA415" s="23">
        <f t="shared" si="2588"/>
        <v>-41.990381058083607</v>
      </c>
      <c r="BB415" s="409">
        <f t="shared" ref="BB415:BD415" si="2607">BB409/BB407*100</f>
        <v>5.1334702258726894</v>
      </c>
      <c r="BC415" s="23">
        <f t="shared" si="2590"/>
        <v>4.0085706633335993</v>
      </c>
      <c r="BD415" s="409">
        <f t="shared" si="2607"/>
        <v>5.8823529411764701</v>
      </c>
      <c r="BE415" s="23">
        <f t="shared" si="2591"/>
        <v>14.460784313725505</v>
      </c>
      <c r="BF415" s="114">
        <f>AX415</f>
        <v>5.5045871559633035</v>
      </c>
      <c r="BG415" s="23">
        <f t="shared" si="2592"/>
        <v>0</v>
      </c>
      <c r="BH415" s="114">
        <f>AZ415</f>
        <v>6.2745098039215685</v>
      </c>
      <c r="BI415" s="23">
        <f t="shared" si="2593"/>
        <v>0</v>
      </c>
      <c r="BJ415" s="114">
        <f>BB415</f>
        <v>5.1334702258726894</v>
      </c>
      <c r="BK415" s="23">
        <f t="shared" si="2594"/>
        <v>0</v>
      </c>
      <c r="BL415" s="114">
        <f>BD415</f>
        <v>5.8823529411764701</v>
      </c>
      <c r="BM415" s="23">
        <f t="shared" si="2595"/>
        <v>0</v>
      </c>
      <c r="BN415" s="10"/>
      <c r="BO415" s="138"/>
      <c r="BP415" s="10"/>
      <c r="BQ415" s="152"/>
      <c r="BR415" s="152"/>
      <c r="BS415" s="152"/>
      <c r="BT415" s="10"/>
      <c r="BU415" s="35">
        <f>BU409/BU407*100</f>
        <v>9.9832647565839974</v>
      </c>
      <c r="BV415" s="23" t="str">
        <f>IF(ISERROR((BU415/BS415-1)*100),"NA",IF(((BU415/BS415-1)*100)&gt;100,"NM",IF(((BU415/BS415-1)*100)&lt;-50,"NM",(BU415/BS415-1)*100)))</f>
        <v>NA</v>
      </c>
      <c r="BW415" s="35">
        <f>BW409/BW407*100</f>
        <v>7.9464840943531776</v>
      </c>
      <c r="BX415" s="23">
        <f>IF(ISERROR((BW415/BU415-1)*100),"NA",IF(((BW415/BU415-1)*100)&gt;100,"NM",IF(((BW415/BU415-1)*100)&lt;-50,"NM",(BW415/BU415-1)*100)))</f>
        <v>-20.401949781884287</v>
      </c>
      <c r="BY415" s="35">
        <f>BY409/BY407*100</f>
        <v>10.566037735849058</v>
      </c>
      <c r="BZ415" s="23">
        <f>IF(ISERROR((BY415/BW415-1)*100),"NA",IF(((BY415/BW415-1)*100)&gt;100,"NM",IF(((BY415/BW415-1)*100)&lt;-50,"NM",(BY415/BW415-1)*100)))</f>
        <v>32.96493908994735</v>
      </c>
      <c r="CA415" s="35">
        <f>CA409/CA407*100</f>
        <v>12.397179788484136</v>
      </c>
      <c r="CB415" s="23">
        <f>IF(ISERROR((CA415/BY415-1)*100),"NA",IF(((CA415/BY415-1)*100)&gt;100,"NM",IF(((CA415/BY415-1)*100)&lt;-50,"NM",(CA415/BY415-1)*100)))</f>
        <v>17.330451569581996</v>
      </c>
      <c r="CC415" s="35">
        <f>CC409/CC407*100</f>
        <v>9.5564941921858484</v>
      </c>
      <c r="CD415" s="23">
        <f>IF(ISERROR((CC415/CA415-1)*100),"NA",IF(((CC415/CA415-1)*100)&gt;100,"NM",IF(((CC415/CA415-1)*100)&lt;-50,"NM",(CC415/CA415-1)*100)))</f>
        <v>-22.913966279145427</v>
      </c>
      <c r="CE415" s="35">
        <f>CE409/CE407*100</f>
        <v>8.1011351909184715</v>
      </c>
      <c r="CF415" s="23">
        <f>IF(ISERROR((CE415/CC415-1)*100),"NA",IF(((CE415/CC415-1)*100)&gt;100,"NM",IF(((CE415/CC415-1)*100)&lt;-50,"NM",(CE415/CC415-1)*100)))</f>
        <v>-15.22900523978128</v>
      </c>
      <c r="CG415" s="35">
        <f>CG409/CG407*100</f>
        <v>5.7017543859649118</v>
      </c>
      <c r="CH415" s="23">
        <f>IF(ISERROR((CG415/CE415-1)*100),"NA",IF(((CG415/CE415-1)*100)&gt;100,"NM",IF(((CG415/CE415-1)*100)&lt;-50,"NM",(CG415/CE415-1)*100)))</f>
        <v>-29.617834394904452</v>
      </c>
      <c r="CI415" s="35">
        <f>CI409/CI407*100</f>
        <v>5.6866057174751923</v>
      </c>
      <c r="CJ415" s="23">
        <f>IF(ISERROR((CI415/CG415-1)*100),"NA",IF(((CI415/CG415-1)*100)&gt;100,"NM",IF(((CI415/CG415-1)*100)&lt;-50,"NM",(CI415/CG415-1)*100)))</f>
        <v>-0.26568433966585037</v>
      </c>
      <c r="CK415" s="47">
        <f>CI415</f>
        <v>5.6866057174751923</v>
      </c>
      <c r="CL415" s="23">
        <f>IF(ISERROR((CK415/CI415-1)*100),"NA",IF(((CK415/CI415-1)*100)&gt;100,"NM",IF(((CK415/CI415-1)*100)&lt;-50,"NM",(CK415/CI415-1)*100)))</f>
        <v>0</v>
      </c>
      <c r="CM415" s="47">
        <f>CK415</f>
        <v>5.6866057174751923</v>
      </c>
      <c r="CN415" s="23">
        <f>IF(ISERROR((CM415/CK415-1)*100),"NA",IF(((CM415/CK415-1)*100)&gt;100,"NM",IF(((CM415/CK415-1)*100)&lt;-50,"NM",(CM415/CK415-1)*100)))</f>
        <v>0</v>
      </c>
      <c r="CO415" s="47">
        <f>CM415</f>
        <v>5.6866057174751923</v>
      </c>
      <c r="CP415" s="23">
        <f>IF(ISERROR((CO415/CM415-1)*100),"NA",IF(((CO415/CM415-1)*100)&gt;100,"NM",IF(((CO415/CM415-1)*100)&lt;-50,"NM",(CO415/CM415-1)*100)))</f>
        <v>0</v>
      </c>
      <c r="CQ415" s="47">
        <f>CO415</f>
        <v>5.6866057174751923</v>
      </c>
      <c r="CR415" s="23">
        <f>IF(ISERROR((CQ415/CO415-1)*100),"NA",IF(((CQ415/CO415-1)*100)&gt;100,"NM",IF(((CQ415/CO415-1)*100)&lt;-50,"NM",(CQ415/CO415-1)*100)))</f>
        <v>0</v>
      </c>
      <c r="CS415" s="23">
        <f>IF(ISERROR(((CQ415/CG415)^0.2-1)*100),"NA",IF((((CQ415/CG415)^0.2-1)*100)&gt;100,"NM",IF((((CQ415/CG415)^0.2-1)*100)&lt;-50,"NM",((CQ415/CG415)^0.2-1)*100)))</f>
        <v>-5.3193428655617936E-2</v>
      </c>
    </row>
    <row r="416" spans="1:97" ht="12.75" customHeight="1" x14ac:dyDescent="0.2">
      <c r="B416" s="37"/>
      <c r="C416" s="59"/>
      <c r="D416" s="37"/>
      <c r="E416" s="59"/>
      <c r="F416" s="37"/>
      <c r="G416" s="59"/>
      <c r="H416" s="37"/>
      <c r="I416" s="59"/>
      <c r="J416" s="37"/>
      <c r="L416" s="37"/>
      <c r="N416" s="37"/>
      <c r="P416" s="35"/>
      <c r="R416" s="35"/>
      <c r="T416" s="35"/>
      <c r="V416" s="35"/>
      <c r="X416" s="35"/>
      <c r="Z416" s="35"/>
      <c r="AB416" s="35"/>
      <c r="AD416" s="35"/>
      <c r="AF416" s="35"/>
      <c r="AH416" s="35"/>
      <c r="AJ416" s="35"/>
      <c r="AL416" s="35"/>
      <c r="AN416" s="409"/>
      <c r="AP416" s="409"/>
      <c r="AR416" s="409"/>
      <c r="AT416" s="409"/>
      <c r="AV416" s="409"/>
      <c r="AX416" s="409"/>
      <c r="AZ416" s="409"/>
      <c r="BB416" s="409"/>
      <c r="BD416" s="409"/>
      <c r="BF416" s="35"/>
      <c r="BH416" s="35"/>
      <c r="BJ416" s="35"/>
      <c r="BL416" s="35"/>
      <c r="BN416" s="10"/>
      <c r="BO416" s="138"/>
      <c r="BP416" s="10"/>
      <c r="BQ416" s="10"/>
      <c r="BR416" s="10"/>
      <c r="BS416" s="10"/>
      <c r="BT416" s="10"/>
      <c r="BU416" s="37"/>
      <c r="BW416" s="35"/>
      <c r="BY416" s="35"/>
      <c r="CA416" s="35"/>
      <c r="CC416" s="35"/>
      <c r="CE416" s="35"/>
      <c r="CG416" s="35"/>
      <c r="CI416" s="35"/>
      <c r="CK416" s="35"/>
      <c r="CM416" s="35"/>
      <c r="CO416" s="35"/>
      <c r="CQ416" s="35"/>
    </row>
    <row r="417" spans="1:105" ht="12.75" customHeight="1" x14ac:dyDescent="0.2">
      <c r="A417" s="3" t="s">
        <v>128</v>
      </c>
      <c r="B417" s="73">
        <f>+B398-B410</f>
        <v>13.335955239999976</v>
      </c>
      <c r="C417" s="59"/>
      <c r="D417" s="73">
        <f>+D398-D410</f>
        <v>30.890866800000012</v>
      </c>
      <c r="E417" s="59"/>
      <c r="F417" s="73">
        <f>+F398-F410</f>
        <v>17.992191009999985</v>
      </c>
      <c r="G417" s="59"/>
      <c r="H417" s="73">
        <f>+H398-H410</f>
        <v>21.099437460000019</v>
      </c>
      <c r="I417" s="59"/>
      <c r="J417" s="73">
        <f>+J398-J410</f>
        <v>15.496000000000009</v>
      </c>
      <c r="K417" s="23">
        <f t="shared" ref="K417:Y418" si="2608">IF(ISERROR((J417/B417-1)*100),"NA",IF(((J417/B417-1)*100)&gt;100,"NM",IF(((J417/B417-1)*100)&lt;-50,"NM",(J417/B417-1)*100)))</f>
        <v>16.197150643706259</v>
      </c>
      <c r="L417" s="73">
        <f>+L398-L410</f>
        <v>29.004999999999995</v>
      </c>
      <c r="M417" s="23">
        <f t="shared" si="2608"/>
        <v>-6.104933254899847</v>
      </c>
      <c r="N417" s="73">
        <f>+N398-N410</f>
        <v>36.029999999999987</v>
      </c>
      <c r="O417" s="23" t="str">
        <f t="shared" si="2608"/>
        <v>NM</v>
      </c>
      <c r="P417" s="73">
        <f>+P398-P410</f>
        <v>28.621000000000038</v>
      </c>
      <c r="Q417" s="23">
        <f t="shared" si="2608"/>
        <v>35.64816623314853</v>
      </c>
      <c r="R417" s="73">
        <f>+R398-R410</f>
        <v>12.399999999999991</v>
      </c>
      <c r="S417" s="23">
        <f t="shared" si="2608"/>
        <v>-19.979349509550957</v>
      </c>
      <c r="T417" s="73">
        <f>+T398-T410</f>
        <v>34.09999999999998</v>
      </c>
      <c r="U417" s="23">
        <f t="shared" si="2608"/>
        <v>17.565936907429712</v>
      </c>
      <c r="V417" s="73">
        <f>+V398-V410</f>
        <v>29.09999999999998</v>
      </c>
      <c r="W417" s="23">
        <f t="shared" si="2608"/>
        <v>-19.233971690258144</v>
      </c>
      <c r="X417" s="73">
        <f>+X398-X410</f>
        <v>30.499999999999986</v>
      </c>
      <c r="Y417" s="23">
        <f t="shared" si="2608"/>
        <v>6.5651095349566591</v>
      </c>
      <c r="Z417" s="73">
        <f>+Z398-Z410</f>
        <v>16.899999999999991</v>
      </c>
      <c r="AA417" s="23">
        <f>IF(ISERROR((Z417/R417-1)*100),"NA",IF(((Z417/R417-1)*100)&gt;100,"NM",IF(((Z417/R417-1)*100)&lt;-50,"NM",(Z417/R417-1)*100)))</f>
        <v>36.290322580645196</v>
      </c>
      <c r="AB417" s="73">
        <f>+AB398-AB410</f>
        <v>37.800000000000011</v>
      </c>
      <c r="AC417" s="23">
        <f>IF(ISERROR((AB417/T417-1)*100),"NA",IF(((AB417/T417-1)*100)&gt;100,"NM",IF(((AB417/T417-1)*100)&lt;-50,"NM",(AB417/T417-1)*100)))</f>
        <v>10.850439882698048</v>
      </c>
      <c r="AD417" s="73">
        <f>+AD398-AD410</f>
        <v>37</v>
      </c>
      <c r="AE417" s="23">
        <f>IF(ISERROR((AD417/V417-1)*100),"NA",IF(((AD417/V417-1)*100)&gt;100,"NM",IF(((AD417/V417-1)*100)&lt;-50,"NM",(AD417/V417-1)*100)))</f>
        <v>27.147766323024136</v>
      </c>
      <c r="AF417" s="73">
        <f>+AF398-AF410</f>
        <v>57.2</v>
      </c>
      <c r="AG417" s="23">
        <f>IF(ISERROR((AF417/X417-1)*100),"NA",IF(((AF417/X417-1)*100)&gt;100,"NM",IF(((AF417/X417-1)*100)&lt;-50,"NM",(AF417/X417-1)*100)))</f>
        <v>87.540983606557461</v>
      </c>
      <c r="AH417" s="73">
        <f>+AH398-AH410</f>
        <v>40.599999999999994</v>
      </c>
      <c r="AI417" s="23" t="str">
        <f>IF(ISERROR((AH417/Z417-1)*100),"NA",IF(((AH417/Z417-1)*100)&gt;100,"NM",IF(((AH417/Z417-1)*100)&lt;-50,"NM",(AH417/Z417-1)*100)))</f>
        <v>NM</v>
      </c>
      <c r="AJ417" s="73">
        <f>+AJ398-AJ410</f>
        <v>37.699999999999989</v>
      </c>
      <c r="AK417" s="23">
        <f>IF(ISERROR((AJ417/AB417-1)*100),"NA",IF(((AJ417/AB417-1)*100)&gt;100,"NM",IF(((AJ417/AB417-1)*100)&lt;-50,"NM",(AJ417/AB417-1)*100)))</f>
        <v>-0.26455026455032282</v>
      </c>
      <c r="AL417" s="73">
        <f>+AL398-AL410</f>
        <v>44.199999999999989</v>
      </c>
      <c r="AM417" s="23">
        <f>IF(ISERROR((AL417/AD417-1)*100),"NA",IF(((AL417/AD417-1)*100)&gt;100,"NM",IF(((AL417/AD417-1)*100)&lt;-50,"NM",(AL417/AD417-1)*100)))</f>
        <v>19.459459459459438</v>
      </c>
      <c r="AN417" s="73">
        <f t="shared" ref="AN417:AP417" si="2609">+AN398-AN410</f>
        <v>23.599999999999994</v>
      </c>
      <c r="AO417" s="23" t="str">
        <f>IF(ISERROR((AN417/AF417-1)*100),"NA",IF(((AN417/AF417-1)*100)&gt;100,"NM",IF(((AN417/AF417-1)*100)&lt;-50,"NM",(AN417/AF417-1)*100)))</f>
        <v>NM</v>
      </c>
      <c r="AP417" s="73">
        <f t="shared" si="2609"/>
        <v>20.799999999999997</v>
      </c>
      <c r="AQ417" s="23">
        <f t="shared" ref="AQ417:AQ418" si="2610">IF(ISERROR((AP417/AH417-1)*100),"NA",IF(((AP417/AH417-1)*100)&gt;100,"NM",IF(((AP417/AH417-1)*100)&lt;-50,"NM",(AP417/AH417-1)*100)))</f>
        <v>-48.768472906403936</v>
      </c>
      <c r="AR417" s="73">
        <f t="shared" ref="AR417:AT417" si="2611">+AR398-AR410</f>
        <v>32.300000000000011</v>
      </c>
      <c r="AS417" s="23">
        <f t="shared" ref="AS417:AS418" si="2612">IF(ISERROR((AR417/AJ417-1)*100),"NA",IF(((AR417/AJ417-1)*100)&gt;100,"NM",IF(((AR417/AJ417-1)*100)&lt;-50,"NM",(AR417/AJ417-1)*100)))</f>
        <v>-14.323607427055652</v>
      </c>
      <c r="AT417" s="73">
        <f t="shared" si="2611"/>
        <v>41.300000000000011</v>
      </c>
      <c r="AU417" s="23">
        <f t="shared" ref="AU417:AU418" si="2613">IF(ISERROR((AT417/AL417-1)*100),"NA",IF(((AT417/AL417-1)*100)&gt;100,"NM",IF(((AT417/AL417-1)*100)&lt;-50,"NM",(AT417/AL417-1)*100)))</f>
        <v>-6.5610859728506332</v>
      </c>
      <c r="AV417" s="73">
        <f t="shared" ref="AV417:AX417" si="2614">+AV398-AV410</f>
        <v>31.899999999999991</v>
      </c>
      <c r="AW417" s="23">
        <f t="shared" ref="AW417:AW418" si="2615">IF(ISERROR((AV417/AN417-1)*100),"NA",IF(((AV417/AN417-1)*100)&gt;100,"NM",IF(((AV417/AN417-1)*100)&lt;-50,"NM",(AV417/AN417-1)*100)))</f>
        <v>35.169491525423723</v>
      </c>
      <c r="AX417" s="73">
        <f t="shared" si="2614"/>
        <v>10.600000000000009</v>
      </c>
      <c r="AY417" s="23">
        <f t="shared" ref="AY417:AY418" si="2616">IF(ISERROR((AX417/AP417-1)*100),"NA",IF(((AX417/AP417-1)*100)&gt;100,"NM",IF(((AX417/AP417-1)*100)&lt;-50,"NM",(AX417/AP417-1)*100)))</f>
        <v>-49.038461538461483</v>
      </c>
      <c r="AZ417" s="73">
        <f t="shared" ref="AZ417" si="2617">+AZ398-AZ410</f>
        <v>27</v>
      </c>
      <c r="BA417" s="23">
        <f t="shared" ref="BA417:BA418" si="2618">IF(ISERROR((AZ417/AR417-1)*100),"NA",IF(((AZ417/AR417-1)*100)&gt;100,"NM",IF(((AZ417/AR417-1)*100)&lt;-50,"NM",(AZ417/AR417-1)*100)))</f>
        <v>-16.408668730650188</v>
      </c>
      <c r="BB417" s="73">
        <f t="shared" ref="BB417:BD417" si="2619">+BB398-BB410</f>
        <v>58.000000000000014</v>
      </c>
      <c r="BC417" s="23">
        <f t="shared" ref="BC417:BC418" si="2620">IF(ISERROR((BB417/AT417-1)*100),"NA",IF(((BB417/AT417-1)*100)&gt;100,"NM",IF(((BB417/AT417-1)*100)&lt;-50,"NM",(BB417/AT417-1)*100)))</f>
        <v>40.435835351089587</v>
      </c>
      <c r="BD417" s="73">
        <f t="shared" si="2619"/>
        <v>30</v>
      </c>
      <c r="BE417" s="23">
        <f t="shared" ref="BE417:BE418" si="2621">IF(ISERROR((BD417/AV417-1)*100),"NA",IF(((BD417/AV417-1)*100)&gt;100,"NM",IF(((BD417/AV417-1)*100)&lt;-50,"NM",(BD417/AV417-1)*100)))</f>
        <v>-5.9561128526645524</v>
      </c>
      <c r="BF417" s="73">
        <f t="shared" ref="BF417" si="2622">+BF398-BF410</f>
        <v>16.884465653513402</v>
      </c>
      <c r="BG417" s="23">
        <f t="shared" ref="BG417:BG418" si="2623">IF(ISERROR((BF417/AX417-1)*100),"NA",IF(((BF417/AX417-1)*100)&gt;100,"NM",IF(((BF417/AX417-1)*100)&lt;-50,"NM",(BF417/AX417-1)*100)))</f>
        <v>59.287411825597999</v>
      </c>
      <c r="BH417" s="73">
        <f t="shared" ref="BH417" si="2624">+BH398-BH410</f>
        <v>33.501306462761917</v>
      </c>
      <c r="BI417" s="23">
        <f t="shared" ref="BI417:BI418" si="2625">IF(ISERROR((BH417/AZ417-1)*100),"NA",IF(((BH417/AZ417-1)*100)&gt;100,"NM",IF(((BH417/AZ417-1)*100)&lt;-50,"NM",(BH417/AZ417-1)*100)))</f>
        <v>24.078912825044128</v>
      </c>
      <c r="BJ417" s="73">
        <f t="shared" ref="BJ417" si="2626">+BJ398-BJ410</f>
        <v>36.909836447959435</v>
      </c>
      <c r="BK417" s="23">
        <f t="shared" ref="BK417:BK418" si="2627">IF(ISERROR((BJ417/BB417-1)*100),"NA",IF(((BJ417/BB417-1)*100)&gt;100,"NM",IF(((BJ417/BB417-1)*100)&lt;-50,"NM",(BJ417/BB417-1)*100)))</f>
        <v>-36.362350951794099</v>
      </c>
      <c r="BL417" s="73">
        <f t="shared" ref="BL417" si="2628">+BL398-BL410</f>
        <v>32.247343876921292</v>
      </c>
      <c r="BM417" s="23">
        <f t="shared" ref="BM417:BM418" si="2629">IF(ISERROR((BL417/BD417-1)*100),"NA",IF(((BL417/BD417-1)*100)&gt;100,"NM",IF(((BL417/BD417-1)*100)&lt;-50,"NM",(BL417/BD417-1)*100)))</f>
        <v>7.4911462564043019</v>
      </c>
      <c r="BN417" s="10"/>
      <c r="BO417" s="137"/>
      <c r="BP417" s="10"/>
      <c r="BQ417" s="73">
        <f>+BQ396-BQ410</f>
        <v>37.19999999999996</v>
      </c>
      <c r="BR417" s="10"/>
      <c r="BS417" s="73">
        <f>+BS396-BS410</f>
        <v>81.999999999999943</v>
      </c>
      <c r="BT417" s="10"/>
      <c r="BU417" s="73">
        <f>+BU398-BU410</f>
        <v>83.318450509999991</v>
      </c>
      <c r="BV417" s="23">
        <f>IF(ISERROR((BU417/BS417-1)*100),"NA",IF(((BU417/BS417-1)*100)&gt;100,"NM",IF(((BU417/BS417-1)*100)&lt;-50,"NM",(BU417/BS417-1)*100)))</f>
        <v>1.6078664756098204</v>
      </c>
      <c r="BW417" s="73">
        <f>+BW398-BW410</f>
        <v>109.15199999999987</v>
      </c>
      <c r="BX417" s="23">
        <f>IF(ISERROR((BW417/BU417-1)*100),"NA",IF(((BW417/BU417-1)*100)&gt;100,"NM",IF(((BW417/BU417-1)*100)&lt;-50,"NM",(BW417/BU417-1)*100)))</f>
        <v>31.005796833558861</v>
      </c>
      <c r="BY417" s="73">
        <f>+BY398-BY410</f>
        <v>106.10000000000008</v>
      </c>
      <c r="BZ417" s="23">
        <f>IF(ISERROR((BY417/BW417-1)*100),"NA",IF(((BY417/BW417-1)*100)&gt;100,"NM",IF(((BY417/BW417-1)*100)&lt;-50,"NM",(BY417/BW417-1)*100)))</f>
        <v>-2.796100850190375</v>
      </c>
      <c r="CA417" s="73">
        <f>+CA398-CA410</f>
        <v>148.89999999999986</v>
      </c>
      <c r="CB417" s="23">
        <f>IF(ISERROR((CA417/BY417-1)*100),"NA",IF(((CA417/BY417-1)*100)&gt;100,"NM",IF(((CA417/BY417-1)*100)&lt;-50,"NM",(CA417/BY417-1)*100)))</f>
        <v>40.339302544768849</v>
      </c>
      <c r="CC417" s="73">
        <f>+CC398-CC410</f>
        <v>146.09999999999991</v>
      </c>
      <c r="CD417" s="23">
        <f>IF(ISERROR((CC417/CA417-1)*100),"NA",IF(((CC417/CA417-1)*100)&gt;100,"NM",IF(((CC417/CA417-1)*100)&lt;-50,"NM",(CC417/CA417-1)*100)))</f>
        <v>-1.8804566823371061</v>
      </c>
      <c r="CE417" s="73">
        <f>+CE398-CE410</f>
        <v>126.30000000000001</v>
      </c>
      <c r="CF417" s="23">
        <f>IF(ISERROR((CE417/CC417-1)*100),"NA",IF(((CE417/CC417-1)*100)&gt;100,"NM",IF(((CE417/CC417-1)*100)&lt;-50,"NM",(CE417/CC417-1)*100)))</f>
        <v>-13.552361396303835</v>
      </c>
      <c r="CG417" s="73">
        <f>+CG398-CG410</f>
        <v>125.60000000000008</v>
      </c>
      <c r="CH417" s="23">
        <f>IF(ISERROR((CG417/CE417-1)*100),"NA",IF(((CG417/CE417-1)*100)&gt;100,"NM",IF(((CG417/CE417-1)*100)&lt;-50,"NM",(CG417/CE417-1)*100)))</f>
        <v>-0.55423594615988669</v>
      </c>
      <c r="CI417" s="73">
        <f>+CI398-CI410</f>
        <v>119.54295244115605</v>
      </c>
      <c r="CJ417" s="23">
        <f>IF(ISERROR((CI417/CG417-1)*100),"NA",IF(((CI417/CG417-1)*100)&gt;100,"NM",IF(((CI417/CG417-1)*100)&lt;-50,"NM",(CI417/CG417-1)*100)))</f>
        <v>-4.8224900946210454</v>
      </c>
      <c r="CK417" s="73">
        <f>+CK398-CK410</f>
        <v>127.59095869892695</v>
      </c>
      <c r="CL417" s="23">
        <f>IF(ISERROR((CK417/CI417-1)*100),"NA",IF(((CK417/CI417-1)*100)&gt;100,"NM",IF(((CK417/CI417-1)*100)&lt;-50,"NM",(CK417/CI417-1)*100)))</f>
        <v>6.7323134433478815</v>
      </c>
      <c r="CM417" s="73">
        <f>+CM398-CM410</f>
        <v>130.03756043703845</v>
      </c>
      <c r="CN417" s="23">
        <f>IF(ISERROR((CM417/CK417-1)*100),"NA",IF(((CM417/CK417-1)*100)&gt;100,"NM",IF(((CM417/CK417-1)*100)&lt;-50,"NM",(CM417/CK417-1)*100)))</f>
        <v>1.917535351297639</v>
      </c>
      <c r="CO417" s="73">
        <f>+CO398-CO410</f>
        <v>132.45070490350696</v>
      </c>
      <c r="CP417" s="23">
        <f>IF(ISERROR((CO417/CM417-1)*100),"NA",IF(((CO417/CM417-1)*100)&gt;100,"NM",IF(((CO417/CM417-1)*100)&lt;-50,"NM",(CO417/CM417-1)*100)))</f>
        <v>1.8557288050915943</v>
      </c>
      <c r="CQ417" s="73">
        <f>+CQ398-CQ410</f>
        <v>134.82208720827538</v>
      </c>
      <c r="CR417" s="23">
        <f>IF(ISERROR((CQ417/CO417-1)*100),"NA",IF(((CQ417/CO417-1)*100)&gt;100,"NM",IF(((CQ417/CO417-1)*100)&lt;-50,"NM",(CQ417/CO417-1)*100)))</f>
        <v>1.7903885875851122</v>
      </c>
      <c r="CS417" s="23">
        <f>IF(ISERROR(((CQ417/CG417)^0.2-1)*100),"NA",IF((((CQ417/CG417)^0.2-1)*100)&gt;100,"NM",IF((((CQ417/CG417)^0.2-1)*100)&lt;-50,"NM",((CQ417/CG417)^0.2-1)*100)))</f>
        <v>1.4271637670947745</v>
      </c>
    </row>
    <row r="418" spans="1:105" ht="12.75" customHeight="1" x14ac:dyDescent="0.2">
      <c r="A418" s="4" t="s">
        <v>129</v>
      </c>
      <c r="B418" s="35">
        <f t="shared" ref="B418:Z418" si="2630">B417/B398*100</f>
        <v>14.008510079107017</v>
      </c>
      <c r="C418" s="59"/>
      <c r="D418" s="35">
        <f t="shared" si="2630"/>
        <v>29.226458895542134</v>
      </c>
      <c r="E418" s="59"/>
      <c r="F418" s="35">
        <f t="shared" si="2630"/>
        <v>19.075853829251358</v>
      </c>
      <c r="G418" s="59"/>
      <c r="H418" s="35">
        <f t="shared" si="2630"/>
        <v>21.358421680432176</v>
      </c>
      <c r="I418" s="59"/>
      <c r="J418" s="35">
        <f t="shared" si="2630"/>
        <v>16.19734504024251</v>
      </c>
      <c r="K418" s="23">
        <f t="shared" si="2608"/>
        <v>15.625037557705944</v>
      </c>
      <c r="L418" s="35">
        <f t="shared" si="2630"/>
        <v>27.235253244192375</v>
      </c>
      <c r="M418" s="23">
        <f t="shared" si="2608"/>
        <v>-6.8130239741547189</v>
      </c>
      <c r="N418" s="35">
        <f t="shared" si="2630"/>
        <v>31.956220952921548</v>
      </c>
      <c r="O418" s="23">
        <f t="shared" si="2608"/>
        <v>67.521838020792217</v>
      </c>
      <c r="P418" s="35">
        <f t="shared" si="2630"/>
        <v>26.59425205117963</v>
      </c>
      <c r="Q418" s="23">
        <f t="shared" si="2608"/>
        <v>24.514125852025547</v>
      </c>
      <c r="R418" s="35">
        <f t="shared" si="2630"/>
        <v>13.611416026344667</v>
      </c>
      <c r="S418" s="23">
        <f t="shared" si="2608"/>
        <v>-15.965141246747972</v>
      </c>
      <c r="T418" s="35">
        <f t="shared" si="2630"/>
        <v>29.729729729729716</v>
      </c>
      <c r="U418" s="23">
        <f t="shared" si="2608"/>
        <v>9.1589986814947686</v>
      </c>
      <c r="V418" s="35">
        <f t="shared" si="2630"/>
        <v>26.845018450184487</v>
      </c>
      <c r="W418" s="23">
        <f t="shared" si="2608"/>
        <v>-15.994389669125686</v>
      </c>
      <c r="X418" s="35">
        <f t="shared" si="2630"/>
        <v>28.345724907063186</v>
      </c>
      <c r="Y418" s="23">
        <f t="shared" si="2608"/>
        <v>6.5859075581930826</v>
      </c>
      <c r="Z418" s="35">
        <f t="shared" si="2630"/>
        <v>15.391621129326042</v>
      </c>
      <c r="AA418" s="23">
        <f>IF(ISERROR((Z418/R418-1)*100),"NA",IF(((Z418/R418-1)*100)&gt;100,"NM",IF(((Z418/R418-1)*100)&lt;-50,"NM",(Z418/R418-1)*100)))</f>
        <v>13.078764909806729</v>
      </c>
      <c r="AB418" s="35">
        <f t="shared" ref="AB418:AD418" si="2631">AB417/AB398*100</f>
        <v>31.684828164291705</v>
      </c>
      <c r="AC418" s="23">
        <f>IF(ISERROR((AB418/T418-1)*100),"NA",IF(((AB418/T418-1)*100)&gt;100,"NM",IF(((AB418/T418-1)*100)&lt;-50,"NM",(AB418/T418-1)*100)))</f>
        <v>6.5762401889812416</v>
      </c>
      <c r="AD418" s="35">
        <f t="shared" si="2631"/>
        <v>31.48936170212766</v>
      </c>
      <c r="AE418" s="23">
        <f>IF(ISERROR((AD418/V418-1)*100),"NA",IF(((AD418/V418-1)*100)&gt;100,"NM",IF(((AD418/V418-1)*100)&lt;-50,"NM",(AD418/V418-1)*100)))</f>
        <v>17.300577612049484</v>
      </c>
      <c r="AF418" s="35">
        <f t="shared" ref="AF418:AH418" si="2632">AF417/AF398*100</f>
        <v>41.003584229390682</v>
      </c>
      <c r="AG418" s="23">
        <f>IF(ISERROR((AF418/X418-1)*100),"NA",IF(((AF418/X418-1)*100)&gt;100,"NM",IF(((AF418/X418-1)*100)&lt;-50,"NM",(AF418/X418-1)*100)))</f>
        <v>44.655267642047193</v>
      </c>
      <c r="AH418" s="35">
        <f t="shared" si="2632"/>
        <v>31.424148606811141</v>
      </c>
      <c r="AI418" s="23" t="str">
        <f>IF(ISERROR((AH418/Z418-1)*100),"NA",IF(((AH418/Z418-1)*100)&gt;100,"NM",IF(((AH418/Z418-1)*100)&lt;-50,"NM",(AH418/Z418-1)*100)))</f>
        <v>NM</v>
      </c>
      <c r="AJ418" s="35">
        <f t="shared" ref="AJ418:AL418" si="2633">AJ417/AJ398*100</f>
        <v>28.51739788199697</v>
      </c>
      <c r="AK418" s="23">
        <f>IF(ISERROR((AJ418/AB418-1)*100),"NA",IF(((AJ418/AB418-1)*100)&gt;100,"NM",IF(((AJ418/AB418-1)*100)&lt;-50,"NM",(AJ418/AB418-1)*100)))</f>
        <v>-9.9966781131683007</v>
      </c>
      <c r="AL418" s="35">
        <f t="shared" si="2633"/>
        <v>32.452276064610864</v>
      </c>
      <c r="AM418" s="23">
        <f>IF(ISERROR((AL418/AD418-1)*100),"NA",IF(((AL418/AD418-1)*100)&gt;100,"NM",IF(((AL418/AD418-1)*100)&lt;-50,"NM",(AL418/AD418-1)*100)))</f>
        <v>3.0579037186966529</v>
      </c>
      <c r="AN418" s="409">
        <f t="shared" ref="AN418:AP418" si="2634">AN417/AN398*100</f>
        <v>20.309810671256447</v>
      </c>
      <c r="AO418" s="23" t="str">
        <f>IF(ISERROR((AN418/AF418-1)*100),"NA",IF(((AN418/AF418-1)*100)&gt;100,"NM",IF(((AN418/AF418-1)*100)&lt;-50,"NM",(AN418/AF418-1)*100)))</f>
        <v>NM</v>
      </c>
      <c r="AP418" s="409">
        <f t="shared" si="2634"/>
        <v>17.161716171617158</v>
      </c>
      <c r="AQ418" s="23">
        <f t="shared" si="2610"/>
        <v>-45.386853956331599</v>
      </c>
      <c r="AR418" s="409">
        <f t="shared" ref="AR418:AT418" si="2635">AR417/AR398*100</f>
        <v>24.884437596302007</v>
      </c>
      <c r="AS418" s="23">
        <f t="shared" si="2612"/>
        <v>-12.739452248511252</v>
      </c>
      <c r="AT418" s="409">
        <f t="shared" si="2635"/>
        <v>30.843913368185223</v>
      </c>
      <c r="AU418" s="23">
        <f t="shared" si="2613"/>
        <v>-4.9560859559541264</v>
      </c>
      <c r="AV418" s="409">
        <f t="shared" ref="AV418:AX418" si="2636">AV417/AV398*100</f>
        <v>26.126126126126113</v>
      </c>
      <c r="AW418" s="23">
        <f t="shared" si="2615"/>
        <v>28.637959993892181</v>
      </c>
      <c r="AX418" s="409">
        <f t="shared" si="2636"/>
        <v>8.9602704987320454</v>
      </c>
      <c r="AY418" s="23">
        <f t="shared" si="2616"/>
        <v>-47.789193055465184</v>
      </c>
      <c r="AZ418" s="409">
        <f t="shared" ref="AZ418" si="2637">AZ417/AZ398*100</f>
        <v>21.07728337236534</v>
      </c>
      <c r="BA418" s="23">
        <f t="shared" si="2618"/>
        <v>-15.299338026841468</v>
      </c>
      <c r="BB418" s="409">
        <f t="shared" ref="BB418:BD418" si="2638">BB417/BB398*100</f>
        <v>37.251123956326268</v>
      </c>
      <c r="BC418" s="23">
        <f t="shared" si="2620"/>
        <v>20.773014473416108</v>
      </c>
      <c r="BD418" s="409">
        <f t="shared" si="2638"/>
        <v>23.255813953488371</v>
      </c>
      <c r="BE418" s="23">
        <f t="shared" si="2621"/>
        <v>-10.986367281475506</v>
      </c>
      <c r="BF418" s="35">
        <f t="shared" ref="BF418" si="2639">BF417/BF398*100</f>
        <v>13.722834043682694</v>
      </c>
      <c r="BG418" s="23">
        <f t="shared" si="2623"/>
        <v>53.152006355439731</v>
      </c>
      <c r="BH418" s="35">
        <f t="shared" ref="BH418" si="2640">BH417/BH398*100</f>
        <v>25.149449974451858</v>
      </c>
      <c r="BI418" s="23">
        <f t="shared" si="2625"/>
        <v>19.32016821212159</v>
      </c>
      <c r="BJ418" s="35">
        <f t="shared" ref="BJ418" si="2641">BJ417/BJ398*100</f>
        <v>26.077410452684358</v>
      </c>
      <c r="BK418" s="23">
        <f t="shared" si="2627"/>
        <v>-29.995641250293879</v>
      </c>
      <c r="BL418" s="35">
        <f t="shared" ref="BL418" si="2642">BL417/BL398*100</f>
        <v>24.90846862817147</v>
      </c>
      <c r="BM418" s="23">
        <f t="shared" si="2629"/>
        <v>7.10641510113732</v>
      </c>
      <c r="BN418" s="10"/>
      <c r="BO418" s="138"/>
      <c r="BP418" s="10"/>
      <c r="BQ418" s="152"/>
      <c r="BR418" s="152"/>
      <c r="BS418" s="152"/>
      <c r="BT418" s="10"/>
      <c r="BU418" s="35">
        <f t="shared" ref="BU418:CA418" si="2643">BU417/BU398*100</f>
        <v>21.146790670455161</v>
      </c>
      <c r="BV418" s="23" t="str">
        <f>IF(ISERROR((BU418/BS418-1)*100),"NA",IF(((BU418/BS418-1)*100)&gt;100,"NM",IF(((BU418/BS418-1)*100)&lt;-50,"NM",(BU418/BS418-1)*100)))</f>
        <v>NA</v>
      </c>
      <c r="BW418" s="35">
        <f t="shared" si="2643"/>
        <v>25.832530642286926</v>
      </c>
      <c r="BX418" s="23">
        <f>IF(ISERROR((BW418/BU418-1)*100),"NA",IF(((BW418/BU418-1)*100)&gt;100,"NM",IF(((BW418/BU418-1)*100)&lt;-50,"NM",(BW418/BU418-1)*100)))</f>
        <v>22.158161230480978</v>
      </c>
      <c r="BY418" s="35">
        <f t="shared" si="2643"/>
        <v>25.154101469890961</v>
      </c>
      <c r="BZ418" s="23">
        <f>IF(ISERROR((BY418/BW418-1)*100),"NA",IF(((BY418/BW418-1)*100)&gt;100,"NM",IF(((BY418/BW418-1)*100)&lt;-50,"NM",(BY418/BW418-1)*100)))</f>
        <v>-2.6262590444213085</v>
      </c>
      <c r="CA418" s="35">
        <f t="shared" si="2643"/>
        <v>30.631557292738098</v>
      </c>
      <c r="CB418" s="23">
        <f>IF(ISERROR((CA418/BY418-1)*100),"NA",IF(((CA418/BY418-1)*100)&gt;100,"NM",IF(((CA418/BY418-1)*100)&lt;-50,"NM",(CA418/BY418-1)*100)))</f>
        <v>21.775597229754197</v>
      </c>
      <c r="CC418" s="35">
        <f t="shared" ref="CC418" si="2644">CC417/CC398*100</f>
        <v>28.435188789412209</v>
      </c>
      <c r="CD418" s="23">
        <f>IF(ISERROR((CC418/CA418-1)*100),"NA",IF(((CC418/CA418-1)*100)&gt;100,"NM",IF(((CC418/CA418-1)*100)&lt;-50,"NM",(CC418/CA418-1)*100)))</f>
        <v>-7.1702802516233399</v>
      </c>
      <c r="CE418" s="35">
        <f t="shared" ref="CE418" si="2645">CE417/CE398*100</f>
        <v>24.911242603550299</v>
      </c>
      <c r="CF418" s="23">
        <f>IF(ISERROR((CE418/CC418-1)*100),"NA",IF(((CE418/CC418-1)*100)&gt;100,"NM",IF(((CE418/CC418-1)*100)&lt;-50,"NM",(CE418/CC418-1)*100)))</f>
        <v>-12.392905888404171</v>
      </c>
      <c r="CG418" s="35">
        <f t="shared" ref="CG418" si="2646">CG417/CG398*100</f>
        <v>23.649030314441738</v>
      </c>
      <c r="CH418" s="23">
        <f>IF(ISERROR((CG418/CE418-1)*100),"NA",IF(((CG418/CE418-1)*100)&gt;100,"NM",IF(((CG418/CE418-1)*100)&lt;-50,"NM",(CG418/CE418-1)*100)))</f>
        <v>-5.0668379301507578</v>
      </c>
      <c r="CI418" s="35">
        <f t="shared" ref="CI418" si="2647">CI417/CI398*100</f>
        <v>22.672874372805669</v>
      </c>
      <c r="CJ418" s="23">
        <f>IF(ISERROR((CI418/CG418-1)*100),"NA",IF(((CI418/CG418-1)*100)&gt;100,"NM",IF(((CI418/CG418-1)*100)&lt;-50,"NM",(CI418/CG418-1)*100)))</f>
        <v>-4.1276785079849994</v>
      </c>
      <c r="CK418" s="35">
        <f>CK417/CK398*100</f>
        <v>23.513804634898587</v>
      </c>
      <c r="CL418" s="23">
        <f>IF(ISERROR((CK418/CI418-1)*100),"NA",IF(((CK418/CI418-1)*100)&gt;100,"NM",IF(((CK418/CI418-1)*100)&lt;-50,"NM",(CK418/CI418-1)*100)))</f>
        <v>3.7089706768787423</v>
      </c>
      <c r="CM418" s="35">
        <f>CM417/CM398*100</f>
        <v>23.289804044923233</v>
      </c>
      <c r="CN418" s="23">
        <f>IF(ISERROR((CM418/CK418-1)*100),"NA",IF(((CM418/CK418-1)*100)&gt;100,"NM",IF(((CM418/CK418-1)*100)&lt;-50,"NM",(CM418/CK418-1)*100)))</f>
        <v>-0.95263439266182193</v>
      </c>
      <c r="CO418" s="35">
        <f>CO417/CO398*100</f>
        <v>23.058816269387634</v>
      </c>
      <c r="CP418" s="23">
        <f>IF(ISERROR((CO418/CM418-1)*100),"NA",IF(((CO418/CM418-1)*100)&gt;100,"NM",IF(((CO418/CM418-1)*100)&lt;-50,"NM",(CO418/CM418-1)*100)))</f>
        <v>-0.99179784892157175</v>
      </c>
      <c r="CQ418" s="35">
        <f>CQ417/CQ398*100</f>
        <v>22.820494780418574</v>
      </c>
      <c r="CR418" s="23">
        <f>IF(ISERROR((CQ418/CO418-1)*100),"NA",IF(((CQ418/CO418-1)*100)&gt;100,"NM",IF(((CQ418/CO418-1)*100)&lt;-50,"NM",(CQ418/CO418-1)*100)))</f>
        <v>-1.03353739491584</v>
      </c>
      <c r="CS418" s="23">
        <f>IF(ISERROR(((CQ418/CG418)^0.2-1)*100),"NA",IF((((CQ418/CG418)^0.2-1)*100)&gt;100,"NM",IF((((CQ418/CG418)^0.2-1)*100)&lt;-50,"NM",((CQ418/CG418)^0.2-1)*100)))</f>
        <v>-0.71072405589657217</v>
      </c>
    </row>
    <row r="419" spans="1:105" ht="12.75" customHeight="1" x14ac:dyDescent="0.2">
      <c r="B419" s="37"/>
      <c r="C419" s="59"/>
      <c r="D419" s="37"/>
      <c r="E419" s="59"/>
      <c r="F419" s="37"/>
      <c r="G419" s="59"/>
      <c r="H419" s="37"/>
      <c r="I419" s="59"/>
      <c r="J419" s="37"/>
      <c r="L419" s="37"/>
      <c r="N419" s="37"/>
      <c r="P419" s="35"/>
      <c r="R419" s="35"/>
      <c r="T419" s="35"/>
      <c r="V419" s="35"/>
      <c r="X419" s="35"/>
      <c r="Z419" s="35"/>
      <c r="AB419" s="35"/>
      <c r="AD419" s="35"/>
      <c r="AF419" s="35"/>
      <c r="AH419" s="35"/>
      <c r="AJ419" s="35"/>
      <c r="AL419" s="35"/>
      <c r="AN419" s="409"/>
      <c r="AP419" s="409"/>
      <c r="AR419" s="409"/>
      <c r="AT419" s="409"/>
      <c r="AV419" s="409"/>
      <c r="AX419" s="409"/>
      <c r="AZ419" s="409"/>
      <c r="BB419" s="409"/>
      <c r="BD419" s="409"/>
      <c r="BF419" s="35"/>
      <c r="BH419" s="35"/>
      <c r="BJ419" s="35"/>
      <c r="BL419" s="35"/>
      <c r="BN419" s="10"/>
      <c r="BO419" s="138"/>
      <c r="BP419" s="10"/>
      <c r="BQ419" s="10"/>
      <c r="BR419" s="10"/>
      <c r="BS419" s="10"/>
      <c r="BT419" s="10"/>
      <c r="BU419" s="37"/>
      <c r="BW419" s="35"/>
      <c r="BY419" s="35"/>
      <c r="CA419" s="35"/>
      <c r="CC419" s="35"/>
      <c r="CE419" s="35"/>
      <c r="CG419" s="35"/>
      <c r="CI419" s="35"/>
      <c r="CK419" s="35"/>
      <c r="CM419" s="35"/>
      <c r="CO419" s="35"/>
      <c r="CQ419" s="35"/>
    </row>
    <row r="420" spans="1:105" ht="12.75" customHeight="1" x14ac:dyDescent="0.2">
      <c r="A420" s="12" t="s">
        <v>325</v>
      </c>
      <c r="B420" s="49">
        <v>0</v>
      </c>
      <c r="C420" s="59"/>
      <c r="D420" s="49">
        <v>0</v>
      </c>
      <c r="E420" s="59"/>
      <c r="F420" s="49">
        <v>0</v>
      </c>
      <c r="G420" s="59"/>
      <c r="H420" s="49">
        <v>0</v>
      </c>
      <c r="I420" s="59"/>
      <c r="J420" s="49">
        <v>3.3</v>
      </c>
      <c r="K420" s="23" t="str">
        <f t="shared" ref="K420:Y423" si="2648">IF(ISERROR((J420/B420-1)*100),"NA",IF(((J420/B420-1)*100)&gt;100,"NM",IF(((J420/B420-1)*100)&lt;-50,"NM",(J420/B420-1)*100)))</f>
        <v>NA</v>
      </c>
      <c r="L420" s="49">
        <v>-3.8</v>
      </c>
      <c r="M420" s="23" t="str">
        <f t="shared" si="2648"/>
        <v>NA</v>
      </c>
      <c r="N420" s="49">
        <v>0.6</v>
      </c>
      <c r="O420" s="23" t="str">
        <f t="shared" si="2648"/>
        <v>NA</v>
      </c>
      <c r="P420" s="48">
        <v>0</v>
      </c>
      <c r="Q420" s="23" t="str">
        <f t="shared" si="2648"/>
        <v>NA</v>
      </c>
      <c r="R420" s="48">
        <f>(13*0.5/4)</f>
        <v>1.625</v>
      </c>
      <c r="S420" s="23" t="str">
        <f t="shared" si="2648"/>
        <v>NM</v>
      </c>
      <c r="T420" s="48">
        <v>0</v>
      </c>
      <c r="U420" s="23" t="str">
        <f t="shared" si="2648"/>
        <v>NM</v>
      </c>
      <c r="V420" s="48">
        <v>4</v>
      </c>
      <c r="W420" s="23" t="str">
        <f t="shared" si="2648"/>
        <v>NM</v>
      </c>
      <c r="X420" s="48">
        <f>-0.5+0.3</f>
        <v>-0.2</v>
      </c>
      <c r="Y420" s="23" t="str">
        <f t="shared" si="2648"/>
        <v>NA</v>
      </c>
      <c r="Z420" s="48">
        <v>-4.5999999999999996</v>
      </c>
      <c r="AA420" s="23" t="str">
        <f>IF(ISERROR((Z420/R420-1)*100),"NA",IF(((Z420/R420-1)*100)&gt;100,"NM",IF(((Z420/R420-1)*100)&lt;-50,"NM",(Z420/R420-1)*100)))</f>
        <v>NM</v>
      </c>
      <c r="AB420" s="48">
        <v>-1.8</v>
      </c>
      <c r="AC420" s="23" t="str">
        <f>IF(ISERROR((AB420/T420-1)*100),"NA",IF(((AB420/T420-1)*100)&gt;100,"NM",IF(((AB420/T420-1)*100)&lt;-50,"NM",(AB420/T420-1)*100)))</f>
        <v>NA</v>
      </c>
      <c r="AD420" s="48">
        <f>-1.4+0.64</f>
        <v>-0.7599999999999999</v>
      </c>
      <c r="AE420" s="23" t="str">
        <f>IF(ISERROR((AD420/V420-1)*100),"NA",IF(((AD420/V420-1)*100)&gt;100,"NM",IF(((AD420/V420-1)*100)&lt;-50,"NM",(AD420/V420-1)*100)))</f>
        <v>NM</v>
      </c>
      <c r="AF420" s="49">
        <v>-0.3</v>
      </c>
      <c r="AG420" s="23">
        <f>IF(ISERROR((AF420/X420-1)*100),"NA",IF(((AF420/X420-1)*100)&gt;100,"NM",IF(((AF420/X420-1)*100)&lt;-50,"NM",(AF420/X420-1)*100)))</f>
        <v>49.999999999999979</v>
      </c>
      <c r="AH420" s="49">
        <f>-0.7+-0.81</f>
        <v>-1.51</v>
      </c>
      <c r="AI420" s="23" t="str">
        <f>IF(ISERROR((AH420/Z420-1)*100),"NA",IF(((AH420/Z420-1)*100)&gt;100,"NM",IF(((AH420/Z420-1)*100)&lt;-50,"NM",(AH420/Z420-1)*100)))</f>
        <v>NM</v>
      </c>
      <c r="AJ420" s="49">
        <f>-0.9</f>
        <v>-0.9</v>
      </c>
      <c r="AK420" s="23">
        <f>IF(ISERROR((AJ420/AB420-1)*100),"NA",IF(((AJ420/AB420-1)*100)&gt;100,"NM",IF(((AJ420/AB420-1)*100)&lt;-50,"NM",(AJ420/AB420-1)*100)))</f>
        <v>-50</v>
      </c>
      <c r="AL420" s="49">
        <v>-2.6</v>
      </c>
      <c r="AM420" s="23" t="str">
        <f>IF(ISERROR((AL420/AD420-1)*100),"NA",IF(((AL420/AD420-1)*100)&gt;100,"NM",IF(((AL420/AD420-1)*100)&lt;-50,"NM",(AL420/AD420-1)*100)))</f>
        <v>NM</v>
      </c>
      <c r="AN420" s="158">
        <v>-0.2</v>
      </c>
      <c r="AO420" s="23">
        <f>IF(ISERROR((AN420/AF420-1)*100),"NA",IF(((AN420/AF420-1)*100)&gt;100,"NM",IF(((AN420/AF420-1)*100)&lt;-50,"NM",(AN420/AF420-1)*100)))</f>
        <v>-33.333333333333329</v>
      </c>
      <c r="AP420" s="158">
        <v>-2.2999999999999998</v>
      </c>
      <c r="AQ420" s="23">
        <f t="shared" ref="AQ420:AQ423" si="2649">IF(ISERROR((AP420/AH420-1)*100),"NA",IF(((AP420/AH420-1)*100)&gt;100,"NM",IF(((AP420/AH420-1)*100)&lt;-50,"NM",(AP420/AH420-1)*100)))</f>
        <v>52.317880794701964</v>
      </c>
      <c r="AR420" s="158">
        <v>-1.5</v>
      </c>
      <c r="AS420" s="23">
        <f t="shared" ref="AS420:AS423" si="2650">IF(ISERROR((AR420/AJ420-1)*100),"NA",IF(((AR420/AJ420-1)*100)&gt;100,"NM",IF(((AR420/AJ420-1)*100)&lt;-50,"NM",(AR420/AJ420-1)*100)))</f>
        <v>66.666666666666657</v>
      </c>
      <c r="AT420" s="158">
        <f>0.8+17</f>
        <v>17.8</v>
      </c>
      <c r="AU420" s="23" t="str">
        <f t="shared" ref="W420:AU428" si="2651">IF(ISERROR((AT420/AL420-1)*100),"NA",IF(((AT420/AL420-1)*100)&gt;100,"NM",IF(((AT420/AL420-1)*100)&lt;-50,"NM",(AT420/AL420-1)*100)))</f>
        <v>NM</v>
      </c>
      <c r="AV420" s="158">
        <v>1</v>
      </c>
      <c r="AW420" s="23" t="str">
        <f t="shared" ref="AW420:AW423" si="2652">IF(ISERROR((AV420/AN420-1)*100),"NA",IF(((AV420/AN420-1)*100)&gt;100,"NM",IF(((AV420/AN420-1)*100)&lt;-50,"NM",(AV420/AN420-1)*100)))</f>
        <v>NM</v>
      </c>
      <c r="AX420" s="158">
        <v>-1</v>
      </c>
      <c r="AY420" s="23" t="str">
        <f t="shared" ref="AY420:AY423" si="2653">IF(ISERROR((AX420/AP420-1)*100),"NA",IF(((AX420/AP420-1)*100)&gt;100,"NM",IF(((AX420/AP420-1)*100)&lt;-50,"NM",(AX420/AP420-1)*100)))</f>
        <v>NM</v>
      </c>
      <c r="AZ420" s="158">
        <v>1</v>
      </c>
      <c r="BA420" s="23" t="str">
        <f t="shared" ref="BA420:BA423" si="2654">IF(ISERROR((AZ420/AR420-1)*100),"NA",IF(((AZ420/AR420-1)*100)&gt;100,"NM",IF(((AZ420/AR420-1)*100)&lt;-50,"NM",(AZ420/AR420-1)*100)))</f>
        <v>NM</v>
      </c>
      <c r="BB420" s="158">
        <f>-1+1+1+17+8</f>
        <v>26</v>
      </c>
      <c r="BC420" s="23">
        <f t="shared" ref="BC420:BC423" si="2655">IF(ISERROR((BB420/AT420-1)*100),"NA",IF(((BB420/AT420-1)*100)&gt;100,"NM",IF(((BB420/AT420-1)*100)&lt;-50,"NM",(BB420/AT420-1)*100)))</f>
        <v>46.067415730337082</v>
      </c>
      <c r="BD420" s="158">
        <v>1</v>
      </c>
      <c r="BE420" s="23">
        <f t="shared" ref="BE420:BE423" si="2656">IF(ISERROR((BD420/AV420-1)*100),"NA",IF(((BD420/AV420-1)*100)&gt;100,"NM",IF(((BD420/AV420-1)*100)&lt;-50,"NM",(BD420/AV420-1)*100)))</f>
        <v>0</v>
      </c>
      <c r="BF420" s="48">
        <v>0</v>
      </c>
      <c r="BG420" s="23" t="str">
        <f t="shared" ref="BG420:BG423" si="2657">IF(ISERROR((BF420/AX420-1)*100),"NA",IF(((BF420/AX420-1)*100)&gt;100,"NM",IF(((BF420/AX420-1)*100)&lt;-50,"NM",(BF420/AX420-1)*100)))</f>
        <v>NM</v>
      </c>
      <c r="BH420" s="48">
        <v>0</v>
      </c>
      <c r="BI420" s="23" t="str">
        <f t="shared" ref="BI420:BI423" si="2658">IF(ISERROR((BH420/AZ420-1)*100),"NA",IF(((BH420/AZ420-1)*100)&gt;100,"NM",IF(((BH420/AZ420-1)*100)&lt;-50,"NM",(BH420/AZ420-1)*100)))</f>
        <v>NM</v>
      </c>
      <c r="BJ420" s="48">
        <v>0</v>
      </c>
      <c r="BK420" s="23" t="str">
        <f t="shared" ref="BK420:BK423" si="2659">IF(ISERROR((BJ420/BB420-1)*100),"NA",IF(((BJ420/BB420-1)*100)&gt;100,"NM",IF(((BJ420/BB420-1)*100)&lt;-50,"NM",(BJ420/BB420-1)*100)))</f>
        <v>NM</v>
      </c>
      <c r="BL420" s="48">
        <v>0</v>
      </c>
      <c r="BM420" s="23" t="str">
        <f t="shared" ref="BM420:BM423" si="2660">IF(ISERROR((BL420/BD420-1)*100),"NA",IF(((BL420/BD420-1)*100)&gt;100,"NM",IF(((BL420/BD420-1)*100)&lt;-50,"NM",(BL420/BD420-1)*100)))</f>
        <v>NM</v>
      </c>
      <c r="BN420" s="10"/>
      <c r="BO420" s="137"/>
      <c r="BP420" s="10"/>
      <c r="BQ420" s="49">
        <v>0</v>
      </c>
      <c r="BR420" s="32"/>
      <c r="BS420" s="49">
        <v>-2</v>
      </c>
      <c r="BT420" s="10"/>
      <c r="BU420" s="56">
        <f>B420+D420+F420+H420</f>
        <v>0</v>
      </c>
      <c r="BV420" s="23" t="str">
        <f>IF(ISERROR((BU420/BS420-1)*100),"NA",IF(((BU420/BS420-1)*100)&gt;100,"NM",IF(((BU420/BS420-1)*100)&lt;-50,"NM",(BU420/BS420-1)*100)))</f>
        <v>NM</v>
      </c>
      <c r="BW420" s="56">
        <f>J420+L420+N420+P420</f>
        <v>9.9999999999999978E-2</v>
      </c>
      <c r="BX420" s="23" t="str">
        <f>IF(ISERROR((BW420/BU420-1)*100),"NA",IF(((BW420/BU420-1)*100)&gt;100,"NM",IF(((BW420/BU420-1)*100)&lt;-50,"NM",(BW420/BU420-1)*100)))</f>
        <v>NA</v>
      </c>
      <c r="BY420" s="56">
        <f>R420+T420+V420+X420</f>
        <v>5.4249999999999998</v>
      </c>
      <c r="BZ420" s="23" t="str">
        <f>IF(ISERROR((BY420/BW420-1)*100),"NA",IF(((BY420/BW420-1)*100)&gt;100,"NM",IF(((BY420/BW420-1)*100)&lt;-50,"NM",(BY420/BW420-1)*100)))</f>
        <v>NM</v>
      </c>
      <c r="CA420" s="56">
        <f>Z420+AB420+AD420+AF420</f>
        <v>-7.4599999999999991</v>
      </c>
      <c r="CB420" s="23" t="str">
        <f>IF(ISERROR((CA420/BY420-1)*100),"NA",IF(((CA420/BY420-1)*100)&gt;100,"NM",IF(((CA420/BY420-1)*100)&lt;-50,"NM",(CA420/BY420-1)*100)))</f>
        <v>NM</v>
      </c>
      <c r="CC420" s="56">
        <f>AH420+AJ420+AL420+AN420</f>
        <v>-5.21</v>
      </c>
      <c r="CD420" s="23">
        <f>IF(ISERROR((CC420/CA420-1)*100),"NA",IF(((CC420/CA420-1)*100)&gt;100,"NM",IF(((CC420/CA420-1)*100)&lt;-50,"NM",(CC420/CA420-1)*100)))</f>
        <v>-30.16085790884717</v>
      </c>
      <c r="CE420" s="56">
        <f>AP420+AR420+AT420+AV420</f>
        <v>15</v>
      </c>
      <c r="CF420" s="23" t="str">
        <f>IF(ISERROR((CE420/CC420-1)*100),"NA",IF(((CE420/CC420-1)*100)&gt;100,"NM",IF(((CE420/CC420-1)*100)&lt;-50,"NM",(CE420/CC420-1)*100)))</f>
        <v>NM</v>
      </c>
      <c r="CG420" s="56">
        <f>AX420+AZ420+BB420+BD420</f>
        <v>27</v>
      </c>
      <c r="CH420" s="23">
        <f>IF(ISERROR((CG420/CE420-1)*100),"NA",IF(((CG420/CE420-1)*100)&gt;100,"NM",IF(((CG420/CE420-1)*100)&lt;-50,"NM",(CG420/CE420-1)*100)))</f>
        <v>80</v>
      </c>
      <c r="CI420" s="56">
        <f>BF420+BH420+BJ420+BL420</f>
        <v>0</v>
      </c>
      <c r="CJ420" s="23" t="str">
        <f>IF(ISERROR((CI420/CG420-1)*100),"NA",IF(((CI420/CG420-1)*100)&gt;100,"NM",IF(((CI420/CG420-1)*100)&lt;-50,"NM",(CI420/CG420-1)*100)))</f>
        <v>NM</v>
      </c>
      <c r="CK420" s="48">
        <v>0</v>
      </c>
      <c r="CL420" s="23" t="str">
        <f>IF(ISERROR((CK420/CI420-1)*100),"NA",IF(((CK420/CI420-1)*100)&gt;100,"NM",IF(((CK420/CI420-1)*100)&lt;-50,"NM",(CK420/CI420-1)*100)))</f>
        <v>NA</v>
      </c>
      <c r="CM420" s="48">
        <v>0</v>
      </c>
      <c r="CN420" s="23" t="str">
        <f>IF(ISERROR((CM420/CK420-1)*100),"NA",IF(((CM420/CK420-1)*100)&gt;100,"NM",IF(((CM420/CK420-1)*100)&lt;-50,"NM",(CM420/CK420-1)*100)))</f>
        <v>NA</v>
      </c>
      <c r="CO420" s="48">
        <v>0</v>
      </c>
      <c r="CP420" s="23" t="str">
        <f>IF(ISERROR((CO420/CM420-1)*100),"NA",IF(((CO420/CM420-1)*100)&gt;100,"NM",IF(((CO420/CM420-1)*100)&lt;-50,"NM",(CO420/CM420-1)*100)))</f>
        <v>NA</v>
      </c>
      <c r="CQ420" s="48">
        <v>0</v>
      </c>
      <c r="CR420" s="23" t="str">
        <f>IF(ISERROR((CQ420/CO420-1)*100),"NA",IF(((CQ420/CO420-1)*100)&gt;100,"NM",IF(((CQ420/CO420-1)*100)&lt;-50,"NM",(CQ420/CO420-1)*100)))</f>
        <v>NA</v>
      </c>
      <c r="CS420" s="23" t="str">
        <f>IF(ISERROR(((CQ420/CG420)^0.2-1)*100),"NA",IF((((CQ420/CG420)^0.2-1)*100)&gt;100,"NM",IF((((CQ420/CG420)^0.2-1)*100)&lt;-50,"NM",((CQ420/CG420)^0.2-1)*100)))</f>
        <v>NM</v>
      </c>
    </row>
    <row r="421" spans="1:105" ht="12.75" customHeight="1" x14ac:dyDescent="0.2">
      <c r="A421" s="4" t="s">
        <v>12</v>
      </c>
      <c r="B421" s="56">
        <f>B420</f>
        <v>0</v>
      </c>
      <c r="C421" s="59"/>
      <c r="D421" s="56">
        <f>D420</f>
        <v>0</v>
      </c>
      <c r="E421" s="59"/>
      <c r="F421" s="56">
        <f>F420</f>
        <v>0</v>
      </c>
      <c r="G421" s="59"/>
      <c r="H421" s="56">
        <f>H420</f>
        <v>0</v>
      </c>
      <c r="I421" s="59"/>
      <c r="J421" s="56">
        <f>J420</f>
        <v>3.3</v>
      </c>
      <c r="K421" s="23" t="str">
        <f t="shared" si="2648"/>
        <v>NA</v>
      </c>
      <c r="L421" s="56">
        <f>L420</f>
        <v>-3.8</v>
      </c>
      <c r="M421" s="23" t="str">
        <f t="shared" si="2648"/>
        <v>NA</v>
      </c>
      <c r="N421" s="56">
        <f>N420</f>
        <v>0.6</v>
      </c>
      <c r="O421" s="23" t="str">
        <f t="shared" si="2648"/>
        <v>NA</v>
      </c>
      <c r="P421" s="56">
        <f>P420</f>
        <v>0</v>
      </c>
      <c r="Q421" s="23" t="str">
        <f t="shared" si="2648"/>
        <v>NA</v>
      </c>
      <c r="R421" s="56">
        <f>R420</f>
        <v>1.625</v>
      </c>
      <c r="S421" s="23" t="str">
        <f t="shared" si="2648"/>
        <v>NM</v>
      </c>
      <c r="T421" s="56">
        <f>T420</f>
        <v>0</v>
      </c>
      <c r="U421" s="23" t="str">
        <f t="shared" si="2648"/>
        <v>NM</v>
      </c>
      <c r="V421" s="56">
        <f>V420</f>
        <v>4</v>
      </c>
      <c r="W421" s="23" t="str">
        <f t="shared" si="2648"/>
        <v>NM</v>
      </c>
      <c r="X421" s="56">
        <f>X420</f>
        <v>-0.2</v>
      </c>
      <c r="Y421" s="23" t="str">
        <f t="shared" si="2648"/>
        <v>NA</v>
      </c>
      <c r="Z421" s="56">
        <f>Z420</f>
        <v>-4.5999999999999996</v>
      </c>
      <c r="AA421" s="23" t="str">
        <f>IF(ISERROR((Z421/R421-1)*100),"NA",IF(((Z421/R421-1)*100)&gt;100,"NM",IF(((Z421/R421-1)*100)&lt;-50,"NM",(Z421/R421-1)*100)))</f>
        <v>NM</v>
      </c>
      <c r="AB421" s="56">
        <f>AB420</f>
        <v>-1.8</v>
      </c>
      <c r="AC421" s="23" t="str">
        <f>IF(ISERROR((AB421/T421-1)*100),"NA",IF(((AB421/T421-1)*100)&gt;100,"NM",IF(((AB421/T421-1)*100)&lt;-50,"NM",(AB421/T421-1)*100)))</f>
        <v>NA</v>
      </c>
      <c r="AD421" s="56">
        <f>AD420</f>
        <v>-0.7599999999999999</v>
      </c>
      <c r="AE421" s="23" t="str">
        <f>IF(ISERROR((AD421/V421-1)*100),"NA",IF(((AD421/V421-1)*100)&gt;100,"NM",IF(((AD421/V421-1)*100)&lt;-50,"NM",(AD421/V421-1)*100)))</f>
        <v>NM</v>
      </c>
      <c r="AF421" s="56">
        <f>AF420</f>
        <v>-0.3</v>
      </c>
      <c r="AG421" s="23">
        <f>IF(ISERROR((AF421/X421-1)*100),"NA",IF(((AF421/X421-1)*100)&gt;100,"NM",IF(((AF421/X421-1)*100)&lt;-50,"NM",(AF421/X421-1)*100)))</f>
        <v>49.999999999999979</v>
      </c>
      <c r="AH421" s="56">
        <f>AH420</f>
        <v>-1.51</v>
      </c>
      <c r="AI421" s="23" t="str">
        <f>IF(ISERROR((AH421/Z421-1)*100),"NA",IF(((AH421/Z421-1)*100)&gt;100,"NM",IF(((AH421/Z421-1)*100)&lt;-50,"NM",(AH421/Z421-1)*100)))</f>
        <v>NM</v>
      </c>
      <c r="AJ421" s="56">
        <f>AJ420</f>
        <v>-0.9</v>
      </c>
      <c r="AK421" s="23">
        <f>IF(ISERROR((AJ421/AB421-1)*100),"NA",IF(((AJ421/AB421-1)*100)&gt;100,"NM",IF(((AJ421/AB421-1)*100)&lt;-50,"NM",(AJ421/AB421-1)*100)))</f>
        <v>-50</v>
      </c>
      <c r="AL421" s="56">
        <f>AL420</f>
        <v>-2.6</v>
      </c>
      <c r="AM421" s="23" t="str">
        <f>IF(ISERROR((AL421/AD421-1)*100),"NA",IF(((AL421/AD421-1)*100)&gt;100,"NM",IF(((AL421/AD421-1)*100)&lt;-50,"NM",(AL421/AD421-1)*100)))</f>
        <v>NM</v>
      </c>
      <c r="AN421" s="413">
        <f t="shared" ref="AN421:AP421" si="2661">AN420</f>
        <v>-0.2</v>
      </c>
      <c r="AO421" s="23">
        <f>IF(ISERROR((AN421/AF421-1)*100),"NA",IF(((AN421/AF421-1)*100)&gt;100,"NM",IF(((AN421/AF421-1)*100)&lt;-50,"NM",(AN421/AF421-1)*100)))</f>
        <v>-33.333333333333329</v>
      </c>
      <c r="AP421" s="413">
        <f t="shared" si="2661"/>
        <v>-2.2999999999999998</v>
      </c>
      <c r="AQ421" s="23">
        <f t="shared" si="2649"/>
        <v>52.317880794701964</v>
      </c>
      <c r="AR421" s="413">
        <f t="shared" ref="AR421:AT421" si="2662">AR420</f>
        <v>-1.5</v>
      </c>
      <c r="AS421" s="23">
        <f t="shared" si="2650"/>
        <v>66.666666666666657</v>
      </c>
      <c r="AT421" s="413">
        <f t="shared" si="2662"/>
        <v>17.8</v>
      </c>
      <c r="AU421" s="23" t="str">
        <f t="shared" si="2651"/>
        <v>NM</v>
      </c>
      <c r="AV421" s="413">
        <f t="shared" ref="AV421:AX421" si="2663">AV420</f>
        <v>1</v>
      </c>
      <c r="AW421" s="23" t="str">
        <f t="shared" si="2652"/>
        <v>NM</v>
      </c>
      <c r="AX421" s="413">
        <f t="shared" si="2663"/>
        <v>-1</v>
      </c>
      <c r="AY421" s="23" t="str">
        <f t="shared" si="2653"/>
        <v>NM</v>
      </c>
      <c r="AZ421" s="413">
        <f t="shared" ref="AZ421" si="2664">AZ420</f>
        <v>1</v>
      </c>
      <c r="BA421" s="23" t="str">
        <f t="shared" si="2654"/>
        <v>NM</v>
      </c>
      <c r="BB421" s="413">
        <f t="shared" ref="BB421:BD421" si="2665">BB420</f>
        <v>26</v>
      </c>
      <c r="BC421" s="23">
        <f t="shared" si="2655"/>
        <v>46.067415730337082</v>
      </c>
      <c r="BD421" s="413">
        <f t="shared" si="2665"/>
        <v>1</v>
      </c>
      <c r="BE421" s="23">
        <f t="shared" si="2656"/>
        <v>0</v>
      </c>
      <c r="BF421" s="56">
        <f t="shared" ref="BF421" si="2666">BF420</f>
        <v>0</v>
      </c>
      <c r="BG421" s="23" t="str">
        <f t="shared" si="2657"/>
        <v>NM</v>
      </c>
      <c r="BH421" s="56">
        <f t="shared" ref="BH421" si="2667">BH420</f>
        <v>0</v>
      </c>
      <c r="BI421" s="23" t="str">
        <f t="shared" si="2658"/>
        <v>NM</v>
      </c>
      <c r="BJ421" s="56">
        <f t="shared" ref="BJ421" si="2668">BJ420</f>
        <v>0</v>
      </c>
      <c r="BK421" s="23" t="str">
        <f t="shared" si="2659"/>
        <v>NM</v>
      </c>
      <c r="BL421" s="56">
        <f t="shared" ref="BL421" si="2669">BL420</f>
        <v>0</v>
      </c>
      <c r="BM421" s="23" t="str">
        <f t="shared" si="2660"/>
        <v>NM</v>
      </c>
      <c r="BN421" s="5"/>
      <c r="BO421" s="137"/>
      <c r="BP421" s="5"/>
      <c r="BQ421" s="56">
        <f>BQ420</f>
        <v>0</v>
      </c>
      <c r="BR421" s="10"/>
      <c r="BS421" s="56">
        <f>BS420</f>
        <v>-2</v>
      </c>
      <c r="BT421" s="5"/>
      <c r="BU421" s="56">
        <f>BU420</f>
        <v>0</v>
      </c>
      <c r="BV421" s="23" t="str">
        <f>IF(ISERROR((BU421/BS421-1)*100),"NA",IF(((BU421/BS421-1)*100)&gt;100,"NM",IF(((BU421/BS421-1)*100)&lt;-50,"NM",(BU421/BS421-1)*100)))</f>
        <v>NM</v>
      </c>
      <c r="BW421" s="56">
        <f>BW420</f>
        <v>9.9999999999999978E-2</v>
      </c>
      <c r="BX421" s="23" t="str">
        <f>IF(ISERROR((BW421/BU421-1)*100),"NA",IF(((BW421/BU421-1)*100)&gt;100,"NM",IF(((BW421/BU421-1)*100)&lt;-50,"NM",(BW421/BU421-1)*100)))</f>
        <v>NA</v>
      </c>
      <c r="BY421" s="56">
        <f>BY420</f>
        <v>5.4249999999999998</v>
      </c>
      <c r="BZ421" s="23" t="str">
        <f>IF(ISERROR((BY421/BW421-1)*100),"NA",IF(((BY421/BW421-1)*100)&gt;100,"NM",IF(((BY421/BW421-1)*100)&lt;-50,"NM",(BY421/BW421-1)*100)))</f>
        <v>NM</v>
      </c>
      <c r="CA421" s="56">
        <f>CA420</f>
        <v>-7.4599999999999991</v>
      </c>
      <c r="CB421" s="23" t="str">
        <f>IF(ISERROR((CA421/BY421-1)*100),"NA",IF(((CA421/BY421-1)*100)&gt;100,"NM",IF(((CA421/BY421-1)*100)&lt;-50,"NM",(CA421/BY421-1)*100)))</f>
        <v>NM</v>
      </c>
      <c r="CC421" s="56">
        <f>CC420</f>
        <v>-5.21</v>
      </c>
      <c r="CD421" s="23">
        <f>IF(ISERROR((CC421/CA421-1)*100),"NA",IF(((CC421/CA421-1)*100)&gt;100,"NM",IF(((CC421/CA421-1)*100)&lt;-50,"NM",(CC421/CA421-1)*100)))</f>
        <v>-30.16085790884717</v>
      </c>
      <c r="CE421" s="56">
        <f>CE420</f>
        <v>15</v>
      </c>
      <c r="CF421" s="23" t="str">
        <f>IF(ISERROR((CE421/CC421-1)*100),"NA",IF(((CE421/CC421-1)*100)&gt;100,"NM",IF(((CE421/CC421-1)*100)&lt;-50,"NM",(CE421/CC421-1)*100)))</f>
        <v>NM</v>
      </c>
      <c r="CG421" s="56">
        <f>CG420</f>
        <v>27</v>
      </c>
      <c r="CH421" s="23">
        <f>IF(ISERROR((CG421/CE421-1)*100),"NA",IF(((CG421/CE421-1)*100)&gt;100,"NM",IF(((CG421/CE421-1)*100)&lt;-50,"NM",(CG421/CE421-1)*100)))</f>
        <v>80</v>
      </c>
      <c r="CI421" s="56">
        <f>CI420</f>
        <v>0</v>
      </c>
      <c r="CJ421" s="23" t="str">
        <f>IF(ISERROR((CI421/CG421-1)*100),"NA",IF(((CI421/CG421-1)*100)&gt;100,"NM",IF(((CI421/CG421-1)*100)&lt;-50,"NM",(CI421/CG421-1)*100)))</f>
        <v>NM</v>
      </c>
      <c r="CK421" s="56">
        <f>CK420</f>
        <v>0</v>
      </c>
      <c r="CL421" s="23" t="str">
        <f>IF(ISERROR((CK421/CI421-1)*100),"NA",IF(((CK421/CI421-1)*100)&gt;100,"NM",IF(((CK421/CI421-1)*100)&lt;-50,"NM",(CK421/CI421-1)*100)))</f>
        <v>NA</v>
      </c>
      <c r="CM421" s="56">
        <f>CM420</f>
        <v>0</v>
      </c>
      <c r="CN421" s="23" t="str">
        <f>IF(ISERROR((CM421/CK421-1)*100),"NA",IF(((CM421/CK421-1)*100)&gt;100,"NM",IF(((CM421/CK421-1)*100)&lt;-50,"NM",(CM421/CK421-1)*100)))</f>
        <v>NA</v>
      </c>
      <c r="CO421" s="56">
        <f>CO420</f>
        <v>0</v>
      </c>
      <c r="CP421" s="23" t="str">
        <f>IF(ISERROR((CO421/CM421-1)*100),"NA",IF(((CO421/CM421-1)*100)&gt;100,"NM",IF(((CO421/CM421-1)*100)&lt;-50,"NM",(CO421/CM421-1)*100)))</f>
        <v>NA</v>
      </c>
      <c r="CQ421" s="56">
        <f>CQ420</f>
        <v>0</v>
      </c>
      <c r="CR421" s="23" t="str">
        <f>IF(ISERROR((CQ421/CO421-1)*100),"NA",IF(((CQ421/CO421-1)*100)&gt;100,"NM",IF(((CQ421/CO421-1)*100)&lt;-50,"NM",(CQ421/CO421-1)*100)))</f>
        <v>NA</v>
      </c>
      <c r="CS421" s="23" t="str">
        <f>IF(ISERROR(((CQ421/CG421)^0.2-1)*100),"NA",IF((((CQ421/CG421)^0.2-1)*100)&gt;100,"NM",IF((((CQ421/CG421)^0.2-1)*100)&lt;-50,"NM",((CQ421/CG421)^0.2-1)*100)))</f>
        <v>NM</v>
      </c>
    </row>
    <row r="422" spans="1:105" ht="12.75" customHeight="1" x14ac:dyDescent="0.2">
      <c r="A422" s="3" t="s">
        <v>130</v>
      </c>
      <c r="B422" s="72">
        <f t="shared" ref="B422:Z422" si="2670">B417-B421</f>
        <v>13.335955239999976</v>
      </c>
      <c r="C422" s="59"/>
      <c r="D422" s="72">
        <f t="shared" si="2670"/>
        <v>30.890866800000012</v>
      </c>
      <c r="E422" s="59"/>
      <c r="F422" s="72">
        <f t="shared" si="2670"/>
        <v>17.992191009999985</v>
      </c>
      <c r="G422" s="59"/>
      <c r="H422" s="72">
        <f t="shared" si="2670"/>
        <v>21.099437460000019</v>
      </c>
      <c r="I422" s="59"/>
      <c r="J422" s="72">
        <f t="shared" si="2670"/>
        <v>12.196000000000009</v>
      </c>
      <c r="K422" s="23">
        <f t="shared" si="2648"/>
        <v>-8.5479833989002607</v>
      </c>
      <c r="L422" s="72">
        <f t="shared" si="2670"/>
        <v>32.804999999999993</v>
      </c>
      <c r="M422" s="23">
        <f t="shared" si="2648"/>
        <v>6.1964373236686798</v>
      </c>
      <c r="N422" s="72">
        <f t="shared" si="2670"/>
        <v>35.429999999999986</v>
      </c>
      <c r="O422" s="23">
        <f t="shared" si="2648"/>
        <v>96.918763147346198</v>
      </c>
      <c r="P422" s="72">
        <f t="shared" si="2670"/>
        <v>28.621000000000038</v>
      </c>
      <c r="Q422" s="23">
        <f t="shared" si="2648"/>
        <v>35.64816623314853</v>
      </c>
      <c r="R422" s="72">
        <f t="shared" si="2670"/>
        <v>10.774999999999991</v>
      </c>
      <c r="S422" s="23">
        <f t="shared" si="2648"/>
        <v>-11.65136110200079</v>
      </c>
      <c r="T422" s="72">
        <f t="shared" si="2670"/>
        <v>34.09999999999998</v>
      </c>
      <c r="U422" s="23">
        <f t="shared" si="2648"/>
        <v>3.9475689681450543</v>
      </c>
      <c r="V422" s="72">
        <f t="shared" si="2670"/>
        <v>25.09999999999998</v>
      </c>
      <c r="W422" s="23">
        <f t="shared" si="2648"/>
        <v>-29.156082416031637</v>
      </c>
      <c r="X422" s="72">
        <f t="shared" si="2670"/>
        <v>30.699999999999985</v>
      </c>
      <c r="Y422" s="23">
        <f t="shared" si="2648"/>
        <v>7.263897138464559</v>
      </c>
      <c r="Z422" s="72">
        <f t="shared" si="2670"/>
        <v>21.499999999999993</v>
      </c>
      <c r="AA422" s="23">
        <f>IF(ISERROR((Z422/R422-1)*100),"NA",IF(((Z422/R422-1)*100)&gt;100,"NM",IF(((Z422/R422-1)*100)&lt;-50,"NM",(Z422/R422-1)*100)))</f>
        <v>99.535962877030258</v>
      </c>
      <c r="AB422" s="72">
        <f t="shared" ref="AB422:AD422" si="2671">AB417-AB421</f>
        <v>39.600000000000009</v>
      </c>
      <c r="AC422" s="23">
        <f>IF(ISERROR((AB422/T422-1)*100),"NA",IF(((AB422/T422-1)*100)&gt;100,"NM",IF(((AB422/T422-1)*100)&lt;-50,"NM",(AB422/T422-1)*100)))</f>
        <v>16.129032258064612</v>
      </c>
      <c r="AD422" s="72">
        <f t="shared" si="2671"/>
        <v>37.76</v>
      </c>
      <c r="AE422" s="23">
        <f>IF(ISERROR((AD422/V422-1)*100),"NA",IF(((AD422/V422-1)*100)&gt;100,"NM",IF(((AD422/V422-1)*100)&lt;-50,"NM",(AD422/V422-1)*100)))</f>
        <v>50.438247011952299</v>
      </c>
      <c r="AF422" s="72">
        <f t="shared" ref="AF422:AH422" si="2672">AF417-AF421</f>
        <v>57.5</v>
      </c>
      <c r="AG422" s="23">
        <f>IF(ISERROR((AF422/X422-1)*100),"NA",IF(((AF422/X422-1)*100)&gt;100,"NM",IF(((AF422/X422-1)*100)&lt;-50,"NM",(AF422/X422-1)*100)))</f>
        <v>87.296416938110838</v>
      </c>
      <c r="AH422" s="72">
        <f t="shared" si="2672"/>
        <v>42.109999999999992</v>
      </c>
      <c r="AI422" s="23">
        <f>IF(ISERROR((AH422/Z422-1)*100),"NA",IF(((AH422/Z422-1)*100)&gt;100,"NM",IF(((AH422/Z422-1)*100)&lt;-50,"NM",(AH422/Z422-1)*100)))</f>
        <v>95.860465116279101</v>
      </c>
      <c r="AJ422" s="72">
        <f t="shared" ref="AJ422:AL422" si="2673">AJ417-AJ421</f>
        <v>38.599999999999987</v>
      </c>
      <c r="AK422" s="23">
        <f>IF(ISERROR((AJ422/AB422-1)*100),"NA",IF(((AJ422/AB422-1)*100)&gt;100,"NM",IF(((AJ422/AB422-1)*100)&lt;-50,"NM",(AJ422/AB422-1)*100)))</f>
        <v>-2.5252525252525748</v>
      </c>
      <c r="AL422" s="72">
        <f t="shared" si="2673"/>
        <v>46.79999999999999</v>
      </c>
      <c r="AM422" s="23">
        <f>IF(ISERROR((AL422/AD422-1)*100),"NA",IF(((AL422/AD422-1)*100)&gt;100,"NM",IF(((AL422/AD422-1)*100)&lt;-50,"NM",(AL422/AD422-1)*100)))</f>
        <v>23.940677966101664</v>
      </c>
      <c r="AN422" s="72">
        <f t="shared" ref="AN422:AP422" si="2674">AN417-AN421</f>
        <v>23.799999999999994</v>
      </c>
      <c r="AO422" s="23" t="str">
        <f>IF(ISERROR((AN422/AF422-1)*100),"NA",IF(((AN422/AF422-1)*100)&gt;100,"NM",IF(((AN422/AF422-1)*100)&lt;-50,"NM",(AN422/AF422-1)*100)))</f>
        <v>NM</v>
      </c>
      <c r="AP422" s="72">
        <f t="shared" si="2674"/>
        <v>23.099999999999998</v>
      </c>
      <c r="AQ422" s="23">
        <f t="shared" si="2649"/>
        <v>-45.143671336974592</v>
      </c>
      <c r="AR422" s="72">
        <f t="shared" ref="AR422:AT422" si="2675">AR417-AR421</f>
        <v>33.800000000000011</v>
      </c>
      <c r="AS422" s="23">
        <f t="shared" si="2650"/>
        <v>-12.435233160621706</v>
      </c>
      <c r="AT422" s="72">
        <f t="shared" si="2675"/>
        <v>23.500000000000011</v>
      </c>
      <c r="AU422" s="23">
        <f t="shared" si="2651"/>
        <v>-49.786324786324755</v>
      </c>
      <c r="AV422" s="72">
        <f t="shared" ref="AV422:AX422" si="2676">AV417-AV421</f>
        <v>30.899999999999991</v>
      </c>
      <c r="AW422" s="23">
        <f t="shared" si="2652"/>
        <v>29.831932773109248</v>
      </c>
      <c r="AX422" s="72">
        <f t="shared" si="2676"/>
        <v>11.600000000000009</v>
      </c>
      <c r="AY422" s="23">
        <f t="shared" si="2653"/>
        <v>-49.783549783549738</v>
      </c>
      <c r="AZ422" s="72">
        <f t="shared" ref="AZ422" si="2677">AZ417-AZ421</f>
        <v>26</v>
      </c>
      <c r="BA422" s="23">
        <f t="shared" si="2654"/>
        <v>-23.076923076923105</v>
      </c>
      <c r="BB422" s="72">
        <f t="shared" ref="BB422:BD422" si="2678">BB417-BB421</f>
        <v>32.000000000000014</v>
      </c>
      <c r="BC422" s="23">
        <f t="shared" si="2655"/>
        <v>36.170212765957444</v>
      </c>
      <c r="BD422" s="72">
        <f t="shared" si="2678"/>
        <v>29</v>
      </c>
      <c r="BE422" s="23">
        <f t="shared" si="2656"/>
        <v>-6.1488673139158294</v>
      </c>
      <c r="BF422" s="72">
        <f t="shared" ref="BF422" si="2679">BF417-BF421</f>
        <v>16.884465653513402</v>
      </c>
      <c r="BG422" s="23">
        <f t="shared" si="2657"/>
        <v>45.555738392356801</v>
      </c>
      <c r="BH422" s="72">
        <f t="shared" ref="BH422" si="2680">BH417-BH421</f>
        <v>33.501306462761917</v>
      </c>
      <c r="BI422" s="23">
        <f t="shared" si="2658"/>
        <v>28.851178702930458</v>
      </c>
      <c r="BJ422" s="72">
        <f t="shared" ref="BJ422" si="2681">BJ417-BJ421</f>
        <v>36.909836447959435</v>
      </c>
      <c r="BK422" s="23">
        <f t="shared" si="2659"/>
        <v>15.343238899873191</v>
      </c>
      <c r="BL422" s="72">
        <f t="shared" ref="BL422" si="2682">BL417-BL421</f>
        <v>32.247343876921292</v>
      </c>
      <c r="BM422" s="23">
        <f t="shared" si="2660"/>
        <v>11.197737506625138</v>
      </c>
      <c r="BN422" s="10"/>
      <c r="BO422" s="137"/>
      <c r="BP422" s="10"/>
      <c r="BQ422" s="72">
        <f t="shared" ref="BQ422:CA422" si="2683">BQ417-BQ421</f>
        <v>37.19999999999996</v>
      </c>
      <c r="BR422" s="10"/>
      <c r="BS422" s="72">
        <f t="shared" si="2683"/>
        <v>83.999999999999943</v>
      </c>
      <c r="BT422" s="10"/>
      <c r="BU422" s="72">
        <f t="shared" si="2683"/>
        <v>83.318450509999991</v>
      </c>
      <c r="BV422" s="23">
        <f>IF(ISERROR((BU422/BS422-1)*100),"NA",IF(((BU422/BS422-1)*100)&gt;100,"NM",IF(((BU422/BS422-1)*100)&lt;-50,"NM",(BU422/BS422-1)*100)))</f>
        <v>-0.81136844047613454</v>
      </c>
      <c r="BW422" s="72">
        <f t="shared" si="2683"/>
        <v>109.05199999999988</v>
      </c>
      <c r="BX422" s="23">
        <f>IF(ISERROR((BW422/BU422-1)*100),"NA",IF(((BW422/BU422-1)*100)&gt;100,"NM",IF(((BW422/BU422-1)*100)&lt;-50,"NM",(BW422/BU422-1)*100)))</f>
        <v>30.885775398465086</v>
      </c>
      <c r="BY422" s="72">
        <f t="shared" si="2683"/>
        <v>100.67500000000008</v>
      </c>
      <c r="BZ422" s="23">
        <f>IF(ISERROR((BY422/BW422-1)*100),"NA",IF(((BY422/BW422-1)*100)&gt;100,"NM",IF(((BY422/BW422-1)*100)&lt;-50,"NM",(BY422/BW422-1)*100)))</f>
        <v>-7.6816564574696544</v>
      </c>
      <c r="CA422" s="72">
        <f t="shared" si="2683"/>
        <v>156.35999999999987</v>
      </c>
      <c r="CB422" s="23">
        <f>IF(ISERROR((CA422/BY422-1)*100),"NA",IF(((CA422/BY422-1)*100)&gt;100,"NM",IF(((CA422/BY422-1)*100)&lt;-50,"NM",(CA422/BY422-1)*100)))</f>
        <v>55.311646386888256</v>
      </c>
      <c r="CC422" s="72">
        <f t="shared" ref="CC422" si="2684">CC417-CC421</f>
        <v>151.30999999999992</v>
      </c>
      <c r="CD422" s="23">
        <f>IF(ISERROR((CC422/CA422-1)*100),"NA",IF(((CC422/CA422-1)*100)&gt;100,"NM",IF(((CC422/CA422-1)*100)&lt;-50,"NM",(CC422/CA422-1)*100)))</f>
        <v>-3.2297262727039922</v>
      </c>
      <c r="CE422" s="72">
        <f t="shared" ref="CE422" si="2685">CE417-CE421</f>
        <v>111.30000000000001</v>
      </c>
      <c r="CF422" s="23">
        <f>IF(ISERROR((CE422/CC422-1)*100),"NA",IF(((CE422/CC422-1)*100)&gt;100,"NM",IF(((CE422/CC422-1)*100)&lt;-50,"NM",(CE422/CC422-1)*100)))</f>
        <v>-26.442403013680472</v>
      </c>
      <c r="CG422" s="72">
        <f t="shared" ref="CG422" si="2686">CG417-CG421</f>
        <v>98.60000000000008</v>
      </c>
      <c r="CH422" s="23">
        <f>IF(ISERROR((CG422/CE422-1)*100),"NA",IF(((CG422/CE422-1)*100)&gt;100,"NM",IF(((CG422/CE422-1)*100)&lt;-50,"NM",(CG422/CE422-1)*100)))</f>
        <v>-11.410601976639645</v>
      </c>
      <c r="CI422" s="72">
        <f t="shared" ref="CI422" si="2687">CI417-CI421</f>
        <v>119.54295244115605</v>
      </c>
      <c r="CJ422" s="23">
        <f>IF(ISERROR((CI422/CG422-1)*100),"NA",IF(((CI422/CG422-1)*100)&gt;100,"NM",IF(((CI422/CG422-1)*100)&lt;-50,"NM",(CI422/CG422-1)*100)))</f>
        <v>21.240316877440101</v>
      </c>
      <c r="CK422" s="72">
        <f>CK417-CK421</f>
        <v>127.59095869892695</v>
      </c>
      <c r="CL422" s="23">
        <f>IF(ISERROR((CK422/CI422-1)*100),"NA",IF(((CK422/CI422-1)*100)&gt;100,"NM",IF(((CK422/CI422-1)*100)&lt;-50,"NM",(CK422/CI422-1)*100)))</f>
        <v>6.7323134433478815</v>
      </c>
      <c r="CM422" s="72">
        <f>CM417-CM421</f>
        <v>130.03756043703845</v>
      </c>
      <c r="CN422" s="23">
        <f>IF(ISERROR((CM422/CK422-1)*100),"NA",IF(((CM422/CK422-1)*100)&gt;100,"NM",IF(((CM422/CK422-1)*100)&lt;-50,"NM",(CM422/CK422-1)*100)))</f>
        <v>1.917535351297639</v>
      </c>
      <c r="CO422" s="72">
        <f>CO417-CO421</f>
        <v>132.45070490350696</v>
      </c>
      <c r="CP422" s="23">
        <f>IF(ISERROR((CO422/CM422-1)*100),"NA",IF(((CO422/CM422-1)*100)&gt;100,"NM",IF(((CO422/CM422-1)*100)&lt;-50,"NM",(CO422/CM422-1)*100)))</f>
        <v>1.8557288050915943</v>
      </c>
      <c r="CQ422" s="72">
        <f>CQ417-CQ421</f>
        <v>134.82208720827538</v>
      </c>
      <c r="CR422" s="23">
        <f>IF(ISERROR((CQ422/CO422-1)*100),"NA",IF(((CQ422/CO422-1)*100)&gt;100,"NM",IF(((CQ422/CO422-1)*100)&lt;-50,"NM",(CQ422/CO422-1)*100)))</f>
        <v>1.7903885875851122</v>
      </c>
      <c r="CS422" s="23">
        <f>IF(ISERROR(((CQ422/CG422)^0.2-1)*100),"NA",IF((((CQ422/CG422)^0.2-1)*100)&gt;100,"NM",IF((((CQ422/CG422)^0.2-1)*100)&lt;-50,"NM",((CQ422/CG422)^0.2-1)*100)))</f>
        <v>6.4576380271017753</v>
      </c>
    </row>
    <row r="423" spans="1:105" ht="12.75" customHeight="1" x14ac:dyDescent="0.2">
      <c r="A423" s="4" t="s">
        <v>131</v>
      </c>
      <c r="B423" s="35">
        <f t="shared" ref="B423:Z423" si="2688">B422/B398*100</f>
        <v>14.008510079107017</v>
      </c>
      <c r="C423" s="59"/>
      <c r="D423" s="35">
        <f t="shared" si="2688"/>
        <v>29.226458895542134</v>
      </c>
      <c r="E423" s="59"/>
      <c r="F423" s="35">
        <f t="shared" si="2688"/>
        <v>19.075853829251358</v>
      </c>
      <c r="G423" s="59"/>
      <c r="H423" s="35">
        <f t="shared" si="2688"/>
        <v>21.358421680432176</v>
      </c>
      <c r="I423" s="59"/>
      <c r="J423" s="35">
        <f t="shared" si="2688"/>
        <v>12.74798787498694</v>
      </c>
      <c r="K423" s="23">
        <f t="shared" si="2648"/>
        <v>-8.9982603217745645</v>
      </c>
      <c r="L423" s="35">
        <f t="shared" si="2688"/>
        <v>30.803395368927106</v>
      </c>
      <c r="M423" s="23">
        <f t="shared" si="2648"/>
        <v>5.395578297805681</v>
      </c>
      <c r="N423" s="35">
        <f t="shared" si="2688"/>
        <v>31.424060737219271</v>
      </c>
      <c r="O423" s="23">
        <f t="shared" si="2648"/>
        <v>64.732132142011295</v>
      </c>
      <c r="P423" s="35">
        <f t="shared" si="2688"/>
        <v>26.59425205117963</v>
      </c>
      <c r="Q423" s="23">
        <f t="shared" si="2648"/>
        <v>24.514125852025547</v>
      </c>
      <c r="R423" s="35">
        <f t="shared" si="2688"/>
        <v>11.827661909989015</v>
      </c>
      <c r="S423" s="23">
        <f t="shared" si="2648"/>
        <v>-7.2193821803338327</v>
      </c>
      <c r="T423" s="35">
        <f t="shared" si="2688"/>
        <v>29.729729729729716</v>
      </c>
      <c r="U423" s="23">
        <f t="shared" si="2648"/>
        <v>-3.4855431563250661</v>
      </c>
      <c r="V423" s="35">
        <f t="shared" si="2688"/>
        <v>23.154981549815481</v>
      </c>
      <c r="W423" s="23">
        <f t="shared" si="2648"/>
        <v>-26.31448321257135</v>
      </c>
      <c r="X423" s="35">
        <f t="shared" si="2688"/>
        <v>28.53159851301114</v>
      </c>
      <c r="Y423" s="23">
        <f t="shared" si="2648"/>
        <v>7.2848315421812249</v>
      </c>
      <c r="Z423" s="35">
        <f t="shared" si="2688"/>
        <v>19.581056466302364</v>
      </c>
      <c r="AA423" s="23">
        <f>IF(ISERROR((Z423/R423-1)*100),"NA",IF(((Z423/R423-1)*100)&gt;100,"NM",IF(((Z423/R423-1)*100)&lt;-50,"NM",(Z423/R423-1)*100)))</f>
        <v>65.553062095605256</v>
      </c>
      <c r="AB423" s="35">
        <f t="shared" ref="AB423:AD423" si="2689">AB422/AB398*100</f>
        <v>33.193629505448449</v>
      </c>
      <c r="AC423" s="23">
        <f>IF(ISERROR((AB423/T423-1)*100),"NA",IF(((AB423/T423-1)*100)&gt;100,"NM",IF(((AB423/T423-1)*100)&lt;-50,"NM",(AB423/T423-1)*100)))</f>
        <v>11.651299245599379</v>
      </c>
      <c r="AD423" s="35">
        <f t="shared" si="2689"/>
        <v>32.136170212765961</v>
      </c>
      <c r="AE423" s="23">
        <f>IF(ISERROR((AD423/V423-1)*100),"NA",IF(((AD423/V423-1)*100)&gt;100,"NM",IF(((AD423/V423-1)*100)&lt;-50,"NM",(AD423/V423-1)*100)))</f>
        <v>38.787284902941543</v>
      </c>
      <c r="AF423" s="35">
        <f t="shared" ref="AF423:AH423" si="2690">AF422/AF398*100</f>
        <v>41.218637992831539</v>
      </c>
      <c r="AG423" s="23">
        <f>IF(ISERROR((AF423/X423-1)*100),"NA",IF(((AF423/X423-1)*100)&gt;100,"NM",IF(((AF423/X423-1)*100)&lt;-50,"NM",(AF423/X423-1)*100)))</f>
        <v>44.466626971618098</v>
      </c>
      <c r="AH423" s="35">
        <f t="shared" si="2690"/>
        <v>32.592879256965936</v>
      </c>
      <c r="AI423" s="23">
        <f>IF(ISERROR((AH423/Z423-1)*100),"NA",IF(((AH423/Z423-1)*100)&gt;100,"NM",IF(((AH423/Z423-1)*100)&lt;-50,"NM",(AH423/Z423-1)*100)))</f>
        <v>66.451076391388852</v>
      </c>
      <c r="AJ423" s="35">
        <f t="shared" ref="AJ423:AL423" si="2691">AJ422/AJ398*100</f>
        <v>29.198184568835089</v>
      </c>
      <c r="AK423" s="23">
        <f>IF(ISERROR((AJ423/AB423-1)*100),"NA",IF(((AJ423/AB423-1)*100)&gt;100,"NM",IF(((AJ423/AB423-1)*100)&lt;-50,"NM",(AJ423/AB423-1)*100)))</f>
        <v>-12.036782346918528</v>
      </c>
      <c r="AL423" s="35">
        <f t="shared" si="2691"/>
        <v>34.361233480176203</v>
      </c>
      <c r="AM423" s="23">
        <f>IF(ISERROR((AL423/AD423-1)*100),"NA",IF(((AL423/AD423-1)*100)&gt;100,"NM",IF(((AL423/AD423-1)*100)&lt;-50,"NM",(AL423/AD423-1)*100)))</f>
        <v>6.9238594788321839</v>
      </c>
      <c r="AN423" s="409">
        <f t="shared" ref="AN423:AP423" si="2692">AN422/AN398*100</f>
        <v>20.481927710843369</v>
      </c>
      <c r="AO423" s="23" t="str">
        <f>IF(ISERROR((AN423/AF423-1)*100),"NA",IF(((AN423/AF423-1)*100)&gt;100,"NM",IF(((AN423/AF423-1)*100)&lt;-50,"NM",(AN423/AF423-1)*100)))</f>
        <v>NM</v>
      </c>
      <c r="AP423" s="409">
        <f t="shared" si="2692"/>
        <v>19.059405940594058</v>
      </c>
      <c r="AQ423" s="23">
        <f t="shared" si="2649"/>
        <v>-41.522791557236928</v>
      </c>
      <c r="AR423" s="409">
        <f t="shared" ref="AR423:AT423" si="2693">AR422/AR398*100</f>
        <v>26.040061633281979</v>
      </c>
      <c r="AS423" s="23">
        <f t="shared" si="2650"/>
        <v>-10.816161970987592</v>
      </c>
      <c r="AT423" s="409">
        <f t="shared" si="2693"/>
        <v>17.550410754294258</v>
      </c>
      <c r="AU423" s="23">
        <f t="shared" si="2651"/>
        <v>-48.923804599682086</v>
      </c>
      <c r="AV423" s="409">
        <f t="shared" ref="AV423:AX423" si="2694">AV422/AV398*100</f>
        <v>25.3071253071253</v>
      </c>
      <c r="AW423" s="23">
        <f t="shared" si="2652"/>
        <v>23.558317675964723</v>
      </c>
      <c r="AX423" s="409">
        <f t="shared" si="2694"/>
        <v>9.8055790363482753</v>
      </c>
      <c r="AY423" s="23">
        <f t="shared" si="2653"/>
        <v>-48.552546354744109</v>
      </c>
      <c r="AZ423" s="409">
        <f t="shared" ref="AZ423" si="2695">AZ422/AZ398*100</f>
        <v>20.296643247462921</v>
      </c>
      <c r="BA423" s="23">
        <f t="shared" si="2654"/>
        <v>-22.056085990512241</v>
      </c>
      <c r="BB423" s="409">
        <f t="shared" ref="BB423:BD423" si="2696">BB422/BB398*100</f>
        <v>20.552344251766225</v>
      </c>
      <c r="BC423" s="23">
        <f t="shared" si="2655"/>
        <v>17.104633843042393</v>
      </c>
      <c r="BD423" s="409">
        <f t="shared" si="2696"/>
        <v>22.480620155038761</v>
      </c>
      <c r="BE423" s="23">
        <f t="shared" si="2656"/>
        <v>-11.168811620380792</v>
      </c>
      <c r="BF423" s="35">
        <f t="shared" ref="BF423" si="2697">BF422/BF398*100</f>
        <v>13.722834043682694</v>
      </c>
      <c r="BG423" s="23">
        <f t="shared" si="2657"/>
        <v>39.949247186867339</v>
      </c>
      <c r="BH423" s="35">
        <f t="shared" ref="BH423" si="2698">BH422/BH398*100</f>
        <v>25.149449974451858</v>
      </c>
      <c r="BI423" s="23">
        <f t="shared" si="2658"/>
        <v>23.909405451049338</v>
      </c>
      <c r="BJ423" s="35">
        <f t="shared" ref="BJ423" si="2699">BJ422/BJ398*100</f>
        <v>26.077410452684358</v>
      </c>
      <c r="BK423" s="23">
        <f t="shared" si="2659"/>
        <v>26.882900233842278</v>
      </c>
      <c r="BL423" s="35">
        <f t="shared" ref="BL423" si="2700">BL422/BL398*100</f>
        <v>24.90846862817147</v>
      </c>
      <c r="BM423" s="23">
        <f t="shared" si="2660"/>
        <v>10.799739759797223</v>
      </c>
      <c r="BN423" s="10"/>
      <c r="BO423" s="138"/>
      <c r="BP423" s="10"/>
      <c r="BQ423" s="152"/>
      <c r="BR423" s="152"/>
      <c r="BS423" s="152"/>
      <c r="BT423" s="10"/>
      <c r="BU423" s="35">
        <f t="shared" ref="BU423:CA423" si="2701">BU422/BU398*100</f>
        <v>21.146790670455161</v>
      </c>
      <c r="BV423" s="23" t="str">
        <f>IF(ISERROR((BU423/BS423-1)*100),"NA",IF(((BU423/BS423-1)*100)&gt;100,"NM",IF(((BU423/BS423-1)*100)&lt;-50,"NM",(BU423/BS423-1)*100)))</f>
        <v>NA</v>
      </c>
      <c r="BW423" s="35">
        <f t="shared" si="2701"/>
        <v>25.808864075808724</v>
      </c>
      <c r="BX423" s="23">
        <f>IF(ISERROR((BW423/BU423-1)*100),"NA",IF(((BW423/BU423-1)*100)&gt;100,"NM",IF(((BW423/BU423-1)*100)&lt;-50,"NM",(BW423/BU423-1)*100)))</f>
        <v>22.046245588779058</v>
      </c>
      <c r="BY423" s="35">
        <f t="shared" si="2701"/>
        <v>23.867946894262698</v>
      </c>
      <c r="BZ423" s="23">
        <f>IF(ISERROR((BY423/BW423-1)*100),"NA",IF(((BY423/BW423-1)*100)&gt;100,"NM",IF(((BY423/BW423-1)*100)&lt;-50,"NM",(BY423/BW423-1)*100)))</f>
        <v>-7.5203510539826324</v>
      </c>
      <c r="CA423" s="35">
        <f t="shared" si="2701"/>
        <v>32.166220942192943</v>
      </c>
      <c r="CB423" s="23">
        <f>IF(ISERROR((CA423/BY423-1)*100),"NA",IF(((CA423/BY423-1)*100)&gt;100,"NM",IF(((CA423/BY423-1)*100)&lt;-50,"NM",(CA423/BY423-1)*100)))</f>
        <v>34.76743971608618</v>
      </c>
      <c r="CC423" s="35">
        <f t="shared" ref="CC423" si="2702">CC422/CC398*100</f>
        <v>29.449202024133893</v>
      </c>
      <c r="CD423" s="23">
        <f>IF(ISERROR((CC423/CA423-1)*100),"NA",IF(((CC423/CA423-1)*100)&gt;100,"NM",IF(((CC423/CA423-1)*100)&lt;-50,"NM",(CC423/CA423-1)*100)))</f>
        <v>-8.446807982019088</v>
      </c>
      <c r="CE423" s="35">
        <f t="shared" ref="CE423" si="2703">CE422/CE398*100</f>
        <v>21.952662721893493</v>
      </c>
      <c r="CF423" s="23">
        <f>IF(ISERROR((CE423/CC423-1)*100),"NA",IF(((CE423/CC423-1)*100)&gt;100,"NM",IF(((CE423/CC423-1)*100)&lt;-50,"NM",(CE423/CC423-1)*100)))</f>
        <v>-25.455831693153918</v>
      </c>
      <c r="CG423" s="35">
        <f t="shared" ref="CG423" si="2704">CG422/CG398*100</f>
        <v>18.565241950668437</v>
      </c>
      <c r="CH423" s="23">
        <f>IF(ISERROR((CG423/CE423-1)*100),"NA",IF(((CG423/CE423-1)*100)&gt;100,"NM",IF(((CG423/CE423-1)*100)&lt;-50,"NM",(CG423/CE423-1)*100)))</f>
        <v>-15.430569011779905</v>
      </c>
      <c r="CI423" s="35">
        <f t="shared" ref="CI423" si="2705">CI422/CI398*100</f>
        <v>22.672874372805669</v>
      </c>
      <c r="CJ423" s="23">
        <f>IF(ISERROR((CI423/CG423-1)*100),"NA",IF(((CI423/CG423-1)*100)&gt;100,"NM",IF(((CI423/CG423-1)*100)&lt;-50,"NM",(CI423/CG423-1)*100)))</f>
        <v>22.125391271775683</v>
      </c>
      <c r="CK423" s="35">
        <f>CK422/CK398*100</f>
        <v>23.513804634898587</v>
      </c>
      <c r="CL423" s="23">
        <f>IF(ISERROR((CK423/CI423-1)*100),"NA",IF(((CK423/CI423-1)*100)&gt;100,"NM",IF(((CK423/CI423-1)*100)&lt;-50,"NM",(CK423/CI423-1)*100)))</f>
        <v>3.7089706768787423</v>
      </c>
      <c r="CM423" s="35">
        <f>CM422/CM398*100</f>
        <v>23.289804044923233</v>
      </c>
      <c r="CN423" s="23">
        <f>IF(ISERROR((CM423/CK423-1)*100),"NA",IF(((CM423/CK423-1)*100)&gt;100,"NM",IF(((CM423/CK423-1)*100)&lt;-50,"NM",(CM423/CK423-1)*100)))</f>
        <v>-0.95263439266182193</v>
      </c>
      <c r="CO423" s="35">
        <f>CO422/CO398*100</f>
        <v>23.058816269387634</v>
      </c>
      <c r="CP423" s="23">
        <f>IF(ISERROR((CO423/CM423-1)*100),"NA",IF(((CO423/CM423-1)*100)&gt;100,"NM",IF(((CO423/CM423-1)*100)&lt;-50,"NM",(CO423/CM423-1)*100)))</f>
        <v>-0.99179784892157175</v>
      </c>
      <c r="CQ423" s="35">
        <f>CQ422/CQ398*100</f>
        <v>22.820494780418574</v>
      </c>
      <c r="CR423" s="23">
        <f>IF(ISERROR((CQ423/CO423-1)*100),"NA",IF(((CQ423/CO423-1)*100)&gt;100,"NM",IF(((CQ423/CO423-1)*100)&lt;-50,"NM",(CQ423/CO423-1)*100)))</f>
        <v>-1.03353739491584</v>
      </c>
      <c r="CS423" s="23">
        <f>IF(ISERROR(((CQ423/CG423)^0.2-1)*100),"NA",IF((((CQ423/CG423)^0.2-1)*100)&gt;100,"NM",IF((((CQ423/CG423)^0.2-1)*100)&lt;-50,"NM",((CQ423/CG423)^0.2-1)*100)))</f>
        <v>4.2137175668473414</v>
      </c>
    </row>
    <row r="424" spans="1:105" ht="12.75" customHeight="1" x14ac:dyDescent="0.2">
      <c r="B424" s="35"/>
      <c r="C424" s="59"/>
      <c r="D424" s="35"/>
      <c r="E424" s="59"/>
      <c r="F424" s="35"/>
      <c r="G424" s="59"/>
      <c r="H424" s="35"/>
      <c r="I424" s="59"/>
      <c r="J424" s="35"/>
      <c r="K424" s="23"/>
      <c r="L424" s="35"/>
      <c r="M424" s="23"/>
      <c r="N424" s="35"/>
      <c r="O424" s="23"/>
      <c r="P424" s="35"/>
      <c r="Q424" s="23"/>
      <c r="R424" s="35"/>
      <c r="S424" s="23"/>
      <c r="T424" s="35"/>
      <c r="U424" s="23"/>
      <c r="V424" s="35"/>
      <c r="W424" s="23"/>
      <c r="X424" s="35"/>
      <c r="Y424" s="23"/>
      <c r="Z424" s="35"/>
      <c r="AA424" s="23"/>
      <c r="AB424" s="35"/>
      <c r="AC424" s="23"/>
      <c r="AD424" s="35"/>
      <c r="AE424" s="23"/>
      <c r="AF424" s="35"/>
      <c r="AG424" s="23"/>
      <c r="AH424" s="35"/>
      <c r="AI424" s="23"/>
      <c r="AJ424" s="35"/>
      <c r="AK424" s="23"/>
      <c r="AL424" s="35"/>
      <c r="AM424" s="23"/>
      <c r="AN424" s="409"/>
      <c r="AO424" s="23"/>
      <c r="AP424" s="409"/>
      <c r="AQ424" s="23"/>
      <c r="AR424" s="457"/>
      <c r="AS424" s="23"/>
      <c r="AT424" s="457"/>
      <c r="AU424" s="23"/>
      <c r="AV424" s="457"/>
      <c r="AW424" s="23"/>
      <c r="AX424" s="457"/>
      <c r="AY424" s="23"/>
      <c r="AZ424" s="457"/>
      <c r="BA424" s="23"/>
      <c r="BB424" s="457"/>
      <c r="BC424" s="23"/>
      <c r="BD424" s="457"/>
      <c r="BE424" s="23"/>
      <c r="BF424" s="35"/>
      <c r="BG424" s="23"/>
      <c r="BH424" s="35"/>
      <c r="BI424" s="23"/>
      <c r="BJ424" s="35"/>
      <c r="BK424" s="23"/>
      <c r="BL424" s="35"/>
      <c r="BM424" s="23"/>
      <c r="BN424" s="10"/>
      <c r="BO424" s="138"/>
      <c r="BP424" s="10"/>
      <c r="BQ424" s="152"/>
      <c r="BR424" s="152"/>
      <c r="BS424" s="152"/>
      <c r="BT424" s="10"/>
      <c r="BU424" s="35"/>
      <c r="BV424" s="23"/>
      <c r="BW424" s="35"/>
      <c r="BX424" s="23"/>
      <c r="BY424" s="35"/>
      <c r="BZ424" s="23"/>
      <c r="CA424" s="35"/>
      <c r="CB424" s="23"/>
      <c r="CC424" s="35"/>
      <c r="CD424" s="23"/>
      <c r="CE424" s="35"/>
      <c r="CF424" s="23"/>
      <c r="CG424" s="35"/>
      <c r="CH424" s="23"/>
      <c r="CI424" s="35"/>
      <c r="CJ424" s="23"/>
      <c r="CK424" s="35"/>
      <c r="CL424" s="23"/>
      <c r="CM424" s="35"/>
      <c r="CN424" s="23"/>
      <c r="CO424" s="35"/>
      <c r="CP424" s="23"/>
      <c r="CQ424" s="35"/>
      <c r="CR424" s="23"/>
      <c r="CS424" s="23"/>
    </row>
    <row r="425" spans="1:105" ht="12.75" customHeight="1" x14ac:dyDescent="0.2">
      <c r="A425" s="3" t="s">
        <v>506</v>
      </c>
      <c r="B425" s="115"/>
      <c r="C425" s="59"/>
      <c r="D425" s="115"/>
      <c r="E425" s="59"/>
      <c r="F425" s="115"/>
      <c r="G425" s="59"/>
      <c r="H425" s="115"/>
      <c r="I425" s="59"/>
      <c r="J425" s="115"/>
      <c r="K425" s="23"/>
      <c r="L425" s="115"/>
      <c r="M425" s="23"/>
      <c r="N425" s="115"/>
      <c r="O425" s="23"/>
      <c r="P425" s="115"/>
      <c r="Q425" s="23"/>
      <c r="R425" s="526"/>
      <c r="S425" s="23"/>
      <c r="T425" s="526"/>
      <c r="U425" s="23"/>
      <c r="V425" s="526"/>
      <c r="W425" s="23" t="str">
        <f t="shared" si="2651"/>
        <v>NA</v>
      </c>
      <c r="X425" s="526">
        <v>18.8</v>
      </c>
      <c r="Y425" s="23" t="str">
        <f t="shared" si="2651"/>
        <v>NA</v>
      </c>
      <c r="Z425" s="526">
        <v>20.6</v>
      </c>
      <c r="AA425" s="23" t="str">
        <f t="shared" si="2651"/>
        <v>NA</v>
      </c>
      <c r="AB425" s="526">
        <v>21.8</v>
      </c>
      <c r="AC425" s="23" t="str">
        <f t="shared" si="2651"/>
        <v>NA</v>
      </c>
      <c r="AD425" s="526">
        <v>24.3</v>
      </c>
      <c r="AE425" s="23" t="str">
        <f t="shared" si="2651"/>
        <v>NA</v>
      </c>
      <c r="AF425" s="526">
        <v>28.9</v>
      </c>
      <c r="AG425" s="23">
        <f t="shared" si="2651"/>
        <v>53.723404255319139</v>
      </c>
      <c r="AH425" s="526">
        <v>32.200000000000003</v>
      </c>
      <c r="AI425" s="23">
        <f t="shared" si="2651"/>
        <v>56.310679611650485</v>
      </c>
      <c r="AJ425" s="526">
        <v>31.5</v>
      </c>
      <c r="AK425" s="23">
        <f t="shared" si="2651"/>
        <v>44.495412844036686</v>
      </c>
      <c r="AL425" s="526">
        <v>32.5</v>
      </c>
      <c r="AM425" s="23">
        <f t="shared" si="2651"/>
        <v>33.744855967078195</v>
      </c>
      <c r="AN425" s="526">
        <v>26.5</v>
      </c>
      <c r="AO425" s="23">
        <f t="shared" si="2651"/>
        <v>-8.3044982698961878</v>
      </c>
      <c r="AP425" s="526">
        <v>23.1</v>
      </c>
      <c r="AQ425" s="23">
        <f t="shared" si="2651"/>
        <v>-28.260869565217394</v>
      </c>
      <c r="AR425" s="530">
        <v>22.3</v>
      </c>
      <c r="AS425" s="23">
        <f t="shared" si="2651"/>
        <v>-29.206349206349202</v>
      </c>
      <c r="AT425" s="530">
        <v>21.5</v>
      </c>
      <c r="AU425" s="23">
        <f t="shared" si="2651"/>
        <v>-33.846153846153847</v>
      </c>
      <c r="AV425" s="530">
        <v>23.3</v>
      </c>
      <c r="AW425" s="23"/>
      <c r="AX425" s="530">
        <v>21.6</v>
      </c>
      <c r="AY425" s="23"/>
      <c r="AZ425" s="530">
        <v>20.8</v>
      </c>
      <c r="BA425" s="23"/>
      <c r="BB425" s="530">
        <v>24.3</v>
      </c>
      <c r="BC425" s="23"/>
      <c r="BD425" s="530">
        <v>24.4</v>
      </c>
      <c r="BE425" s="23"/>
      <c r="BF425" s="533">
        <f>((BF422+BD422+BB422+AZ422)*0.68)/AVERAGE(BF428,BD428,BB428,AZ428)*100</f>
        <v>19.543902792748412</v>
      </c>
      <c r="BG425" s="23"/>
      <c r="BH425" s="533">
        <f>((BH422+BF422+BD422+BB422)*0.68)/AVERAGE(BH428,BF428,BD428,BB428)*100</f>
        <v>20.975312405023022</v>
      </c>
      <c r="BI425" s="23"/>
      <c r="BJ425" s="533">
        <f>((BJ422+BH422+BF422+BD422)*0.68)/AVERAGE(BJ428,BH428,BF428,BD428)*100</f>
        <v>21.802880924061867</v>
      </c>
      <c r="BK425" s="23"/>
      <c r="BL425" s="533">
        <f>((BL422+BJ422+BH422+BF422)*0.68)/AVERAGE(BL428,BJ428,BH428,BF428)*100</f>
        <v>22.300185888000804</v>
      </c>
      <c r="BM425" s="23"/>
      <c r="BN425" s="35"/>
      <c r="BO425" s="138"/>
      <c r="BP425" s="35"/>
      <c r="BQ425" s="113"/>
      <c r="BR425" s="113"/>
      <c r="BS425" s="113"/>
      <c r="BT425" s="35"/>
      <c r="BU425" s="115"/>
      <c r="BV425" s="23"/>
      <c r="BW425" s="115"/>
      <c r="BX425" s="23"/>
      <c r="BY425" s="533">
        <f>X425</f>
        <v>18.8</v>
      </c>
      <c r="BZ425" s="23" t="str">
        <f t="shared" ref="BZ425:BZ428" si="2706">IF(ISERROR((BY425/BW425-1)*100),"NA",IF(((BY425/BW425-1)*100)&gt;100,"NM",IF(((BY425/BW425-1)*100)&lt;-50,"NM",(BY425/BW425-1)*100)))</f>
        <v>NA</v>
      </c>
      <c r="CA425" s="533">
        <f>AF425</f>
        <v>28.9</v>
      </c>
      <c r="CB425" s="23">
        <f t="shared" ref="CB425:CB428" si="2707">IF(ISERROR((CA425/BY425-1)*100),"NA",IF(((CA425/BY425-1)*100)&gt;100,"NM",IF(((CA425/BY425-1)*100)&lt;-50,"NM",(CA425/BY425-1)*100)))</f>
        <v>53.723404255319139</v>
      </c>
      <c r="CC425" s="533">
        <f>AN425</f>
        <v>26.5</v>
      </c>
      <c r="CD425" s="23">
        <f t="shared" ref="CD425:CD428" si="2708">IF(ISERROR((CC425/CA425-1)*100),"NA",IF(((CC425/CA425-1)*100)&gt;100,"NM",IF(((CC425/CA425-1)*100)&lt;-50,"NM",(CC425/CA425-1)*100)))</f>
        <v>-8.3044982698961878</v>
      </c>
      <c r="CE425" s="532">
        <f>AV425</f>
        <v>23.3</v>
      </c>
      <c r="CF425" s="23">
        <f>IF(ISERROR((CE425/CC425-1)*100),"NA",IF(((CE425/CC425-1)*100)&gt;100,"NM",IF(((CE425/CC425-1)*100)&lt;-50,"NM",(CE425/CC425-1)*100)))</f>
        <v>-12.075471698113205</v>
      </c>
      <c r="CG425" s="532">
        <f>BD425</f>
        <v>24.4</v>
      </c>
      <c r="CH425" s="23">
        <f>IF(ISERROR((CG425/CE425-1)*100),"NA",IF(((CG425/CE425-1)*100)&gt;100,"NM",IF(((CG425/CE425-1)*100)&lt;-50,"NM",(CG425/CE425-1)*100)))</f>
        <v>4.7210300429184393</v>
      </c>
      <c r="CI425" s="532">
        <f>BL425</f>
        <v>22.300185888000804</v>
      </c>
      <c r="CJ425" s="23">
        <f>IF(ISERROR((CI425/CG425-1)*100),"NA",IF(((CI425/CG425-1)*100)&gt;100,"NM",IF(((CI425/CG425-1)*100)&lt;-50,"NM",(CI425/CG425-1)*100)))</f>
        <v>-8.60579554098031</v>
      </c>
      <c r="CK425" s="536">
        <f>(CK422*0.68)/CK428*100</f>
        <v>23.161244640021579</v>
      </c>
      <c r="CL425" s="23">
        <f>IF(ISERROR((CK425/CI425-1)*100),"NA",IF(((CK425/CI425-1)*100)&gt;100,"NM",IF(((CK425/CI425-1)*100)&lt;-50,"NM",(CK425/CI425-1)*100)))</f>
        <v>3.8612178227809713</v>
      </c>
      <c r="CM425" s="536">
        <f>(CM422*0.68)/CM428*100</f>
        <v>23.142519307641692</v>
      </c>
      <c r="CN425" s="23">
        <f>IF(ISERROR((CM425/CK425-1)*100),"NA",IF(((CM425/CK425-1)*100)&gt;100,"NM",IF(((CM425/CK425-1)*100)&lt;-50,"NM",(CM425/CK425-1)*100)))</f>
        <v>-8.0847694806218673E-2</v>
      </c>
      <c r="CO425" s="536">
        <f>(CO422*0.68)/CO428*100</f>
        <v>23.109785984958311</v>
      </c>
      <c r="CP425" s="23">
        <f>IF(ISERROR((CO425/CM425-1)*100),"NA",IF(((CO425/CM425-1)*100)&gt;100,"NM",IF(((CO425/CM425-1)*100)&lt;-50,"NM",(CO425/CM425-1)*100)))</f>
        <v>-0.14144234794943866</v>
      </c>
      <c r="CQ425" s="536">
        <f>(CQ422*0.68)/CQ428*100</f>
        <v>23.062295054753282</v>
      </c>
      <c r="CR425" s="23">
        <f>IF(ISERROR((CQ425/CO425-1)*100),"NA",IF(((CQ425/CO425-1)*100)&gt;100,"NM",IF(((CQ425/CO425-1)*100)&lt;-50,"NM",(CQ425/CO425-1)*100)))</f>
        <v>-0.20550138472048562</v>
      </c>
      <c r="CS425" s="23">
        <f>IF(ISERROR(((CQ425/CG425)^0.2-1)*100),"NA",IF((((CQ425/CG425)^0.2-1)*100)&gt;100,"NM",IF((((CQ425/CG425)^0.2-1)*100)&lt;-50,"NM",((CQ425/CG425)^0.2-1)*100)))</f>
        <v>-1.1213474416135516</v>
      </c>
    </row>
    <row r="426" spans="1:105" ht="12.75" customHeight="1" x14ac:dyDescent="0.2">
      <c r="A426" s="408" t="s">
        <v>503</v>
      </c>
      <c r="B426" s="115"/>
      <c r="C426" s="59"/>
      <c r="D426" s="115"/>
      <c r="E426" s="59"/>
      <c r="F426" s="115"/>
      <c r="G426" s="59"/>
      <c r="H426" s="115"/>
      <c r="I426" s="59"/>
      <c r="J426" s="115"/>
      <c r="K426" s="23"/>
      <c r="L426" s="115"/>
      <c r="M426" s="23"/>
      <c r="N426" s="115"/>
      <c r="O426" s="23"/>
      <c r="P426" s="115"/>
      <c r="Q426" s="23"/>
      <c r="R426" s="115"/>
      <c r="S426" s="23"/>
      <c r="T426" s="529"/>
      <c r="U426" s="23"/>
      <c r="V426" s="529"/>
      <c r="W426" s="23" t="str">
        <f t="shared" si="2651"/>
        <v>NA</v>
      </c>
      <c r="X426" s="48">
        <v>362</v>
      </c>
      <c r="Y426" s="23" t="str">
        <f t="shared" si="2651"/>
        <v>NA</v>
      </c>
      <c r="Z426" s="529">
        <f t="shared" ref="Z426" si="2709">X427</f>
        <v>346</v>
      </c>
      <c r="AA426" s="23" t="str">
        <f t="shared" si="2651"/>
        <v>NA</v>
      </c>
      <c r="AB426" s="529">
        <f t="shared" ref="AB426" si="2710">Z427</f>
        <v>345</v>
      </c>
      <c r="AC426" s="23" t="str">
        <f t="shared" si="2651"/>
        <v>NA</v>
      </c>
      <c r="AD426" s="529">
        <f t="shared" ref="AD426" si="2711">AB427</f>
        <v>345</v>
      </c>
      <c r="AE426" s="23" t="str">
        <f t="shared" si="2651"/>
        <v>NA</v>
      </c>
      <c r="AF426" s="529">
        <f t="shared" ref="AF426" si="2712">AD427</f>
        <v>360</v>
      </c>
      <c r="AG426" s="23">
        <f t="shared" si="2651"/>
        <v>-0.55248618784530246</v>
      </c>
      <c r="AH426" s="529">
        <f t="shared" ref="AH426" si="2713">AF427</f>
        <v>369</v>
      </c>
      <c r="AI426" s="23">
        <f t="shared" si="2651"/>
        <v>6.6473988439306408</v>
      </c>
      <c r="AJ426" s="529">
        <f t="shared" ref="AJ426" si="2714">AH427</f>
        <v>386</v>
      </c>
      <c r="AK426" s="23">
        <f t="shared" si="2651"/>
        <v>11.884057971014483</v>
      </c>
      <c r="AL426" s="529">
        <f t="shared" ref="AL426" si="2715">AJ427</f>
        <v>387</v>
      </c>
      <c r="AM426" s="23">
        <f t="shared" si="2651"/>
        <v>12.173913043478258</v>
      </c>
      <c r="AN426" s="529">
        <f t="shared" ref="AN426" si="2716">AL427</f>
        <v>394</v>
      </c>
      <c r="AO426" s="23">
        <f t="shared" si="2651"/>
        <v>9.4444444444444553</v>
      </c>
      <c r="AP426" s="529">
        <f t="shared" ref="AP426" si="2717">AN427</f>
        <v>396</v>
      </c>
      <c r="AQ426" s="23">
        <f t="shared" si="2651"/>
        <v>7.3170731707317138</v>
      </c>
      <c r="AR426" s="527">
        <f t="shared" ref="AR426:AT426" si="2718">AP427</f>
        <v>377</v>
      </c>
      <c r="AS426" s="23">
        <f t="shared" si="2651"/>
        <v>-2.3316062176165775</v>
      </c>
      <c r="AT426" s="527">
        <f t="shared" si="2718"/>
        <v>383</v>
      </c>
      <c r="AU426" s="23">
        <f t="shared" si="2651"/>
        <v>-1.033591731266148</v>
      </c>
      <c r="AV426" s="527">
        <f t="shared" ref="AV426:AX426" si="2719">AT427</f>
        <v>382</v>
      </c>
      <c r="AW426" s="23"/>
      <c r="AX426" s="527">
        <f t="shared" si="2719"/>
        <v>341</v>
      </c>
      <c r="AY426" s="23"/>
      <c r="AZ426" s="527">
        <f t="shared" ref="AZ426" si="2720">AX427</f>
        <v>367</v>
      </c>
      <c r="BA426" s="23"/>
      <c r="BB426" s="527">
        <f t="shared" ref="BB426:BD426" si="2721">AZ427</f>
        <v>356</v>
      </c>
      <c r="BC426" s="23"/>
      <c r="BD426" s="527">
        <f t="shared" si="2721"/>
        <v>364</v>
      </c>
      <c r="BE426" s="23"/>
      <c r="BF426" s="529">
        <f t="shared" ref="BF426:BJ426" si="2722">BD427</f>
        <v>387</v>
      </c>
      <c r="BG426" s="23"/>
      <c r="BH426" s="529">
        <f t="shared" si="2722"/>
        <v>392</v>
      </c>
      <c r="BI426" s="23"/>
      <c r="BJ426" s="529">
        <f t="shared" si="2722"/>
        <v>397</v>
      </c>
      <c r="BK426" s="23"/>
      <c r="BL426" s="529">
        <f t="shared" ref="BL426" si="2723">BJ427</f>
        <v>402</v>
      </c>
      <c r="BM426" s="23"/>
      <c r="BN426" s="35"/>
      <c r="BO426" s="138"/>
      <c r="BP426" s="35"/>
      <c r="BQ426" s="113"/>
      <c r="BR426" s="113"/>
      <c r="BS426" s="113"/>
      <c r="BT426" s="35"/>
      <c r="BU426" s="115"/>
      <c r="BV426" s="23"/>
      <c r="BW426" s="115"/>
      <c r="BX426" s="23"/>
      <c r="BY426" s="527">
        <f>X426</f>
        <v>362</v>
      </c>
      <c r="BZ426" s="23" t="str">
        <f t="shared" si="2706"/>
        <v>NA</v>
      </c>
      <c r="CA426" s="527">
        <f>AF426</f>
        <v>360</v>
      </c>
      <c r="CB426" s="23">
        <f t="shared" si="2707"/>
        <v>-0.55248618784530246</v>
      </c>
      <c r="CC426" s="527">
        <f>AN426</f>
        <v>394</v>
      </c>
      <c r="CD426" s="23">
        <f t="shared" si="2708"/>
        <v>9.4444444444444553</v>
      </c>
      <c r="CE426" s="527">
        <f>AV426</f>
        <v>382</v>
      </c>
      <c r="CF426" s="23">
        <f>IF(ISERROR((CE426/CC426-1)*100),"NA",IF(((CE426/CC426-1)*100)&gt;100,"NM",IF(((CE426/CC426-1)*100)&lt;-50,"NM",(CE426/CC426-1)*100)))</f>
        <v>-3.0456852791878153</v>
      </c>
      <c r="CG426" s="527">
        <f>BD426</f>
        <v>364</v>
      </c>
      <c r="CH426" s="23">
        <f>IF(ISERROR((CG426/CE426-1)*100),"NA",IF(((CG426/CE426-1)*100)&gt;100,"NM",IF(((CG426/CE426-1)*100)&lt;-50,"NM",(CG426/CE426-1)*100)))</f>
        <v>-4.7120418848167533</v>
      </c>
      <c r="CI426" s="527">
        <f>BL426</f>
        <v>402</v>
      </c>
      <c r="CJ426" s="23">
        <f>IF(ISERROR((CI426/CG426-1)*100),"NA",IF(((CI426/CG426-1)*100)&gt;100,"NM",IF(((CI426/CG426-1)*100)&lt;-50,"NM",(CI426/CG426-1)*100)))</f>
        <v>10.439560439560447</v>
      </c>
      <c r="CK426" s="534">
        <f>CI427</f>
        <v>407</v>
      </c>
      <c r="CL426" s="23">
        <f>IF(ISERROR((CK426/CI426-1)*100),"NA",IF(((CK426/CI426-1)*100)&gt;100,"NM",IF(((CK426/CI426-1)*100)&lt;-50,"NM",(CK426/CI426-1)*100)))</f>
        <v>1.2437810945273631</v>
      </c>
      <c r="CM426" s="534">
        <f>CK427</f>
        <v>427</v>
      </c>
      <c r="CN426" s="23">
        <f>IF(ISERROR((CM426/CK426-1)*100),"NA",IF(((CM426/CK426-1)*100)&gt;100,"NM",IF(((CM426/CK426-1)*100)&lt;-50,"NM",(CM426/CK426-1)*100)))</f>
        <v>4.9140049140049102</v>
      </c>
      <c r="CO426" s="534">
        <f>CM427</f>
        <v>447</v>
      </c>
      <c r="CP426" s="23">
        <f>IF(ISERROR((CO426/CM426-1)*100),"NA",IF(((CO426/CM426-1)*100)&gt;100,"NM",IF(((CO426/CM426-1)*100)&lt;-50,"NM",(CO426/CM426-1)*100)))</f>
        <v>4.6838407494145251</v>
      </c>
      <c r="CQ426" s="534">
        <f>CO427</f>
        <v>467</v>
      </c>
      <c r="CR426" s="23">
        <f>IF(ISERROR((CQ426/CO426-1)*100),"NA",IF(((CQ426/CO426-1)*100)&gt;100,"NM",IF(((CQ426/CO426-1)*100)&lt;-50,"NM",(CQ426/CO426-1)*100)))</f>
        <v>4.4742729306487705</v>
      </c>
      <c r="CS426" s="23">
        <f>IF(ISERROR(((CQ426/CG426)^0.2-1)*100),"NA",IF((((CQ426/CG426)^0.2-1)*100)&gt;100,"NM",IF((((CQ426/CG426)^0.2-1)*100)&lt;-50,"NM",((CQ426/CG426)^0.2-1)*100)))</f>
        <v>5.1097732947142704</v>
      </c>
    </row>
    <row r="427" spans="1:105" ht="12.75" customHeight="1" x14ac:dyDescent="0.2">
      <c r="A427" s="408" t="s">
        <v>504</v>
      </c>
      <c r="B427" s="115"/>
      <c r="C427" s="59"/>
      <c r="D427" s="115"/>
      <c r="E427" s="59"/>
      <c r="F427" s="115"/>
      <c r="G427" s="59"/>
      <c r="H427" s="115"/>
      <c r="I427" s="59"/>
      <c r="J427" s="115"/>
      <c r="K427" s="23"/>
      <c r="L427" s="115"/>
      <c r="M427" s="23"/>
      <c r="N427" s="115"/>
      <c r="O427" s="23"/>
      <c r="P427" s="115"/>
      <c r="Q427" s="23"/>
      <c r="R427" s="528"/>
      <c r="S427" s="23"/>
      <c r="T427" s="528"/>
      <c r="U427" s="23"/>
      <c r="V427" s="528"/>
      <c r="W427" s="23" t="str">
        <f t="shared" si="2651"/>
        <v>NA</v>
      </c>
      <c r="X427" s="528">
        <v>346</v>
      </c>
      <c r="Y427" s="23" t="str">
        <f t="shared" si="2651"/>
        <v>NA</v>
      </c>
      <c r="Z427" s="528">
        <v>345</v>
      </c>
      <c r="AA427" s="23" t="str">
        <f t="shared" si="2651"/>
        <v>NA</v>
      </c>
      <c r="AB427" s="528">
        <v>345</v>
      </c>
      <c r="AC427" s="23" t="str">
        <f t="shared" si="2651"/>
        <v>NA</v>
      </c>
      <c r="AD427" s="528">
        <v>360</v>
      </c>
      <c r="AE427" s="23" t="str">
        <f t="shared" si="2651"/>
        <v>NA</v>
      </c>
      <c r="AF427" s="528">
        <v>369</v>
      </c>
      <c r="AG427" s="23">
        <f t="shared" si="2651"/>
        <v>6.6473988439306408</v>
      </c>
      <c r="AH427" s="528">
        <v>386</v>
      </c>
      <c r="AI427" s="23">
        <f t="shared" si="2651"/>
        <v>11.884057971014483</v>
      </c>
      <c r="AJ427" s="528">
        <v>387</v>
      </c>
      <c r="AK427" s="23">
        <f t="shared" si="2651"/>
        <v>12.173913043478258</v>
      </c>
      <c r="AL427" s="528">
        <v>394</v>
      </c>
      <c r="AM427" s="23">
        <f t="shared" si="2651"/>
        <v>9.4444444444444553</v>
      </c>
      <c r="AN427" s="528">
        <v>396</v>
      </c>
      <c r="AO427" s="23">
        <f t="shared" si="2651"/>
        <v>7.3170731707317138</v>
      </c>
      <c r="AP427" s="528">
        <v>377</v>
      </c>
      <c r="AQ427" s="23">
        <f t="shared" si="2651"/>
        <v>-2.3316062176165775</v>
      </c>
      <c r="AR427" s="528">
        <v>383</v>
      </c>
      <c r="AS427" s="23">
        <f t="shared" si="2651"/>
        <v>-1.033591731266148</v>
      </c>
      <c r="AT427" s="528">
        <v>382</v>
      </c>
      <c r="AU427" s="23">
        <f t="shared" si="2651"/>
        <v>-3.0456852791878153</v>
      </c>
      <c r="AV427" s="528">
        <v>341</v>
      </c>
      <c r="AW427" s="23"/>
      <c r="AX427" s="528">
        <v>367</v>
      </c>
      <c r="AY427" s="23"/>
      <c r="AZ427" s="528">
        <v>356</v>
      </c>
      <c r="BA427" s="23"/>
      <c r="BB427" s="528">
        <v>364</v>
      </c>
      <c r="BC427" s="23"/>
      <c r="BD427" s="528">
        <v>387</v>
      </c>
      <c r="BE427" s="23"/>
      <c r="BF427" s="528">
        <f t="shared" ref="BF427" si="2724">BF426+5</f>
        <v>392</v>
      </c>
      <c r="BG427" s="23"/>
      <c r="BH427" s="528">
        <f t="shared" ref="BH427" si="2725">BH426+5</f>
        <v>397</v>
      </c>
      <c r="BI427" s="23"/>
      <c r="BJ427" s="528">
        <f t="shared" ref="BJ427" si="2726">BJ426+5</f>
        <v>402</v>
      </c>
      <c r="BK427" s="23"/>
      <c r="BL427" s="528">
        <f t="shared" ref="BL427" si="2727">BL426+5</f>
        <v>407</v>
      </c>
      <c r="BM427" s="23"/>
      <c r="BN427" s="35"/>
      <c r="BO427" s="138"/>
      <c r="BP427" s="35"/>
      <c r="BQ427" s="113"/>
      <c r="BR427" s="113"/>
      <c r="BS427" s="113"/>
      <c r="BT427" s="35"/>
      <c r="BU427" s="115"/>
      <c r="BV427" s="23"/>
      <c r="BW427" s="115"/>
      <c r="BX427" s="23"/>
      <c r="BY427" s="527">
        <f>X427</f>
        <v>346</v>
      </c>
      <c r="BZ427" s="23" t="str">
        <f t="shared" si="2706"/>
        <v>NA</v>
      </c>
      <c r="CA427" s="527">
        <f>AF427</f>
        <v>369</v>
      </c>
      <c r="CB427" s="23">
        <f t="shared" si="2707"/>
        <v>6.6473988439306408</v>
      </c>
      <c r="CC427" s="527">
        <f>AN427</f>
        <v>396</v>
      </c>
      <c r="CD427" s="23">
        <f t="shared" si="2708"/>
        <v>7.3170731707317138</v>
      </c>
      <c r="CE427" s="527">
        <f>AV427</f>
        <v>341</v>
      </c>
      <c r="CF427" s="23">
        <f>IF(ISERROR((CE427/CC427-1)*100),"NA",IF(((CE427/CC427-1)*100)&gt;100,"NM",IF(((CE427/CC427-1)*100)&lt;-50,"NM",(CE427/CC427-1)*100)))</f>
        <v>-13.888888888888884</v>
      </c>
      <c r="CG427" s="527">
        <f>BD427</f>
        <v>387</v>
      </c>
      <c r="CH427" s="23">
        <f>IF(ISERROR((CG427/CE427-1)*100),"NA",IF(((CG427/CE427-1)*100)&gt;100,"NM",IF(((CG427/CE427-1)*100)&lt;-50,"NM",(CG427/CE427-1)*100)))</f>
        <v>13.489736070381241</v>
      </c>
      <c r="CI427" s="527">
        <f>BL427</f>
        <v>407</v>
      </c>
      <c r="CJ427" s="23">
        <f>IF(ISERROR((CI427/CG427-1)*100),"NA",IF(((CI427/CG427-1)*100)&gt;100,"NM",IF(((CI427/CG427-1)*100)&lt;-50,"NM",(CI427/CG427-1)*100)))</f>
        <v>5.1679586563307511</v>
      </c>
      <c r="CK427" s="535">
        <f>CK426+20</f>
        <v>427</v>
      </c>
      <c r="CL427" s="23">
        <f>IF(ISERROR((CK427/CI427-1)*100),"NA",IF(((CK427/CI427-1)*100)&gt;100,"NM",IF(((CK427/CI427-1)*100)&lt;-50,"NM",(CK427/CI427-1)*100)))</f>
        <v>4.9140049140049102</v>
      </c>
      <c r="CM427" s="535">
        <f>CM426+20</f>
        <v>447</v>
      </c>
      <c r="CN427" s="23">
        <f>IF(ISERROR((CM427/CK427-1)*100),"NA",IF(((CM427/CK427-1)*100)&gt;100,"NM",IF(((CM427/CK427-1)*100)&lt;-50,"NM",(CM427/CK427-1)*100)))</f>
        <v>4.6838407494145251</v>
      </c>
      <c r="CO427" s="535">
        <f>CO426+20</f>
        <v>467</v>
      </c>
      <c r="CP427" s="23">
        <f>IF(ISERROR((CO427/CM427-1)*100),"NA",IF(((CO427/CM427-1)*100)&gt;100,"NM",IF(((CO427/CM427-1)*100)&lt;-50,"NM",(CO427/CM427-1)*100)))</f>
        <v>4.4742729306487705</v>
      </c>
      <c r="CQ427" s="535">
        <f>CQ426+20</f>
        <v>487</v>
      </c>
      <c r="CR427" s="23">
        <f>IF(ISERROR((CQ427/CO427-1)*100),"NA",IF(((CQ427/CO427-1)*100)&gt;100,"NM",IF(((CQ427/CO427-1)*100)&lt;-50,"NM",(CQ427/CO427-1)*100)))</f>
        <v>4.2826552462526868</v>
      </c>
      <c r="CS427" s="23">
        <f>IF(ISERROR(((CQ427/CG427)^0.2-1)*100),"NA",IF((((CQ427/CG427)^0.2-1)*100)&gt;100,"NM",IF((((CQ427/CG427)^0.2-1)*100)&lt;-50,"NM",((CQ427/CG427)^0.2-1)*100)))</f>
        <v>4.7040785760285031</v>
      </c>
    </row>
    <row r="428" spans="1:105" ht="12.75" customHeight="1" x14ac:dyDescent="0.2">
      <c r="A428" s="408" t="s">
        <v>505</v>
      </c>
      <c r="B428" s="115"/>
      <c r="C428" s="59"/>
      <c r="D428" s="115"/>
      <c r="E428" s="59"/>
      <c r="F428" s="115"/>
      <c r="G428" s="59"/>
      <c r="H428" s="115"/>
      <c r="I428" s="59"/>
      <c r="J428" s="115"/>
      <c r="K428" s="23"/>
      <c r="L428" s="115"/>
      <c r="M428" s="23"/>
      <c r="N428" s="115"/>
      <c r="O428" s="23"/>
      <c r="P428" s="115"/>
      <c r="Q428" s="23"/>
      <c r="R428" s="528"/>
      <c r="S428" s="23"/>
      <c r="T428" s="528"/>
      <c r="U428" s="23"/>
      <c r="V428" s="528"/>
      <c r="W428" s="23" t="str">
        <f t="shared" si="2651"/>
        <v>NA</v>
      </c>
      <c r="X428" s="528">
        <v>354</v>
      </c>
      <c r="Y428" s="23" t="str">
        <f t="shared" si="2651"/>
        <v>NA</v>
      </c>
      <c r="Z428" s="528">
        <v>352</v>
      </c>
      <c r="AA428" s="23" t="str">
        <f t="shared" si="2651"/>
        <v>NA</v>
      </c>
      <c r="AB428" s="528">
        <v>348</v>
      </c>
      <c r="AC428" s="23" t="str">
        <f t="shared" si="2651"/>
        <v>NA</v>
      </c>
      <c r="AD428" s="528">
        <v>348</v>
      </c>
      <c r="AE428" s="23" t="str">
        <f t="shared" si="2651"/>
        <v>NA</v>
      </c>
      <c r="AF428" s="528">
        <v>352</v>
      </c>
      <c r="AG428" s="23">
        <f t="shared" si="2651"/>
        <v>-0.56497175141242417</v>
      </c>
      <c r="AH428" s="528">
        <v>360</v>
      </c>
      <c r="AI428" s="23">
        <f t="shared" si="2651"/>
        <v>2.2727272727272707</v>
      </c>
      <c r="AJ428" s="528">
        <v>370</v>
      </c>
      <c r="AK428" s="23">
        <f t="shared" si="2651"/>
        <v>6.321839080459779</v>
      </c>
      <c r="AL428" s="528">
        <v>380</v>
      </c>
      <c r="AM428" s="23">
        <f t="shared" si="2651"/>
        <v>9.1954022988505848</v>
      </c>
      <c r="AN428" s="528">
        <v>387</v>
      </c>
      <c r="AO428" s="23">
        <f t="shared" si="2651"/>
        <v>9.943181818181813</v>
      </c>
      <c r="AP428" s="528">
        <v>390</v>
      </c>
      <c r="AQ428" s="23">
        <f t="shared" si="2651"/>
        <v>8.333333333333325</v>
      </c>
      <c r="AR428" s="528">
        <v>388</v>
      </c>
      <c r="AS428" s="23">
        <f t="shared" si="2651"/>
        <v>4.8648648648648596</v>
      </c>
      <c r="AT428" s="528">
        <v>386</v>
      </c>
      <c r="AU428" s="23">
        <f t="shared" si="2651"/>
        <v>1.5789473684210575</v>
      </c>
      <c r="AV428" s="528">
        <v>378</v>
      </c>
      <c r="AW428" s="23"/>
      <c r="AX428" s="528">
        <v>370</v>
      </c>
      <c r="AY428" s="23"/>
      <c r="AZ428" s="528">
        <v>365</v>
      </c>
      <c r="BA428" s="23"/>
      <c r="BB428" s="528">
        <v>359</v>
      </c>
      <c r="BC428" s="23"/>
      <c r="BD428" s="528">
        <v>360</v>
      </c>
      <c r="BE428" s="23"/>
      <c r="BF428" s="528">
        <f>BD428*1.005</f>
        <v>361.79999999999995</v>
      </c>
      <c r="BG428" s="23"/>
      <c r="BH428" s="528">
        <f>BF428*1.005</f>
        <v>363.60899999999992</v>
      </c>
      <c r="BI428" s="23"/>
      <c r="BJ428" s="528">
        <f>BH428*1.005</f>
        <v>365.42704499999991</v>
      </c>
      <c r="BK428" s="23"/>
      <c r="BL428" s="528">
        <f>BJ428*1.005</f>
        <v>367.25418022499986</v>
      </c>
      <c r="BM428" s="23"/>
      <c r="BN428" s="35"/>
      <c r="BO428" s="138"/>
      <c r="BP428" s="35"/>
      <c r="BQ428" s="113"/>
      <c r="BR428" s="113"/>
      <c r="BS428" s="113"/>
      <c r="BT428" s="35"/>
      <c r="BU428" s="115"/>
      <c r="BV428" s="23"/>
      <c r="BW428" s="115"/>
      <c r="BX428" s="23"/>
      <c r="BY428" s="527">
        <f>X428</f>
        <v>354</v>
      </c>
      <c r="BZ428" s="23" t="str">
        <f t="shared" si="2706"/>
        <v>NA</v>
      </c>
      <c r="CA428" s="527">
        <f>AF428</f>
        <v>352</v>
      </c>
      <c r="CB428" s="23">
        <f t="shared" si="2707"/>
        <v>-0.56497175141242417</v>
      </c>
      <c r="CC428" s="527">
        <f>AN428</f>
        <v>387</v>
      </c>
      <c r="CD428" s="23">
        <f t="shared" si="2708"/>
        <v>9.943181818181813</v>
      </c>
      <c r="CE428" s="527">
        <f>AV428</f>
        <v>378</v>
      </c>
      <c r="CF428" s="23">
        <f>IF(ISERROR((CE428/CC428-1)*100),"NA",IF(((CE428/CC428-1)*100)&gt;100,"NM",IF(((CE428/CC428-1)*100)&lt;-50,"NM",(CE428/CC428-1)*100)))</f>
        <v>-2.3255813953488413</v>
      </c>
      <c r="CG428" s="527">
        <f>BD428</f>
        <v>360</v>
      </c>
      <c r="CH428" s="23">
        <f>IF(ISERROR((CG428/CE428-1)*100),"NA",IF(((CG428/CE428-1)*100)&gt;100,"NM",IF(((CG428/CE428-1)*100)&lt;-50,"NM",(CG428/CE428-1)*100)))</f>
        <v>-4.7619047619047672</v>
      </c>
      <c r="CI428" s="527">
        <f>BL428</f>
        <v>367.25418022499986</v>
      </c>
      <c r="CJ428" s="23">
        <f>IF(ISERROR((CI428/CG428-1)*100),"NA",IF(((CI428/CG428-1)*100)&gt;100,"NM",IF(((CI428/CG428-1)*100)&lt;-50,"NM",(CI428/CG428-1)*100)))</f>
        <v>2.0150500624999568</v>
      </c>
      <c r="CK428" s="535">
        <f>CI428*1.02</f>
        <v>374.59926382949988</v>
      </c>
      <c r="CL428" s="23">
        <f>IF(ISERROR((CK428/CI428-1)*100),"NA",IF(((CK428/CI428-1)*100)&gt;100,"NM",IF(((CK428/CI428-1)*100)&lt;-50,"NM",(CK428/CI428-1)*100)))</f>
        <v>2.0000000000000018</v>
      </c>
      <c r="CM428" s="535">
        <f>CK428*1.02</f>
        <v>382.09124910608989</v>
      </c>
      <c r="CN428" s="23">
        <f>IF(ISERROR((CM428/CK428-1)*100),"NA",IF(((CM428/CK428-1)*100)&gt;100,"NM",IF(((CM428/CK428-1)*100)&lt;-50,"NM",(CM428/CK428-1)*100)))</f>
        <v>2.0000000000000018</v>
      </c>
      <c r="CO428" s="535">
        <f>CM428*1.02</f>
        <v>389.73307408821171</v>
      </c>
      <c r="CP428" s="23">
        <f>IF(ISERROR((CO428/CM428-1)*100),"NA",IF(((CO428/CM428-1)*100)&gt;100,"NM",IF(((CO428/CM428-1)*100)&lt;-50,"NM",(CO428/CM428-1)*100)))</f>
        <v>2.0000000000000018</v>
      </c>
      <c r="CQ428" s="535">
        <f>CO428*1.02</f>
        <v>397.52773556997596</v>
      </c>
      <c r="CR428" s="23">
        <f>IF(ISERROR((CQ428/CO428-1)*100),"NA",IF(((CQ428/CO428-1)*100)&gt;100,"NM",IF(((CQ428/CO428-1)*100)&lt;-50,"NM",(CQ428/CO428-1)*100)))</f>
        <v>2.0000000000000018</v>
      </c>
      <c r="CS428" s="23">
        <f>IF(ISERROR(((CQ428/CG428)^0.2-1)*100),"NA",IF((((CQ428/CG428)^0.2-1)*100)&gt;100,"NM",IF((((CQ428/CG428)^0.2-1)*100)&lt;-50,"NM",((CQ428/CG428)^0.2-1)*100)))</f>
        <v>2.0030098348652325</v>
      </c>
    </row>
    <row r="429" spans="1:105" ht="12.75" customHeight="1" x14ac:dyDescent="0.2">
      <c r="J429" s="5"/>
      <c r="L429" s="5"/>
      <c r="N429" s="5"/>
      <c r="P429" s="5"/>
      <c r="R429" s="5"/>
      <c r="T429" s="5"/>
      <c r="V429" s="5"/>
      <c r="X429" s="5"/>
      <c r="Z429" s="5"/>
      <c r="AB429" s="5"/>
      <c r="AD429" s="5"/>
      <c r="AF429" s="5"/>
      <c r="AH429" s="5"/>
      <c r="AJ429" s="5"/>
      <c r="AL429" s="5"/>
      <c r="AN429" s="475"/>
      <c r="AP429" s="475"/>
      <c r="AR429" s="475"/>
      <c r="AT429" s="475"/>
      <c r="AV429" s="475"/>
      <c r="AX429" s="475"/>
      <c r="AZ429" s="475"/>
      <c r="BB429" s="475"/>
      <c r="BD429" s="475"/>
      <c r="BF429" s="5"/>
      <c r="BH429" s="5"/>
      <c r="BJ429" s="5"/>
      <c r="BL429" s="5"/>
      <c r="BN429" s="10"/>
      <c r="BO429" s="136"/>
      <c r="BP429" s="10"/>
      <c r="BQ429" s="10"/>
      <c r="BR429" s="10"/>
      <c r="BS429" s="10"/>
      <c r="BT429" s="10"/>
      <c r="BU429" s="10"/>
      <c r="BW429" s="5"/>
    </row>
    <row r="430" spans="1:105" s="129" customFormat="1" ht="12.75" customHeight="1" x14ac:dyDescent="0.2">
      <c r="A430" s="126" t="s">
        <v>148</v>
      </c>
      <c r="B430" s="127"/>
      <c r="C430" s="128"/>
      <c r="D430" s="127"/>
      <c r="E430" s="128"/>
      <c r="F430" s="127"/>
      <c r="G430" s="128"/>
      <c r="H430" s="127"/>
      <c r="I430" s="128"/>
      <c r="K430" s="130"/>
      <c r="M430" s="130"/>
      <c r="O430" s="130"/>
      <c r="Q430" s="130"/>
      <c r="S430" s="130"/>
      <c r="U430" s="130"/>
      <c r="W430" s="130"/>
      <c r="Y430" s="130"/>
      <c r="AA430" s="130"/>
      <c r="AC430" s="130"/>
      <c r="AE430" s="130"/>
      <c r="AG430" s="130"/>
      <c r="AI430" s="130"/>
      <c r="AK430" s="130"/>
      <c r="AM430" s="130"/>
      <c r="AO430" s="130"/>
      <c r="AQ430" s="130"/>
      <c r="AS430" s="130"/>
      <c r="AU430" s="130"/>
      <c r="AW430" s="130"/>
      <c r="AY430" s="130"/>
      <c r="BA430" s="130"/>
      <c r="BC430" s="130"/>
      <c r="BE430" s="130"/>
      <c r="BG430" s="130"/>
      <c r="BI430" s="130"/>
      <c r="BK430" s="130"/>
      <c r="BM430" s="130"/>
      <c r="BO430" s="135"/>
      <c r="BV430" s="130"/>
      <c r="BX430" s="130"/>
      <c r="BZ430" s="130"/>
      <c r="CB430" s="130"/>
      <c r="CD430" s="130"/>
      <c r="CF430" s="130"/>
      <c r="CH430" s="130"/>
      <c r="CJ430" s="130"/>
      <c r="CL430" s="130"/>
      <c r="CN430" s="130"/>
      <c r="CP430" s="130"/>
      <c r="CR430" s="130"/>
      <c r="CS430" s="130"/>
      <c r="CV430"/>
      <c r="CW430"/>
      <c r="CX430"/>
      <c r="CY430"/>
      <c r="CZ430"/>
      <c r="DA430"/>
    </row>
    <row r="431" spans="1:105" ht="12.75" customHeight="1" x14ac:dyDescent="0.2">
      <c r="J431" s="5"/>
      <c r="L431" s="5"/>
      <c r="N431" s="5"/>
      <c r="P431" s="5"/>
      <c r="R431" s="5"/>
      <c r="T431" s="5"/>
      <c r="V431" s="5"/>
      <c r="X431" s="5"/>
      <c r="Z431" s="5"/>
      <c r="AB431" s="5"/>
      <c r="AD431" s="5"/>
      <c r="AF431" s="5"/>
      <c r="AH431" s="5"/>
      <c r="AJ431" s="5"/>
      <c r="AL431" s="5"/>
      <c r="AN431" s="475"/>
      <c r="AP431" s="475"/>
      <c r="AR431" s="475"/>
      <c r="AT431" s="475"/>
      <c r="AV431" s="475"/>
      <c r="AX431" s="475"/>
      <c r="AZ431" s="475"/>
      <c r="BB431" s="475"/>
      <c r="BD431" s="475"/>
      <c r="BF431" s="5"/>
      <c r="BH431" s="5"/>
      <c r="BJ431" s="5"/>
      <c r="BL431" s="5"/>
      <c r="BN431" s="10"/>
      <c r="BO431" s="136"/>
      <c r="BP431" s="10"/>
      <c r="BQ431" s="10"/>
      <c r="BR431" s="5"/>
      <c r="BS431" s="5"/>
      <c r="BT431" s="5"/>
      <c r="BU431" s="5"/>
      <c r="BW431" s="5"/>
    </row>
    <row r="432" spans="1:105" ht="12.75" customHeight="1" x14ac:dyDescent="0.2">
      <c r="A432" s="4" t="s">
        <v>191</v>
      </c>
      <c r="B432" s="48">
        <v>-71</v>
      </c>
      <c r="C432" s="59"/>
      <c r="D432" s="48">
        <v>-68.900000000000006</v>
      </c>
      <c r="E432" s="59"/>
      <c r="F432" s="48">
        <v>-24.6</v>
      </c>
      <c r="G432" s="59"/>
      <c r="H432" s="48">
        <v>-21.2</v>
      </c>
      <c r="I432" s="59"/>
      <c r="J432" s="48">
        <v>-16.7</v>
      </c>
      <c r="K432" s="23" t="str">
        <f t="shared" ref="K432:Y440" si="2728">IF(ISERROR((J432/B432-1)*100),"NA",IF(((J432/B432-1)*100)&gt;100,"NM",IF(((J432/B432-1)*100)&lt;-50,"NM",(J432/B432-1)*100)))</f>
        <v>NM</v>
      </c>
      <c r="L432" s="48">
        <v>-32.1</v>
      </c>
      <c r="M432" s="23" t="str">
        <f t="shared" si="2728"/>
        <v>NM</v>
      </c>
      <c r="N432" s="48">
        <v>-39.799999999999997</v>
      </c>
      <c r="O432" s="23">
        <f t="shared" si="2728"/>
        <v>61.788617886178841</v>
      </c>
      <c r="P432" s="48">
        <v>-39.200000000000003</v>
      </c>
      <c r="Q432" s="23">
        <f t="shared" si="2728"/>
        <v>84.905660377358515</v>
      </c>
      <c r="R432" s="48">
        <v>-41.9</v>
      </c>
      <c r="S432" s="23" t="str">
        <f t="shared" si="2728"/>
        <v>NM</v>
      </c>
      <c r="T432" s="48">
        <v>-43.2</v>
      </c>
      <c r="U432" s="23">
        <f t="shared" si="2728"/>
        <v>34.579439252336442</v>
      </c>
      <c r="V432" s="48">
        <v>-47.6</v>
      </c>
      <c r="W432" s="23">
        <f t="shared" si="2728"/>
        <v>19.597989949748751</v>
      </c>
      <c r="X432" s="48">
        <v>-47</v>
      </c>
      <c r="Y432" s="23">
        <f t="shared" si="2728"/>
        <v>19.897959183673454</v>
      </c>
      <c r="Z432" s="48">
        <v>-47</v>
      </c>
      <c r="AA432" s="23">
        <f t="shared" ref="AA432:AA440" si="2729">IF(ISERROR((Z432/R432-1)*100),"NA",IF(((Z432/R432-1)*100)&gt;100,"NM",IF(((Z432/R432-1)*100)&lt;-50,"NM",(Z432/R432-1)*100)))</f>
        <v>12.171837708830546</v>
      </c>
      <c r="AB432" s="48">
        <v>-46.7</v>
      </c>
      <c r="AC432" s="23">
        <f t="shared" ref="AC432:AC440" si="2730">IF(ISERROR((AB432/T432-1)*100),"NA",IF(((AB432/T432-1)*100)&gt;100,"NM",IF(((AB432/T432-1)*100)&lt;-50,"NM",(AB432/T432-1)*100)))</f>
        <v>8.1018518518518601</v>
      </c>
      <c r="AD432" s="48">
        <v>-46.8</v>
      </c>
      <c r="AE432" s="23">
        <f t="shared" ref="AE432:AE440" si="2731">IF(ISERROR((AD432/V432-1)*100),"NA",IF(((AD432/V432-1)*100)&gt;100,"NM",IF(((AD432/V432-1)*100)&lt;-50,"NM",(AD432/V432-1)*100)))</f>
        <v>-1.6806722689075682</v>
      </c>
      <c r="AF432" s="48">
        <v>-47.5</v>
      </c>
      <c r="AG432" s="23">
        <f t="shared" ref="AG432:AG440" si="2732">IF(ISERROR((AF432/X432-1)*100),"NA",IF(((AF432/X432-1)*100)&gt;100,"NM",IF(((AF432/X432-1)*100)&lt;-50,"NM",(AF432/X432-1)*100)))</f>
        <v>1.0638297872340496</v>
      </c>
      <c r="AH432" s="48">
        <v>-48</v>
      </c>
      <c r="AI432" s="23">
        <f t="shared" ref="AI432:AI440" si="2733">IF(ISERROR((AH432/Z432-1)*100),"NA",IF(((AH432/Z432-1)*100)&gt;100,"NM",IF(((AH432/Z432-1)*100)&lt;-50,"NM",(AH432/Z432-1)*100)))</f>
        <v>2.1276595744680771</v>
      </c>
      <c r="AJ432" s="48">
        <v>-49.9</v>
      </c>
      <c r="AK432" s="23">
        <f t="shared" ref="AK432:AK440" si="2734">IF(ISERROR((AJ432/AB432-1)*100),"NA",IF(((AJ432/AB432-1)*100)&gt;100,"NM",IF(((AJ432/AB432-1)*100)&lt;-50,"NM",(AJ432/AB432-1)*100)))</f>
        <v>6.8522483940042678</v>
      </c>
      <c r="AL432" s="48">
        <v>-48.1</v>
      </c>
      <c r="AM432" s="23">
        <f t="shared" ref="AM432:AM440" si="2735">IF(ISERROR((AL432/AD432-1)*100),"NA",IF(((AL432/AD432-1)*100)&gt;100,"NM",IF(((AL432/AD432-1)*100)&lt;-50,"NM",(AL432/AD432-1)*100)))</f>
        <v>2.7777777777777901</v>
      </c>
      <c r="AN432" s="287">
        <v>-48.5</v>
      </c>
      <c r="AO432" s="23">
        <f t="shared" ref="AO432:AO440" si="2736">IF(ISERROR((AN432/AF432-1)*100),"NA",IF(((AN432/AF432-1)*100)&gt;100,"NM",IF(((AN432/AF432-1)*100)&lt;-50,"NM",(AN432/AF432-1)*100)))</f>
        <v>2.1052631578947434</v>
      </c>
      <c r="AP432" s="287">
        <v>-48.7</v>
      </c>
      <c r="AQ432" s="23">
        <f t="shared" ref="AQ432:AQ440" si="2737">IF(ISERROR((AP432/AH432-1)*100),"NA",IF(((AP432/AH432-1)*100)&gt;100,"NM",IF(((AP432/AH432-1)*100)&lt;-50,"NM",(AP432/AH432-1)*100)))</f>
        <v>1.4583333333333393</v>
      </c>
      <c r="AR432" s="287">
        <v>-49</v>
      </c>
      <c r="AS432" s="23">
        <f t="shared" ref="AS432:AS440" si="2738">IF(ISERROR((AR432/AJ432-1)*100),"NA",IF(((AR432/AJ432-1)*100)&gt;100,"NM",IF(((AR432/AJ432-1)*100)&lt;-50,"NM",(AR432/AJ432-1)*100)))</f>
        <v>-1.8036072144288595</v>
      </c>
      <c r="AT432" s="287">
        <v>-47.6</v>
      </c>
      <c r="AU432" s="23">
        <f t="shared" ref="AU432:AU440" si="2739">IF(ISERROR((AT432/AL432-1)*100),"NA",IF(((AT432/AL432-1)*100)&gt;100,"NM",IF(((AT432/AL432-1)*100)&lt;-50,"NM",(AT432/AL432-1)*100)))</f>
        <v>-1.039501039501034</v>
      </c>
      <c r="AV432" s="287">
        <v>-47.5</v>
      </c>
      <c r="AW432" s="23">
        <f t="shared" ref="AW432:AW440" si="2740">IF(ISERROR((AV432/AN432-1)*100),"NA",IF(((AV432/AN432-1)*100)&gt;100,"NM",IF(((AV432/AN432-1)*100)&lt;-50,"NM",(AV432/AN432-1)*100)))</f>
        <v>-2.0618556701030966</v>
      </c>
      <c r="AX432" s="287">
        <v>-48.1</v>
      </c>
      <c r="AY432" s="23">
        <f t="shared" ref="AY432:AY435" si="2741">IF(ISERROR((AX432/AP432-1)*100),"NA",IF(((AX432/AP432-1)*100)&gt;100,"NM",IF(((AX432/AP432-1)*100)&lt;-50,"NM",(AX432/AP432-1)*100)))</f>
        <v>-1.2320328542094527</v>
      </c>
      <c r="AZ432" s="287">
        <v>-48.9</v>
      </c>
      <c r="BA432" s="23">
        <f t="shared" ref="BA432:BA435" si="2742">IF(ISERROR((AZ432/AR432-1)*100),"NA",IF(((AZ432/AR432-1)*100)&gt;100,"NM",IF(((AZ432/AR432-1)*100)&lt;-50,"NM",(AZ432/AR432-1)*100)))</f>
        <v>-0.20408163265306367</v>
      </c>
      <c r="BB432" s="287">
        <v>-48.1</v>
      </c>
      <c r="BC432" s="23">
        <f t="shared" ref="BC432:BC435" si="2743">IF(ISERROR((BB432/AT432-1)*100),"NA",IF(((BB432/AT432-1)*100)&gt;100,"NM",IF(((BB432/AT432-1)*100)&lt;-50,"NM",(BB432/AT432-1)*100)))</f>
        <v>1.0504201680672232</v>
      </c>
      <c r="BD432" s="287">
        <f>-47+0.1</f>
        <v>-46.9</v>
      </c>
      <c r="BE432" s="23">
        <f t="shared" ref="BE432:BE436" si="2744">IF(ISERROR((BD432/AV432-1)*100),"NA",IF(((BD432/AV432-1)*100)&gt;100,"NM",IF(((BD432/AV432-1)*100)&lt;-50,"NM",(BD432/AV432-1)*100)))</f>
        <v>-1.2631578947368438</v>
      </c>
      <c r="BF432" s="48">
        <f t="shared" ref="BF432:BH432" si="2745">BD432</f>
        <v>-46.9</v>
      </c>
      <c r="BG432" s="23">
        <f t="shared" ref="BG432:BG435" si="2746">IF(ISERROR((BF432/AX432-1)*100),"NA",IF(((BF432/AX432-1)*100)&gt;100,"NM",IF(((BF432/AX432-1)*100)&lt;-50,"NM",(BF432/AX432-1)*100)))</f>
        <v>-2.494802494802506</v>
      </c>
      <c r="BH432" s="48">
        <f t="shared" si="2745"/>
        <v>-46.9</v>
      </c>
      <c r="BI432" s="23">
        <f t="shared" ref="BI432:BI435" si="2747">IF(ISERROR((BH432/AZ432-1)*100),"NA",IF(((BH432/AZ432-1)*100)&gt;100,"NM",IF(((BH432/AZ432-1)*100)&lt;-50,"NM",(BH432/AZ432-1)*100)))</f>
        <v>-4.0899795501022513</v>
      </c>
      <c r="BJ432" s="48">
        <f>BH432+(638*5.5%-350*3%)/4</f>
        <v>-40.752499999999998</v>
      </c>
      <c r="BK432" s="23">
        <f t="shared" ref="BK432:BK435" si="2748">IF(ISERROR((BJ432/BB432-1)*100),"NA",IF(((BJ432/BB432-1)*100)&gt;100,"NM",IF(((BJ432/BB432-1)*100)&lt;-50,"NM",(BJ432/BB432-1)*100)))</f>
        <v>-15.275467775467789</v>
      </c>
      <c r="BL432" s="48">
        <f>BJ432</f>
        <v>-40.752499999999998</v>
      </c>
      <c r="BM432" s="23">
        <f t="shared" ref="BM432:BM436" si="2749">IF(ISERROR((BL432/BD432-1)*100),"NA",IF(((BL432/BD432-1)*100)&gt;100,"NM",IF(((BL432/BD432-1)*100)&lt;-50,"NM",(BL432/BD432-1)*100)))</f>
        <v>-13.107675906183369</v>
      </c>
      <c r="BN432" s="10"/>
      <c r="BO432" s="137"/>
      <c r="BP432" s="10"/>
      <c r="BQ432" s="48">
        <v>-506.3</v>
      </c>
      <c r="BR432" s="10"/>
      <c r="BS432" s="48">
        <v>-383.5</v>
      </c>
      <c r="BT432" s="10"/>
      <c r="BU432" s="56">
        <f>B432+D432+F432+H432</f>
        <v>-185.7</v>
      </c>
      <c r="BV432" s="23" t="str">
        <f t="shared" ref="BV432:BV440" si="2750">IF(ISERROR((BU432/BS432-1)*100),"NA",IF(((BU432/BS432-1)*100)&gt;100,"NM",IF(((BU432/BS432-1)*100)&lt;-50,"NM",(BU432/BS432-1)*100)))</f>
        <v>NM</v>
      </c>
      <c r="BW432" s="56">
        <f>J432+L432+N432+P432</f>
        <v>-127.8</v>
      </c>
      <c r="BX432" s="23">
        <f t="shared" ref="BX432:BX440" si="2751">IF(ISERROR((BW432/BU432-1)*100),"NA",IF(((BW432/BU432-1)*100)&gt;100,"NM",IF(((BW432/BU432-1)*100)&lt;-50,"NM",(BW432/BU432-1)*100)))</f>
        <v>-31.179321486268176</v>
      </c>
      <c r="BY432" s="56">
        <f>R432+T432+V432+X432</f>
        <v>-179.7</v>
      </c>
      <c r="BZ432" s="23">
        <f t="shared" ref="BZ432:CR440" si="2752">IF(ISERROR((BY432/BW432-1)*100),"NA",IF(((BY432/BW432-1)*100)&gt;100,"NM",IF(((BY432/BW432-1)*100)&lt;-50,"NM",(BY432/BW432-1)*100)))</f>
        <v>40.610328638497649</v>
      </c>
      <c r="CA432" s="56">
        <f>Z432+AB432+AD432+AF432</f>
        <v>-188</v>
      </c>
      <c r="CB432" s="23">
        <f t="shared" si="2752"/>
        <v>4.6188091263216435</v>
      </c>
      <c r="CC432" s="56">
        <f t="shared" ref="CC432:CC439" si="2753">AH432+AJ432+AL432+AN432</f>
        <v>-194.5</v>
      </c>
      <c r="CD432" s="23">
        <f t="shared" si="2752"/>
        <v>3.4574468085106336</v>
      </c>
      <c r="CE432" s="56">
        <f t="shared" ref="CE432:CE439" si="2754">AP432+AR432+AT432+AV432</f>
        <v>-192.8</v>
      </c>
      <c r="CF432" s="23">
        <f t="shared" si="2752"/>
        <v>-0.87403598971721452</v>
      </c>
      <c r="CG432" s="56">
        <f t="shared" ref="CG432:CG439" si="2755">AX432+AZ432+BB432+BD432</f>
        <v>-192</v>
      </c>
      <c r="CH432" s="23">
        <f t="shared" si="2752"/>
        <v>-0.41493775933610921</v>
      </c>
      <c r="CI432" s="56">
        <f t="shared" ref="CI432:CI439" si="2756">BF432+BH432+BJ432+BL432</f>
        <v>-175.30500000000001</v>
      </c>
      <c r="CJ432" s="23">
        <f t="shared" si="2752"/>
        <v>-8.6953124999999964</v>
      </c>
      <c r="CK432" s="56">
        <f>4*BL432</f>
        <v>-163.01</v>
      </c>
      <c r="CL432" s="23">
        <f t="shared" si="2752"/>
        <v>-7.0134907732238183</v>
      </c>
      <c r="CM432" s="56">
        <f>CK432</f>
        <v>-163.01</v>
      </c>
      <c r="CN432" s="23">
        <f t="shared" si="2752"/>
        <v>0</v>
      </c>
      <c r="CO432" s="56">
        <f>CM432</f>
        <v>-163.01</v>
      </c>
      <c r="CP432" s="23">
        <f t="shared" si="2752"/>
        <v>0</v>
      </c>
      <c r="CQ432" s="56">
        <f>CO432</f>
        <v>-163.01</v>
      </c>
      <c r="CR432" s="23">
        <f t="shared" si="2752"/>
        <v>0</v>
      </c>
      <c r="CS432" s="23">
        <f>IF(ISERROR(((CQ432/CG432)^0.2-1)*100),"NA",IF((((CQ432/CG432)^0.2-1)*100)&gt;100,"NM",IF((((CQ432/CG432)^0.2-1)*100)&lt;-50,"NM",((CQ432/CG432)^0.2-1)*100)))</f>
        <v>-3.2206716565791327</v>
      </c>
    </row>
    <row r="433" spans="1:105" ht="12.75" customHeight="1" x14ac:dyDescent="0.2">
      <c r="A433" s="4" t="s">
        <v>197</v>
      </c>
      <c r="B433" s="48">
        <v>0</v>
      </c>
      <c r="C433" s="59"/>
      <c r="D433" s="48">
        <v>0</v>
      </c>
      <c r="E433" s="59"/>
      <c r="F433" s="48">
        <v>0</v>
      </c>
      <c r="G433" s="59"/>
      <c r="H433" s="48">
        <v>0</v>
      </c>
      <c r="I433" s="59"/>
      <c r="J433" s="48">
        <v>-18.899999999999999</v>
      </c>
      <c r="K433" s="23" t="str">
        <f t="shared" si="2728"/>
        <v>NA</v>
      </c>
      <c r="L433" s="48">
        <v>-11.6</v>
      </c>
      <c r="M433" s="23" t="str">
        <f t="shared" si="2728"/>
        <v>NA</v>
      </c>
      <c r="N433" s="48">
        <v>-13.1</v>
      </c>
      <c r="O433" s="23" t="str">
        <f t="shared" si="2728"/>
        <v>NA</v>
      </c>
      <c r="P433" s="48">
        <v>-13.1</v>
      </c>
      <c r="Q433" s="23" t="str">
        <f t="shared" si="2728"/>
        <v>NA</v>
      </c>
      <c r="R433" s="48">
        <v>-12.8</v>
      </c>
      <c r="S433" s="23">
        <f t="shared" si="2728"/>
        <v>-32.275132275132265</v>
      </c>
      <c r="T433" s="48">
        <v>-5.6</v>
      </c>
      <c r="U433" s="23" t="str">
        <f t="shared" si="2728"/>
        <v>NM</v>
      </c>
      <c r="V433" s="48">
        <v>0</v>
      </c>
      <c r="W433" s="23" t="str">
        <f t="shared" si="2728"/>
        <v>NM</v>
      </c>
      <c r="X433" s="48">
        <v>0</v>
      </c>
      <c r="Y433" s="23" t="str">
        <f t="shared" si="2728"/>
        <v>NM</v>
      </c>
      <c r="Z433" s="48">
        <v>0</v>
      </c>
      <c r="AA433" s="23" t="str">
        <f t="shared" si="2729"/>
        <v>NM</v>
      </c>
      <c r="AB433" s="48">
        <v>0</v>
      </c>
      <c r="AC433" s="23" t="str">
        <f t="shared" si="2730"/>
        <v>NM</v>
      </c>
      <c r="AD433" s="48">
        <v>0</v>
      </c>
      <c r="AE433" s="23" t="str">
        <f t="shared" si="2731"/>
        <v>NA</v>
      </c>
      <c r="AF433" s="48">
        <v>0</v>
      </c>
      <c r="AG433" s="23" t="str">
        <f t="shared" si="2732"/>
        <v>NA</v>
      </c>
      <c r="AH433" s="48">
        <v>0</v>
      </c>
      <c r="AI433" s="23" t="str">
        <f t="shared" si="2733"/>
        <v>NA</v>
      </c>
      <c r="AJ433" s="48">
        <v>0</v>
      </c>
      <c r="AK433" s="23" t="str">
        <f t="shared" si="2734"/>
        <v>NA</v>
      </c>
      <c r="AL433" s="48">
        <v>0</v>
      </c>
      <c r="AM433" s="23" t="str">
        <f t="shared" si="2735"/>
        <v>NA</v>
      </c>
      <c r="AN433" s="287">
        <v>0</v>
      </c>
      <c r="AO433" s="23" t="str">
        <f t="shared" si="2736"/>
        <v>NA</v>
      </c>
      <c r="AP433" s="287">
        <v>0</v>
      </c>
      <c r="AQ433" s="23" t="str">
        <f t="shared" si="2737"/>
        <v>NA</v>
      </c>
      <c r="AR433" s="287">
        <v>0</v>
      </c>
      <c r="AS433" s="23" t="str">
        <f t="shared" si="2738"/>
        <v>NA</v>
      </c>
      <c r="AT433" s="287">
        <v>0</v>
      </c>
      <c r="AU433" s="23" t="str">
        <f t="shared" si="2739"/>
        <v>NA</v>
      </c>
      <c r="AV433" s="287">
        <v>0</v>
      </c>
      <c r="AW433" s="23" t="str">
        <f t="shared" si="2740"/>
        <v>NA</v>
      </c>
      <c r="AX433" s="287">
        <v>0</v>
      </c>
      <c r="AY433" s="23" t="str">
        <f t="shared" si="2741"/>
        <v>NA</v>
      </c>
      <c r="AZ433" s="287">
        <v>0</v>
      </c>
      <c r="BA433" s="23" t="str">
        <f t="shared" si="2742"/>
        <v>NA</v>
      </c>
      <c r="BB433" s="287">
        <v>0</v>
      </c>
      <c r="BC433" s="23" t="str">
        <f t="shared" si="2743"/>
        <v>NA</v>
      </c>
      <c r="BD433" s="287">
        <v>0</v>
      </c>
      <c r="BE433" s="23" t="str">
        <f t="shared" si="2744"/>
        <v>NA</v>
      </c>
      <c r="BF433" s="48">
        <v>0</v>
      </c>
      <c r="BG433" s="23" t="str">
        <f t="shared" si="2746"/>
        <v>NA</v>
      </c>
      <c r="BH433" s="48">
        <v>0</v>
      </c>
      <c r="BI433" s="23" t="str">
        <f t="shared" si="2747"/>
        <v>NA</v>
      </c>
      <c r="BJ433" s="48">
        <v>0</v>
      </c>
      <c r="BK433" s="23" t="str">
        <f t="shared" si="2748"/>
        <v>NA</v>
      </c>
      <c r="BL433" s="48">
        <v>0</v>
      </c>
      <c r="BM433" s="23" t="str">
        <f t="shared" si="2749"/>
        <v>NA</v>
      </c>
      <c r="BN433" s="10"/>
      <c r="BO433" s="137"/>
      <c r="BP433" s="10"/>
      <c r="BQ433" s="48">
        <v>0</v>
      </c>
      <c r="BR433" s="10"/>
      <c r="BS433" s="48">
        <v>0</v>
      </c>
      <c r="BT433" s="10"/>
      <c r="BU433" s="56">
        <f>B433+D433+F433+H433</f>
        <v>0</v>
      </c>
      <c r="BV433" s="23" t="str">
        <f t="shared" si="2750"/>
        <v>NA</v>
      </c>
      <c r="BW433" s="56">
        <f>J433+L433+N433+P433</f>
        <v>-56.7</v>
      </c>
      <c r="BX433" s="23" t="str">
        <f t="shared" si="2751"/>
        <v>NA</v>
      </c>
      <c r="BY433" s="56">
        <f>R433+T433+V433+X433</f>
        <v>-18.399999999999999</v>
      </c>
      <c r="BZ433" s="23" t="str">
        <f t="shared" si="2752"/>
        <v>NM</v>
      </c>
      <c r="CA433" s="56">
        <f>Z433+AB433+AD433+AF433</f>
        <v>0</v>
      </c>
      <c r="CB433" s="23" t="str">
        <f t="shared" si="2752"/>
        <v>NM</v>
      </c>
      <c r="CC433" s="56">
        <f t="shared" si="2753"/>
        <v>0</v>
      </c>
      <c r="CD433" s="23" t="str">
        <f t="shared" si="2752"/>
        <v>NA</v>
      </c>
      <c r="CE433" s="56">
        <f t="shared" si="2754"/>
        <v>0</v>
      </c>
      <c r="CF433" s="23" t="str">
        <f t="shared" si="2752"/>
        <v>NA</v>
      </c>
      <c r="CG433" s="56">
        <f t="shared" si="2755"/>
        <v>0</v>
      </c>
      <c r="CH433" s="23" t="str">
        <f t="shared" si="2752"/>
        <v>NA</v>
      </c>
      <c r="CI433" s="56">
        <f t="shared" si="2756"/>
        <v>0</v>
      </c>
      <c r="CJ433" s="23" t="str">
        <f t="shared" si="2752"/>
        <v>NA</v>
      </c>
      <c r="CK433" s="49">
        <v>0</v>
      </c>
      <c r="CL433" s="23" t="str">
        <f t="shared" si="2752"/>
        <v>NA</v>
      </c>
      <c r="CM433" s="49">
        <v>0</v>
      </c>
      <c r="CN433" s="23" t="str">
        <f t="shared" si="2752"/>
        <v>NA</v>
      </c>
      <c r="CO433" s="49">
        <v>0</v>
      </c>
      <c r="CP433" s="23" t="str">
        <f t="shared" si="2752"/>
        <v>NA</v>
      </c>
      <c r="CQ433" s="49">
        <v>0</v>
      </c>
      <c r="CR433" s="23" t="str">
        <f t="shared" si="2752"/>
        <v>NA</v>
      </c>
      <c r="CS433" s="23"/>
    </row>
    <row r="434" spans="1:105" ht="12.75" customHeight="1" x14ac:dyDescent="0.2">
      <c r="A434" s="4" t="s">
        <v>198</v>
      </c>
      <c r="B434" s="48">
        <v>-8.3000000000000007</v>
      </c>
      <c r="C434" s="59"/>
      <c r="D434" s="48">
        <v>-8.3000000000000007</v>
      </c>
      <c r="E434" s="59"/>
      <c r="F434" s="48">
        <v>-8.6</v>
      </c>
      <c r="G434" s="59"/>
      <c r="H434" s="48">
        <v>-9.1</v>
      </c>
      <c r="I434" s="59"/>
      <c r="J434" s="48">
        <v>-8.6999999999999993</v>
      </c>
      <c r="K434" s="23">
        <f t="shared" si="2728"/>
        <v>4.8192771084337283</v>
      </c>
      <c r="L434" s="48">
        <v>-8.6999999999999993</v>
      </c>
      <c r="M434" s="23">
        <f t="shared" si="2728"/>
        <v>4.8192771084337283</v>
      </c>
      <c r="N434" s="48">
        <v>-8.8000000000000007</v>
      </c>
      <c r="O434" s="23">
        <f t="shared" si="2728"/>
        <v>2.3255813953488413</v>
      </c>
      <c r="P434" s="48">
        <v>-8.8000000000000007</v>
      </c>
      <c r="Q434" s="23">
        <f t="shared" si="2728"/>
        <v>-3.296703296703285</v>
      </c>
      <c r="R434" s="48">
        <v>-8.8000000000000007</v>
      </c>
      <c r="S434" s="23">
        <f t="shared" si="2728"/>
        <v>1.1494252873563315</v>
      </c>
      <c r="T434" s="48">
        <v>-8.8000000000000007</v>
      </c>
      <c r="U434" s="23">
        <f t="shared" si="2728"/>
        <v>1.1494252873563315</v>
      </c>
      <c r="V434" s="48">
        <v>-8.6999999999999993</v>
      </c>
      <c r="W434" s="23">
        <f t="shared" si="2728"/>
        <v>-1.1363636363636576</v>
      </c>
      <c r="X434" s="48">
        <v>-8.6999999999999993</v>
      </c>
      <c r="Y434" s="23">
        <f t="shared" si="2728"/>
        <v>-1.1363636363636576</v>
      </c>
      <c r="Z434" s="48">
        <v>-8.6</v>
      </c>
      <c r="AA434" s="23">
        <f t="shared" si="2729"/>
        <v>-2.2727272727272818</v>
      </c>
      <c r="AB434" s="48">
        <v>-8.6</v>
      </c>
      <c r="AC434" s="23">
        <f t="shared" si="2730"/>
        <v>-2.2727272727272818</v>
      </c>
      <c r="AD434" s="48">
        <v>-9.1999999999999993</v>
      </c>
      <c r="AE434" s="23">
        <f t="shared" si="2731"/>
        <v>5.7471264367816133</v>
      </c>
      <c r="AF434" s="48">
        <v>-9.1999999999999993</v>
      </c>
      <c r="AG434" s="23">
        <f t="shared" si="2732"/>
        <v>5.7471264367816133</v>
      </c>
      <c r="AH434" s="48">
        <v>-9.1999999999999993</v>
      </c>
      <c r="AI434" s="23">
        <f t="shared" si="2733"/>
        <v>6.9767441860465018</v>
      </c>
      <c r="AJ434" s="48">
        <v>-9.1999999999999993</v>
      </c>
      <c r="AK434" s="23">
        <f t="shared" si="2734"/>
        <v>6.9767441860465018</v>
      </c>
      <c r="AL434" s="48">
        <v>-9.1</v>
      </c>
      <c r="AM434" s="23">
        <f t="shared" si="2735"/>
        <v>-1.0869565217391242</v>
      </c>
      <c r="AN434" s="287">
        <v>-9.1</v>
      </c>
      <c r="AO434" s="23">
        <f t="shared" si="2736"/>
        <v>-1.0869565217391242</v>
      </c>
      <c r="AP434" s="287">
        <v>-9.1</v>
      </c>
      <c r="AQ434" s="23">
        <f t="shared" si="2737"/>
        <v>-1.0869565217391242</v>
      </c>
      <c r="AR434" s="287">
        <v>-9.1</v>
      </c>
      <c r="AS434" s="23">
        <f t="shared" si="2738"/>
        <v>-1.0869565217391242</v>
      </c>
      <c r="AT434" s="287">
        <v>-8.9</v>
      </c>
      <c r="AU434" s="23">
        <f t="shared" si="2739"/>
        <v>-2.19780219780219</v>
      </c>
      <c r="AV434" s="287">
        <v>-8.9</v>
      </c>
      <c r="AW434" s="23">
        <f t="shared" si="2740"/>
        <v>-2.19780219780219</v>
      </c>
      <c r="AX434" s="287">
        <v>-8.1999999999999993</v>
      </c>
      <c r="AY434" s="23">
        <f t="shared" si="2741"/>
        <v>-9.8901098901098994</v>
      </c>
      <c r="AZ434" s="287">
        <v>-9.6</v>
      </c>
      <c r="BA434" s="23">
        <f t="shared" si="2742"/>
        <v>5.4945054945054972</v>
      </c>
      <c r="BB434" s="287">
        <v>-8.8000000000000007</v>
      </c>
      <c r="BC434" s="23">
        <f t="shared" si="2743"/>
        <v>-1.1235955056179692</v>
      </c>
      <c r="BD434" s="287">
        <f>-9+0.4</f>
        <v>-8.6</v>
      </c>
      <c r="BE434" s="23">
        <f t="shared" si="2744"/>
        <v>-3.3707865168539408</v>
      </c>
      <c r="BF434" s="48">
        <f>BD434</f>
        <v>-8.6</v>
      </c>
      <c r="BG434" s="23">
        <f t="shared" si="2746"/>
        <v>4.8780487804878092</v>
      </c>
      <c r="BH434" s="48">
        <f>AZ434</f>
        <v>-9.6</v>
      </c>
      <c r="BI434" s="23">
        <f t="shared" si="2747"/>
        <v>0</v>
      </c>
      <c r="BJ434" s="48">
        <f>BH434</f>
        <v>-9.6</v>
      </c>
      <c r="BK434" s="23">
        <f t="shared" si="2748"/>
        <v>9.0909090909090828</v>
      </c>
      <c r="BL434" s="48">
        <f>BJ434</f>
        <v>-9.6</v>
      </c>
      <c r="BM434" s="23">
        <f t="shared" si="2749"/>
        <v>11.627906976744185</v>
      </c>
      <c r="BN434" s="10"/>
      <c r="BO434" s="137"/>
      <c r="BP434" s="10"/>
      <c r="BQ434" s="48">
        <v>-33.5</v>
      </c>
      <c r="BR434" s="10"/>
      <c r="BS434" s="48">
        <v>-33.6</v>
      </c>
      <c r="BT434" s="10"/>
      <c r="BU434" s="56">
        <f>B434+D434+F434+H434</f>
        <v>-34.300000000000004</v>
      </c>
      <c r="BV434" s="23">
        <f t="shared" si="2750"/>
        <v>2.0833333333333481</v>
      </c>
      <c r="BW434" s="56">
        <f>J434+L434+N434+P434</f>
        <v>-35</v>
      </c>
      <c r="BX434" s="23">
        <f t="shared" si="2751"/>
        <v>2.0408163265305923</v>
      </c>
      <c r="BY434" s="56">
        <f>R434+T434+V434+X434</f>
        <v>-35</v>
      </c>
      <c r="BZ434" s="23">
        <f t="shared" si="2752"/>
        <v>0</v>
      </c>
      <c r="CA434" s="56">
        <f>Z434+AB434+AD434+AF434</f>
        <v>-35.599999999999994</v>
      </c>
      <c r="CB434" s="23">
        <f t="shared" si="2752"/>
        <v>1.7142857142856904</v>
      </c>
      <c r="CC434" s="56">
        <f t="shared" si="2753"/>
        <v>-36.6</v>
      </c>
      <c r="CD434" s="23">
        <f t="shared" si="2752"/>
        <v>2.8089887640449618</v>
      </c>
      <c r="CE434" s="56">
        <f t="shared" si="2754"/>
        <v>-36</v>
      </c>
      <c r="CF434" s="23">
        <f t="shared" si="2752"/>
        <v>-1.6393442622950838</v>
      </c>
      <c r="CG434" s="56">
        <f t="shared" si="2755"/>
        <v>-35.199999999999996</v>
      </c>
      <c r="CH434" s="23">
        <f t="shared" si="2752"/>
        <v>-2.2222222222222365</v>
      </c>
      <c r="CI434" s="56">
        <f t="shared" si="2756"/>
        <v>-37.4</v>
      </c>
      <c r="CJ434" s="23">
        <f t="shared" si="2752"/>
        <v>6.25</v>
      </c>
      <c r="CK434" s="56">
        <f>CI434</f>
        <v>-37.4</v>
      </c>
      <c r="CL434" s="23">
        <f t="shared" si="2752"/>
        <v>0</v>
      </c>
      <c r="CM434" s="56">
        <f>CK434</f>
        <v>-37.4</v>
      </c>
      <c r="CN434" s="23">
        <f t="shared" si="2752"/>
        <v>0</v>
      </c>
      <c r="CO434" s="56">
        <f>CM434</f>
        <v>-37.4</v>
      </c>
      <c r="CP434" s="23">
        <f t="shared" si="2752"/>
        <v>0</v>
      </c>
      <c r="CQ434" s="56">
        <f>CO434</f>
        <v>-37.4</v>
      </c>
      <c r="CR434" s="23">
        <f t="shared" si="2752"/>
        <v>0</v>
      </c>
      <c r="CS434" s="23">
        <f>IF(ISERROR(((CQ434/CG434)^0.2-1)*100),"NA",IF((((CQ434/CG434)^0.2-1)*100)&gt;100,"NM",IF((((CQ434/CG434)^0.2-1)*100)&lt;-50,"NM",((CQ434/CG434)^0.2-1)*100)))</f>
        <v>1.2198729249942586</v>
      </c>
    </row>
    <row r="435" spans="1:105" ht="12.75" customHeight="1" x14ac:dyDescent="0.2">
      <c r="A435" s="4" t="s">
        <v>199</v>
      </c>
      <c r="B435" s="48">
        <v>0</v>
      </c>
      <c r="C435" s="59"/>
      <c r="D435" s="48">
        <v>0</v>
      </c>
      <c r="E435" s="59"/>
      <c r="F435" s="48">
        <v>0</v>
      </c>
      <c r="G435" s="59"/>
      <c r="H435" s="49">
        <v>-68.900000000000006</v>
      </c>
      <c r="I435" s="59"/>
      <c r="J435" s="48">
        <v>0</v>
      </c>
      <c r="K435" s="23" t="str">
        <f t="shared" si="2728"/>
        <v>NA</v>
      </c>
      <c r="L435" s="48">
        <v>0</v>
      </c>
      <c r="M435" s="23" t="str">
        <f t="shared" si="2728"/>
        <v>NA</v>
      </c>
      <c r="N435" s="48">
        <v>0</v>
      </c>
      <c r="O435" s="23" t="str">
        <f t="shared" si="2728"/>
        <v>NA</v>
      </c>
      <c r="P435" s="48">
        <v>0</v>
      </c>
      <c r="Q435" s="23" t="str">
        <f t="shared" si="2728"/>
        <v>NM</v>
      </c>
      <c r="R435" s="48">
        <v>0</v>
      </c>
      <c r="S435" s="23" t="str">
        <f t="shared" si="2728"/>
        <v>NA</v>
      </c>
      <c r="T435" s="48">
        <v>0</v>
      </c>
      <c r="U435" s="23" t="str">
        <f t="shared" si="2728"/>
        <v>NA</v>
      </c>
      <c r="V435" s="48">
        <v>0</v>
      </c>
      <c r="W435" s="23" t="str">
        <f t="shared" si="2728"/>
        <v>NA</v>
      </c>
      <c r="X435" s="48">
        <v>0</v>
      </c>
      <c r="Y435" s="23" t="str">
        <f t="shared" si="2728"/>
        <v>NA</v>
      </c>
      <c r="Z435" s="48">
        <v>0</v>
      </c>
      <c r="AA435" s="23" t="str">
        <f t="shared" si="2729"/>
        <v>NA</v>
      </c>
      <c r="AB435" s="48">
        <v>0</v>
      </c>
      <c r="AC435" s="23" t="str">
        <f t="shared" si="2730"/>
        <v>NA</v>
      </c>
      <c r="AD435" s="48">
        <v>0</v>
      </c>
      <c r="AE435" s="23" t="str">
        <f t="shared" si="2731"/>
        <v>NA</v>
      </c>
      <c r="AF435" s="48">
        <v>0</v>
      </c>
      <c r="AG435" s="23" t="str">
        <f t="shared" si="2732"/>
        <v>NA</v>
      </c>
      <c r="AH435" s="48">
        <v>0</v>
      </c>
      <c r="AI435" s="23" t="str">
        <f t="shared" si="2733"/>
        <v>NA</v>
      </c>
      <c r="AJ435" s="48">
        <v>0</v>
      </c>
      <c r="AK435" s="23" t="str">
        <f t="shared" si="2734"/>
        <v>NA</v>
      </c>
      <c r="AL435" s="48">
        <v>0</v>
      </c>
      <c r="AM435" s="23" t="str">
        <f t="shared" si="2735"/>
        <v>NA</v>
      </c>
      <c r="AN435" s="287">
        <v>0</v>
      </c>
      <c r="AO435" s="23" t="str">
        <f t="shared" si="2736"/>
        <v>NA</v>
      </c>
      <c r="AP435" s="287">
        <v>0</v>
      </c>
      <c r="AQ435" s="23" t="str">
        <f t="shared" si="2737"/>
        <v>NA</v>
      </c>
      <c r="AR435" s="287">
        <v>0</v>
      </c>
      <c r="AS435" s="23" t="str">
        <f t="shared" si="2738"/>
        <v>NA</v>
      </c>
      <c r="AT435" s="287">
        <v>0</v>
      </c>
      <c r="AU435" s="23" t="str">
        <f t="shared" si="2739"/>
        <v>NA</v>
      </c>
      <c r="AV435" s="287">
        <v>0</v>
      </c>
      <c r="AW435" s="23" t="str">
        <f t="shared" si="2740"/>
        <v>NA</v>
      </c>
      <c r="AX435" s="287">
        <v>0</v>
      </c>
      <c r="AY435" s="23" t="str">
        <f t="shared" si="2741"/>
        <v>NA</v>
      </c>
      <c r="AZ435" s="287">
        <v>0</v>
      </c>
      <c r="BA435" s="23" t="str">
        <f t="shared" si="2742"/>
        <v>NA</v>
      </c>
      <c r="BB435" s="287">
        <v>0</v>
      </c>
      <c r="BC435" s="23" t="str">
        <f t="shared" si="2743"/>
        <v>NA</v>
      </c>
      <c r="BD435" s="287">
        <v>0</v>
      </c>
      <c r="BE435" s="23" t="str">
        <f t="shared" si="2744"/>
        <v>NA</v>
      </c>
      <c r="BF435" s="48">
        <v>0</v>
      </c>
      <c r="BG435" s="23" t="str">
        <f t="shared" si="2746"/>
        <v>NA</v>
      </c>
      <c r="BH435" s="48">
        <v>0</v>
      </c>
      <c r="BI435" s="23" t="str">
        <f t="shared" si="2747"/>
        <v>NA</v>
      </c>
      <c r="BJ435" s="48">
        <v>0</v>
      </c>
      <c r="BK435" s="23" t="str">
        <f t="shared" si="2748"/>
        <v>NA</v>
      </c>
      <c r="BL435" s="48">
        <v>0</v>
      </c>
      <c r="BM435" s="23" t="str">
        <f t="shared" si="2749"/>
        <v>NA</v>
      </c>
      <c r="BN435" s="10"/>
      <c r="BO435" s="137"/>
      <c r="BP435" s="10"/>
      <c r="BQ435" s="48">
        <v>0</v>
      </c>
      <c r="BR435" s="10"/>
      <c r="BS435" s="48">
        <v>0</v>
      </c>
      <c r="BT435" s="10"/>
      <c r="BU435" s="56">
        <f>B435+D435+F435+H435</f>
        <v>-68.900000000000006</v>
      </c>
      <c r="BV435" s="23" t="str">
        <f t="shared" si="2750"/>
        <v>NA</v>
      </c>
      <c r="BW435" s="56">
        <f>J435+L435+N435+P435</f>
        <v>0</v>
      </c>
      <c r="BX435" s="23" t="str">
        <f t="shared" si="2751"/>
        <v>NM</v>
      </c>
      <c r="BY435" s="56">
        <f>R435+T435+V435+X435</f>
        <v>0</v>
      </c>
      <c r="BZ435" s="23" t="str">
        <f t="shared" si="2752"/>
        <v>NA</v>
      </c>
      <c r="CA435" s="56">
        <f>Z435+AB435+AD435+AF435</f>
        <v>0</v>
      </c>
      <c r="CB435" s="23" t="str">
        <f t="shared" si="2752"/>
        <v>NA</v>
      </c>
      <c r="CC435" s="56">
        <f t="shared" si="2753"/>
        <v>0</v>
      </c>
      <c r="CD435" s="23" t="str">
        <f t="shared" si="2752"/>
        <v>NA</v>
      </c>
      <c r="CE435" s="56">
        <f t="shared" si="2754"/>
        <v>0</v>
      </c>
      <c r="CF435" s="23" t="str">
        <f t="shared" si="2752"/>
        <v>NA</v>
      </c>
      <c r="CG435" s="56">
        <f t="shared" si="2755"/>
        <v>0</v>
      </c>
      <c r="CH435" s="23" t="str">
        <f t="shared" si="2752"/>
        <v>NA</v>
      </c>
      <c r="CI435" s="56">
        <f t="shared" si="2756"/>
        <v>0</v>
      </c>
      <c r="CJ435" s="23" t="str">
        <f t="shared" si="2752"/>
        <v>NA</v>
      </c>
      <c r="CK435" s="56">
        <v>0</v>
      </c>
      <c r="CL435" s="23" t="str">
        <f t="shared" si="2752"/>
        <v>NA</v>
      </c>
      <c r="CM435" s="56">
        <v>0</v>
      </c>
      <c r="CN435" s="23" t="str">
        <f t="shared" si="2752"/>
        <v>NA</v>
      </c>
      <c r="CO435" s="56">
        <v>0</v>
      </c>
      <c r="CP435" s="23" t="str">
        <f t="shared" si="2752"/>
        <v>NA</v>
      </c>
      <c r="CQ435" s="56">
        <v>0</v>
      </c>
      <c r="CR435" s="23" t="str">
        <f t="shared" si="2752"/>
        <v>NA</v>
      </c>
      <c r="CS435" s="23" t="str">
        <f>IF(ISERROR(((CQ435/CG435)^0.2-1)*100),"NA",IF((((CQ435/CG435)^0.2-1)*100)&gt;100,"NM",IF((((CQ435/CG435)^0.2-1)*100)&lt;-50,"NM",((CQ435/CG435)^0.2-1)*100)))</f>
        <v>NA</v>
      </c>
    </row>
    <row r="436" spans="1:105" ht="12.75" customHeight="1" x14ac:dyDescent="0.2">
      <c r="A436" s="408" t="s">
        <v>490</v>
      </c>
      <c r="B436" s="48"/>
      <c r="C436" s="59"/>
      <c r="D436" s="48"/>
      <c r="E436" s="59"/>
      <c r="F436" s="48"/>
      <c r="G436" s="59"/>
      <c r="H436" s="49"/>
      <c r="I436" s="59"/>
      <c r="J436" s="48"/>
      <c r="K436" s="23"/>
      <c r="L436" s="48"/>
      <c r="M436" s="23"/>
      <c r="N436" s="48"/>
      <c r="O436" s="23"/>
      <c r="P436" s="48"/>
      <c r="Q436" s="23"/>
      <c r="R436" s="48"/>
      <c r="S436" s="23"/>
      <c r="T436" s="48"/>
      <c r="U436" s="23"/>
      <c r="V436" s="48"/>
      <c r="W436" s="23"/>
      <c r="X436" s="48"/>
      <c r="Y436" s="23"/>
      <c r="Z436" s="48"/>
      <c r="AA436" s="23"/>
      <c r="AB436" s="48"/>
      <c r="AC436" s="23"/>
      <c r="AD436" s="48"/>
      <c r="AE436" s="23"/>
      <c r="AF436" s="48"/>
      <c r="AG436" s="23"/>
      <c r="AH436" s="48">
        <v>0</v>
      </c>
      <c r="AI436" s="23"/>
      <c r="AJ436" s="48">
        <v>-13.1</v>
      </c>
      <c r="AK436" s="23"/>
      <c r="AL436" s="48">
        <v>-31.7</v>
      </c>
      <c r="AM436" s="23"/>
      <c r="AN436" s="287">
        <v>-34.700000000000003</v>
      </c>
      <c r="AO436" s="23"/>
      <c r="AP436" s="287">
        <v>-33.299999999999997</v>
      </c>
      <c r="AQ436" s="23"/>
      <c r="AR436" s="287">
        <v>-31.3</v>
      </c>
      <c r="AS436" s="23"/>
      <c r="AT436" s="287">
        <v>-28.9</v>
      </c>
      <c r="AU436" s="23"/>
      <c r="AV436" s="287">
        <v>-23.9</v>
      </c>
      <c r="AW436" s="23"/>
      <c r="AX436" s="287">
        <v>-19.8</v>
      </c>
      <c r="AY436" s="23"/>
      <c r="AZ436" s="287">
        <v>-23</v>
      </c>
      <c r="BA436" s="23"/>
      <c r="BB436" s="287">
        <v>-21.1</v>
      </c>
      <c r="BC436" s="23"/>
      <c r="BD436" s="287">
        <f>-16+0.4</f>
        <v>-15.6</v>
      </c>
      <c r="BE436" s="23">
        <f t="shared" si="2744"/>
        <v>-34.728033472803347</v>
      </c>
      <c r="BF436" s="48">
        <v>0</v>
      </c>
      <c r="BG436" s="23" t="str">
        <f t="shared" ref="BG436" si="2757">IF(ISERROR((BF436/AX436-1)*100),"NA",IF(((BF436/AX436-1)*100)&gt;100,"NM",IF(((BF436/AX436-1)*100)&lt;-50,"NM",(BF436/AX436-1)*100)))</f>
        <v>NM</v>
      </c>
      <c r="BH436" s="48">
        <v>0</v>
      </c>
      <c r="BI436" s="23" t="str">
        <f t="shared" ref="BI436" si="2758">IF(ISERROR((BH436/AZ436-1)*100),"NA",IF(((BH436/AZ436-1)*100)&gt;100,"NM",IF(((BH436/AZ436-1)*100)&lt;-50,"NM",(BH436/AZ436-1)*100)))</f>
        <v>NM</v>
      </c>
      <c r="BJ436" s="48">
        <v>0</v>
      </c>
      <c r="BK436" s="23" t="str">
        <f t="shared" ref="BK436" si="2759">IF(ISERROR((BJ436/BB436-1)*100),"NA",IF(((BJ436/BB436-1)*100)&gt;100,"NM",IF(((BJ436/BB436-1)*100)&lt;-50,"NM",(BJ436/BB436-1)*100)))</f>
        <v>NM</v>
      </c>
      <c r="BL436" s="48">
        <v>0</v>
      </c>
      <c r="BM436" s="23" t="str">
        <f t="shared" si="2749"/>
        <v>NM</v>
      </c>
      <c r="BN436" s="10"/>
      <c r="BO436" s="137"/>
      <c r="BP436" s="10"/>
      <c r="BQ436" s="48"/>
      <c r="BR436" s="10"/>
      <c r="BS436" s="48"/>
      <c r="BT436" s="10"/>
      <c r="BU436" s="56"/>
      <c r="BV436" s="23"/>
      <c r="BW436" s="56"/>
      <c r="BX436" s="23"/>
      <c r="BY436" s="56"/>
      <c r="BZ436" s="23"/>
      <c r="CA436" s="56"/>
      <c r="CB436" s="23"/>
      <c r="CC436" s="56">
        <f t="shared" si="2753"/>
        <v>-79.5</v>
      </c>
      <c r="CD436" s="23"/>
      <c r="CE436" s="56">
        <f t="shared" si="2754"/>
        <v>-117.4</v>
      </c>
      <c r="CF436" s="23"/>
      <c r="CG436" s="56">
        <f t="shared" si="2755"/>
        <v>-79.5</v>
      </c>
      <c r="CH436" s="23"/>
      <c r="CI436" s="56">
        <f t="shared" si="2756"/>
        <v>0</v>
      </c>
      <c r="CJ436" s="23"/>
      <c r="CK436" s="56"/>
      <c r="CL436" s="23"/>
      <c r="CM436" s="56"/>
      <c r="CN436" s="23"/>
      <c r="CO436" s="56"/>
      <c r="CP436" s="23"/>
      <c r="CQ436" s="56"/>
      <c r="CR436" s="23"/>
      <c r="CS436" s="23" t="str">
        <f>IF(ISERROR(((CQ436/CG436)^0.2-1)*100),"NA",IF((((CQ436/CG436)^0.2-1)*100)&gt;100,"NM",IF((((CQ436/CG436)^0.2-1)*100)&lt;-50,"NM",((CQ436/CG436)^0.2-1)*100)))</f>
        <v>NM</v>
      </c>
    </row>
    <row r="437" spans="1:105" ht="12.75" customHeight="1" x14ac:dyDescent="0.2">
      <c r="A437" s="408" t="s">
        <v>535</v>
      </c>
      <c r="B437" s="48"/>
      <c r="C437" s="59"/>
      <c r="D437" s="48"/>
      <c r="E437" s="59"/>
      <c r="F437" s="48"/>
      <c r="G437" s="59"/>
      <c r="H437" s="49"/>
      <c r="I437" s="59"/>
      <c r="J437" s="48"/>
      <c r="K437" s="23"/>
      <c r="L437" s="48"/>
      <c r="M437" s="23"/>
      <c r="N437" s="48"/>
      <c r="O437" s="23"/>
      <c r="P437" s="48"/>
      <c r="Q437" s="23"/>
      <c r="R437" s="48"/>
      <c r="S437" s="23"/>
      <c r="T437" s="48"/>
      <c r="U437" s="23"/>
      <c r="V437" s="48"/>
      <c r="W437" s="23"/>
      <c r="X437" s="48"/>
      <c r="Y437" s="23"/>
      <c r="Z437" s="48"/>
      <c r="AA437" s="23"/>
      <c r="AB437" s="48"/>
      <c r="AC437" s="23"/>
      <c r="AD437" s="48"/>
      <c r="AE437" s="23"/>
      <c r="AF437" s="48"/>
      <c r="AG437" s="23"/>
      <c r="AH437" s="48"/>
      <c r="AI437" s="23"/>
      <c r="AJ437" s="48"/>
      <c r="AK437" s="23"/>
      <c r="AL437" s="48"/>
      <c r="AM437" s="23"/>
      <c r="AN437" s="287"/>
      <c r="AO437" s="23"/>
      <c r="AP437" s="287"/>
      <c r="AQ437" s="23"/>
      <c r="AR437" s="287"/>
      <c r="AS437" s="23"/>
      <c r="AT437" s="287"/>
      <c r="AU437" s="23"/>
      <c r="AV437" s="287"/>
      <c r="AW437" s="23"/>
      <c r="AX437" s="287"/>
      <c r="AY437" s="23"/>
      <c r="AZ437" s="287"/>
      <c r="BA437" s="23"/>
      <c r="BB437" s="287"/>
      <c r="BC437" s="23"/>
      <c r="BD437" s="287"/>
      <c r="BE437" s="23"/>
      <c r="BF437" s="48">
        <v>-30</v>
      </c>
      <c r="BG437" s="23"/>
      <c r="BH437" s="48">
        <v>-30</v>
      </c>
      <c r="BI437" s="23"/>
      <c r="BJ437" s="48">
        <v>-30</v>
      </c>
      <c r="BK437" s="23"/>
      <c r="BL437" s="48">
        <f>BJ437</f>
        <v>-30</v>
      </c>
      <c r="BM437" s="23"/>
      <c r="BN437" s="10"/>
      <c r="BO437" s="137"/>
      <c r="BP437" s="10"/>
      <c r="BQ437" s="48"/>
      <c r="BR437" s="10"/>
      <c r="BS437" s="48"/>
      <c r="BT437" s="10"/>
      <c r="BU437" s="56"/>
      <c r="BV437" s="23"/>
      <c r="BW437" s="56"/>
      <c r="BX437" s="23"/>
      <c r="BY437" s="56"/>
      <c r="BZ437" s="23"/>
      <c r="CA437" s="56"/>
      <c r="CB437" s="23"/>
      <c r="CC437" s="56">
        <f t="shared" si="2753"/>
        <v>0</v>
      </c>
      <c r="CD437" s="23"/>
      <c r="CE437" s="56">
        <f t="shared" si="2754"/>
        <v>0</v>
      </c>
      <c r="CF437" s="23"/>
      <c r="CG437" s="56">
        <f t="shared" si="2755"/>
        <v>0</v>
      </c>
      <c r="CH437" s="23"/>
      <c r="CI437" s="56">
        <f t="shared" si="2756"/>
        <v>-120</v>
      </c>
      <c r="CJ437" s="23"/>
      <c r="CK437" s="635">
        <v>-120</v>
      </c>
      <c r="CL437" s="636"/>
      <c r="CM437" s="635">
        <f>CK437</f>
        <v>-120</v>
      </c>
      <c r="CN437" s="636"/>
      <c r="CO437" s="635">
        <f>CM437</f>
        <v>-120</v>
      </c>
      <c r="CP437" s="636"/>
      <c r="CQ437" s="635">
        <f>CO437</f>
        <v>-120</v>
      </c>
      <c r="CR437" s="23"/>
      <c r="CS437" s="23"/>
    </row>
    <row r="438" spans="1:105" ht="12.75" customHeight="1" x14ac:dyDescent="0.2">
      <c r="A438" s="408" t="s">
        <v>536</v>
      </c>
      <c r="B438" s="48"/>
      <c r="C438" s="59"/>
      <c r="D438" s="48"/>
      <c r="E438" s="59"/>
      <c r="F438" s="48"/>
      <c r="G438" s="59"/>
      <c r="H438" s="49"/>
      <c r="I438" s="59"/>
      <c r="J438" s="48"/>
      <c r="K438" s="23"/>
      <c r="L438" s="48"/>
      <c r="M438" s="23"/>
      <c r="N438" s="48"/>
      <c r="O438" s="23"/>
      <c r="P438" s="48"/>
      <c r="Q438" s="23"/>
      <c r="R438" s="48"/>
      <c r="S438" s="23"/>
      <c r="T438" s="48"/>
      <c r="U438" s="23"/>
      <c r="V438" s="48"/>
      <c r="W438" s="23"/>
      <c r="X438" s="48"/>
      <c r="Y438" s="23"/>
      <c r="Z438" s="48"/>
      <c r="AA438" s="23"/>
      <c r="AB438" s="48"/>
      <c r="AC438" s="23"/>
      <c r="AD438" s="48"/>
      <c r="AE438" s="23"/>
      <c r="AF438" s="48"/>
      <c r="AG438" s="23"/>
      <c r="AH438" s="48"/>
      <c r="AI438" s="23"/>
      <c r="AJ438" s="48"/>
      <c r="AK438" s="23"/>
      <c r="AL438" s="48"/>
      <c r="AM438" s="23"/>
      <c r="AN438" s="287"/>
      <c r="AO438" s="23"/>
      <c r="AP438" s="287"/>
      <c r="AQ438" s="23"/>
      <c r="AR438" s="287"/>
      <c r="AS438" s="23"/>
      <c r="AT438" s="287"/>
      <c r="AU438" s="23"/>
      <c r="AV438" s="287"/>
      <c r="AW438" s="23"/>
      <c r="AX438" s="287"/>
      <c r="AY438" s="23"/>
      <c r="AZ438" s="287"/>
      <c r="BA438" s="23"/>
      <c r="BB438" s="287"/>
      <c r="BC438" s="23"/>
      <c r="BD438" s="287"/>
      <c r="BE438" s="23"/>
      <c r="BF438" s="48">
        <v>10</v>
      </c>
      <c r="BG438" s="23"/>
      <c r="BH438" s="48">
        <v>15</v>
      </c>
      <c r="BI438" s="23"/>
      <c r="BJ438" s="48">
        <v>20</v>
      </c>
      <c r="BK438" s="23"/>
      <c r="BL438" s="48">
        <v>25</v>
      </c>
      <c r="BM438" s="23"/>
      <c r="BN438" s="10"/>
      <c r="BO438" s="137"/>
      <c r="BP438" s="10"/>
      <c r="BQ438" s="48"/>
      <c r="BR438" s="10"/>
      <c r="BS438" s="48"/>
      <c r="BT438" s="10"/>
      <c r="BU438" s="56"/>
      <c r="BV438" s="23"/>
      <c r="BW438" s="56"/>
      <c r="BX438" s="23"/>
      <c r="BY438" s="56"/>
      <c r="BZ438" s="23"/>
      <c r="CA438" s="56"/>
      <c r="CB438" s="23"/>
      <c r="CC438" s="56"/>
      <c r="CD438" s="23"/>
      <c r="CE438" s="56"/>
      <c r="CF438" s="23"/>
      <c r="CG438" s="56">
        <f t="shared" si="2755"/>
        <v>0</v>
      </c>
      <c r="CH438" s="23"/>
      <c r="CI438" s="56">
        <f t="shared" ref="CI438" si="2760">BF438+BH438+BJ438+BL438</f>
        <v>70</v>
      </c>
      <c r="CJ438" s="23"/>
      <c r="CK438" s="635">
        <v>120</v>
      </c>
      <c r="CL438" s="636"/>
      <c r="CM438" s="635">
        <f>CK438</f>
        <v>120</v>
      </c>
      <c r="CN438" s="636"/>
      <c r="CO438" s="635">
        <f>CM438</f>
        <v>120</v>
      </c>
      <c r="CP438" s="636"/>
      <c r="CQ438" s="635">
        <f>CO438</f>
        <v>120</v>
      </c>
      <c r="CR438" s="23"/>
      <c r="CS438" s="23"/>
    </row>
    <row r="439" spans="1:105" ht="12.75" customHeight="1" x14ac:dyDescent="0.2">
      <c r="A439" s="4" t="s">
        <v>14</v>
      </c>
      <c r="B439" s="48">
        <v>35</v>
      </c>
      <c r="C439" s="59"/>
      <c r="D439" s="48">
        <v>8.1000000000000085</v>
      </c>
      <c r="E439" s="59"/>
      <c r="F439" s="48">
        <v>12.4</v>
      </c>
      <c r="G439" s="59"/>
      <c r="H439" s="48">
        <v>3.2</v>
      </c>
      <c r="I439" s="59"/>
      <c r="J439" s="48">
        <v>-4.0999999999999996</v>
      </c>
      <c r="K439" s="23" t="str">
        <f t="shared" si="2728"/>
        <v>NM</v>
      </c>
      <c r="L439" s="48">
        <v>19.7</v>
      </c>
      <c r="M439" s="23" t="str">
        <f t="shared" si="2728"/>
        <v>NM</v>
      </c>
      <c r="N439" s="48">
        <v>4.0999999999999996</v>
      </c>
      <c r="O439" s="23" t="str">
        <f t="shared" si="2728"/>
        <v>NM</v>
      </c>
      <c r="P439" s="48">
        <v>17.5</v>
      </c>
      <c r="Q439" s="23" t="str">
        <f t="shared" si="2728"/>
        <v>NM</v>
      </c>
      <c r="R439" s="48">
        <v>13.4</v>
      </c>
      <c r="S439" s="23" t="str">
        <f t="shared" si="2728"/>
        <v>NM</v>
      </c>
      <c r="T439" s="48">
        <v>4.8</v>
      </c>
      <c r="U439" s="23" t="str">
        <f t="shared" si="2728"/>
        <v>NM</v>
      </c>
      <c r="V439" s="48">
        <v>-7.4</v>
      </c>
      <c r="W439" s="23" t="str">
        <f t="shared" si="2728"/>
        <v>NM</v>
      </c>
      <c r="X439" s="48">
        <v>11.7</v>
      </c>
      <c r="Y439" s="23">
        <f t="shared" si="2728"/>
        <v>-33.142857142857153</v>
      </c>
      <c r="Z439" s="48">
        <v>18.3</v>
      </c>
      <c r="AA439" s="23">
        <f t="shared" si="2729"/>
        <v>36.567164179104481</v>
      </c>
      <c r="AB439" s="48">
        <v>17</v>
      </c>
      <c r="AC439" s="23" t="str">
        <f t="shared" si="2730"/>
        <v>NM</v>
      </c>
      <c r="AD439" s="48">
        <v>8.9</v>
      </c>
      <c r="AE439" s="23" t="str">
        <f t="shared" si="2731"/>
        <v>NM</v>
      </c>
      <c r="AF439" s="48">
        <v>9</v>
      </c>
      <c r="AG439" s="23">
        <f t="shared" si="2732"/>
        <v>-23.076923076923073</v>
      </c>
      <c r="AH439" s="48">
        <v>9</v>
      </c>
      <c r="AI439" s="23" t="str">
        <f t="shared" si="2733"/>
        <v>NM</v>
      </c>
      <c r="AJ439" s="48">
        <f>18.9</f>
        <v>18.899999999999999</v>
      </c>
      <c r="AK439" s="23">
        <f t="shared" si="2734"/>
        <v>11.176470588235276</v>
      </c>
      <c r="AL439" s="48">
        <v>13.3</v>
      </c>
      <c r="AM439" s="23">
        <f t="shared" si="2735"/>
        <v>49.438202247191022</v>
      </c>
      <c r="AN439" s="287">
        <v>10.199999999999999</v>
      </c>
      <c r="AO439" s="23">
        <f t="shared" si="2736"/>
        <v>13.33333333333333</v>
      </c>
      <c r="AP439" s="510">
        <f>18.1-31.9</f>
        <v>-13.799999999999997</v>
      </c>
      <c r="AQ439" s="576" t="str">
        <f t="shared" si="2737"/>
        <v>NM</v>
      </c>
      <c r="AR439" s="510">
        <f>-4.9-31.9</f>
        <v>-36.799999999999997</v>
      </c>
      <c r="AS439" s="576" t="str">
        <f t="shared" si="2738"/>
        <v>NM</v>
      </c>
      <c r="AT439" s="510">
        <f>7.9-31.9</f>
        <v>-24</v>
      </c>
      <c r="AU439" s="576" t="str">
        <f t="shared" si="2739"/>
        <v>NM</v>
      </c>
      <c r="AV439" s="510">
        <v>-53</v>
      </c>
      <c r="AW439" s="576" t="str">
        <f t="shared" si="2740"/>
        <v>NM</v>
      </c>
      <c r="AX439" s="510">
        <v>-19</v>
      </c>
      <c r="AY439" s="576">
        <f t="shared" ref="AY439:AY440" si="2761">IF(ISERROR((AX439/AP439-1)*100),"NA",IF(((AX439/AP439-1)*100)&gt;100,"NM",IF(((AX439/AP439-1)*100)&lt;-50,"NM",(AX439/AP439-1)*100)))</f>
        <v>37.681159420289887</v>
      </c>
      <c r="AZ439" s="510">
        <v>-19</v>
      </c>
      <c r="BA439" s="576">
        <f t="shared" ref="BA439:BA440" si="2762">IF(ISERROR((AZ439/AR439-1)*100),"NA",IF(((AZ439/AR439-1)*100)&gt;100,"NM",IF(((AZ439/AR439-1)*100)&lt;-50,"NM",(AZ439/AR439-1)*100)))</f>
        <v>-48.369565217391298</v>
      </c>
      <c r="BB439" s="510">
        <v>-32</v>
      </c>
      <c r="BC439" s="23">
        <f t="shared" ref="BC439:BC440" si="2763">IF(ISERROR((BB439/AT439-1)*100),"NA",IF(((BB439/AT439-1)*100)&gt;100,"NM",IF(((BB439/AT439-1)*100)&lt;-50,"NM",(BB439/AT439-1)*100)))</f>
        <v>33.333333333333329</v>
      </c>
      <c r="BD439" s="158">
        <f>-18+0.4</f>
        <v>-17.600000000000001</v>
      </c>
      <c r="BE439" s="23" t="str">
        <f t="shared" ref="BE439:BE440" si="2764">IF(ISERROR((BD439/AV439-1)*100),"NA",IF(((BD439/AV439-1)*100)&gt;100,"NM",IF(((BD439/AV439-1)*100)&lt;-50,"NM",(BD439/AV439-1)*100)))</f>
        <v>NM</v>
      </c>
      <c r="BF439" s="48">
        <v>-3</v>
      </c>
      <c r="BG439" s="23" t="str">
        <f t="shared" ref="BG439:BG440" si="2765">IF(ISERROR((BF439/AX439-1)*100),"NA",IF(((BF439/AX439-1)*100)&gt;100,"NM",IF(((BF439/AX439-1)*100)&lt;-50,"NM",(BF439/AX439-1)*100)))</f>
        <v>NM</v>
      </c>
      <c r="BH439" s="48">
        <v>-10</v>
      </c>
      <c r="BI439" s="23">
        <f t="shared" ref="BI439:BI440" si="2766">IF(ISERROR((BH439/AZ439-1)*100),"NA",IF(((BH439/AZ439-1)*100)&gt;100,"NM",IF(((BH439/AZ439-1)*100)&lt;-50,"NM",(BH439/AZ439-1)*100)))</f>
        <v>-47.368421052631582</v>
      </c>
      <c r="BJ439" s="48">
        <f>BH439</f>
        <v>-10</v>
      </c>
      <c r="BK439" s="23" t="str">
        <f t="shared" ref="BK439:BK440" si="2767">IF(ISERROR((BJ439/BB439-1)*100),"NA",IF(((BJ439/BB439-1)*100)&gt;100,"NM",IF(((BJ439/BB439-1)*100)&lt;-50,"NM",(BJ439/BB439-1)*100)))</f>
        <v>NM</v>
      </c>
      <c r="BL439" s="48">
        <f>BJ439</f>
        <v>-10</v>
      </c>
      <c r="BM439" s="23">
        <f t="shared" ref="BM439:BM440" si="2768">IF(ISERROR((BL439/BD439-1)*100),"NA",IF(((BL439/BD439-1)*100)&gt;100,"NM",IF(((BL439/BD439-1)*100)&lt;-50,"NM",(BL439/BD439-1)*100)))</f>
        <v>-43.181818181818187</v>
      </c>
      <c r="BN439" s="10"/>
      <c r="BO439" s="137"/>
      <c r="BP439" s="10"/>
      <c r="BQ439" s="48">
        <v>69.3</v>
      </c>
      <c r="BR439" s="10"/>
      <c r="BS439" s="48">
        <v>18</v>
      </c>
      <c r="BT439" s="10"/>
      <c r="BU439" s="56">
        <f>B439+D439+F439+H439</f>
        <v>58.70000000000001</v>
      </c>
      <c r="BV439" s="23" t="str">
        <f t="shared" si="2750"/>
        <v>NM</v>
      </c>
      <c r="BW439" s="56">
        <f>J439+L439+N439+P439</f>
        <v>37.200000000000003</v>
      </c>
      <c r="BX439" s="23">
        <f t="shared" si="2751"/>
        <v>-36.626916524701883</v>
      </c>
      <c r="BY439" s="56">
        <f>R439+T439+V439+X439</f>
        <v>22.5</v>
      </c>
      <c r="BZ439" s="23">
        <f t="shared" si="2752"/>
        <v>-39.516129032258071</v>
      </c>
      <c r="CA439" s="56">
        <f>Z439+AB439+AD439+AF439</f>
        <v>53.199999999999996</v>
      </c>
      <c r="CB439" s="23" t="str">
        <f t="shared" si="2752"/>
        <v>NM</v>
      </c>
      <c r="CC439" s="56">
        <f t="shared" si="2753"/>
        <v>51.400000000000006</v>
      </c>
      <c r="CD439" s="23">
        <f t="shared" si="2752"/>
        <v>-3.3834586466165217</v>
      </c>
      <c r="CE439" s="56">
        <f t="shared" si="2754"/>
        <v>-127.6</v>
      </c>
      <c r="CF439" s="23" t="str">
        <f t="shared" si="2752"/>
        <v>NM</v>
      </c>
      <c r="CG439" s="56">
        <f t="shared" si="2755"/>
        <v>-87.6</v>
      </c>
      <c r="CH439" s="23">
        <f t="shared" si="2752"/>
        <v>-31.347962382445139</v>
      </c>
      <c r="CI439" s="56">
        <f t="shared" si="2756"/>
        <v>-33</v>
      </c>
      <c r="CJ439" s="23" t="str">
        <f t="shared" si="2752"/>
        <v>NM</v>
      </c>
      <c r="CK439" s="592">
        <v>-32</v>
      </c>
      <c r="CL439" s="23">
        <f t="shared" si="2752"/>
        <v>-3.0303030303030276</v>
      </c>
      <c r="CM439" s="592">
        <f>CK439*1.01</f>
        <v>-32.32</v>
      </c>
      <c r="CN439" s="592">
        <f t="shared" si="2752"/>
        <v>1.0000000000000009</v>
      </c>
      <c r="CO439" s="592">
        <f>CM439*1.01</f>
        <v>-32.6432</v>
      </c>
      <c r="CP439" s="592">
        <f t="shared" si="2752"/>
        <v>1.0000000000000009</v>
      </c>
      <c r="CQ439" s="592">
        <f>CO439*1.01</f>
        <v>-32.969631999999997</v>
      </c>
      <c r="CR439" s="23">
        <f t="shared" si="2752"/>
        <v>1.0000000000000009</v>
      </c>
      <c r="CS439" s="23">
        <f>IF(ISERROR(((CQ439/CG439)^0.2-1)*100),"NA",IF((((CQ439/CG439)^0.2-1)*100)&gt;100,"NM",IF((((CQ439/CG439)^0.2-1)*100)&lt;-50,"NM",((CQ439/CG439)^0.2-1)*100)))</f>
        <v>-17.752633946137365</v>
      </c>
    </row>
    <row r="440" spans="1:105" ht="12.75" customHeight="1" x14ac:dyDescent="0.2">
      <c r="A440" s="3" t="s">
        <v>128</v>
      </c>
      <c r="B440" s="72">
        <f>SUM(B432:B439)</f>
        <v>-44.3</v>
      </c>
      <c r="C440" s="59"/>
      <c r="D440" s="72">
        <f t="shared" ref="D440:Z440" si="2769">SUM(D432:D439)</f>
        <v>-69.099999999999994</v>
      </c>
      <c r="E440" s="59"/>
      <c r="F440" s="72">
        <f t="shared" si="2769"/>
        <v>-20.800000000000004</v>
      </c>
      <c r="G440" s="59"/>
      <c r="H440" s="72">
        <f t="shared" si="2769"/>
        <v>-96</v>
      </c>
      <c r="I440" s="59"/>
      <c r="J440" s="72">
        <f t="shared" si="2769"/>
        <v>-48.4</v>
      </c>
      <c r="K440" s="23">
        <f t="shared" si="2728"/>
        <v>9.2550790067720037</v>
      </c>
      <c r="L440" s="72">
        <f t="shared" si="2769"/>
        <v>-32.700000000000003</v>
      </c>
      <c r="M440" s="23" t="str">
        <f t="shared" si="2728"/>
        <v>NM</v>
      </c>
      <c r="N440" s="72">
        <f t="shared" si="2769"/>
        <v>-57.6</v>
      </c>
      <c r="O440" s="23" t="str">
        <f t="shared" si="2728"/>
        <v>NM</v>
      </c>
      <c r="P440" s="73">
        <f t="shared" si="2769"/>
        <v>-43.600000000000009</v>
      </c>
      <c r="Q440" s="23" t="str">
        <f t="shared" si="2728"/>
        <v>NM</v>
      </c>
      <c r="R440" s="73">
        <f>SUM(R432:R439)</f>
        <v>-50.1</v>
      </c>
      <c r="S440" s="23">
        <f t="shared" si="2728"/>
        <v>3.512396694214881</v>
      </c>
      <c r="T440" s="73">
        <f t="shared" si="2769"/>
        <v>-52.800000000000011</v>
      </c>
      <c r="U440" s="23">
        <f t="shared" si="2728"/>
        <v>61.467889908256915</v>
      </c>
      <c r="V440" s="73">
        <f t="shared" si="2769"/>
        <v>-63.699999999999996</v>
      </c>
      <c r="W440" s="23">
        <f t="shared" si="2728"/>
        <v>10.590277777777768</v>
      </c>
      <c r="X440" s="73">
        <f t="shared" si="2769"/>
        <v>-44</v>
      </c>
      <c r="Y440" s="23">
        <f t="shared" si="2728"/>
        <v>0.91743119266052275</v>
      </c>
      <c r="Z440" s="73">
        <f t="shared" si="2769"/>
        <v>-37.299999999999997</v>
      </c>
      <c r="AA440" s="23">
        <f t="shared" si="2729"/>
        <v>-25.54890219560879</v>
      </c>
      <c r="AB440" s="73">
        <f t="shared" ref="AB440:AD440" si="2770">SUM(AB432:AB439)</f>
        <v>-38.300000000000004</v>
      </c>
      <c r="AC440" s="23">
        <f t="shared" si="2730"/>
        <v>-27.462121212121215</v>
      </c>
      <c r="AD440" s="73">
        <f t="shared" si="2770"/>
        <v>-47.1</v>
      </c>
      <c r="AE440" s="23">
        <f t="shared" si="2731"/>
        <v>-26.059654631083195</v>
      </c>
      <c r="AF440" s="73">
        <f t="shared" ref="AF440:AH440" si="2771">SUM(AF432:AF439)</f>
        <v>-47.7</v>
      </c>
      <c r="AG440" s="23">
        <f t="shared" si="2732"/>
        <v>8.4090909090909207</v>
      </c>
      <c r="AH440" s="73">
        <f t="shared" si="2771"/>
        <v>-48.2</v>
      </c>
      <c r="AI440" s="23">
        <f t="shared" si="2733"/>
        <v>29.222520107238626</v>
      </c>
      <c r="AJ440" s="73">
        <f t="shared" ref="AJ440:AL440" si="2772">SUM(AJ432:AJ439)</f>
        <v>-53.29999999999999</v>
      </c>
      <c r="AK440" s="23">
        <f t="shared" si="2734"/>
        <v>39.164490861618752</v>
      </c>
      <c r="AL440" s="73">
        <f t="shared" si="2772"/>
        <v>-75.600000000000009</v>
      </c>
      <c r="AM440" s="23">
        <f t="shared" si="2735"/>
        <v>60.509554140127399</v>
      </c>
      <c r="AN440" s="73">
        <f t="shared" ref="AN440:AP440" si="2773">SUM(AN432:AN439)</f>
        <v>-82.100000000000009</v>
      </c>
      <c r="AO440" s="23">
        <f t="shared" si="2736"/>
        <v>72.117400419287222</v>
      </c>
      <c r="AP440" s="73">
        <f t="shared" si="2773"/>
        <v>-104.89999999999999</v>
      </c>
      <c r="AQ440" s="23" t="str">
        <f t="shared" si="2737"/>
        <v>NM</v>
      </c>
      <c r="AR440" s="73">
        <f t="shared" ref="AR440:AT440" si="2774">SUM(AR432:AR439)</f>
        <v>-126.2</v>
      </c>
      <c r="AS440" s="23" t="str">
        <f t="shared" si="2738"/>
        <v>NM</v>
      </c>
      <c r="AT440" s="73">
        <f t="shared" si="2774"/>
        <v>-109.4</v>
      </c>
      <c r="AU440" s="23">
        <f t="shared" si="2739"/>
        <v>44.708994708994695</v>
      </c>
      <c r="AV440" s="73">
        <f t="shared" ref="AV440:AX440" si="2775">SUM(AV432:AV439)</f>
        <v>-133.30000000000001</v>
      </c>
      <c r="AW440" s="23">
        <f t="shared" si="2740"/>
        <v>62.362971985383673</v>
      </c>
      <c r="AX440" s="73">
        <f t="shared" si="2775"/>
        <v>-95.1</v>
      </c>
      <c r="AY440" s="23">
        <f t="shared" si="2761"/>
        <v>-9.3422306959008559</v>
      </c>
      <c r="AZ440" s="73">
        <f t="shared" ref="AZ440" si="2776">SUM(AZ432:AZ439)</f>
        <v>-100.5</v>
      </c>
      <c r="BA440" s="23">
        <f t="shared" si="2762"/>
        <v>-20.364500792393024</v>
      </c>
      <c r="BB440" s="73">
        <f t="shared" ref="BB440:BD440" si="2777">SUM(BB432:BB439)</f>
        <v>-110</v>
      </c>
      <c r="BC440" s="23">
        <f t="shared" si="2763"/>
        <v>0.54844606946982122</v>
      </c>
      <c r="BD440" s="73">
        <f t="shared" si="2777"/>
        <v>-88.699999999999989</v>
      </c>
      <c r="BE440" s="23">
        <f t="shared" si="2764"/>
        <v>-33.458364591147806</v>
      </c>
      <c r="BF440" s="73">
        <f t="shared" ref="BF440" si="2778">SUM(BF432:BF439)</f>
        <v>-78.5</v>
      </c>
      <c r="BG440" s="23">
        <f t="shared" si="2765"/>
        <v>-17.455310199789686</v>
      </c>
      <c r="BH440" s="73">
        <f t="shared" ref="BH440" si="2779">SUM(BH432:BH439)</f>
        <v>-81.5</v>
      </c>
      <c r="BI440" s="23">
        <f t="shared" si="2766"/>
        <v>-18.905472636815922</v>
      </c>
      <c r="BJ440" s="73">
        <f t="shared" ref="BJ440" si="2780">SUM(BJ432:BJ439)</f>
        <v>-70.352499999999992</v>
      </c>
      <c r="BK440" s="23">
        <f t="shared" si="2767"/>
        <v>-36.043181818181822</v>
      </c>
      <c r="BL440" s="73">
        <f t="shared" ref="BL440" si="2781">SUM(BL432:BL439)</f>
        <v>-65.352499999999992</v>
      </c>
      <c r="BM440" s="23">
        <f t="shared" si="2768"/>
        <v>-26.321871476888393</v>
      </c>
      <c r="BN440" s="10"/>
      <c r="BO440" s="137"/>
      <c r="BP440" s="10"/>
      <c r="BQ440" s="73">
        <f>SUM(BQ432:BQ439)</f>
        <v>-470.49999999999994</v>
      </c>
      <c r="BR440" s="10"/>
      <c r="BS440" s="73">
        <f>SUM(BS432:BS439)</f>
        <v>-399.1</v>
      </c>
      <c r="BT440" s="10"/>
      <c r="BU440" s="73">
        <f>SUM(BU432:BU439)</f>
        <v>-230.19999999999996</v>
      </c>
      <c r="BV440" s="23">
        <f t="shared" si="2750"/>
        <v>-42.320220496116278</v>
      </c>
      <c r="BW440" s="73">
        <f>SUM(BW432:BW439)</f>
        <v>-182.3</v>
      </c>
      <c r="BX440" s="23">
        <f t="shared" si="2751"/>
        <v>-20.807993049522132</v>
      </c>
      <c r="BY440" s="73">
        <f>SUM(BY432:BY439)</f>
        <v>-210.6</v>
      </c>
      <c r="BZ440" s="23">
        <f t="shared" si="2752"/>
        <v>15.523861766319236</v>
      </c>
      <c r="CA440" s="73">
        <f>SUM(CA432:CA439)</f>
        <v>-170.4</v>
      </c>
      <c r="CB440" s="23">
        <f t="shared" si="2752"/>
        <v>-19.088319088319082</v>
      </c>
      <c r="CC440" s="73">
        <f>SUM(CC432:CC439)</f>
        <v>-259.20000000000005</v>
      </c>
      <c r="CD440" s="23">
        <f t="shared" si="2752"/>
        <v>52.112676056338046</v>
      </c>
      <c r="CE440" s="73">
        <f>SUM(CE432:CE439)</f>
        <v>-473.80000000000007</v>
      </c>
      <c r="CF440" s="23">
        <f t="shared" si="2752"/>
        <v>82.793209876543187</v>
      </c>
      <c r="CG440" s="73">
        <f>SUM(CG432:CG439)</f>
        <v>-394.29999999999995</v>
      </c>
      <c r="CH440" s="23">
        <f t="shared" si="2752"/>
        <v>-16.779231743351641</v>
      </c>
      <c r="CI440" s="73">
        <f>SUM(CI432:CI439)</f>
        <v>-295.70500000000004</v>
      </c>
      <c r="CJ440" s="23">
        <f t="shared" si="2752"/>
        <v>-25.005072279989836</v>
      </c>
      <c r="CK440" s="73">
        <f>SUM(CK432:CK439)</f>
        <v>-232.40999999999997</v>
      </c>
      <c r="CL440" s="23">
        <f t="shared" si="2752"/>
        <v>-21.404778410916304</v>
      </c>
      <c r="CM440" s="73">
        <f>SUM(CM432:CM439)</f>
        <v>-232.72999999999996</v>
      </c>
      <c r="CN440" s="23">
        <f t="shared" si="2752"/>
        <v>0.13768770706938938</v>
      </c>
      <c r="CO440" s="73">
        <f>SUM(CO432:CO439)</f>
        <v>-233.05319999999998</v>
      </c>
      <c r="CP440" s="23">
        <f t="shared" si="2752"/>
        <v>0.13887337257767474</v>
      </c>
      <c r="CQ440" s="73">
        <f>SUM(CQ432:CQ439)</f>
        <v>-233.37963199999996</v>
      </c>
      <c r="CR440" s="23">
        <f t="shared" si="2752"/>
        <v>0.14006758971769617</v>
      </c>
      <c r="CS440" s="23">
        <f>IF(ISERROR(((CQ440/CG440)^0.2-1)*100),"NA",IF((((CQ440/CG440)^0.2-1)*100)&gt;100,"NM",IF((((CQ440/CG440)^0.2-1)*100)&lt;-50,"NM",((CQ440/CG440)^0.2-1)*100)))</f>
        <v>-9.9575642335450567</v>
      </c>
    </row>
    <row r="441" spans="1:105" ht="12.75" customHeight="1" x14ac:dyDescent="0.2">
      <c r="B441" s="36"/>
      <c r="C441" s="60"/>
      <c r="D441" s="36"/>
      <c r="E441" s="60"/>
      <c r="F441" s="36"/>
      <c r="G441" s="60"/>
      <c r="H441" s="36"/>
      <c r="I441" s="60"/>
      <c r="J441" s="36"/>
      <c r="L441" s="36"/>
      <c r="N441" s="36"/>
      <c r="P441" s="36"/>
      <c r="R441" s="36"/>
      <c r="T441" s="36"/>
      <c r="V441" s="36"/>
      <c r="X441" s="36"/>
      <c r="Z441" s="36"/>
      <c r="AB441" s="36"/>
      <c r="AD441" s="36"/>
      <c r="AF441" s="36"/>
      <c r="AH441" s="36"/>
      <c r="AJ441" s="36"/>
      <c r="AL441" s="36"/>
      <c r="AN441" s="410"/>
      <c r="AP441" s="410"/>
      <c r="AR441" s="410"/>
      <c r="AT441" s="410"/>
      <c r="AV441" s="410"/>
      <c r="AX441" s="410"/>
      <c r="AZ441" s="410"/>
      <c r="BB441" s="410"/>
      <c r="BD441" s="410"/>
      <c r="BF441" s="36"/>
      <c r="BH441" s="36"/>
      <c r="BJ441" s="36"/>
      <c r="BL441" s="36"/>
      <c r="BN441" s="10"/>
      <c r="BO441" s="137"/>
      <c r="BP441" s="10"/>
      <c r="BQ441" s="36"/>
      <c r="BR441" s="10"/>
      <c r="BS441" s="36"/>
      <c r="BT441" s="10"/>
      <c r="BU441" s="56"/>
      <c r="BW441" s="36"/>
      <c r="BY441" s="36"/>
      <c r="CA441" s="36"/>
      <c r="CC441" s="56"/>
      <c r="CD441" s="177"/>
      <c r="CE441" s="56"/>
      <c r="CF441" s="177"/>
      <c r="CG441" s="56"/>
      <c r="CH441" s="177"/>
      <c r="CI441" s="56"/>
      <c r="CJ441" s="177"/>
      <c r="CK441" s="56"/>
      <c r="CL441" s="177"/>
      <c r="CM441" s="56"/>
      <c r="CN441" s="177"/>
      <c r="CO441" s="56"/>
      <c r="CP441" s="177"/>
      <c r="CQ441" s="56"/>
      <c r="CR441" s="177"/>
      <c r="CS441" s="177"/>
    </row>
    <row r="442" spans="1:105" ht="12.75" customHeight="1" x14ac:dyDescent="0.2">
      <c r="A442" s="4" t="s">
        <v>12</v>
      </c>
      <c r="B442" s="48">
        <v>0</v>
      </c>
      <c r="C442" s="59"/>
      <c r="D442" s="48">
        <v>0</v>
      </c>
      <c r="E442" s="59"/>
      <c r="F442" s="48">
        <v>0</v>
      </c>
      <c r="G442" s="59"/>
      <c r="H442" s="49">
        <v>-68.900000000000006</v>
      </c>
      <c r="I442" s="59"/>
      <c r="J442" s="48">
        <v>0</v>
      </c>
      <c r="K442" s="23" t="str">
        <f t="shared" ref="K442:Y443" si="2782">IF(ISERROR((J442/B442-1)*100),"NA",IF(((J442/B442-1)*100)&gt;100,"NM",IF(((J442/B442-1)*100)&lt;-50,"NM",(J442/B442-1)*100)))</f>
        <v>NA</v>
      </c>
      <c r="L442" s="48">
        <v>0</v>
      </c>
      <c r="M442" s="23" t="str">
        <f t="shared" si="2782"/>
        <v>NA</v>
      </c>
      <c r="N442" s="48">
        <v>0</v>
      </c>
      <c r="O442" s="23" t="str">
        <f t="shared" si="2782"/>
        <v>NA</v>
      </c>
      <c r="P442" s="48">
        <v>0</v>
      </c>
      <c r="Q442" s="23" t="str">
        <f t="shared" si="2782"/>
        <v>NM</v>
      </c>
      <c r="R442" s="48"/>
      <c r="S442" s="23" t="str">
        <f t="shared" si="2782"/>
        <v>NA</v>
      </c>
      <c r="T442" s="48">
        <v>0</v>
      </c>
      <c r="U442" s="23" t="str">
        <f t="shared" si="2782"/>
        <v>NA</v>
      </c>
      <c r="V442" s="48">
        <v>0</v>
      </c>
      <c r="W442" s="23" t="str">
        <f t="shared" si="2782"/>
        <v>NA</v>
      </c>
      <c r="X442" s="48">
        <v>3.2</v>
      </c>
      <c r="Y442" s="23" t="str">
        <f t="shared" si="2782"/>
        <v>NA</v>
      </c>
      <c r="Z442" s="48">
        <v>-1.8</v>
      </c>
      <c r="AA442" s="23" t="str">
        <f>IF(ISERROR((Z442/R442-1)*100),"NA",IF(((Z442/R442-1)*100)&gt;100,"NM",IF(((Z442/R442-1)*100)&lt;-50,"NM",(Z442/R442-1)*100)))</f>
        <v>NA</v>
      </c>
      <c r="AB442" s="48">
        <f>-41+46.7</f>
        <v>5.7000000000000028</v>
      </c>
      <c r="AC442" s="23" t="str">
        <f>IF(ISERROR((AB442/T442-1)*100),"NA",IF(((AB442/T442-1)*100)&gt;100,"NM",IF(((AB442/T442-1)*100)&lt;-50,"NM",(AB442/T442-1)*100)))</f>
        <v>NA</v>
      </c>
      <c r="AD442" s="48">
        <f>(-46.8+46.7)+1.08</f>
        <v>0.98000000000000576</v>
      </c>
      <c r="AE442" s="23" t="str">
        <f>IF(ISERROR((AD442/V442-1)*100),"NA",IF(((AD442/V442-1)*100)&gt;100,"NM",IF(((AD442/V442-1)*100)&lt;-50,"NM",(AD442/V442-1)*100)))</f>
        <v>NA</v>
      </c>
      <c r="AF442" s="48">
        <f>-47.4+47.8+1.1</f>
        <v>1.4999999999999987</v>
      </c>
      <c r="AG442" s="23" t="str">
        <f>IF(ISERROR((AF442/X442-1)*100),"NA",IF(((AF442/X442-1)*100)&gt;100,"NM",IF(((AF442/X442-1)*100)&lt;-50,"NM",(AF442/X442-1)*100)))</f>
        <v>NM</v>
      </c>
      <c r="AH442" s="412">
        <f>-48+47.8+0.28</f>
        <v>7.9999999999997184E-2</v>
      </c>
      <c r="AI442" s="497" t="str">
        <f>IF(ISERROR((AH442/Z442-1)*100),"NA",IF(((AH442/Z442-1)*100)&gt;100,"NM",IF(((AH442/Z442-1)*100)&lt;-50,"NM",(AH442/Z442-1)*100)))</f>
        <v>NM</v>
      </c>
      <c r="AJ442" s="412">
        <f>-49.9+48.5</f>
        <v>-1.3999999999999986</v>
      </c>
      <c r="AK442" s="497" t="str">
        <f>IF(ISERROR((AJ442/AB442-1)*100),"NA",IF(((AJ442/AB442-1)*100)&gt;100,"NM",IF(((AJ442/AB442-1)*100)&lt;-50,"NM",(AJ442/AB442-1)*100)))</f>
        <v>NM</v>
      </c>
      <c r="AL442" s="412">
        <f>-46.5+46.3</f>
        <v>-0.20000000000000284</v>
      </c>
      <c r="AM442" s="23" t="str">
        <f>IF(ISERROR((AL442/AD442-1)*100),"NA",IF(((AL442/AD442-1)*100)&gt;100,"NM",IF(((AL442/AD442-1)*100)&lt;-50,"NM",(AL442/AD442-1)*100)))</f>
        <v>NM</v>
      </c>
      <c r="AN442" s="511">
        <f>-48.5+46.4</f>
        <v>-2.1000000000000014</v>
      </c>
      <c r="AO442" s="23" t="str">
        <f>IF(ISERROR((AN442/AF442-1)*100),"NA",IF(((AN442/AF442-1)*100)&gt;100,"NM",IF(((AN442/AF442-1)*100)&lt;-50,"NM",(AN442/AF442-1)*100)))</f>
        <v>NM</v>
      </c>
      <c r="AP442" s="511">
        <f>-49.1--46.7</f>
        <v>-2.3999999999999986</v>
      </c>
      <c r="AQ442" s="23" t="str">
        <f t="shared" ref="AQ442:AQ443" si="2783">IF(ISERROR((AP442/AH442-1)*100),"NA",IF(((AP442/AH442-1)*100)&gt;100,"NM",IF(((AP442/AH442-1)*100)&lt;-50,"NM",(AP442/AH442-1)*100)))</f>
        <v>NM</v>
      </c>
      <c r="AR442" s="511">
        <v>-18</v>
      </c>
      <c r="AS442" s="23" t="str">
        <f t="shared" ref="AS442:AS443" si="2784">IF(ISERROR((AR442/AJ442-1)*100),"NA",IF(((AR442/AJ442-1)*100)&gt;100,"NM",IF(((AR442/AJ442-1)*100)&lt;-50,"NM",(AR442/AJ442-1)*100)))</f>
        <v>NM</v>
      </c>
      <c r="AT442" s="511">
        <v>-1.8000000000000043</v>
      </c>
      <c r="AU442" s="23" t="str">
        <f t="shared" ref="AU442:AU443" si="2785">IF(ISERROR((AT442/AL442-1)*100),"NA",IF(((AT442/AL442-1)*100)&gt;100,"NM",IF(((AT442/AL442-1)*100)&lt;-50,"NM",(AT442/AL442-1)*100)))</f>
        <v>NM</v>
      </c>
      <c r="AV442" s="511">
        <v>-1.4000000000000057</v>
      </c>
      <c r="AW442" s="23">
        <f t="shared" ref="AW442:AW443" si="2786">IF(ISERROR((AV442/AN442-1)*100),"NA",IF(((AV442/AN442-1)*100)&gt;100,"NM",IF(((AV442/AN442-1)*100)&lt;-50,"NM",(AV442/AN442-1)*100)))</f>
        <v>-33.333333333333101</v>
      </c>
      <c r="AX442" s="511">
        <v>0</v>
      </c>
      <c r="AY442" s="23" t="str">
        <f t="shared" ref="AY442:AY443" si="2787">IF(ISERROR((AX442/AP442-1)*100),"NA",IF(((AX442/AP442-1)*100)&gt;100,"NM",IF(((AX442/AP442-1)*100)&lt;-50,"NM",(AX442/AP442-1)*100)))</f>
        <v>NM</v>
      </c>
      <c r="AZ442" s="511">
        <v>0</v>
      </c>
      <c r="BA442" s="23" t="str">
        <f t="shared" ref="BA442:BA443" si="2788">IF(ISERROR((AZ442/AR442-1)*100),"NA",IF(((AZ442/AR442-1)*100)&gt;100,"NM",IF(((AZ442/AR442-1)*100)&lt;-50,"NM",(AZ442/AR442-1)*100)))</f>
        <v>NM</v>
      </c>
      <c r="BB442" s="511">
        <v>0</v>
      </c>
      <c r="BC442" s="23" t="str">
        <f t="shared" ref="BC442:BC443" si="2789">IF(ISERROR((BB442/AT442-1)*100),"NA",IF(((BB442/AT442-1)*100)&gt;100,"NM",IF(((BB442/AT442-1)*100)&lt;-50,"NM",(BB442/AT442-1)*100)))</f>
        <v>NM</v>
      </c>
      <c r="BD442" s="511">
        <v>0</v>
      </c>
      <c r="BE442" s="23" t="str">
        <f t="shared" ref="BE442:BE443" si="2790">IF(ISERROR((BD442/AV442-1)*100),"NA",IF(((BD442/AV442-1)*100)&gt;100,"NM",IF(((BD442/AV442-1)*100)&lt;-50,"NM",(BD442/AV442-1)*100)))</f>
        <v>NM</v>
      </c>
      <c r="BF442" s="48">
        <v>0</v>
      </c>
      <c r="BG442" s="23" t="str">
        <f t="shared" ref="BG442:BG443" si="2791">IF(ISERROR((BF442/AX442-1)*100),"NA",IF(((BF442/AX442-1)*100)&gt;100,"NM",IF(((BF442/AX442-1)*100)&lt;-50,"NM",(BF442/AX442-1)*100)))</f>
        <v>NA</v>
      </c>
      <c r="BH442" s="48">
        <v>0</v>
      </c>
      <c r="BI442" s="23" t="str">
        <f t="shared" ref="BI442:BI443" si="2792">IF(ISERROR((BH442/AZ442-1)*100),"NA",IF(((BH442/AZ442-1)*100)&gt;100,"NM",IF(((BH442/AZ442-1)*100)&lt;-50,"NM",(BH442/AZ442-1)*100)))</f>
        <v>NA</v>
      </c>
      <c r="BJ442" s="48">
        <v>0</v>
      </c>
      <c r="BK442" s="23" t="str">
        <f t="shared" ref="BK442:BK443" si="2793">IF(ISERROR((BJ442/BB442-1)*100),"NA",IF(((BJ442/BB442-1)*100)&gt;100,"NM",IF(((BJ442/BB442-1)*100)&lt;-50,"NM",(BJ442/BB442-1)*100)))</f>
        <v>NA</v>
      </c>
      <c r="BL442" s="48">
        <v>0</v>
      </c>
      <c r="BM442" s="23" t="str">
        <f t="shared" ref="BM442:BM443" si="2794">IF(ISERROR((BL442/BD442-1)*100),"NA",IF(((BL442/BD442-1)*100)&gt;100,"NM",IF(((BL442/BD442-1)*100)&lt;-50,"NM",(BL442/BD442-1)*100)))</f>
        <v>NA</v>
      </c>
      <c r="BN442" s="10"/>
      <c r="BO442" s="137"/>
      <c r="BP442" s="10"/>
      <c r="BQ442" s="48">
        <v>0</v>
      </c>
      <c r="BR442" s="10"/>
      <c r="BS442" s="48">
        <v>0</v>
      </c>
      <c r="BT442" s="10"/>
      <c r="BU442" s="56">
        <f>B442+D442+F442+H442</f>
        <v>-68.900000000000006</v>
      </c>
      <c r="BV442" s="23" t="str">
        <f>IF(ISERROR((BU442/BS442-1)*100),"NA",IF(((BU442/BS442-1)*100)&gt;100,"NM",IF(((BU442/BS442-1)*100)&lt;-50,"NM",(BU442/BS442-1)*100)))</f>
        <v>NA</v>
      </c>
      <c r="BW442" s="56">
        <f>J442+L442+N442+P442</f>
        <v>0</v>
      </c>
      <c r="BX442" s="23" t="str">
        <f>IF(ISERROR((BW442/BU442-1)*100),"NA",IF(((BW442/BU442-1)*100)&gt;100,"NM",IF(((BW442/BU442-1)*100)&lt;-50,"NM",(BW442/BU442-1)*100)))</f>
        <v>NM</v>
      </c>
      <c r="BY442" s="56">
        <f>R442+T442+V442+X442</f>
        <v>3.2</v>
      </c>
      <c r="BZ442" s="23" t="str">
        <f>IF(ISERROR((BY442/BW442-1)*100),"NA",IF(((BY442/BW442-1)*100)&gt;100,"NM",IF(((BY442/BW442-1)*100)&lt;-50,"NM",(BY442/BW442-1)*100)))</f>
        <v>NA</v>
      </c>
      <c r="CA442" s="56">
        <f>Z442+AB442+AD442+AF442</f>
        <v>6.3800000000000079</v>
      </c>
      <c r="CB442" s="23">
        <f>IF(ISERROR((CA442/BY442-1)*100),"NA",IF(((CA442/BY442-1)*100)&gt;100,"NM",IF(((CA442/BY442-1)*100)&lt;-50,"NM",(CA442/BY442-1)*100)))</f>
        <v>99.375000000000242</v>
      </c>
      <c r="CC442" s="56">
        <f>AH442+AJ442+AL442+AN442</f>
        <v>-3.6200000000000054</v>
      </c>
      <c r="CE442" s="56">
        <f>AP442+AR442+AT442+AV442</f>
        <v>-23.600000000000009</v>
      </c>
      <c r="CF442" s="23" t="str">
        <f>IF(ISERROR((CE442/CC442-1)*100),"NA",IF(((CE442/CC442-1)*100)&gt;100,"NM",IF(((CE442/CC442-1)*100)&lt;-50,"NM",(CE442/CC442-1)*100)))</f>
        <v>NM</v>
      </c>
      <c r="CG442" s="56">
        <f>AX442+AZ442+BB442+BD442</f>
        <v>0</v>
      </c>
      <c r="CH442" s="23" t="str">
        <f>IF(ISERROR((CG442/CE442-1)*100),"NA",IF(((CG442/CE442-1)*100)&gt;100,"NM",IF(((CG442/CE442-1)*100)&lt;-50,"NM",(CG442/CE442-1)*100)))</f>
        <v>NM</v>
      </c>
      <c r="CI442" s="56">
        <f>BF442+BH442+BJ442+BL442</f>
        <v>0</v>
      </c>
      <c r="CJ442" s="23" t="str">
        <f>IF(ISERROR((CI442/CG442-1)*100),"NA",IF(((CI442/CG442-1)*100)&gt;100,"NM",IF(((CI442/CG442-1)*100)&lt;-50,"NM",(CI442/CG442-1)*100)))</f>
        <v>NA</v>
      </c>
      <c r="CK442" s="48">
        <v>0</v>
      </c>
      <c r="CL442" s="23" t="str">
        <f>IF(ISERROR((CK442/CI442-1)*100),"NA",IF(((CK442/CI442-1)*100)&gt;100,"NM",IF(((CK442/CI442-1)*100)&lt;-50,"NM",(CK442/CI442-1)*100)))</f>
        <v>NA</v>
      </c>
      <c r="CM442" s="48">
        <v>0</v>
      </c>
      <c r="CN442" s="23" t="str">
        <f>IF(ISERROR((CM442/CK442-1)*100),"NA",IF(((CM442/CK442-1)*100)&gt;100,"NM",IF(((CM442/CK442-1)*100)&lt;-50,"NM",(CM442/CK442-1)*100)))</f>
        <v>NA</v>
      </c>
      <c r="CO442" s="48">
        <v>0</v>
      </c>
      <c r="CP442" s="23" t="str">
        <f>IF(ISERROR((CO442/CM442-1)*100),"NA",IF(((CO442/CM442-1)*100)&gt;100,"NM",IF(((CO442/CM442-1)*100)&lt;-50,"NM",(CO442/CM442-1)*100)))</f>
        <v>NA</v>
      </c>
      <c r="CQ442" s="48">
        <v>0</v>
      </c>
      <c r="CR442" s="23" t="str">
        <f>IF(ISERROR((CQ442/CO442-1)*100),"NA",IF(((CQ442/CO442-1)*100)&gt;100,"NM",IF(((CQ442/CO442-1)*100)&lt;-50,"NM",(CQ442/CO442-1)*100)))</f>
        <v>NA</v>
      </c>
      <c r="CS442" s="23" t="str">
        <f>IF(ISERROR(((CQ442/CG442)^0.2-1)*100),"NA",IF((((CQ442/CG442)^0.2-1)*100)&gt;100,"NM",IF((((CQ442/CG442)^0.2-1)*100)&lt;-50,"NM",((CQ442/CG442)^0.2-1)*100)))</f>
        <v>NA</v>
      </c>
    </row>
    <row r="443" spans="1:105" ht="12.75" customHeight="1" x14ac:dyDescent="0.2">
      <c r="A443" s="3" t="s">
        <v>130</v>
      </c>
      <c r="B443" s="72">
        <f>B440-B442</f>
        <v>-44.3</v>
      </c>
      <c r="C443" s="59"/>
      <c r="D443" s="72">
        <f t="shared" ref="D443:Z443" si="2795">D440-D442</f>
        <v>-69.099999999999994</v>
      </c>
      <c r="E443" s="59"/>
      <c r="F443" s="72">
        <f t="shared" si="2795"/>
        <v>-20.800000000000004</v>
      </c>
      <c r="G443" s="59"/>
      <c r="H443" s="72">
        <f t="shared" si="2795"/>
        <v>-27.099999999999994</v>
      </c>
      <c r="I443" s="59"/>
      <c r="J443" s="72">
        <f t="shared" si="2795"/>
        <v>-48.4</v>
      </c>
      <c r="K443" s="23">
        <f t="shared" si="2782"/>
        <v>9.2550790067720037</v>
      </c>
      <c r="L443" s="72">
        <f t="shared" si="2795"/>
        <v>-32.700000000000003</v>
      </c>
      <c r="M443" s="23" t="str">
        <f t="shared" si="2782"/>
        <v>NM</v>
      </c>
      <c r="N443" s="72">
        <f t="shared" si="2795"/>
        <v>-57.6</v>
      </c>
      <c r="O443" s="23" t="str">
        <f t="shared" si="2782"/>
        <v>NM</v>
      </c>
      <c r="P443" s="72">
        <f t="shared" si="2795"/>
        <v>-43.600000000000009</v>
      </c>
      <c r="Q443" s="23">
        <f t="shared" si="2782"/>
        <v>60.885608856088623</v>
      </c>
      <c r="R443" s="72">
        <f t="shared" si="2795"/>
        <v>-50.1</v>
      </c>
      <c r="S443" s="23">
        <f t="shared" si="2782"/>
        <v>3.512396694214881</v>
      </c>
      <c r="T443" s="72">
        <f t="shared" si="2795"/>
        <v>-52.800000000000011</v>
      </c>
      <c r="U443" s="23">
        <f t="shared" si="2782"/>
        <v>61.467889908256915</v>
      </c>
      <c r="V443" s="72">
        <f t="shared" si="2795"/>
        <v>-63.699999999999996</v>
      </c>
      <c r="W443" s="23">
        <f t="shared" si="2782"/>
        <v>10.590277777777768</v>
      </c>
      <c r="X443" s="72">
        <f t="shared" si="2795"/>
        <v>-47.2</v>
      </c>
      <c r="Y443" s="23">
        <f t="shared" si="2782"/>
        <v>8.2568807339449499</v>
      </c>
      <c r="Z443" s="72">
        <f t="shared" si="2795"/>
        <v>-35.5</v>
      </c>
      <c r="AA443" s="23">
        <f>IF(ISERROR((Z443/R443-1)*100),"NA",IF(((Z443/R443-1)*100)&gt;100,"NM",IF(((Z443/R443-1)*100)&lt;-50,"NM",(Z443/R443-1)*100)))</f>
        <v>-29.141716566866272</v>
      </c>
      <c r="AB443" s="72">
        <f t="shared" ref="AB443:AD443" si="2796">AB440-AB442</f>
        <v>-44.000000000000007</v>
      </c>
      <c r="AC443" s="23">
        <f>IF(ISERROR((AB443/T443-1)*100),"NA",IF(((AB443/T443-1)*100)&gt;100,"NM",IF(((AB443/T443-1)*100)&lt;-50,"NM",(AB443/T443-1)*100)))</f>
        <v>-16.666666666666675</v>
      </c>
      <c r="AD443" s="72">
        <f t="shared" si="2796"/>
        <v>-48.080000000000005</v>
      </c>
      <c r="AE443" s="23">
        <f>IF(ISERROR((AD443/V443-1)*100),"NA",IF(((AD443/V443-1)*100)&gt;100,"NM",IF(((AD443/V443-1)*100)&lt;-50,"NM",(AD443/V443-1)*100)))</f>
        <v>-24.521193092621651</v>
      </c>
      <c r="AF443" s="72">
        <f t="shared" ref="AF443:AH443" si="2797">AF440-AF442</f>
        <v>-49.2</v>
      </c>
      <c r="AG443" s="23">
        <f>IF(ISERROR((AF443/X443-1)*100),"NA",IF(((AF443/X443-1)*100)&gt;100,"NM",IF(((AF443/X443-1)*100)&lt;-50,"NM",(AF443/X443-1)*100)))</f>
        <v>4.237288135593209</v>
      </c>
      <c r="AH443" s="72">
        <f t="shared" si="2797"/>
        <v>-48.28</v>
      </c>
      <c r="AI443" s="23">
        <f>IF(ISERROR((AH443/Z443-1)*100),"NA",IF(((AH443/Z443-1)*100)&gt;100,"NM",IF(((AH443/Z443-1)*100)&lt;-50,"NM",(AH443/Z443-1)*100)))</f>
        <v>36.000000000000007</v>
      </c>
      <c r="AJ443" s="72">
        <f t="shared" ref="AJ443:AL443" si="2798">AJ440-AJ442</f>
        <v>-51.899999999999991</v>
      </c>
      <c r="AK443" s="23">
        <f>IF(ISERROR((AJ443/AB443-1)*100),"NA",IF(((AJ443/AB443-1)*100)&gt;100,"NM",IF(((AJ443/AB443-1)*100)&lt;-50,"NM",(AJ443/AB443-1)*100)))</f>
        <v>17.954545454545425</v>
      </c>
      <c r="AL443" s="72">
        <f t="shared" si="2798"/>
        <v>-75.400000000000006</v>
      </c>
      <c r="AM443" s="23">
        <f>IF(ISERROR((AL443/AD443-1)*100),"NA",IF(((AL443/AD443-1)*100)&gt;100,"NM",IF(((AL443/AD443-1)*100)&lt;-50,"NM",(AL443/AD443-1)*100)))</f>
        <v>56.82196339434276</v>
      </c>
      <c r="AN443" s="72">
        <f t="shared" ref="AN443:AP443" si="2799">AN440-AN442</f>
        <v>-80</v>
      </c>
      <c r="AO443" s="23">
        <f>IF(ISERROR((AN443/AF443-1)*100),"NA",IF(((AN443/AF443-1)*100)&gt;100,"NM",IF(((AN443/AF443-1)*100)&lt;-50,"NM",(AN443/AF443-1)*100)))</f>
        <v>62.601626016260155</v>
      </c>
      <c r="AP443" s="72">
        <f t="shared" si="2799"/>
        <v>-102.5</v>
      </c>
      <c r="AQ443" s="23" t="str">
        <f t="shared" si="2783"/>
        <v>NM</v>
      </c>
      <c r="AR443" s="72">
        <f t="shared" ref="AR443:AT443" si="2800">AR440-AR442</f>
        <v>-108.2</v>
      </c>
      <c r="AS443" s="23" t="str">
        <f t="shared" si="2784"/>
        <v>NM</v>
      </c>
      <c r="AT443" s="72">
        <f t="shared" si="2800"/>
        <v>-107.6</v>
      </c>
      <c r="AU443" s="23">
        <f t="shared" si="2785"/>
        <v>42.705570291777171</v>
      </c>
      <c r="AV443" s="72">
        <f t="shared" ref="AV443:AX443" si="2801">AV440-AV442</f>
        <v>-131.9</v>
      </c>
      <c r="AW443" s="23">
        <f t="shared" si="2786"/>
        <v>64.875000000000014</v>
      </c>
      <c r="AX443" s="72">
        <f t="shared" si="2801"/>
        <v>-95.1</v>
      </c>
      <c r="AY443" s="23">
        <f t="shared" si="2787"/>
        <v>-7.2195121951219576</v>
      </c>
      <c r="AZ443" s="72">
        <f t="shared" ref="AZ443" si="2802">AZ440-AZ442</f>
        <v>-100.5</v>
      </c>
      <c r="BA443" s="23">
        <f t="shared" si="2788"/>
        <v>-7.1164510166358603</v>
      </c>
      <c r="BB443" s="72">
        <f t="shared" ref="BB443:BD443" si="2803">BB440-BB442</f>
        <v>-110</v>
      </c>
      <c r="BC443" s="23">
        <f t="shared" si="2789"/>
        <v>2.2304832713754719</v>
      </c>
      <c r="BD443" s="72">
        <f t="shared" si="2803"/>
        <v>-88.699999999999989</v>
      </c>
      <c r="BE443" s="23">
        <f t="shared" si="2790"/>
        <v>-32.752084912812748</v>
      </c>
      <c r="BF443" s="72">
        <f t="shared" ref="BF443" si="2804">BF440-BF442</f>
        <v>-78.5</v>
      </c>
      <c r="BG443" s="23">
        <f t="shared" si="2791"/>
        <v>-17.455310199789686</v>
      </c>
      <c r="BH443" s="72">
        <f t="shared" ref="BH443" si="2805">BH440-BH442</f>
        <v>-81.5</v>
      </c>
      <c r="BI443" s="23">
        <f t="shared" si="2792"/>
        <v>-18.905472636815922</v>
      </c>
      <c r="BJ443" s="72">
        <f t="shared" ref="BJ443" si="2806">BJ440-BJ442</f>
        <v>-70.352499999999992</v>
      </c>
      <c r="BK443" s="23">
        <f t="shared" si="2793"/>
        <v>-36.043181818181822</v>
      </c>
      <c r="BL443" s="72">
        <f t="shared" ref="BL443" si="2807">BL440-BL442</f>
        <v>-65.352499999999992</v>
      </c>
      <c r="BM443" s="23">
        <f t="shared" si="2794"/>
        <v>-26.321871476888393</v>
      </c>
      <c r="BN443" s="10"/>
      <c r="BO443" s="137"/>
      <c r="BP443" s="10"/>
      <c r="BQ443" s="72">
        <f t="shared" ref="BQ443:CA443" si="2808">BQ440-BQ442</f>
        <v>-470.49999999999994</v>
      </c>
      <c r="BR443" s="10"/>
      <c r="BS443" s="72">
        <f t="shared" si="2808"/>
        <v>-399.1</v>
      </c>
      <c r="BT443" s="10"/>
      <c r="BU443" s="72">
        <f t="shared" si="2808"/>
        <v>-161.29999999999995</v>
      </c>
      <c r="BV443" s="23" t="str">
        <f>IF(ISERROR((BU443/BS443-1)*100),"NA",IF(((BU443/BS443-1)*100)&gt;100,"NM",IF(((BU443/BS443-1)*100)&lt;-50,"NM",(BU443/BS443-1)*100)))</f>
        <v>NM</v>
      </c>
      <c r="BW443" s="72">
        <f t="shared" si="2808"/>
        <v>-182.3</v>
      </c>
      <c r="BX443" s="23">
        <f>IF(ISERROR((BW443/BU443-1)*100),"NA",IF(((BW443/BU443-1)*100)&gt;100,"NM",IF(((BW443/BU443-1)*100)&lt;-50,"NM",(BW443/BU443-1)*100)))</f>
        <v>13.019218846869229</v>
      </c>
      <c r="BY443" s="72">
        <f t="shared" si="2808"/>
        <v>-213.79999999999998</v>
      </c>
      <c r="BZ443" s="23">
        <f>IF(ISERROR((BY443/BW443-1)*100),"NA",IF(((BY443/BW443-1)*100)&gt;100,"NM",IF(((BY443/BW443-1)*100)&lt;-50,"NM",(BY443/BW443-1)*100)))</f>
        <v>17.279210093252861</v>
      </c>
      <c r="CA443" s="72">
        <f t="shared" si="2808"/>
        <v>-176.78</v>
      </c>
      <c r="CB443" s="23">
        <f>IF(ISERROR((CA443/BY443-1)*100),"NA",IF(((CA443/BY443-1)*100)&gt;100,"NM",IF(((CA443/BY443-1)*100)&lt;-50,"NM",(CA443/BY443-1)*100)))</f>
        <v>-17.315247895229181</v>
      </c>
      <c r="CC443" s="72">
        <f t="shared" ref="CC443" si="2809">CC440-CC442</f>
        <v>-255.58000000000004</v>
      </c>
      <c r="CE443" s="72">
        <f t="shared" ref="CE443" si="2810">CE440-CE442</f>
        <v>-450.20000000000005</v>
      </c>
      <c r="CF443" s="23">
        <f>IF(ISERROR((CE443/CC443-1)*100),"NA",IF(((CE443/CC443-1)*100)&gt;100,"NM",IF(((CE443/CC443-1)*100)&lt;-50,"NM",(CE443/CC443-1)*100)))</f>
        <v>76.148368416934019</v>
      </c>
      <c r="CG443" s="72">
        <f t="shared" ref="CG443" si="2811">CG440-CG442</f>
        <v>-394.29999999999995</v>
      </c>
      <c r="CH443" s="23">
        <f>IF(ISERROR((CG443/CE443-1)*100),"NA",IF(((CG443/CE443-1)*100)&gt;100,"NM",IF(((CG443/CE443-1)*100)&lt;-50,"NM",(CG443/CE443-1)*100)))</f>
        <v>-12.416703687250131</v>
      </c>
      <c r="CI443" s="72">
        <f t="shared" ref="CI443" si="2812">CI440-CI442</f>
        <v>-295.70500000000004</v>
      </c>
      <c r="CJ443" s="23">
        <f>IF(ISERROR((CI443/CG443-1)*100),"NA",IF(((CI443/CG443-1)*100)&gt;100,"NM",IF(((CI443/CG443-1)*100)&lt;-50,"NM",(CI443/CG443-1)*100)))</f>
        <v>-25.005072279989836</v>
      </c>
      <c r="CK443" s="72">
        <f>CK440-CK442</f>
        <v>-232.40999999999997</v>
      </c>
      <c r="CL443" s="23">
        <f>IF(ISERROR((CK443/CI443-1)*100),"NA",IF(((CK443/CI443-1)*100)&gt;100,"NM",IF(((CK443/CI443-1)*100)&lt;-50,"NM",(CK443/CI443-1)*100)))</f>
        <v>-21.404778410916304</v>
      </c>
      <c r="CM443" s="72">
        <f>CM440-CM442</f>
        <v>-232.72999999999996</v>
      </c>
      <c r="CN443" s="23">
        <f>IF(ISERROR((CM443/CK443-1)*100),"NA",IF(((CM443/CK443-1)*100)&gt;100,"NM",IF(((CM443/CK443-1)*100)&lt;-50,"NM",(CM443/CK443-1)*100)))</f>
        <v>0.13768770706938938</v>
      </c>
      <c r="CO443" s="72">
        <f>CO440-CO442</f>
        <v>-233.05319999999998</v>
      </c>
      <c r="CP443" s="23">
        <f>IF(ISERROR((CO443/CM443-1)*100),"NA",IF(((CO443/CM443-1)*100)&gt;100,"NM",IF(((CO443/CM443-1)*100)&lt;-50,"NM",(CO443/CM443-1)*100)))</f>
        <v>0.13887337257767474</v>
      </c>
      <c r="CQ443" s="72">
        <f>CQ440-CQ442</f>
        <v>-233.37963199999996</v>
      </c>
      <c r="CR443" s="23">
        <f>IF(ISERROR((CQ443/CO443-1)*100),"NA",IF(((CQ443/CO443-1)*100)&gt;100,"NM",IF(((CQ443/CO443-1)*100)&lt;-50,"NM",(CQ443/CO443-1)*100)))</f>
        <v>0.14006758971769617</v>
      </c>
      <c r="CS443" s="23">
        <f>IF(ISERROR(((CQ443/CG443)^0.2-1)*100),"NA",IF((((CQ443/CG443)^0.2-1)*100)&gt;100,"NM",IF((((CQ443/CG443)^0.2-1)*100)&lt;-50,"NM",((CQ443/CG443)^0.2-1)*100)))</f>
        <v>-9.9575642335450567</v>
      </c>
    </row>
    <row r="444" spans="1:105" ht="12.75" customHeight="1" x14ac:dyDescent="0.2">
      <c r="J444" s="5"/>
      <c r="L444" s="5"/>
      <c r="N444" s="5"/>
      <c r="P444" s="5"/>
      <c r="R444" s="5"/>
      <c r="T444" s="5"/>
      <c r="V444" s="5"/>
      <c r="X444" s="5"/>
      <c r="Z444" s="5"/>
      <c r="AB444" s="5"/>
      <c r="AD444" s="5"/>
      <c r="AF444" s="5"/>
      <c r="AH444" s="5"/>
      <c r="AJ444" s="5"/>
      <c r="AL444" s="5"/>
      <c r="AN444" s="475"/>
      <c r="AP444" s="475"/>
      <c r="AR444" s="475"/>
      <c r="AT444" s="475"/>
      <c r="AV444" s="475"/>
      <c r="AX444" s="475"/>
      <c r="AZ444" s="475"/>
      <c r="BB444" s="475"/>
      <c r="BD444" s="475"/>
      <c r="BF444" s="5"/>
      <c r="BH444" s="5"/>
      <c r="BJ444" s="5"/>
      <c r="BL444" s="5"/>
      <c r="BN444" s="10"/>
      <c r="BO444" s="136"/>
      <c r="BP444" s="10"/>
      <c r="BQ444" s="10"/>
      <c r="BR444" s="5"/>
      <c r="BS444" s="5"/>
      <c r="BT444" s="5"/>
      <c r="BU444" s="5"/>
      <c r="BW444" s="5"/>
    </row>
    <row r="445" spans="1:105" s="129" customFormat="1" ht="12.75" hidden="1" customHeight="1" outlineLevel="1" x14ac:dyDescent="0.2">
      <c r="A445" s="126" t="s">
        <v>216</v>
      </c>
      <c r="B445" s="127"/>
      <c r="C445" s="128"/>
      <c r="D445" s="127"/>
      <c r="E445" s="128"/>
      <c r="F445" s="127"/>
      <c r="G445" s="128"/>
      <c r="H445" s="127"/>
      <c r="I445" s="128"/>
      <c r="K445" s="130"/>
      <c r="M445" s="130"/>
      <c r="O445" s="130"/>
      <c r="Q445" s="130"/>
      <c r="S445" s="130"/>
      <c r="U445" s="130"/>
      <c r="W445" s="130"/>
      <c r="Y445" s="130"/>
      <c r="AA445" s="130"/>
      <c r="AC445" s="130"/>
      <c r="AE445" s="130"/>
      <c r="AG445" s="130"/>
      <c r="AI445" s="130"/>
      <c r="AK445" s="130"/>
      <c r="AM445" s="130"/>
      <c r="AO445" s="130"/>
      <c r="AQ445" s="130"/>
      <c r="AS445" s="130"/>
      <c r="AU445" s="130"/>
      <c r="AW445" s="130"/>
      <c r="AY445" s="130"/>
      <c r="BA445" s="130"/>
      <c r="BC445" s="130"/>
      <c r="BE445" s="130"/>
      <c r="BG445" s="130"/>
      <c r="BI445" s="130"/>
      <c r="BK445" s="130"/>
      <c r="BM445" s="130"/>
      <c r="BO445" s="135"/>
      <c r="BV445" s="130"/>
      <c r="BX445" s="130"/>
      <c r="BZ445" s="130"/>
      <c r="CB445" s="130"/>
      <c r="CD445" s="130"/>
      <c r="CF445" s="130"/>
      <c r="CH445" s="130"/>
      <c r="CJ445" s="130"/>
      <c r="CL445" s="130"/>
      <c r="CN445" s="130"/>
      <c r="CP445" s="130"/>
      <c r="CR445" s="130"/>
      <c r="CS445" s="130"/>
      <c r="CV445"/>
      <c r="CW445"/>
      <c r="CX445"/>
      <c r="CY445"/>
      <c r="CZ445"/>
      <c r="DA445"/>
    </row>
    <row r="446" spans="1:105" ht="12.75" hidden="1" customHeight="1" outlineLevel="1" x14ac:dyDescent="0.2">
      <c r="J446" s="5"/>
      <c r="L446" s="5"/>
      <c r="N446" s="5"/>
      <c r="P446" s="5"/>
      <c r="R446" s="5"/>
      <c r="T446" s="5"/>
      <c r="V446" s="5"/>
      <c r="X446" s="5"/>
      <c r="Z446" s="5"/>
      <c r="AB446" s="5"/>
      <c r="AD446" s="5"/>
      <c r="AF446" s="5"/>
      <c r="AH446" s="5"/>
      <c r="AJ446" s="5"/>
      <c r="AL446" s="5"/>
      <c r="AN446" s="475"/>
      <c r="AP446" s="475"/>
      <c r="AR446" s="475"/>
      <c r="AT446" s="475"/>
      <c r="AV446" s="475"/>
      <c r="AX446" s="475"/>
      <c r="AZ446" s="475"/>
      <c r="BB446" s="475"/>
      <c r="BD446" s="475"/>
      <c r="BF446" s="5"/>
      <c r="BH446" s="5"/>
      <c r="BJ446" s="5"/>
      <c r="BL446" s="5"/>
      <c r="BN446" s="10"/>
      <c r="BO446" s="136"/>
      <c r="BP446" s="10"/>
      <c r="BQ446" s="10"/>
      <c r="BR446" s="5"/>
      <c r="BS446" s="5"/>
      <c r="BT446" s="5"/>
      <c r="BU446" s="5"/>
      <c r="BW446" s="5"/>
    </row>
    <row r="447" spans="1:105" ht="12.75" hidden="1" customHeight="1" outlineLevel="1" x14ac:dyDescent="0.2">
      <c r="A447" s="3" t="s">
        <v>203</v>
      </c>
      <c r="J447" s="5"/>
      <c r="K447" s="177"/>
      <c r="L447" s="5"/>
      <c r="M447" s="177"/>
      <c r="N447" s="5"/>
      <c r="O447" s="177"/>
      <c r="P447" s="5"/>
      <c r="Q447" s="177"/>
      <c r="R447" s="10"/>
      <c r="S447" s="177"/>
      <c r="T447" s="10"/>
      <c r="U447" s="177"/>
      <c r="V447" s="10"/>
      <c r="W447" s="177"/>
      <c r="X447" s="10"/>
      <c r="Y447" s="177"/>
      <c r="Z447" s="10"/>
      <c r="AA447" s="177"/>
      <c r="AB447" s="10"/>
      <c r="AC447" s="177"/>
      <c r="AD447" s="10"/>
      <c r="AE447" s="177"/>
      <c r="AF447" s="10"/>
      <c r="AG447" s="177"/>
      <c r="AH447" s="10"/>
      <c r="AI447" s="177"/>
      <c r="AJ447" s="10"/>
      <c r="AK447" s="177"/>
      <c r="AL447" s="10"/>
      <c r="AM447" s="177"/>
      <c r="AN447" s="506"/>
      <c r="AO447" s="177"/>
      <c r="AP447" s="506"/>
      <c r="AQ447" s="177"/>
      <c r="AR447" s="506"/>
      <c r="AS447" s="177"/>
      <c r="AT447" s="506"/>
      <c r="AU447" s="177"/>
      <c r="AV447" s="506"/>
      <c r="AW447" s="177"/>
      <c r="AX447" s="506"/>
      <c r="AY447" s="177"/>
      <c r="AZ447" s="506"/>
      <c r="BA447" s="177"/>
      <c r="BB447" s="506"/>
      <c r="BC447" s="177"/>
      <c r="BD447" s="506"/>
      <c r="BE447" s="177"/>
      <c r="BF447" s="10"/>
      <c r="BG447" s="177"/>
      <c r="BH447" s="10"/>
      <c r="BI447" s="177"/>
      <c r="BJ447" s="10"/>
      <c r="BK447" s="177"/>
      <c r="BL447" s="10"/>
      <c r="BM447" s="177"/>
      <c r="BN447" s="5"/>
      <c r="BO447" s="136"/>
      <c r="BP447" s="5"/>
      <c r="BQ447" s="5"/>
      <c r="BR447" s="5"/>
      <c r="BS447" s="5"/>
      <c r="BT447" s="5"/>
      <c r="BU447" s="5"/>
      <c r="BV447" s="177"/>
      <c r="BW447" s="10"/>
      <c r="BX447" s="177"/>
      <c r="BY447" s="13"/>
      <c r="BZ447" s="177"/>
      <c r="CA447" s="13"/>
      <c r="CB447" s="177"/>
      <c r="CC447" s="13"/>
      <c r="CD447" s="177"/>
      <c r="CE447" s="13"/>
      <c r="CF447" s="177"/>
      <c r="CG447" s="13"/>
      <c r="CH447" s="177"/>
      <c r="CI447" s="13"/>
      <c r="CJ447" s="177"/>
      <c r="CK447" s="13"/>
      <c r="CL447" s="177"/>
      <c r="CM447" s="13"/>
      <c r="CN447" s="177"/>
      <c r="CO447" s="13"/>
      <c r="CP447" s="177"/>
      <c r="CQ447" s="13"/>
      <c r="CR447" s="177"/>
      <c r="CS447" s="177"/>
    </row>
    <row r="448" spans="1:105" ht="12.75" hidden="1" customHeight="1" outlineLevel="1" x14ac:dyDescent="0.2">
      <c r="A448" s="13" t="s">
        <v>430</v>
      </c>
      <c r="B448" s="49">
        <v>47977.7</v>
      </c>
      <c r="C448" s="59"/>
      <c r="D448" s="56">
        <f>B452</f>
        <v>48670.091999999997</v>
      </c>
      <c r="E448" s="59"/>
      <c r="F448" s="56">
        <f>D452</f>
        <v>47565.521999999997</v>
      </c>
      <c r="G448" s="59"/>
      <c r="H448" s="56">
        <f>F452</f>
        <v>40845.955000000002</v>
      </c>
      <c r="I448" s="59"/>
      <c r="J448" s="56">
        <f>H452</f>
        <v>42645.538</v>
      </c>
      <c r="K448" s="23">
        <f t="shared" ref="K448:K456" si="2813">IF(ISERROR((J448/B448-1)*100),"NA",IF(((J448/B448-1)*100)&gt;100,"NM",IF(((J448/B448-1)*100)&lt;-50,"NM",(J448/B448-1)*100)))</f>
        <v>-11.11383413544208</v>
      </c>
      <c r="L448" s="56">
        <f>J452</f>
        <v>45133.788999999997</v>
      </c>
      <c r="M448" s="23">
        <f t="shared" ref="M448:M456" si="2814">IF(ISERROR((L448/D448-1)*100),"NA",IF(((L448/D448-1)*100)&gt;100,"NM",IF(((L448/D448-1)*100)&lt;-50,"NM",(L448/D448-1)*100)))</f>
        <v>-7.2658646299661793</v>
      </c>
      <c r="N448" s="56">
        <f>L452</f>
        <v>42843.385999999991</v>
      </c>
      <c r="O448" s="23">
        <f t="shared" ref="O448:O456" si="2815">IF(ISERROR((N448/F448-1)*100),"NA",IF(((N448/F448-1)*100)&gt;100,"NM",IF(((N448/F448-1)*100)&lt;-50,"NM",(N448/F448-1)*100)))</f>
        <v>-9.9276446498369317</v>
      </c>
      <c r="P448" s="56">
        <f>N452</f>
        <v>43842.225999999995</v>
      </c>
      <c r="Q448" s="23">
        <f t="shared" ref="Q448:Q458" si="2816">IF(ISERROR((P448/H448-1)*100),"NA",IF(((P448/H448-1)*100)&gt;100,"NM",IF(((P448/H448-1)*100)&lt;-50,"NM",(P448/H448-1)*100)))</f>
        <v>7.3355391005057724</v>
      </c>
      <c r="R448" s="254">
        <v>42590.6</v>
      </c>
      <c r="S448" s="23">
        <f t="shared" ref="S448:S456" si="2817">IF(ISERROR((R448/J448-1)*100),"NA",IF(((R448/J448-1)*100)&gt;100,"NM",IF(((R448/J448-1)*100)&lt;-50,"NM",(R448/J448-1)*100)))</f>
        <v>-0.1288247319098268</v>
      </c>
      <c r="T448" s="56">
        <f>R452</f>
        <v>43897.799999999996</v>
      </c>
      <c r="U448" s="23">
        <f t="shared" ref="U448:U456" si="2818">IF(ISERROR((T448/L448-1)*100),"NA",IF(((T448/L448-1)*100)&gt;100,"NM",IF(((T448/L448-1)*100)&lt;-50,"NM",(T448/L448-1)*100)))</f>
        <v>-2.7385004170600413</v>
      </c>
      <c r="V448" s="56">
        <f>T452</f>
        <v>42635.199999999997</v>
      </c>
      <c r="W448" s="23">
        <f t="shared" ref="W448:W456" si="2819">IF(ISERROR((V448/N448-1)*100),"NA",IF(((V448/N448-1)*100)&gt;100,"NM",IF(((V448/N448-1)*100)&lt;-50,"NM",(V448/N448-1)*100)))</f>
        <v>-0.48592331147681023</v>
      </c>
      <c r="X448" s="56">
        <f>V452</f>
        <v>43608.3</v>
      </c>
      <c r="Y448" s="23">
        <f t="shared" ref="Y448:Y456" si="2820">IF(ISERROR((X448/P448-1)*100),"NA",IF(((X448/P448-1)*100)&gt;100,"NM",IF(((X448/P448-1)*100)&lt;-50,"NM",(X448/P448-1)*100)))</f>
        <v>-0.53356323650171067</v>
      </c>
      <c r="Z448" s="56">
        <f>X452</f>
        <v>44788.1</v>
      </c>
      <c r="AA448" s="23">
        <f t="shared" ref="AA448:AA456" si="2821">IF(ISERROR((Z448/R448-1)*100),"NA",IF(((Z448/R448-1)*100)&gt;100,"NM",IF(((Z448/R448-1)*100)&lt;-50,"NM",(Z448/R448-1)*100)))</f>
        <v>5.1595892051297776</v>
      </c>
      <c r="AB448" s="56">
        <f>Z452</f>
        <v>44022.7</v>
      </c>
      <c r="AC448" s="23">
        <f t="shared" ref="AC448:AC456" si="2822">IF(ISERROR((AB448/T448-1)*100),"NA",IF(((AB448/T448-1)*100)&gt;100,"NM",IF(((AB448/T448-1)*100)&lt;-50,"NM",(AB448/T448-1)*100)))</f>
        <v>0.28452450920091188</v>
      </c>
      <c r="AD448" s="56">
        <f>AB452</f>
        <v>44223.3</v>
      </c>
      <c r="AE448" s="23">
        <f t="shared" ref="AE448:AE456" si="2823">IF(ISERROR((AD448/V448-1)*100),"NA",IF(((AD448/V448-1)*100)&gt;100,"NM",IF(((AD448/V448-1)*100)&lt;-50,"NM",(AD448/V448-1)*100)))</f>
        <v>3.7248564566367826</v>
      </c>
      <c r="AF448" s="56">
        <f>AD452</f>
        <v>42238.100000000006</v>
      </c>
      <c r="AG448" s="23">
        <f t="shared" ref="AG448:AG456" si="2824">IF(ISERROR((AF448/X448-1)*100),"NA",IF(((AF448/X448-1)*100)&gt;100,"NM",IF(((AF448/X448-1)*100)&lt;-50,"NM",(AF448/X448-1)*100)))</f>
        <v>-3.142062405551227</v>
      </c>
      <c r="AH448" s="56">
        <f>AF452</f>
        <v>41131.900000000009</v>
      </c>
      <c r="AI448" s="23">
        <f>IF(ISERROR((AH448/Z448-1)*100),"NA",IF(((AH448/Z448-1)*100)&gt;100,"NM",IF(((AH448/Z448-1)*100)&lt;-50,"NM",(AH448/Z448-1)*100)))</f>
        <v>-8.1633290985774991</v>
      </c>
      <c r="AJ448" s="56">
        <f>AH452</f>
        <v>40691.80000000001</v>
      </c>
      <c r="AK448" s="23">
        <f>IF(ISERROR((AJ448/AB448-1)*100),"NA",IF(((AJ448/AB448-1)*100)&gt;100,"NM",IF(((AJ448/AB448-1)*100)&lt;-50,"NM",(AJ448/AB448-1)*100)))</f>
        <v>-7.5663237375262931</v>
      </c>
      <c r="AL448" s="56">
        <f>AJ452</f>
        <v>38902.500000000007</v>
      </c>
      <c r="AM448" s="23">
        <f>IF(ISERROR((AL448/AD448-1)*100),"NA",IF(((AL448/AD448-1)*100)&gt;100,"NM",IF(((AL448/AD448-1)*100)&lt;-50,"NM",(AL448/AD448-1)*100)))</f>
        <v>-12.031666564910337</v>
      </c>
      <c r="AN448" s="413">
        <f t="shared" ref="AN448:AP448" si="2825">AL452</f>
        <v>35411.700000000012</v>
      </c>
      <c r="AO448" s="23">
        <f>IF(ISERROR((AN448/AF448-1)*100),"NA",IF(((AN448/AF448-1)*100)&gt;100,"NM",IF(((AN448/AF448-1)*100)&lt;-50,"NM",(AN448/AF448-1)*100)))</f>
        <v>-16.161711819423672</v>
      </c>
      <c r="AP448" s="413">
        <f t="shared" si="2825"/>
        <v>35575.80000000001</v>
      </c>
      <c r="AQ448" s="23">
        <f t="shared" ref="AQ448:AQ452" si="2826">IF(ISERROR((AP448/AH448-1)*100),"NA",IF(((AP448/AH448-1)*100)&gt;100,"NM",IF(((AP448/AH448-1)*100)&lt;-50,"NM",(AP448/AH448-1)*100)))</f>
        <v>-13.50800716718653</v>
      </c>
      <c r="AR448" s="413">
        <f t="shared" ref="AR448:AT448" si="2827">AP452</f>
        <v>34647.900000000009</v>
      </c>
      <c r="AS448" s="23">
        <f t="shared" ref="AS448:AS452" si="2828">IF(ISERROR((AR448/AJ448-1)*100),"NA",IF(((AR448/AJ448-1)*100)&gt;100,"NM",IF(((AR448/AJ448-1)*100)&lt;-50,"NM",(AR448/AJ448-1)*100)))</f>
        <v>-14.852869619923425</v>
      </c>
      <c r="AT448" s="413">
        <f t="shared" si="2827"/>
        <v>34227.900000000009</v>
      </c>
      <c r="AU448" s="23">
        <f t="shared" ref="AU448:AU452" si="2829">IF(ISERROR((AT448/AL448-1)*100),"NA",IF(((AT448/AL448-1)*100)&gt;100,"NM",IF(((AT448/AL448-1)*100)&lt;-50,"NM",(AT448/AL448-1)*100)))</f>
        <v>-12.016194331983797</v>
      </c>
      <c r="AV448" s="413">
        <f t="shared" ref="AV448:AX448" si="2830">AT452</f>
        <v>34200.400000000009</v>
      </c>
      <c r="AW448" s="23">
        <f t="shared" ref="AW448:AW452" si="2831">IF(ISERROR((AV448/AN448-1)*100),"NA",IF(((AV448/AN448-1)*100)&gt;100,"NM",IF(((AV448/AN448-1)*100)&lt;-50,"NM",(AV448/AN448-1)*100)))</f>
        <v>-3.4206208682441175</v>
      </c>
      <c r="AX448" s="413">
        <f t="shared" si="2830"/>
        <v>32962.400000000009</v>
      </c>
      <c r="AY448" s="23">
        <f t="shared" ref="AY448:AY452" si="2832">IF(ISERROR((AX448/AP448-1)*100),"NA",IF(((AX448/AP448-1)*100)&gt;100,"NM",IF(((AX448/AP448-1)*100)&lt;-50,"NM",(AX448/AP448-1)*100)))</f>
        <v>-7.3460048684780173</v>
      </c>
      <c r="AZ448" s="413">
        <f t="shared" ref="AZ448" si="2833">AX452</f>
        <v>32363.500000000011</v>
      </c>
      <c r="BA448" s="23">
        <f t="shared" ref="BA448:BA452" si="2834">IF(ISERROR((AZ448/AR448-1)*100),"NA",IF(((AZ448/AR448-1)*100)&gt;100,"NM",IF(((AZ448/AR448-1)*100)&lt;-50,"NM",(AZ448/AR448-1)*100)))</f>
        <v>-6.5931845797292059</v>
      </c>
      <c r="BB448" s="413">
        <f t="shared" ref="BB448:BD448" si="2835">AZ452</f>
        <v>32240.500000000011</v>
      </c>
      <c r="BC448" s="23">
        <f t="shared" ref="BC448:BC452" si="2836">IF(ISERROR((BB448/AT448-1)*100),"NA",IF(((BB448/AT448-1)*100)&gt;100,"NM",IF(((BB448/AT448-1)*100)&lt;-50,"NM",(BB448/AT448-1)*100)))</f>
        <v>-5.8063743320507459</v>
      </c>
      <c r="BD448" s="413">
        <f t="shared" si="2835"/>
        <v>31829.800000000014</v>
      </c>
      <c r="BE448" s="23">
        <f t="shared" ref="BE448:BE452" si="2837">IF(ISERROR((BD448/AV448-1)*100),"NA",IF(((BD448/AV448-1)*100)&gt;100,"NM",IF(((BD448/AV448-1)*100)&lt;-50,"NM",(BD448/AV448-1)*100)))</f>
        <v>-6.9314978772177955</v>
      </c>
      <c r="BF448" s="56">
        <f t="shared" ref="BF448:BH448" si="2838">BD452</f>
        <v>31829.800000000014</v>
      </c>
      <c r="BG448" s="23">
        <f t="shared" ref="BG448:BG452" si="2839">IF(ISERROR((BF448/AX448-1)*100),"NA",IF(((BF448/AX448-1)*100)&gt;100,"NM",IF(((BF448/AX448-1)*100)&lt;-50,"NM",(BF448/AX448-1)*100)))</f>
        <v>-3.4360362109554954</v>
      </c>
      <c r="BH448" s="56">
        <f t="shared" si="2838"/>
        <v>31850.300000000014</v>
      </c>
      <c r="BI448" s="23">
        <f t="shared" ref="BI448:BI452" si="2840">IF(ISERROR((BH448/AZ448-1)*100),"NA",IF(((BH448/AZ448-1)*100)&gt;100,"NM",IF(((BH448/AZ448-1)*100)&lt;-50,"NM",(BH448/AZ448-1)*100)))</f>
        <v>-1.5857370185548447</v>
      </c>
      <c r="BJ448" s="56"/>
      <c r="BK448" s="23"/>
      <c r="BL448" s="56"/>
      <c r="BM448" s="23" t="str">
        <f t="shared" ref="BM448:BM452" si="2841">IF(ISERROR((BL448/BD448-1)*100),"NA",IF(((BL448/BD448-1)*100)&gt;100,"NM",IF(((BL448/BD448-1)*100)&lt;-50,"NM",(BL448/BD448-1)*100)))</f>
        <v>NM</v>
      </c>
      <c r="BN448" s="36"/>
      <c r="BO448" s="137"/>
      <c r="BP448" s="36"/>
      <c r="BQ448" s="112"/>
      <c r="BR448" s="36"/>
      <c r="BS448" s="48">
        <v>46643.5</v>
      </c>
      <c r="BT448" s="36"/>
      <c r="BU448" s="36">
        <f>B448</f>
        <v>47977.7</v>
      </c>
      <c r="BV448" s="23">
        <f t="shared" ref="BV448:BV456" si="2842">IF(ISERROR((BU448/BS448-1)*100),"NA",IF(((BU448/BS448-1)*100)&gt;100,"NM",IF(((BU448/BS448-1)*100)&lt;-50,"NM",(BU448/BS448-1)*100)))</f>
        <v>2.860419994211405</v>
      </c>
      <c r="BW448" s="56">
        <f>BU452</f>
        <v>42645.537999999993</v>
      </c>
      <c r="BX448" s="23">
        <f t="shared" ref="BX448:BX456" si="2843">IF(ISERROR((BW448/BU448-1)*100),"NA",IF(((BW448/BU448-1)*100)&gt;100,"NM",IF(((BW448/BU448-1)*100)&lt;-50,"NM",(BW448/BU448-1)*100)))</f>
        <v>-11.113834135442103</v>
      </c>
      <c r="BY448" s="255">
        <f>R448</f>
        <v>42590.6</v>
      </c>
      <c r="BZ448" s="23">
        <f>IF(ISERROR((BY448/BW448-1)*100),"NA",IF(((BY448/BW448-1)*100)&gt;100,"NM",IF(((BY448/BW448-1)*100)&lt;-50,"NM",(BY448/BW448-1)*100)))</f>
        <v>-0.12882473190980459</v>
      </c>
      <c r="CA448" s="56">
        <f>BY452</f>
        <v>44788.1</v>
      </c>
      <c r="CB448" s="23">
        <f>IF(ISERROR((CA448/BY448-1)*100),"NA",IF(((CA448/BY448-1)*100)&gt;100,"NM",IF(((CA448/BY448-1)*100)&lt;-50,"NM",(CA448/BY448-1)*100)))</f>
        <v>5.1595892051297776</v>
      </c>
      <c r="CC448" s="56">
        <f>CA452</f>
        <v>41131.9</v>
      </c>
      <c r="CD448" s="23">
        <f>IF(ISERROR((CC448/CA448-1)*100),"NA",IF(((CC448/CA448-1)*100)&gt;100,"NM",IF(((CC448/CA448-1)*100)&lt;-50,"NM",(CC448/CA448-1)*100)))</f>
        <v>-8.1633290985775204</v>
      </c>
      <c r="CE448" s="56">
        <f>CC452</f>
        <v>35575.800000000003</v>
      </c>
      <c r="CF448" s="23">
        <f>IF(ISERROR((CE448/CC448-1)*100),"NA",IF(((CE448/CC448-1)*100)&gt;100,"NM",IF(((CE448/CC448-1)*100)&lt;-50,"NM",(CE448/CC448-1)*100)))</f>
        <v>-13.50800716718653</v>
      </c>
      <c r="CG448" s="56">
        <f>CE452</f>
        <v>32962.400000000001</v>
      </c>
      <c r="CH448" s="23">
        <f>IF(ISERROR((CG448/CE448-1)*100),"NA",IF(((CG448/CE448-1)*100)&gt;100,"NM",IF(((CG448/CE448-1)*100)&lt;-50,"NM",(CG448/CE448-1)*100)))</f>
        <v>-7.3460048684780173</v>
      </c>
      <c r="CI448" s="56">
        <f>CG452</f>
        <v>31829.800000000003</v>
      </c>
      <c r="CJ448" s="23">
        <f>IF(ISERROR((CI448/CG448-1)*100),"NA",IF(((CI448/CG448-1)*100)&gt;100,"NM",IF(((CI448/CG448-1)*100)&lt;-50,"NM",(CI448/CG448-1)*100)))</f>
        <v>-3.4360362109555065</v>
      </c>
      <c r="CK448" s="56"/>
      <c r="CL448" s="23"/>
      <c r="CM448" s="56"/>
      <c r="CN448" s="23"/>
      <c r="CO448" s="56"/>
      <c r="CP448" s="23"/>
      <c r="CQ448" s="56"/>
      <c r="CR448" s="23" t="str">
        <f>IF(ISERROR((CQ448/CO448-1)*100),"NA",IF(((CQ448/CO448-1)*100)&gt;100,"NM",IF(((CQ448/CO448-1)*100)&lt;-50,"NM",(CQ448/CO448-1)*100)))</f>
        <v>NA</v>
      </c>
      <c r="CS448" s="23" t="str">
        <f>IF(ISERROR(((CQ448/CG448)^0.2-1)*100),"NA",IF((((CQ448/CG448)^0.2-1)*100)&gt;100,"NM",IF((((CQ448/CG448)^0.2-1)*100)&lt;-50,"NM",((CQ448/CG448)^0.2-1)*100)))</f>
        <v>NM</v>
      </c>
    </row>
    <row r="449" spans="1:97" ht="12.75" hidden="1" customHeight="1" outlineLevel="1" x14ac:dyDescent="0.2">
      <c r="A449" s="13" t="s">
        <v>13</v>
      </c>
      <c r="B449" s="49">
        <v>145.78299999999999</v>
      </c>
      <c r="C449" s="59"/>
      <c r="D449" s="49">
        <v>143.01300000000001</v>
      </c>
      <c r="E449" s="59"/>
      <c r="F449" s="49">
        <v>118.425</v>
      </c>
      <c r="G449" s="59"/>
      <c r="H449" s="49">
        <v>136.03800000000001</v>
      </c>
      <c r="I449" s="59"/>
      <c r="J449" s="49">
        <v>125.414</v>
      </c>
      <c r="K449" s="23">
        <f t="shared" si="2813"/>
        <v>-13.972136668884572</v>
      </c>
      <c r="L449" s="49">
        <v>132.744</v>
      </c>
      <c r="M449" s="23">
        <f t="shared" si="2814"/>
        <v>-7.1804661114723833</v>
      </c>
      <c r="N449" s="49">
        <v>115.16500000000001</v>
      </c>
      <c r="O449" s="23">
        <f t="shared" si="2815"/>
        <v>-2.7527971289845854</v>
      </c>
      <c r="P449" s="48">
        <v>127.1</v>
      </c>
      <c r="Q449" s="23">
        <f t="shared" si="2816"/>
        <v>-6.5702230259192422</v>
      </c>
      <c r="R449" s="254">
        <v>74.900000000000006</v>
      </c>
      <c r="S449" s="23">
        <f t="shared" si="2817"/>
        <v>-40.277799926642956</v>
      </c>
      <c r="T449" s="49">
        <v>79.599999999999994</v>
      </c>
      <c r="U449" s="23">
        <f t="shared" si="2818"/>
        <v>-40.034954498885078</v>
      </c>
      <c r="V449" s="49">
        <v>61</v>
      </c>
      <c r="W449" s="23">
        <f t="shared" si="2819"/>
        <v>-47.032518560326487</v>
      </c>
      <c r="X449" s="49">
        <v>55.1</v>
      </c>
      <c r="Y449" s="23" t="str">
        <f t="shared" si="2820"/>
        <v>NM</v>
      </c>
      <c r="Z449" s="49">
        <v>53.6</v>
      </c>
      <c r="AA449" s="23">
        <f t="shared" si="2821"/>
        <v>-28.437917222963961</v>
      </c>
      <c r="AB449" s="49">
        <v>47.4</v>
      </c>
      <c r="AC449" s="23">
        <f t="shared" si="2822"/>
        <v>-40.452261306532669</v>
      </c>
      <c r="AD449" s="49">
        <v>34.9</v>
      </c>
      <c r="AE449" s="23">
        <f t="shared" si="2823"/>
        <v>-42.786885245901644</v>
      </c>
      <c r="AF449" s="49">
        <v>34.5</v>
      </c>
      <c r="AG449" s="23">
        <f t="shared" si="2824"/>
        <v>-37.386569872958262</v>
      </c>
      <c r="AH449" s="49">
        <v>34</v>
      </c>
      <c r="AI449" s="23">
        <f>IF(ISERROR((AH449/Z449-1)*100),"NA",IF(((AH449/Z449-1)*100)&gt;100,"NM",IF(((AH449/Z449-1)*100)&lt;-50,"NM",(AH449/Z449-1)*100)))</f>
        <v>-36.567164179104481</v>
      </c>
      <c r="AJ449" s="49">
        <v>33.9</v>
      </c>
      <c r="AK449" s="23">
        <f>IF(ISERROR((AJ449/AB449-1)*100),"NA",IF(((AJ449/AB449-1)*100)&gt;100,"NM",IF(((AJ449/AB449-1)*100)&lt;-50,"NM",(AJ449/AB449-1)*100)))</f>
        <v>-28.481012658227844</v>
      </c>
      <c r="AL449" s="49">
        <v>27.8</v>
      </c>
      <c r="AM449" s="23">
        <f>IF(ISERROR((AL449/AD449-1)*100),"NA",IF(((AL449/AD449-1)*100)&gt;100,"NM",IF(((AL449/AD449-1)*100)&lt;-50,"NM",(AL449/AD449-1)*100)))</f>
        <v>-20.343839541547272</v>
      </c>
      <c r="AN449" s="158">
        <v>28.1</v>
      </c>
      <c r="AO449" s="23">
        <f>IF(ISERROR((AN449/AF449-1)*100),"NA",IF(((AN449/AF449-1)*100)&gt;100,"NM",IF(((AN449/AF449-1)*100)&lt;-50,"NM",(AN449/AF449-1)*100)))</f>
        <v>-18.55072463768116</v>
      </c>
      <c r="AP449" s="158">
        <v>28.1</v>
      </c>
      <c r="AQ449" s="23">
        <f t="shared" si="2826"/>
        <v>-17.352941176470583</v>
      </c>
      <c r="AR449" s="158">
        <v>21.5</v>
      </c>
      <c r="AS449" s="23">
        <f t="shared" si="2828"/>
        <v>-36.578171091445419</v>
      </c>
      <c r="AT449" s="158">
        <v>15.5</v>
      </c>
      <c r="AU449" s="23">
        <f t="shared" si="2829"/>
        <v>-44.244604316546763</v>
      </c>
      <c r="AV449" s="158">
        <v>16</v>
      </c>
      <c r="AW449" s="23">
        <f t="shared" si="2831"/>
        <v>-43.060498220640575</v>
      </c>
      <c r="AX449" s="158">
        <v>20.5</v>
      </c>
      <c r="AY449" s="23">
        <f t="shared" si="2832"/>
        <v>-27.046263345195733</v>
      </c>
      <c r="AZ449" s="158">
        <v>16.100000000000001</v>
      </c>
      <c r="BA449" s="23">
        <f t="shared" si="2834"/>
        <v>-25.116279069767433</v>
      </c>
      <c r="BB449" s="158">
        <v>12.7</v>
      </c>
      <c r="BC449" s="23">
        <f t="shared" si="2836"/>
        <v>-18.06451612903226</v>
      </c>
      <c r="BD449" s="158"/>
      <c r="BE449" s="23" t="str">
        <f t="shared" si="2837"/>
        <v>NM</v>
      </c>
      <c r="BF449" s="49">
        <f>AX449</f>
        <v>20.5</v>
      </c>
      <c r="BG449" s="23">
        <f t="shared" si="2839"/>
        <v>0</v>
      </c>
      <c r="BH449" s="49">
        <f>AZ449</f>
        <v>16.100000000000001</v>
      </c>
      <c r="BI449" s="23">
        <f t="shared" si="2840"/>
        <v>0</v>
      </c>
      <c r="BJ449" s="49"/>
      <c r="BK449" s="23"/>
      <c r="BL449" s="49"/>
      <c r="BM449" s="23" t="str">
        <f t="shared" si="2841"/>
        <v>NA</v>
      </c>
      <c r="BN449" s="36"/>
      <c r="BO449" s="137"/>
      <c r="BP449" s="36"/>
      <c r="BQ449" s="112"/>
      <c r="BR449" s="36"/>
      <c r="BS449" s="48">
        <v>900.6</v>
      </c>
      <c r="BT449" s="36"/>
      <c r="BU449" s="36">
        <f>B449+D449+F449+H449</f>
        <v>543.25900000000001</v>
      </c>
      <c r="BV449" s="23">
        <f t="shared" si="2842"/>
        <v>-39.67810348656451</v>
      </c>
      <c r="BW449" s="56">
        <f>J449+L449+N449+P449</f>
        <v>500.423</v>
      </c>
      <c r="BX449" s="23">
        <f t="shared" si="2843"/>
        <v>-7.8850051264682257</v>
      </c>
      <c r="BY449" s="255">
        <f>R449+T449+V449+X449</f>
        <v>270.60000000000002</v>
      </c>
      <c r="BZ449" s="23">
        <f>IF(ISERROR((BY449/BW449-1)*100),"NA",IF(((BY449/BW449-1)*100)&gt;100,"NM",IF(((BY449/BW449-1)*100)&lt;-50,"NM",(BY449/BW449-1)*100)))</f>
        <v>-45.925746818191804</v>
      </c>
      <c r="CA449" s="56">
        <f>Z449+AB449+AD449+AF449</f>
        <v>170.4</v>
      </c>
      <c r="CB449" s="23">
        <f>IF(ISERROR((CA449/BY449-1)*100),"NA",IF(((CA449/BY449-1)*100)&gt;100,"NM",IF(((CA449/BY449-1)*100)&lt;-50,"NM",(CA449/BY449-1)*100)))</f>
        <v>-37.028824833702892</v>
      </c>
      <c r="CC449" s="56">
        <f>AH449+AJ449+AL449+AN449</f>
        <v>123.80000000000001</v>
      </c>
      <c r="CD449" s="23">
        <f>IF(ISERROR((CC449/CA449-1)*100),"NA",IF(((CC449/CA449-1)*100)&gt;100,"NM",IF(((CC449/CA449-1)*100)&lt;-50,"NM",(CC449/CA449-1)*100)))</f>
        <v>-27.347417840375588</v>
      </c>
      <c r="CE449" s="56">
        <f>AP449+AR449+AT449+AV449</f>
        <v>81.099999999999994</v>
      </c>
      <c r="CF449" s="23">
        <f>IF(ISERROR((CE449/CC449-1)*100),"NA",IF(((CE449/CC449-1)*100)&gt;100,"NM",IF(((CE449/CC449-1)*100)&lt;-50,"NM",(CE449/CC449-1)*100)))</f>
        <v>-34.491114701130869</v>
      </c>
      <c r="CG449" s="56">
        <f>AX449+AZ449+BB449+BD449</f>
        <v>49.3</v>
      </c>
      <c r="CH449" s="23">
        <f>IF(ISERROR((CG449/CE449-1)*100),"NA",IF(((CG449/CE449-1)*100)&gt;100,"NM",IF(((CG449/CE449-1)*100)&lt;-50,"NM",(CG449/CE449-1)*100)))</f>
        <v>-39.210850801479658</v>
      </c>
      <c r="CI449" s="56">
        <f>BF449+BH449+BJ449+BL449</f>
        <v>36.6</v>
      </c>
      <c r="CJ449" s="23">
        <f>IF(ISERROR((CI449/CG449-1)*100),"NA",IF(((CI449/CG449-1)*100)&gt;100,"NM",IF(((CI449/CG449-1)*100)&lt;-50,"NM",(CI449/CG449-1)*100)))</f>
        <v>-25.76064908722109</v>
      </c>
      <c r="CK449" s="49"/>
      <c r="CL449" s="23"/>
      <c r="CM449" s="49"/>
      <c r="CN449" s="23"/>
      <c r="CO449" s="49"/>
      <c r="CP449" s="23"/>
      <c r="CQ449" s="49"/>
      <c r="CR449" s="23" t="str">
        <f>IF(ISERROR((CQ449/CO449-1)*100),"NA",IF(((CQ449/CO449-1)*100)&gt;100,"NM",IF(((CQ449/CO449-1)*100)&lt;-50,"NM",(CQ449/CO449-1)*100)))</f>
        <v>NA</v>
      </c>
      <c r="CS449" s="23" t="str">
        <f>IF(ISERROR(((CQ449/CG449)^0.2-1)*100),"NA",IF((((CQ449/CG449)^0.2-1)*100)&gt;100,"NM",IF((((CQ449/CG449)^0.2-1)*100)&lt;-50,"NM",((CQ449/CG449)^0.2-1)*100)))</f>
        <v>NM</v>
      </c>
    </row>
    <row r="450" spans="1:97" ht="12.75" hidden="1" customHeight="1" outlineLevel="1" x14ac:dyDescent="0.2">
      <c r="A450" s="13" t="s">
        <v>96</v>
      </c>
      <c r="B450" s="49">
        <v>-1162.5419999999999</v>
      </c>
      <c r="C450" s="59"/>
      <c r="D450" s="49">
        <v>-1191.3879999999999</v>
      </c>
      <c r="E450" s="59"/>
      <c r="F450" s="49">
        <v>-1016.822</v>
      </c>
      <c r="G450" s="59"/>
      <c r="H450" s="49">
        <v>-962.06600000000003</v>
      </c>
      <c r="I450" s="59"/>
      <c r="J450" s="49">
        <v>-1021.765</v>
      </c>
      <c r="K450" s="23">
        <f t="shared" si="2813"/>
        <v>-12.109411961030226</v>
      </c>
      <c r="L450" s="49">
        <v>-967.55899999999997</v>
      </c>
      <c r="M450" s="23">
        <f t="shared" si="2814"/>
        <v>-18.78724647218203</v>
      </c>
      <c r="N450" s="49">
        <v>-953.30799999999999</v>
      </c>
      <c r="O450" s="23">
        <f t="shared" si="2815"/>
        <v>-6.246324332085651</v>
      </c>
      <c r="P450" s="48">
        <v>-1076.5999999999999</v>
      </c>
      <c r="Q450" s="23">
        <f t="shared" si="2816"/>
        <v>11.90500443836493</v>
      </c>
      <c r="R450" s="254">
        <v>-1057.8</v>
      </c>
      <c r="S450" s="23">
        <f t="shared" si="2817"/>
        <v>3.5267404931662361</v>
      </c>
      <c r="T450" s="49">
        <v>-1175.2</v>
      </c>
      <c r="U450" s="23">
        <f t="shared" si="2818"/>
        <v>21.460293377458118</v>
      </c>
      <c r="V450" s="49">
        <v>-1097.2</v>
      </c>
      <c r="W450" s="23">
        <f t="shared" si="2819"/>
        <v>15.09396753200436</v>
      </c>
      <c r="X450" s="49">
        <v>-1172.5</v>
      </c>
      <c r="Y450" s="23">
        <f t="shared" si="2820"/>
        <v>8.9076723016905177</v>
      </c>
      <c r="Z450" s="49">
        <v>-1234.4000000000001</v>
      </c>
      <c r="AA450" s="23">
        <f t="shared" si="2821"/>
        <v>16.695027415390442</v>
      </c>
      <c r="AB450" s="49">
        <v>-1309.5999999999999</v>
      </c>
      <c r="AC450" s="23">
        <f t="shared" si="2822"/>
        <v>11.436351259360089</v>
      </c>
      <c r="AD450" s="49">
        <v>-1260.0999999999999</v>
      </c>
      <c r="AE450" s="23">
        <f t="shared" si="2823"/>
        <v>14.846882974845045</v>
      </c>
      <c r="AF450" s="49">
        <v>-1789.6</v>
      </c>
      <c r="AG450" s="23">
        <f t="shared" si="2824"/>
        <v>52.63113006396587</v>
      </c>
      <c r="AH450" s="49">
        <v>-1229.5</v>
      </c>
      <c r="AI450" s="23">
        <f>IF(ISERROR((AH450/Z450-1)*100),"NA",IF(((AH450/Z450-1)*100)&gt;100,"NM",IF(((AH450/Z450-1)*100)&lt;-50,"NM",(AH450/Z450-1)*100)))</f>
        <v>-0.39695398574206564</v>
      </c>
      <c r="AJ450" s="49">
        <v>-1439.4</v>
      </c>
      <c r="AK450" s="23">
        <f>IF(ISERROR((AJ450/AB450-1)*100),"NA",IF(((AJ450/AB450-1)*100)&gt;100,"NM",IF(((AJ450/AB450-1)*100)&lt;-50,"NM",(AJ450/AB450-1)*100)))</f>
        <v>9.9114233353695838</v>
      </c>
      <c r="AL450" s="49">
        <v>-1016.6</v>
      </c>
      <c r="AM450" s="23">
        <f>IF(ISERROR((AL450/AD450-1)*100),"NA",IF(((AL450/AD450-1)*100)&gt;100,"NM",IF(((AL450/AD450-1)*100)&lt;-50,"NM",(AL450/AD450-1)*100)))</f>
        <v>-19.323863185461466</v>
      </c>
      <c r="AN450" s="158">
        <v>-973.5</v>
      </c>
      <c r="AO450" s="23">
        <f>IF(ISERROR((AN450/AF450-1)*100),"NA",IF(((AN450/AF450-1)*100)&gt;100,"NM",IF(((AN450/AF450-1)*100)&lt;-50,"NM",(AN450/AF450-1)*100)))</f>
        <v>-45.602369244523913</v>
      </c>
      <c r="AP450" s="158">
        <v>-885.3</v>
      </c>
      <c r="AQ450" s="23">
        <f t="shared" si="2826"/>
        <v>-27.995119967466454</v>
      </c>
      <c r="AR450" s="158">
        <v>-920.8</v>
      </c>
      <c r="AS450" s="23">
        <f t="shared" si="2828"/>
        <v>-36.02890093094345</v>
      </c>
      <c r="AT450" s="158">
        <v>-1099.2</v>
      </c>
      <c r="AU450" s="23">
        <f t="shared" si="2829"/>
        <v>8.125122958882546</v>
      </c>
      <c r="AV450" s="158">
        <v>-1407.2</v>
      </c>
      <c r="AW450" s="23">
        <f t="shared" si="2831"/>
        <v>44.550590652285571</v>
      </c>
      <c r="AX450" s="158">
        <v>-2051.6</v>
      </c>
      <c r="AY450" s="23" t="str">
        <f t="shared" si="2832"/>
        <v>NM</v>
      </c>
      <c r="AZ450" s="158">
        <v>-939.5</v>
      </c>
      <c r="BA450" s="23">
        <f t="shared" si="2834"/>
        <v>2.0308427454387434</v>
      </c>
      <c r="BB450" s="158">
        <v>-1273.5999999999999</v>
      </c>
      <c r="BC450" s="23">
        <f t="shared" si="2836"/>
        <v>15.866084425036387</v>
      </c>
      <c r="BD450" s="158"/>
      <c r="BE450" s="23" t="str">
        <f t="shared" si="2837"/>
        <v>NM</v>
      </c>
      <c r="BF450" s="49">
        <f t="shared" ref="BF450:BH451" si="2844">BD450</f>
        <v>0</v>
      </c>
      <c r="BG450" s="23" t="str">
        <f t="shared" si="2839"/>
        <v>NM</v>
      </c>
      <c r="BH450" s="49">
        <f t="shared" si="2844"/>
        <v>0</v>
      </c>
      <c r="BI450" s="23" t="str">
        <f t="shared" si="2840"/>
        <v>NM</v>
      </c>
      <c r="BJ450" s="49"/>
      <c r="BK450" s="23"/>
      <c r="BL450" s="49"/>
      <c r="BM450" s="23" t="str">
        <f t="shared" si="2841"/>
        <v>NA</v>
      </c>
      <c r="BN450" s="36"/>
      <c r="BO450" s="137"/>
      <c r="BP450" s="36"/>
      <c r="BQ450" s="112"/>
      <c r="BR450" s="36"/>
      <c r="BS450" s="48">
        <v>-3913.1</v>
      </c>
      <c r="BT450" s="36"/>
      <c r="BU450" s="36">
        <f>B450+D450+F450+H450</f>
        <v>-4332.8180000000002</v>
      </c>
      <c r="BV450" s="23">
        <f t="shared" si="2842"/>
        <v>10.725971735963814</v>
      </c>
      <c r="BW450" s="56">
        <f>J450+L450+N450+P450</f>
        <v>-4019.232</v>
      </c>
      <c r="BX450" s="23">
        <f t="shared" si="2843"/>
        <v>-7.2374607010956886</v>
      </c>
      <c r="BY450" s="255">
        <f>R450+T450+V450+X450</f>
        <v>-4502.7</v>
      </c>
      <c r="BZ450" s="23">
        <f>IF(ISERROR((BY450/BW450-1)*100),"NA",IF(((BY450/BW450-1)*100)&gt;100,"NM",IF(((BY450/BW450-1)*100)&lt;-50,"NM",(BY450/BW450-1)*100)))</f>
        <v>12.028865216041273</v>
      </c>
      <c r="CA450" s="56">
        <f>Z450+AB450+AD450+AF450</f>
        <v>-5593.7</v>
      </c>
      <c r="CB450" s="23">
        <f>IF(ISERROR((CA450/BY450-1)*100),"NA",IF(((CA450/BY450-1)*100)&gt;100,"NM",IF(((CA450/BY450-1)*100)&lt;-50,"NM",(CA450/BY450-1)*100)))</f>
        <v>24.229906500544129</v>
      </c>
      <c r="CC450" s="56">
        <f>AH450+AJ450+AL450+AN450</f>
        <v>-4659</v>
      </c>
      <c r="CD450" s="23">
        <f>IF(ISERROR((CC450/CA450-1)*100),"NA",IF(((CC450/CA450-1)*100)&gt;100,"NM",IF(((CC450/CA450-1)*100)&lt;-50,"NM",(CC450/CA450-1)*100)))</f>
        <v>-16.709870032357831</v>
      </c>
      <c r="CE450" s="56">
        <f>AP450+AR450+AT450+AV450</f>
        <v>-4312.5</v>
      </c>
      <c r="CF450" s="23">
        <f>IF(ISERROR((CE450/CC450-1)*100),"NA",IF(((CE450/CC450-1)*100)&gt;100,"NM",IF(((CE450/CC450-1)*100)&lt;-50,"NM",(CE450/CC450-1)*100)))</f>
        <v>-7.437218287186087</v>
      </c>
      <c r="CG450" s="56">
        <f>AX450+AZ450+BB450+BD450</f>
        <v>-4264.7</v>
      </c>
      <c r="CH450" s="23">
        <f>IF(ISERROR((CG450/CE450-1)*100),"NA",IF(((CG450/CE450-1)*100)&gt;100,"NM",IF(((CG450/CE450-1)*100)&lt;-50,"NM",(CG450/CE450-1)*100)))</f>
        <v>-1.1084057971014527</v>
      </c>
      <c r="CI450" s="56">
        <f>BF450+BH450+BJ450+BL450</f>
        <v>0</v>
      </c>
      <c r="CJ450" s="23" t="str">
        <f>IF(ISERROR((CI450/CG450-1)*100),"NA",IF(((CI450/CG450-1)*100)&gt;100,"NM",IF(((CI450/CG450-1)*100)&lt;-50,"NM",(CI450/CG450-1)*100)))</f>
        <v>NM</v>
      </c>
      <c r="CK450" s="49"/>
      <c r="CL450" s="23"/>
      <c r="CM450" s="49"/>
      <c r="CN450" s="23"/>
      <c r="CO450" s="49"/>
      <c r="CP450" s="23"/>
      <c r="CQ450" s="49"/>
      <c r="CR450" s="23" t="str">
        <f>IF(ISERROR((CQ450/CO450-1)*100),"NA",IF(((CQ450/CO450-1)*100)&gt;100,"NM",IF(((CQ450/CO450-1)*100)&lt;-50,"NM",(CQ450/CO450-1)*100)))</f>
        <v>NA</v>
      </c>
      <c r="CS450" s="23" t="str">
        <f>IF(ISERROR(((CQ450/CG450)^0.2-1)*100),"NA",IF((((CQ450/CG450)^0.2-1)*100)&gt;100,"NM",IF((((CQ450/CG450)^0.2-1)*100)&lt;-50,"NM",((CQ450/CG450)^0.2-1)*100)))</f>
        <v>NM</v>
      </c>
    </row>
    <row r="451" spans="1:97" ht="12.75" hidden="1" customHeight="1" outlineLevel="1" x14ac:dyDescent="0.2">
      <c r="A451" s="13" t="s">
        <v>97</v>
      </c>
      <c r="B451" s="49">
        <v>1709.1510000000001</v>
      </c>
      <c r="C451" s="59"/>
      <c r="D451" s="49">
        <v>-56.195</v>
      </c>
      <c r="E451" s="59"/>
      <c r="F451" s="49">
        <v>-5821.17</v>
      </c>
      <c r="G451" s="59"/>
      <c r="H451" s="49">
        <v>2625.6109999999999</v>
      </c>
      <c r="I451" s="59"/>
      <c r="J451" s="49">
        <v>3384.6019999999999</v>
      </c>
      <c r="K451" s="23">
        <f t="shared" si="2813"/>
        <v>98.028260814872397</v>
      </c>
      <c r="L451" s="49">
        <v>-1455.588</v>
      </c>
      <c r="M451" s="23" t="str">
        <f t="shared" si="2814"/>
        <v>NM</v>
      </c>
      <c r="N451" s="49">
        <v>1836.9829999999999</v>
      </c>
      <c r="O451" s="23" t="str">
        <f t="shared" si="2815"/>
        <v>NM</v>
      </c>
      <c r="P451" s="48">
        <v>305.7</v>
      </c>
      <c r="Q451" s="23" t="str">
        <f t="shared" si="2816"/>
        <v>NM</v>
      </c>
      <c r="R451" s="254">
        <v>2290.1</v>
      </c>
      <c r="S451" s="23">
        <f t="shared" si="2817"/>
        <v>-32.33768697176211</v>
      </c>
      <c r="T451" s="49">
        <v>-167</v>
      </c>
      <c r="U451" s="23" t="str">
        <f t="shared" si="2818"/>
        <v>NM</v>
      </c>
      <c r="V451" s="49">
        <v>2009.3</v>
      </c>
      <c r="W451" s="23">
        <f t="shared" si="2819"/>
        <v>9.3804352027209816</v>
      </c>
      <c r="X451" s="49">
        <v>2297.1999999999998</v>
      </c>
      <c r="Y451" s="23" t="str">
        <f t="shared" si="2820"/>
        <v>NM</v>
      </c>
      <c r="Z451" s="49">
        <v>415.4</v>
      </c>
      <c r="AA451" s="23" t="str">
        <f t="shared" si="2821"/>
        <v>NM</v>
      </c>
      <c r="AB451" s="49">
        <v>1462.8</v>
      </c>
      <c r="AC451" s="23" t="str">
        <f t="shared" si="2822"/>
        <v>NM</v>
      </c>
      <c r="AD451" s="49">
        <v>-760</v>
      </c>
      <c r="AE451" s="23" t="str">
        <f t="shared" si="2823"/>
        <v>NM</v>
      </c>
      <c r="AF451" s="49">
        <v>648.9</v>
      </c>
      <c r="AG451" s="23" t="str">
        <f t="shared" si="2824"/>
        <v>NM</v>
      </c>
      <c r="AH451" s="49">
        <v>755.4</v>
      </c>
      <c r="AI451" s="23">
        <f>IF(ISERROR((AH451/Z451-1)*100),"NA",IF(((AH451/Z451-1)*100)&gt;100,"NM",IF(((AH451/Z451-1)*100)&lt;-50,"NM",(AH451/Z451-1)*100)))</f>
        <v>81.848820414058736</v>
      </c>
      <c r="AJ451" s="49">
        <v>-383.8</v>
      </c>
      <c r="AK451" s="23" t="str">
        <f>IF(ISERROR((AJ451/AB451-1)*100),"NA",IF(((AJ451/AB451-1)*100)&gt;100,"NM",IF(((AJ451/AB451-1)*100)&lt;-50,"NM",(AJ451/AB451-1)*100)))</f>
        <v>NM</v>
      </c>
      <c r="AL451" s="49">
        <v>-2502</v>
      </c>
      <c r="AM451" s="23" t="str">
        <f>IF(ISERROR((AL451/AD451-1)*100),"NA",IF(((AL451/AD451-1)*100)&gt;100,"NM",IF(((AL451/AD451-1)*100)&lt;-50,"NM",(AL451/AD451-1)*100)))</f>
        <v>NM</v>
      </c>
      <c r="AN451" s="158">
        <v>1109.5</v>
      </c>
      <c r="AO451" s="23">
        <f>IF(ISERROR((AN451/AF451-1)*100),"NA",IF(((AN451/AF451-1)*100)&gt;100,"NM",IF(((AN451/AF451-1)*100)&lt;-50,"NM",(AN451/AF451-1)*100)))</f>
        <v>70.981661272923418</v>
      </c>
      <c r="AP451" s="158">
        <v>-70.7</v>
      </c>
      <c r="AQ451" s="23" t="str">
        <f t="shared" si="2826"/>
        <v>NM</v>
      </c>
      <c r="AR451" s="158">
        <v>479.3</v>
      </c>
      <c r="AS451" s="23" t="str">
        <f t="shared" si="2828"/>
        <v>NM</v>
      </c>
      <c r="AT451" s="158">
        <v>1056.2</v>
      </c>
      <c r="AU451" s="23" t="str">
        <f t="shared" si="2829"/>
        <v>NM</v>
      </c>
      <c r="AV451" s="158">
        <v>153.19999999999999</v>
      </c>
      <c r="AW451" s="23" t="str">
        <f t="shared" si="2831"/>
        <v>NM</v>
      </c>
      <c r="AX451" s="158">
        <v>1432.2</v>
      </c>
      <c r="AY451" s="23" t="str">
        <f t="shared" si="2832"/>
        <v>NM</v>
      </c>
      <c r="AZ451" s="158">
        <v>800.4</v>
      </c>
      <c r="BA451" s="23">
        <f t="shared" si="2834"/>
        <v>66.993532234508663</v>
      </c>
      <c r="BB451" s="158">
        <v>850.2</v>
      </c>
      <c r="BC451" s="23">
        <f t="shared" si="2836"/>
        <v>-19.503881840560499</v>
      </c>
      <c r="BD451" s="158"/>
      <c r="BE451" s="23" t="str">
        <f t="shared" si="2837"/>
        <v>NM</v>
      </c>
      <c r="BF451" s="49">
        <f t="shared" si="2844"/>
        <v>0</v>
      </c>
      <c r="BG451" s="23" t="str">
        <f t="shared" si="2839"/>
        <v>NM</v>
      </c>
      <c r="BH451" s="49">
        <f t="shared" si="2844"/>
        <v>0</v>
      </c>
      <c r="BI451" s="23" t="str">
        <f t="shared" si="2840"/>
        <v>NM</v>
      </c>
      <c r="BJ451" s="49"/>
      <c r="BK451" s="23"/>
      <c r="BL451" s="49"/>
      <c r="BM451" s="23" t="str">
        <f t="shared" si="2841"/>
        <v>NA</v>
      </c>
      <c r="BN451" s="36"/>
      <c r="BO451" s="137"/>
      <c r="BP451" s="36"/>
      <c r="BQ451" s="112"/>
      <c r="BR451" s="36"/>
      <c r="BS451" s="48">
        <v>4347</v>
      </c>
      <c r="BT451" s="36"/>
      <c r="BU451" s="36">
        <f>B451+D451+F451+H451</f>
        <v>-1542.6030000000001</v>
      </c>
      <c r="BV451" s="23" t="str">
        <f t="shared" si="2842"/>
        <v>NM</v>
      </c>
      <c r="BW451" s="56">
        <f>J451+L451+N451+P451</f>
        <v>4071.6969999999997</v>
      </c>
      <c r="BX451" s="23" t="str">
        <f t="shared" si="2843"/>
        <v>NM</v>
      </c>
      <c r="BY451" s="255">
        <f>R451+T451+V451+X451</f>
        <v>6429.5999999999995</v>
      </c>
      <c r="BZ451" s="23">
        <f>IF(ISERROR((BY451/BW451-1)*100),"NA",IF(((BY451/BW451-1)*100)&gt;100,"NM",IF(((BY451/BW451-1)*100)&lt;-50,"NM",(BY451/BW451-1)*100)))</f>
        <v>57.90958904849748</v>
      </c>
      <c r="CA451" s="56">
        <f>Z451+AB451+AD451+AF451</f>
        <v>1767.1</v>
      </c>
      <c r="CB451" s="23" t="str">
        <f>IF(ISERROR((CA451/BY451-1)*100),"NA",IF(((CA451/BY451-1)*100)&gt;100,"NM",IF(((CA451/BY451-1)*100)&lt;-50,"NM",(CA451/BY451-1)*100)))</f>
        <v>NM</v>
      </c>
      <c r="CC451" s="56">
        <f>AH451+AJ451+AL451+AN451</f>
        <v>-1020.9000000000001</v>
      </c>
      <c r="CD451" s="23" t="str">
        <f>IF(ISERROR((CC451/CA451-1)*100),"NA",IF(((CC451/CA451-1)*100)&gt;100,"NM",IF(((CC451/CA451-1)*100)&lt;-50,"NM",(CC451/CA451-1)*100)))</f>
        <v>NM</v>
      </c>
      <c r="CE451" s="56">
        <f>AP451+AR451+AT451+AV451</f>
        <v>1618.0000000000002</v>
      </c>
      <c r="CF451" s="23" t="str">
        <f>IF(ISERROR((CE451/CC451-1)*100),"NA",IF(((CE451/CC451-1)*100)&gt;100,"NM",IF(((CE451/CC451-1)*100)&lt;-50,"NM",(CE451/CC451-1)*100)))</f>
        <v>NM</v>
      </c>
      <c r="CG451" s="56">
        <f>AX451+AZ451+BB451+BD451</f>
        <v>3082.8</v>
      </c>
      <c r="CH451" s="23">
        <f>IF(ISERROR((CG451/CE451-1)*100),"NA",IF(((CG451/CE451-1)*100)&gt;100,"NM",IF(((CG451/CE451-1)*100)&lt;-50,"NM",(CG451/CE451-1)*100)))</f>
        <v>90.531520395550032</v>
      </c>
      <c r="CI451" s="56">
        <f>BF451+BH451+BJ451+BL451</f>
        <v>0</v>
      </c>
      <c r="CJ451" s="23" t="str">
        <f>IF(ISERROR((CI451/CG451-1)*100),"NA",IF(((CI451/CG451-1)*100)&gt;100,"NM",IF(((CI451/CG451-1)*100)&lt;-50,"NM",(CI451/CG451-1)*100)))</f>
        <v>NM</v>
      </c>
      <c r="CK451" s="49"/>
      <c r="CL451" s="23"/>
      <c r="CM451" s="49"/>
      <c r="CN451" s="23"/>
      <c r="CO451" s="49"/>
      <c r="CP451" s="23"/>
      <c r="CQ451" s="49"/>
      <c r="CR451" s="23" t="str">
        <f>IF(ISERROR((CQ451/CO451-1)*100),"NA",IF(((CQ451/CO451-1)*100)&gt;100,"NM",IF(((CQ451/CO451-1)*100)&lt;-50,"NM",(CQ451/CO451-1)*100)))</f>
        <v>NA</v>
      </c>
      <c r="CS451" s="23" t="str">
        <f>IF(ISERROR(((CQ451/CG451)^0.2-1)*100),"NA",IF((((CQ451/CG451)^0.2-1)*100)&gt;100,"NM",IF((((CQ451/CG451)^0.2-1)*100)&lt;-50,"NM",((CQ451/CG451)^0.2-1)*100)))</f>
        <v>NM</v>
      </c>
    </row>
    <row r="452" spans="1:97" ht="12.75" hidden="1" customHeight="1" outlineLevel="1" x14ac:dyDescent="0.2">
      <c r="A452" s="13" t="s">
        <v>432</v>
      </c>
      <c r="B452" s="36">
        <f>B448+B449+B450+B451</f>
        <v>48670.091999999997</v>
      </c>
      <c r="C452" s="59"/>
      <c r="D452" s="36">
        <f>D448+D449+D450+D451</f>
        <v>47565.521999999997</v>
      </c>
      <c r="E452" s="59"/>
      <c r="F452" s="36">
        <f>F448+F449+F450+F451</f>
        <v>40845.955000000002</v>
      </c>
      <c r="G452" s="59"/>
      <c r="H452" s="36">
        <f>H448+H449+H450+H451</f>
        <v>42645.538</v>
      </c>
      <c r="I452" s="59"/>
      <c r="J452" s="36">
        <f>J448+J449+J450+J451</f>
        <v>45133.788999999997</v>
      </c>
      <c r="K452" s="23">
        <f t="shared" si="2813"/>
        <v>-7.2658646299661793</v>
      </c>
      <c r="L452" s="36">
        <f>L448+L449+L450+L451</f>
        <v>42843.385999999991</v>
      </c>
      <c r="M452" s="23">
        <f t="shared" si="2814"/>
        <v>-9.9276446498369317</v>
      </c>
      <c r="N452" s="36">
        <f>N448+N449+N450+N451</f>
        <v>43842.225999999995</v>
      </c>
      <c r="O452" s="23">
        <f t="shared" si="2815"/>
        <v>7.3355391005057724</v>
      </c>
      <c r="P452" s="36">
        <f>P448+P449+P450+P451</f>
        <v>43198.425999999992</v>
      </c>
      <c r="Q452" s="23">
        <f t="shared" si="2816"/>
        <v>1.2964732676135737</v>
      </c>
      <c r="R452" s="255">
        <f>R448+R449+R450+R451</f>
        <v>43897.799999999996</v>
      </c>
      <c r="S452" s="23">
        <f t="shared" si="2817"/>
        <v>-2.7385004170600413</v>
      </c>
      <c r="T452" s="56">
        <f>T448+T449+T450+T451</f>
        <v>42635.199999999997</v>
      </c>
      <c r="U452" s="23">
        <f t="shared" si="2818"/>
        <v>-0.48592331147681023</v>
      </c>
      <c r="V452" s="56">
        <f>V448+V449+V450+V451</f>
        <v>43608.3</v>
      </c>
      <c r="W452" s="23">
        <f t="shared" si="2819"/>
        <v>-0.53356323650171067</v>
      </c>
      <c r="X452" s="56">
        <f>X448+X449+X450+X451</f>
        <v>44788.1</v>
      </c>
      <c r="Y452" s="23">
        <f t="shared" si="2820"/>
        <v>3.6799350050393143</v>
      </c>
      <c r="Z452" s="56">
        <f>Z448+Z449+Z450+Z451</f>
        <v>44022.7</v>
      </c>
      <c r="AA452" s="23">
        <f t="shared" si="2821"/>
        <v>0.28452450920091188</v>
      </c>
      <c r="AB452" s="56">
        <f>AB448+AB449+AB450+AB451</f>
        <v>44223.3</v>
      </c>
      <c r="AC452" s="23">
        <f t="shared" si="2822"/>
        <v>3.7248564566367826</v>
      </c>
      <c r="AD452" s="56">
        <f>AD448+AD449+AD450+AD451</f>
        <v>42238.100000000006</v>
      </c>
      <c r="AE452" s="23">
        <f t="shared" si="2823"/>
        <v>-3.142062405551227</v>
      </c>
      <c r="AF452" s="56">
        <f>AF448+AF449+AF450+AF451</f>
        <v>41131.900000000009</v>
      </c>
      <c r="AG452" s="23">
        <f t="shared" si="2824"/>
        <v>-8.1633290985774991</v>
      </c>
      <c r="AH452" s="56">
        <f>AH448+AH449+AH450+AH451</f>
        <v>40691.80000000001</v>
      </c>
      <c r="AI452" s="23">
        <f>IF(ISERROR((AH452/Z452-1)*100),"NA",IF(((AH452/Z452-1)*100)&gt;100,"NM",IF(((AH452/Z452-1)*100)&lt;-50,"NM",(AH452/Z452-1)*100)))</f>
        <v>-7.5663237375262931</v>
      </c>
      <c r="AJ452" s="56">
        <f>AJ448+AJ449+AJ450+AJ451</f>
        <v>38902.500000000007</v>
      </c>
      <c r="AK452" s="23">
        <f>IF(ISERROR((AJ452/AB452-1)*100),"NA",IF(((AJ452/AB452-1)*100)&gt;100,"NM",IF(((AJ452/AB452-1)*100)&lt;-50,"NM",(AJ452/AB452-1)*100)))</f>
        <v>-12.031666564910337</v>
      </c>
      <c r="AL452" s="56">
        <f>AL448+AL449+AL450+AL451</f>
        <v>35411.700000000012</v>
      </c>
      <c r="AM452" s="23">
        <f>IF(ISERROR((AL452/AD452-1)*100),"NA",IF(((AL452/AD452-1)*100)&gt;100,"NM",IF(((AL452/AD452-1)*100)&lt;-50,"NM",(AL452/AD452-1)*100)))</f>
        <v>-16.161711819423672</v>
      </c>
      <c r="AN452" s="413">
        <f t="shared" ref="AN452:AP452" si="2845">AN448+AN449+AN450+AN451</f>
        <v>35575.80000000001</v>
      </c>
      <c r="AO452" s="23">
        <f>IF(ISERROR((AN452/AF452-1)*100),"NA",IF(((AN452/AF452-1)*100)&gt;100,"NM",IF(((AN452/AF452-1)*100)&lt;-50,"NM",(AN452/AF452-1)*100)))</f>
        <v>-13.50800716718653</v>
      </c>
      <c r="AP452" s="413">
        <f t="shared" si="2845"/>
        <v>34647.900000000009</v>
      </c>
      <c r="AQ452" s="23">
        <f t="shared" si="2826"/>
        <v>-14.852869619923425</v>
      </c>
      <c r="AR452" s="413">
        <f t="shared" ref="AR452:AT452" si="2846">AR448+AR449+AR450+AR451</f>
        <v>34227.900000000009</v>
      </c>
      <c r="AS452" s="23">
        <f t="shared" si="2828"/>
        <v>-12.016194331983797</v>
      </c>
      <c r="AT452" s="413">
        <f t="shared" si="2846"/>
        <v>34200.400000000009</v>
      </c>
      <c r="AU452" s="23">
        <f t="shared" si="2829"/>
        <v>-3.4206208682441175</v>
      </c>
      <c r="AV452" s="413">
        <f t="shared" ref="AV452:AX452" si="2847">AV448+AV449+AV450+AV451</f>
        <v>32962.400000000009</v>
      </c>
      <c r="AW452" s="23">
        <f t="shared" si="2831"/>
        <v>-7.3460048684780173</v>
      </c>
      <c r="AX452" s="413">
        <f t="shared" si="2847"/>
        <v>32363.500000000011</v>
      </c>
      <c r="AY452" s="23">
        <f t="shared" si="2832"/>
        <v>-6.5931845797292059</v>
      </c>
      <c r="AZ452" s="413">
        <f t="shared" ref="AZ452" si="2848">AZ448+AZ449+AZ450+AZ451</f>
        <v>32240.500000000011</v>
      </c>
      <c r="BA452" s="23">
        <f t="shared" si="2834"/>
        <v>-5.8063743320507459</v>
      </c>
      <c r="BB452" s="413">
        <f t="shared" ref="BB452:BD452" si="2849">BB448+BB449+BB450+BB451</f>
        <v>31829.800000000014</v>
      </c>
      <c r="BC452" s="23">
        <f t="shared" si="2836"/>
        <v>-6.9314978772177955</v>
      </c>
      <c r="BD452" s="413">
        <f t="shared" si="2849"/>
        <v>31829.800000000014</v>
      </c>
      <c r="BE452" s="23">
        <f t="shared" si="2837"/>
        <v>-3.4360362109554954</v>
      </c>
      <c r="BF452" s="56">
        <f t="shared" ref="BF452" si="2850">BF448+BF449+BF450+BF451</f>
        <v>31850.300000000014</v>
      </c>
      <c r="BG452" s="23">
        <f t="shared" si="2839"/>
        <v>-1.5857370185548447</v>
      </c>
      <c r="BH452" s="56">
        <f t="shared" ref="BH452" si="2851">BH448+BH449+BH450+BH451</f>
        <v>31866.400000000012</v>
      </c>
      <c r="BI452" s="23">
        <f t="shared" si="2840"/>
        <v>-1.1603418061134185</v>
      </c>
      <c r="BJ452" s="56"/>
      <c r="BK452" s="23"/>
      <c r="BL452" s="56"/>
      <c r="BM452" s="23" t="str">
        <f t="shared" si="2841"/>
        <v>NM</v>
      </c>
      <c r="BN452" s="36"/>
      <c r="BO452" s="137"/>
      <c r="BP452" s="36"/>
      <c r="BQ452" s="112"/>
      <c r="BR452" s="36"/>
      <c r="BS452" s="56">
        <f>SUM(BS448:BS451)</f>
        <v>47978</v>
      </c>
      <c r="BT452" s="36"/>
      <c r="BU452" s="56">
        <f>SUM(BU448:BU451)</f>
        <v>42645.537999999993</v>
      </c>
      <c r="BV452" s="23">
        <f t="shared" si="2842"/>
        <v>-11.114389928717339</v>
      </c>
      <c r="BW452" s="56">
        <f>SUM(BW448:BW451)</f>
        <v>43198.425999999992</v>
      </c>
      <c r="BX452" s="23">
        <f t="shared" si="2843"/>
        <v>1.2964732676135959</v>
      </c>
      <c r="BY452" s="255">
        <f>SUM(BY448:BY451)</f>
        <v>44788.1</v>
      </c>
      <c r="BZ452" s="23">
        <f>IF(ISERROR((BY452/BW452-1)*100),"NA",IF(((BY452/BW452-1)*100)&gt;100,"NM",IF(((BY452/BW452-1)*100)&lt;-50,"NM",(BY452/BW452-1)*100)))</f>
        <v>3.6799350050393143</v>
      </c>
      <c r="CA452" s="56">
        <f>SUM(CA448:CA451)</f>
        <v>41131.9</v>
      </c>
      <c r="CB452" s="23">
        <f>IF(ISERROR((CA452/BY452-1)*100),"NA",IF(((CA452/BY452-1)*100)&gt;100,"NM",IF(((CA452/BY452-1)*100)&lt;-50,"NM",(CA452/BY452-1)*100)))</f>
        <v>-8.1633290985775204</v>
      </c>
      <c r="CC452" s="56">
        <f>SUM(CC448:CC451)</f>
        <v>35575.800000000003</v>
      </c>
      <c r="CD452" s="23">
        <f>IF(ISERROR((CC452/CA452-1)*100),"NA",IF(((CC452/CA452-1)*100)&gt;100,"NM",IF(((CC452/CA452-1)*100)&lt;-50,"NM",(CC452/CA452-1)*100)))</f>
        <v>-13.50800716718653</v>
      </c>
      <c r="CE452" s="56">
        <f>SUM(CE448:CE451)</f>
        <v>32962.400000000001</v>
      </c>
      <c r="CF452" s="23">
        <f>IF(ISERROR((CE452/CC452-1)*100),"NA",IF(((CE452/CC452-1)*100)&gt;100,"NM",IF(((CE452/CC452-1)*100)&lt;-50,"NM",(CE452/CC452-1)*100)))</f>
        <v>-7.3460048684780173</v>
      </c>
      <c r="CG452" s="56">
        <f>SUM(CG448:CG451)</f>
        <v>31829.800000000003</v>
      </c>
      <c r="CH452" s="23">
        <f>IF(ISERROR((CG452/CE452-1)*100),"NA",IF(((CG452/CE452-1)*100)&gt;100,"NM",IF(((CG452/CE452-1)*100)&lt;-50,"NM",(CG452/CE452-1)*100)))</f>
        <v>-3.4360362109555065</v>
      </c>
      <c r="CI452" s="56">
        <f>SUM(CI448:CI451)</f>
        <v>31866.400000000001</v>
      </c>
      <c r="CJ452" s="23">
        <f>IF(ISERROR((CI452/CG452-1)*100),"NA",IF(((CI452/CG452-1)*100)&gt;100,"NM",IF(((CI452/CG452-1)*100)&lt;-50,"NM",(CI452/CG452-1)*100)))</f>
        <v>0.11498658489841329</v>
      </c>
      <c r="CK452" s="56"/>
      <c r="CL452" s="23"/>
      <c r="CM452" s="56"/>
      <c r="CN452" s="23"/>
      <c r="CO452" s="56"/>
      <c r="CP452" s="23"/>
      <c r="CQ452" s="56"/>
      <c r="CR452" s="23" t="str">
        <f>IF(ISERROR((CQ452/CO452-1)*100),"NA",IF(((CQ452/CO452-1)*100)&gt;100,"NM",IF(((CQ452/CO452-1)*100)&lt;-50,"NM",(CQ452/CO452-1)*100)))</f>
        <v>NA</v>
      </c>
      <c r="CS452" s="23" t="str">
        <f>IF(ISERROR(((CQ452/CG452)^0.2-1)*100),"NA",IF((((CQ452/CG452)^0.2-1)*100)&gt;100,"NM",IF((((CQ452/CG452)^0.2-1)*100)&lt;-50,"NM",((CQ452/CG452)^0.2-1)*100)))</f>
        <v>NM</v>
      </c>
    </row>
    <row r="453" spans="1:97" ht="12.75" hidden="1" customHeight="1" outlineLevel="1" x14ac:dyDescent="0.2">
      <c r="A453" s="13"/>
      <c r="B453" s="36"/>
      <c r="C453" s="59"/>
      <c r="D453" s="36"/>
      <c r="E453" s="59"/>
      <c r="F453" s="36"/>
      <c r="G453" s="59"/>
      <c r="H453" s="36"/>
      <c r="I453" s="59"/>
      <c r="J453" s="36"/>
      <c r="K453" s="23"/>
      <c r="L453" s="36"/>
      <c r="M453" s="23"/>
      <c r="N453" s="36"/>
      <c r="O453" s="23"/>
      <c r="P453" s="36"/>
      <c r="Q453" s="23"/>
      <c r="R453" s="255"/>
      <c r="S453" s="23"/>
      <c r="T453" s="56"/>
      <c r="U453" s="23"/>
      <c r="V453" s="56"/>
      <c r="W453" s="23"/>
      <c r="X453" s="56"/>
      <c r="Y453" s="23"/>
      <c r="Z453" s="56"/>
      <c r="AA453" s="23"/>
      <c r="AB453" s="56"/>
      <c r="AC453" s="23"/>
      <c r="AD453" s="56"/>
      <c r="AE453" s="23"/>
      <c r="AF453" s="56"/>
      <c r="AG453" s="23"/>
      <c r="AH453" s="56"/>
      <c r="AI453" s="23"/>
      <c r="AJ453" s="56"/>
      <c r="AK453" s="23"/>
      <c r="AL453" s="56"/>
      <c r="AM453" s="23"/>
      <c r="AN453" s="413"/>
      <c r="AO453" s="23"/>
      <c r="AP453" s="413"/>
      <c r="AQ453" s="23"/>
      <c r="AR453" s="413"/>
      <c r="AS453" s="23"/>
      <c r="AT453" s="413"/>
      <c r="AU453" s="23"/>
      <c r="AV453" s="413"/>
      <c r="AW453" s="23"/>
      <c r="AX453" s="413"/>
      <c r="AY453" s="23"/>
      <c r="AZ453" s="413"/>
      <c r="BA453" s="23"/>
      <c r="BB453" s="413"/>
      <c r="BC453" s="23"/>
      <c r="BD453" s="413"/>
      <c r="BE453" s="23"/>
      <c r="BF453" s="56"/>
      <c r="BG453" s="23"/>
      <c r="BH453" s="56"/>
      <c r="BI453" s="23"/>
      <c r="BJ453" s="56"/>
      <c r="BK453" s="23"/>
      <c r="BL453" s="56"/>
      <c r="BM453" s="23"/>
      <c r="BN453" s="36"/>
      <c r="BO453" s="137"/>
      <c r="BP453" s="36"/>
      <c r="BQ453" s="112"/>
      <c r="BR453" s="36"/>
      <c r="BS453" s="56"/>
      <c r="BT453" s="36"/>
      <c r="BU453" s="56"/>
      <c r="BV453" s="23"/>
      <c r="BW453" s="56"/>
      <c r="BX453" s="23"/>
      <c r="BY453" s="255"/>
      <c r="BZ453" s="23"/>
      <c r="CA453" s="56"/>
      <c r="CB453" s="23"/>
      <c r="CC453" s="56"/>
      <c r="CD453" s="23"/>
      <c r="CE453" s="56"/>
      <c r="CF453" s="23"/>
      <c r="CG453" s="56"/>
      <c r="CH453" s="23"/>
      <c r="CI453" s="56"/>
      <c r="CJ453" s="23"/>
      <c r="CK453" s="56"/>
      <c r="CL453" s="23"/>
      <c r="CM453" s="56"/>
      <c r="CN453" s="23"/>
      <c r="CO453" s="56"/>
      <c r="CP453" s="23"/>
      <c r="CQ453" s="56"/>
      <c r="CR453" s="23"/>
      <c r="CS453" s="23"/>
    </row>
    <row r="454" spans="1:97" ht="12.75" hidden="1" customHeight="1" outlineLevel="1" x14ac:dyDescent="0.2">
      <c r="A454" s="13" t="s">
        <v>431</v>
      </c>
      <c r="B454" s="49"/>
      <c r="C454" s="59"/>
      <c r="D454" s="49"/>
      <c r="E454" s="59"/>
      <c r="F454" s="49"/>
      <c r="G454" s="59"/>
      <c r="H454" s="49"/>
      <c r="I454" s="59"/>
      <c r="J454" s="49"/>
      <c r="K454" s="23"/>
      <c r="L454" s="49"/>
      <c r="M454" s="23"/>
      <c r="N454" s="49"/>
      <c r="O454" s="23"/>
      <c r="P454" s="48">
        <v>607.79999999999995</v>
      </c>
      <c r="Q454" s="23"/>
      <c r="R454" s="254">
        <v>648.79999999999995</v>
      </c>
      <c r="S454" s="23"/>
      <c r="T454" s="49">
        <v>724.2</v>
      </c>
      <c r="U454" s="23"/>
      <c r="V454" s="49">
        <v>818.5</v>
      </c>
      <c r="W454" s="23"/>
      <c r="X454" s="49">
        <v>910.8</v>
      </c>
      <c r="Y454" s="23">
        <f>IF(ISERROR((X454/P454-1)*100),"NA",IF(((X454/P454-1)*100)&gt;100,"NM",IF(((X454/P454-1)*100)&lt;-50,"NM",(X454/P454-1)*100)))</f>
        <v>49.851924975320827</v>
      </c>
      <c r="Z454" s="49">
        <v>1019.2</v>
      </c>
      <c r="AA454" s="23"/>
      <c r="AB454" s="49">
        <v>1167</v>
      </c>
      <c r="AC454" s="23"/>
      <c r="AD454" s="49">
        <v>1312</v>
      </c>
      <c r="AE454" s="23"/>
      <c r="AF454" s="49">
        <v>2082.1999999999998</v>
      </c>
      <c r="AG454" s="23"/>
      <c r="AH454" s="49">
        <v>2275.8000000000002</v>
      </c>
      <c r="AI454" s="23"/>
      <c r="AJ454" s="49">
        <v>2676.8</v>
      </c>
      <c r="AK454" s="23"/>
      <c r="AL454" s="49">
        <v>2817.4</v>
      </c>
      <c r="AM454" s="23"/>
      <c r="AN454" s="158">
        <v>2976</v>
      </c>
      <c r="AO454" s="23"/>
      <c r="AP454" s="158">
        <v>3203.5</v>
      </c>
      <c r="AQ454" s="23"/>
      <c r="AR454" s="158">
        <v>3406.3</v>
      </c>
      <c r="AS454" s="23"/>
      <c r="AT454" s="158">
        <v>3892.4</v>
      </c>
      <c r="AU454" s="23"/>
      <c r="AV454" s="158">
        <v>37742.9</v>
      </c>
      <c r="AW454" s="23"/>
      <c r="AX454" s="158">
        <v>37424.5</v>
      </c>
      <c r="AY454" s="23"/>
      <c r="AZ454" s="158">
        <v>37352.5</v>
      </c>
      <c r="BA454" s="23"/>
      <c r="BB454" s="158">
        <v>37011</v>
      </c>
      <c r="BC454" s="23"/>
      <c r="BD454" s="158"/>
      <c r="BE454" s="23"/>
      <c r="BF454" s="217">
        <f t="shared" ref="BF454:BH454" si="2852">BD454</f>
        <v>0</v>
      </c>
      <c r="BG454" s="23"/>
      <c r="BH454" s="217">
        <f t="shared" si="2852"/>
        <v>0</v>
      </c>
      <c r="BI454" s="23"/>
      <c r="BJ454" s="217"/>
      <c r="BK454" s="23"/>
      <c r="BL454" s="217"/>
      <c r="BM454" s="23"/>
      <c r="BN454" s="36"/>
      <c r="BO454" s="137"/>
      <c r="BP454" s="36"/>
      <c r="BQ454" s="112"/>
      <c r="BR454" s="36"/>
      <c r="BS454" s="48"/>
      <c r="BT454" s="36"/>
      <c r="BU454" s="36"/>
      <c r="BV454" s="23"/>
      <c r="BW454" s="56">
        <f>P454</f>
        <v>607.79999999999995</v>
      </c>
      <c r="BX454" s="23"/>
      <c r="BY454" s="255">
        <f>X454</f>
        <v>910.8</v>
      </c>
      <c r="BZ454" s="23"/>
      <c r="CA454" s="56">
        <f>AF454</f>
        <v>2082.1999999999998</v>
      </c>
      <c r="CB454" s="23"/>
      <c r="CC454" s="56">
        <f>AN454</f>
        <v>2976</v>
      </c>
      <c r="CD454" s="23"/>
      <c r="CE454" s="56">
        <f>AV454</f>
        <v>37742.9</v>
      </c>
      <c r="CF454" s="23"/>
      <c r="CG454" s="56">
        <f>BD454</f>
        <v>0</v>
      </c>
      <c r="CH454" s="23"/>
      <c r="CI454" s="56">
        <f>BL454</f>
        <v>0</v>
      </c>
      <c r="CJ454" s="23"/>
      <c r="CK454" s="49"/>
      <c r="CL454" s="23"/>
      <c r="CM454" s="49"/>
      <c r="CN454" s="23"/>
      <c r="CO454" s="49"/>
      <c r="CP454" s="23"/>
      <c r="CQ454" s="49"/>
      <c r="CR454" s="23"/>
      <c r="CS454" s="23" t="str">
        <f>IF(ISERROR(((CQ454/CG454)^0.2-1)*100),"NA",IF((((CQ454/CG454)^0.2-1)*100)&gt;100,"NM",IF((((CQ454/CG454)^0.2-1)*100)&lt;-50,"NM",((CQ454/CG454)^0.2-1)*100)))</f>
        <v>NA</v>
      </c>
    </row>
    <row r="455" spans="1:97" ht="12.75" hidden="1" customHeight="1" outlineLevel="1" x14ac:dyDescent="0.2">
      <c r="A455" s="13" t="s">
        <v>183</v>
      </c>
      <c r="B455" s="49"/>
      <c r="C455" s="59"/>
      <c r="D455" s="49"/>
      <c r="E455" s="59"/>
      <c r="F455" s="49"/>
      <c r="G455" s="59"/>
      <c r="H455" s="49"/>
      <c r="I455" s="59"/>
      <c r="J455" s="49"/>
      <c r="K455" s="23"/>
      <c r="L455" s="49"/>
      <c r="M455" s="23"/>
      <c r="N455" s="49"/>
      <c r="O455" s="23"/>
      <c r="P455" s="48">
        <v>43198.400000000001</v>
      </c>
      <c r="Q455" s="23"/>
      <c r="R455" s="255">
        <f>R452+R454</f>
        <v>44546.6</v>
      </c>
      <c r="S455" s="23"/>
      <c r="T455" s="56">
        <f>T452+T454</f>
        <v>43359.399999999994</v>
      </c>
      <c r="U455" s="23"/>
      <c r="V455" s="56">
        <f>V452+V454</f>
        <v>44426.8</v>
      </c>
      <c r="W455" s="23"/>
      <c r="X455" s="56">
        <f>X452+X454</f>
        <v>45698.9</v>
      </c>
      <c r="Y455" s="23"/>
      <c r="Z455" s="56">
        <f>Z452+Z454</f>
        <v>45041.899999999994</v>
      </c>
      <c r="AA455" s="23"/>
      <c r="AB455" s="56">
        <f>AB452+AB454</f>
        <v>45390.3</v>
      </c>
      <c r="AC455" s="23"/>
      <c r="AD455" s="56">
        <f>AD452+AD454</f>
        <v>43550.100000000006</v>
      </c>
      <c r="AE455" s="23"/>
      <c r="AF455" s="56">
        <f>AF452+AF454</f>
        <v>43214.100000000006</v>
      </c>
      <c r="AG455" s="23"/>
      <c r="AH455" s="56">
        <f>AH452+AH454</f>
        <v>42967.600000000013</v>
      </c>
      <c r="AI455" s="23"/>
      <c r="AJ455" s="56">
        <f>AJ452+AJ454</f>
        <v>41579.30000000001</v>
      </c>
      <c r="AK455" s="23"/>
      <c r="AL455" s="56">
        <f>AL452+AL454</f>
        <v>38229.100000000013</v>
      </c>
      <c r="AM455" s="23"/>
      <c r="AN455" s="413">
        <f t="shared" ref="AN455:AP455" si="2853">AN452+AN454</f>
        <v>38551.80000000001</v>
      </c>
      <c r="AO455" s="23"/>
      <c r="AP455" s="413">
        <f t="shared" si="2853"/>
        <v>37851.400000000009</v>
      </c>
      <c r="AQ455" s="23"/>
      <c r="AR455" s="413">
        <f t="shared" ref="AR455:AT455" si="2854">AR452+AR454</f>
        <v>37634.200000000012</v>
      </c>
      <c r="AS455" s="23"/>
      <c r="AT455" s="413">
        <f t="shared" si="2854"/>
        <v>38092.80000000001</v>
      </c>
      <c r="AU455" s="23"/>
      <c r="AV455" s="413">
        <f t="shared" ref="AV455:AX455" si="2855">AV452+AV454</f>
        <v>70705.300000000017</v>
      </c>
      <c r="AW455" s="23"/>
      <c r="AX455" s="413">
        <f t="shared" si="2855"/>
        <v>69788.000000000015</v>
      </c>
      <c r="AY455" s="23"/>
      <c r="AZ455" s="413">
        <f t="shared" ref="AZ455" si="2856">AZ452+AZ454</f>
        <v>69593.000000000015</v>
      </c>
      <c r="BA455" s="23"/>
      <c r="BB455" s="413">
        <f t="shared" ref="BB455:BD455" si="2857">BB452+BB454</f>
        <v>68840.800000000017</v>
      </c>
      <c r="BC455" s="23"/>
      <c r="BD455" s="413">
        <f t="shared" si="2857"/>
        <v>31829.800000000014</v>
      </c>
      <c r="BE455" s="23"/>
      <c r="BF455" s="56">
        <f t="shared" ref="BF455" si="2858">BF452+BF454</f>
        <v>31850.300000000014</v>
      </c>
      <c r="BG455" s="23"/>
      <c r="BH455" s="56">
        <f t="shared" ref="BH455" si="2859">BH452+BH454</f>
        <v>31866.400000000012</v>
      </c>
      <c r="BI455" s="23"/>
      <c r="BJ455" s="56"/>
      <c r="BK455" s="23"/>
      <c r="BL455" s="56"/>
      <c r="BM455" s="23"/>
      <c r="BN455" s="36"/>
      <c r="BO455" s="137"/>
      <c r="BP455" s="36"/>
      <c r="BQ455" s="112"/>
      <c r="BR455" s="36"/>
      <c r="BS455" s="48"/>
      <c r="BT455" s="36"/>
      <c r="BU455" s="36"/>
      <c r="BV455" s="23"/>
      <c r="BW455" s="56">
        <f>P455</f>
        <v>43198.400000000001</v>
      </c>
      <c r="BX455" s="23"/>
      <c r="BY455" s="255">
        <f>BY452+BY454</f>
        <v>45698.9</v>
      </c>
      <c r="BZ455" s="23"/>
      <c r="CA455" s="56">
        <f>CA452+CA454</f>
        <v>43214.1</v>
      </c>
      <c r="CB455" s="23"/>
      <c r="CC455" s="56">
        <f>CC452+CC454</f>
        <v>38551.800000000003</v>
      </c>
      <c r="CD455" s="23"/>
      <c r="CE455" s="56">
        <f>CE452+CE454</f>
        <v>70705.3</v>
      </c>
      <c r="CF455" s="23"/>
      <c r="CG455" s="56">
        <f>CG452+CG454</f>
        <v>31829.800000000003</v>
      </c>
      <c r="CH455" s="23"/>
      <c r="CI455" s="56">
        <f>CI452+CI454</f>
        <v>31866.400000000001</v>
      </c>
      <c r="CJ455" s="23"/>
      <c r="CK455" s="56"/>
      <c r="CL455" s="23"/>
      <c r="CM455" s="56"/>
      <c r="CN455" s="23"/>
      <c r="CO455" s="56"/>
      <c r="CP455" s="23"/>
      <c r="CQ455" s="56"/>
      <c r="CR455" s="23"/>
      <c r="CS455" s="23" t="str">
        <f>IF(ISERROR(((CQ455/CG455)^0.2-1)*100),"NA",IF((((CQ455/CG455)^0.2-1)*100)&gt;100,"NM",IF((((CQ455/CG455)^0.2-1)*100)&lt;-50,"NM",((CQ455/CG455)^0.2-1)*100)))</f>
        <v>NM</v>
      </c>
    </row>
    <row r="456" spans="1:97" ht="12.75" hidden="1" customHeight="1" outlineLevel="1" x14ac:dyDescent="0.2">
      <c r="A456" s="13" t="s">
        <v>98</v>
      </c>
      <c r="B456" s="36">
        <f>AVERAGE(B452)</f>
        <v>48670.091999999997</v>
      </c>
      <c r="C456" s="59"/>
      <c r="D456" s="36">
        <f>AVERAGE(B452,D452)</f>
        <v>48117.807000000001</v>
      </c>
      <c r="E456" s="59"/>
      <c r="F456" s="36">
        <f>AVERAGE(D452,F452)</f>
        <v>44205.738499999999</v>
      </c>
      <c r="G456" s="59"/>
      <c r="H456" s="36">
        <f>AVERAGE(F452,H452)</f>
        <v>41745.746500000001</v>
      </c>
      <c r="I456" s="59"/>
      <c r="J456" s="36">
        <f>AVERAGE(H452,J452)</f>
        <v>43889.663499999995</v>
      </c>
      <c r="K456" s="23">
        <f t="shared" si="2813"/>
        <v>-9.8221069727996486</v>
      </c>
      <c r="L456" s="36">
        <f>AVERAGE(J452,L452)</f>
        <v>43988.587499999994</v>
      </c>
      <c r="M456" s="23">
        <f t="shared" si="2814"/>
        <v>-8.5814789938369547</v>
      </c>
      <c r="N456" s="36">
        <f>AVERAGE(L452,N452)</f>
        <v>43342.805999999997</v>
      </c>
      <c r="O456" s="23">
        <f t="shared" si="2815"/>
        <v>-1.952082533357069</v>
      </c>
      <c r="P456" s="36">
        <f>AVERAGE(N452,P452)</f>
        <v>43520.325999999994</v>
      </c>
      <c r="Q456" s="23">
        <f t="shared" si="2816"/>
        <v>4.250922905403054</v>
      </c>
      <c r="R456" s="255">
        <f>AVERAGE(P455,R455)</f>
        <v>43872.5</v>
      </c>
      <c r="S456" s="23">
        <f t="shared" si="2817"/>
        <v>-3.9106018664269993E-2</v>
      </c>
      <c r="T456" s="56">
        <f>AVERAGE(R455,T455)</f>
        <v>43953</v>
      </c>
      <c r="U456" s="23">
        <f t="shared" si="2818"/>
        <v>-8.0901665687704849E-2</v>
      </c>
      <c r="V456" s="56">
        <f>AVERAGE(T455,V455)</f>
        <v>43893.1</v>
      </c>
      <c r="W456" s="23">
        <f t="shared" si="2819"/>
        <v>1.2696316892819581</v>
      </c>
      <c r="X456" s="56">
        <f>AVERAGE(V455,X455)</f>
        <v>45062.850000000006</v>
      </c>
      <c r="Y456" s="23">
        <f t="shared" si="2820"/>
        <v>3.5443760232862553</v>
      </c>
      <c r="Z456" s="56">
        <f>AVERAGE(X455,Z455)</f>
        <v>45370.399999999994</v>
      </c>
      <c r="AA456" s="23">
        <f t="shared" si="2821"/>
        <v>3.4142116359906494</v>
      </c>
      <c r="AB456" s="56">
        <f>AVERAGE(Z455,AB455)</f>
        <v>45216.1</v>
      </c>
      <c r="AC456" s="23">
        <f t="shared" si="2822"/>
        <v>2.8737515072918773</v>
      </c>
      <c r="AD456" s="56">
        <f>AVERAGE(AB455,AD455)</f>
        <v>44470.200000000004</v>
      </c>
      <c r="AE456" s="23">
        <f t="shared" si="2823"/>
        <v>1.3147852395934745</v>
      </c>
      <c r="AF456" s="56">
        <f>AVERAGE(AD455,AF455)</f>
        <v>43382.100000000006</v>
      </c>
      <c r="AG456" s="23">
        <f t="shared" si="2824"/>
        <v>-3.7297907256198859</v>
      </c>
      <c r="AH456" s="56">
        <f>AVERAGE(AF455,AH455)</f>
        <v>43090.850000000006</v>
      </c>
      <c r="AI456" s="23">
        <f>IF(ISERROR((AH456/Z456-1)*100),"NA",IF(((AH456/Z456-1)*100)&gt;100,"NM",IF(((AH456/Z456-1)*100)&lt;-50,"NM",(AH456/Z456-1)*100)))</f>
        <v>-5.0243110045315671</v>
      </c>
      <c r="AJ456" s="56">
        <f>AVERAGE(AH455,AJ455)</f>
        <v>42273.450000000012</v>
      </c>
      <c r="AK456" s="23">
        <f>IF(ISERROR((AJ456/AB456-1)*100),"NA",IF(((AJ456/AB456-1)*100)&gt;100,"NM",IF(((AJ456/AB456-1)*100)&lt;-50,"NM",(AJ456/AB456-1)*100)))</f>
        <v>-6.5079695064368392</v>
      </c>
      <c r="AL456" s="56">
        <f>AVERAGE(AJ455,AL455)</f>
        <v>39904.200000000012</v>
      </c>
      <c r="AM456" s="23">
        <f>IF(ISERROR((AL456/AD456-1)*100),"NA",IF(((AL456/AD456-1)*100)&gt;100,"NM",IF(((AL456/AD456-1)*100)&lt;-50,"NM",(AL456/AD456-1)*100)))</f>
        <v>-10.267549954801181</v>
      </c>
      <c r="AN456" s="413">
        <f t="shared" ref="AN456:AP456" si="2860">AVERAGE(AL455,AN455)</f>
        <v>38390.450000000012</v>
      </c>
      <c r="AO456" s="23">
        <f>IF(ISERROR((AN456/AF456-1)*100),"NA",IF(((AN456/AF456-1)*100)&gt;100,"NM",IF(((AN456/AF456-1)*100)&lt;-50,"NM",(AN456/AF456-1)*100)))</f>
        <v>-11.506243358435842</v>
      </c>
      <c r="AP456" s="413">
        <f t="shared" si="2860"/>
        <v>38201.600000000006</v>
      </c>
      <c r="AQ456" s="23">
        <f t="shared" ref="AQ456" si="2861">IF(ISERROR((AP456/AH456-1)*100),"NA",IF(((AP456/AH456-1)*100)&gt;100,"NM",IF(((AP456/AH456-1)*100)&lt;-50,"NM",(AP456/AH456-1)*100)))</f>
        <v>-11.346376318870476</v>
      </c>
      <c r="AR456" s="413">
        <f t="shared" ref="AR456:AT456" si="2862">AVERAGE(AP455,AR455)</f>
        <v>37742.80000000001</v>
      </c>
      <c r="AS456" s="23">
        <f t="shared" ref="AS456" si="2863">IF(ISERROR((AR456/AJ456-1)*100),"NA",IF(((AR456/AJ456-1)*100)&gt;100,"NM",IF(((AR456/AJ456-1)*100)&lt;-50,"NM",(AR456/AJ456-1)*100)))</f>
        <v>-10.717483432272502</v>
      </c>
      <c r="AT456" s="413">
        <f t="shared" si="2862"/>
        <v>37863.500000000015</v>
      </c>
      <c r="AU456" s="23">
        <f t="shared" ref="AU456" si="2864">IF(ISERROR((AT456/AL456-1)*100),"NA",IF(((AT456/AL456-1)*100)&gt;100,"NM",IF(((AT456/AL456-1)*100)&lt;-50,"NM",(AT456/AL456-1)*100)))</f>
        <v>-5.1139980252705168</v>
      </c>
      <c r="AV456" s="413">
        <f t="shared" ref="AV456:AX456" si="2865">AVERAGE(AT455,AV455)</f>
        <v>54399.050000000017</v>
      </c>
      <c r="AW456" s="23">
        <f t="shared" ref="AW456" si="2866">IF(ISERROR((AV456/AN456-1)*100),"NA",IF(((AV456/AN456-1)*100)&gt;100,"NM",IF(((AV456/AN456-1)*100)&lt;-50,"NM",(AV456/AN456-1)*100)))</f>
        <v>41.699433062128733</v>
      </c>
      <c r="AX456" s="413">
        <f t="shared" si="2865"/>
        <v>70246.650000000023</v>
      </c>
      <c r="AY456" s="23">
        <f t="shared" ref="AY456" si="2867">IF(ISERROR((AX456/AP456-1)*100),"NA",IF(((AX456/AP456-1)*100)&gt;100,"NM",IF(((AX456/AP456-1)*100)&lt;-50,"NM",(AX456/AP456-1)*100)))</f>
        <v>83.884051976880585</v>
      </c>
      <c r="AZ456" s="413">
        <f t="shared" ref="AZ456" si="2868">AVERAGE(AX455,AZ455)</f>
        <v>69690.500000000015</v>
      </c>
      <c r="BA456" s="23">
        <f t="shared" ref="BA456" si="2869">IF(ISERROR((AZ456/AR456-1)*100),"NA",IF(((AZ456/AR456-1)*100)&gt;100,"NM",IF(((AZ456/AR456-1)*100)&lt;-50,"NM",(AZ456/AR456-1)*100)))</f>
        <v>84.645813241200955</v>
      </c>
      <c r="BB456" s="413">
        <f t="shared" ref="BB456:BD456" si="2870">AVERAGE(AZ455,BB455)</f>
        <v>69216.900000000023</v>
      </c>
      <c r="BC456" s="23">
        <f t="shared" ref="BC456" si="2871">IF(ISERROR((BB456/AT456-1)*100),"NA",IF(((BB456/AT456-1)*100)&gt;100,"NM",IF(((BB456/AT456-1)*100)&lt;-50,"NM",(BB456/AT456-1)*100)))</f>
        <v>82.806396661692645</v>
      </c>
      <c r="BD456" s="413">
        <f t="shared" si="2870"/>
        <v>50335.300000000017</v>
      </c>
      <c r="BE456" s="23">
        <f t="shared" ref="BE456" si="2872">IF(ISERROR((BD456/AV456-1)*100),"NA",IF(((BD456/AV456-1)*100)&gt;100,"NM",IF(((BD456/AV456-1)*100)&lt;-50,"NM",(BD456/AV456-1)*100)))</f>
        <v>-7.4702591313635107</v>
      </c>
      <c r="BF456" s="56">
        <f t="shared" ref="BF456:BH456" si="2873">AVERAGE(BD455,BF455)</f>
        <v>31840.050000000014</v>
      </c>
      <c r="BG456" s="23" t="str">
        <f t="shared" ref="BG456" si="2874">IF(ISERROR((BF456/AX456-1)*100),"NA",IF(((BF456/AX456-1)*100)&gt;100,"NM",IF(((BF456/AX456-1)*100)&lt;-50,"NM",(BF456/AX456-1)*100)))</f>
        <v>NM</v>
      </c>
      <c r="BH456" s="56">
        <f t="shared" si="2873"/>
        <v>31858.350000000013</v>
      </c>
      <c r="BI456" s="23" t="str">
        <f t="shared" ref="BI456" si="2875">IF(ISERROR((BH456/AZ456-1)*100),"NA",IF(((BH456/AZ456-1)*100)&gt;100,"NM",IF(((BH456/AZ456-1)*100)&lt;-50,"NM",(BH456/AZ456-1)*100)))</f>
        <v>NM</v>
      </c>
      <c r="BJ456" s="56"/>
      <c r="BK456" s="23"/>
      <c r="BL456" s="56"/>
      <c r="BM456" s="23" t="str">
        <f t="shared" ref="BM456" si="2876">IF(ISERROR((BL456/BD456-1)*100),"NA",IF(((BL456/BD456-1)*100)&gt;100,"NM",IF(((BL456/BD456-1)*100)&lt;-50,"NM",(BL456/BD456-1)*100)))</f>
        <v>NM</v>
      </c>
      <c r="BN456" s="36"/>
      <c r="BO456" s="137"/>
      <c r="BP456" s="36"/>
      <c r="BQ456" s="112"/>
      <c r="BR456" s="36"/>
      <c r="BS456" s="56">
        <f>AVERAGE(BS452,BS448)</f>
        <v>47310.75</v>
      </c>
      <c r="BT456" s="36"/>
      <c r="BU456" s="56">
        <f>AVERAGE(BU452,BU448)</f>
        <v>45311.618999999992</v>
      </c>
      <c r="BV456" s="23">
        <f t="shared" si="2842"/>
        <v>-4.2255322521837169</v>
      </c>
      <c r="BW456" s="56">
        <f>AVERAGE(BW452,BW448)</f>
        <v>42921.981999999989</v>
      </c>
      <c r="BX456" s="23">
        <f t="shared" si="2843"/>
        <v>-5.2737841920854844</v>
      </c>
      <c r="BY456" s="255">
        <f>AVERAGE(BY455,BW455)</f>
        <v>44448.65</v>
      </c>
      <c r="BZ456" s="23">
        <f>IF(ISERROR((BY456/BW456-1)*100),"NA",IF(((BY456/BW456-1)*100)&gt;100,"NM",IF(((BY456/BW456-1)*100)&lt;-50,"NM",(BY456/BW456-1)*100)))</f>
        <v>3.556844136414794</v>
      </c>
      <c r="CA456" s="56">
        <f>AVERAGE(CA455,BY455)</f>
        <v>44456.5</v>
      </c>
      <c r="CB456" s="23">
        <f>IF(ISERROR((CA456/BY456-1)*100),"NA",IF(((CA456/BY456-1)*100)&gt;100,"NM",IF(((CA456/BY456-1)*100)&lt;-50,"NM",(CA456/BY456-1)*100)))</f>
        <v>1.7660828844068277E-2</v>
      </c>
      <c r="CC456" s="56">
        <f>AVERAGE(CC455,CA455)</f>
        <v>40882.949999999997</v>
      </c>
      <c r="CD456" s="23">
        <f>IF(ISERROR((CC456/CA456-1)*100),"NA",IF(((CC456/CA456-1)*100)&gt;100,"NM",IF(((CC456/CA456-1)*100)&lt;-50,"NM",(CC456/CA456-1)*100)))</f>
        <v>-8.0383071091966407</v>
      </c>
      <c r="CE456" s="56">
        <f>AVERAGE(CE455,CC455)</f>
        <v>54628.55</v>
      </c>
      <c r="CF456" s="23">
        <f>IF(ISERROR((CE456/CC456-1)*100),"NA",IF(((CE456/CC456-1)*100)&gt;100,"NM",IF(((CE456/CC456-1)*100)&lt;-50,"NM",(CE456/CC456-1)*100)))</f>
        <v>33.621839911258867</v>
      </c>
      <c r="CG456" s="56">
        <f>AVERAGE(CG455,CE455)</f>
        <v>51267.55</v>
      </c>
      <c r="CH456" s="23">
        <f>IF(ISERROR((CG456/CE456-1)*100),"NA",IF(((CG456/CE456-1)*100)&gt;100,"NM",IF(((CG456/CE456-1)*100)&lt;-50,"NM",(CG456/CE456-1)*100)))</f>
        <v>-6.1524605723564001</v>
      </c>
      <c r="CI456" s="56">
        <f>AVERAGE(CI455,CG455)</f>
        <v>31848.100000000002</v>
      </c>
      <c r="CJ456" s="23">
        <f>IF(ISERROR((CI456/CG456-1)*100),"NA",IF(((CI456/CG456-1)*100)&gt;100,"NM",IF(((CI456/CG456-1)*100)&lt;-50,"NM",(CI456/CG456-1)*100)))</f>
        <v>-37.878638632039177</v>
      </c>
      <c r="CK456" s="56"/>
      <c r="CL456" s="23"/>
      <c r="CM456" s="56"/>
      <c r="CN456" s="23"/>
      <c r="CO456" s="56"/>
      <c r="CP456" s="23"/>
      <c r="CQ456" s="56"/>
      <c r="CR456" s="23" t="str">
        <f>IF(ISERROR((CQ456/CO456-1)*100),"NA",IF(((CQ456/CO456-1)*100)&gt;100,"NM",IF(((CQ456/CO456-1)*100)&lt;-50,"NM",(CQ456/CO456-1)*100)))</f>
        <v>NA</v>
      </c>
      <c r="CS456" s="23" t="str">
        <f>IF(ISERROR(((CQ456/CG456)^0.2-1)*100),"NA",IF((((CQ456/CG456)^0.2-1)*100)&gt;100,"NM",IF((((CQ456/CG456)^0.2-1)*100)&lt;-50,"NM",((CQ456/CG456)^0.2-1)*100)))</f>
        <v>NM</v>
      </c>
    </row>
    <row r="457" spans="1:97" ht="12.75" hidden="1" customHeight="1" outlineLevel="1" x14ac:dyDescent="0.2">
      <c r="A457" s="13"/>
      <c r="B457" s="36"/>
      <c r="C457" s="60"/>
      <c r="D457" s="36"/>
      <c r="E457" s="60"/>
      <c r="F457" s="36"/>
      <c r="G457" s="60"/>
      <c r="H457" s="36"/>
      <c r="I457" s="60"/>
      <c r="J457" s="36"/>
      <c r="K457" s="23"/>
      <c r="L457" s="36"/>
      <c r="M457" s="23"/>
      <c r="N457" s="36"/>
      <c r="O457" s="23"/>
      <c r="P457" s="36"/>
      <c r="Q457" s="23"/>
      <c r="R457" s="255"/>
      <c r="S457" s="23"/>
      <c r="T457" s="56"/>
      <c r="U457" s="23"/>
      <c r="V457" s="56"/>
      <c r="W457" s="23"/>
      <c r="X457" s="56"/>
      <c r="Y457" s="23"/>
      <c r="Z457" s="56"/>
      <c r="AA457" s="23"/>
      <c r="AB457" s="56"/>
      <c r="AC457" s="23"/>
      <c r="AD457" s="56"/>
      <c r="AE457" s="23"/>
      <c r="AF457" s="56"/>
      <c r="AG457" s="23"/>
      <c r="AH457" s="56"/>
      <c r="AI457" s="23"/>
      <c r="AJ457" s="56"/>
      <c r="AK457" s="23"/>
      <c r="AL457" s="56"/>
      <c r="AM457" s="23"/>
      <c r="AN457" s="413"/>
      <c r="AO457" s="23"/>
      <c r="AP457" s="413"/>
      <c r="AQ457" s="23"/>
      <c r="AR457" s="413"/>
      <c r="AS457" s="23"/>
      <c r="AT457" s="413"/>
      <c r="AU457" s="23"/>
      <c r="AV457" s="413"/>
      <c r="AW457" s="23"/>
      <c r="AX457" s="413"/>
      <c r="AY457" s="23"/>
      <c r="AZ457" s="413"/>
      <c r="BA457" s="23"/>
      <c r="BB457" s="413"/>
      <c r="BC457" s="23"/>
      <c r="BD457" s="413"/>
      <c r="BE457" s="23"/>
      <c r="BF457" s="56"/>
      <c r="BG457" s="23"/>
      <c r="BH457" s="56"/>
      <c r="BI457" s="23"/>
      <c r="BJ457" s="56"/>
      <c r="BK457" s="23"/>
      <c r="BL457" s="56"/>
      <c r="BM457" s="23"/>
      <c r="BN457" s="36"/>
      <c r="BO457" s="137"/>
      <c r="BP457" s="36"/>
      <c r="BQ457" s="36"/>
      <c r="BR457" s="36"/>
      <c r="BS457" s="36"/>
      <c r="BT457" s="36"/>
      <c r="BU457" s="36"/>
      <c r="BV457" s="23"/>
      <c r="BW457" s="56"/>
      <c r="BX457" s="23"/>
      <c r="BY457" s="255"/>
      <c r="BZ457" s="23"/>
      <c r="CA457" s="56"/>
      <c r="CB457" s="23"/>
      <c r="CC457" s="56"/>
      <c r="CD457" s="23"/>
      <c r="CE457" s="56"/>
      <c r="CF457" s="23"/>
      <c r="CG457" s="56"/>
      <c r="CH457" s="23"/>
      <c r="CI457" s="56"/>
      <c r="CJ457" s="23"/>
      <c r="CK457" s="56"/>
      <c r="CL457" s="23"/>
      <c r="CM457" s="56"/>
      <c r="CN457" s="23"/>
      <c r="CO457" s="56"/>
      <c r="CP457" s="23"/>
      <c r="CQ457" s="56"/>
      <c r="CR457" s="23"/>
      <c r="CS457" s="23"/>
    </row>
    <row r="458" spans="1:97" ht="12.75" hidden="1" customHeight="1" outlineLevel="1" x14ac:dyDescent="0.2">
      <c r="A458" s="13" t="s">
        <v>239</v>
      </c>
      <c r="B458" s="36">
        <f>B449+B450</f>
        <v>-1016.7589999999999</v>
      </c>
      <c r="C458" s="59"/>
      <c r="D458" s="36">
        <f>D449+D450</f>
        <v>-1048.375</v>
      </c>
      <c r="E458" s="59"/>
      <c r="F458" s="36">
        <f>F449+F450</f>
        <v>-898.39700000000005</v>
      </c>
      <c r="G458" s="59"/>
      <c r="H458" s="36">
        <f>H449+H450</f>
        <v>-826.02800000000002</v>
      </c>
      <c r="I458" s="59"/>
      <c r="J458" s="36">
        <f>J449+J450</f>
        <v>-896.351</v>
      </c>
      <c r="K458" s="23">
        <f>IF(ISERROR((J458/B458-1)*100),"NA",IF(((J458/B458-1)*100)&gt;100,"NM",IF(((J458/B458-1)*100)&lt;-50,"NM",(J458/B458-1)*100)))</f>
        <v>-11.842334319145431</v>
      </c>
      <c r="L458" s="36">
        <f>L449+L450</f>
        <v>-834.81499999999994</v>
      </c>
      <c r="M458" s="23">
        <f>IF(ISERROR((L458/D458-1)*100),"NA",IF(((L458/D458-1)*100)&gt;100,"NM",IF(((L458/D458-1)*100)&lt;-50,"NM",(L458/D458-1)*100)))</f>
        <v>-20.370573506617383</v>
      </c>
      <c r="N458" s="36">
        <f>N449+N450</f>
        <v>-838.14300000000003</v>
      </c>
      <c r="O458" s="23">
        <f>IF(ISERROR((N458/F458-1)*100),"NA",IF(((N458/F458-1)*100)&gt;100,"NM",IF(((N458/F458-1)*100)&lt;-50,"NM",(N458/F458-1)*100)))</f>
        <v>-6.7068345063485353</v>
      </c>
      <c r="P458" s="36">
        <f>P449+P450</f>
        <v>-949.49999999999989</v>
      </c>
      <c r="Q458" s="23">
        <f t="shared" si="2816"/>
        <v>14.947677318444397</v>
      </c>
      <c r="R458" s="255">
        <f>R449+R450</f>
        <v>-982.9</v>
      </c>
      <c r="S458" s="23">
        <f>IF(ISERROR((R458/J458-1)*100),"NA",IF(((R458/J458-1)*100)&gt;100,"NM",IF(((R458/J458-1)*100)&lt;-50,"NM",(R458/J458-1)*100)))</f>
        <v>9.6557040712845765</v>
      </c>
      <c r="T458" s="56">
        <f>T449+T450</f>
        <v>-1095.6000000000001</v>
      </c>
      <c r="U458" s="23">
        <f>IF(ISERROR((T458/L458-1)*100),"NA",IF(((T458/L458-1)*100)&gt;100,"NM",IF(((T458/L458-1)*100)&lt;-50,"NM",(T458/L458-1)*100)))</f>
        <v>31.23865766666869</v>
      </c>
      <c r="V458" s="56">
        <f>V449+V450</f>
        <v>-1036.2</v>
      </c>
      <c r="W458" s="23">
        <f>IF(ISERROR((V458/N458-1)*100),"NA",IF(((V458/N458-1)*100)&gt;100,"NM",IF(((V458/N458-1)*100)&lt;-50,"NM",(V458/N458-1)*100)))</f>
        <v>23.630454468986795</v>
      </c>
      <c r="X458" s="56">
        <f>X449+X450</f>
        <v>-1117.4000000000001</v>
      </c>
      <c r="Y458" s="23">
        <f>IF(ISERROR((X458/P458-1)*100),"NA",IF(((X458/P458-1)*100)&gt;100,"NM",IF(((X458/P458-1)*100)&lt;-50,"NM",(X458/P458-1)*100)))</f>
        <v>17.68299104791997</v>
      </c>
      <c r="Z458" s="56">
        <f>Z449+Z450</f>
        <v>-1180.8000000000002</v>
      </c>
      <c r="AA458" s="23">
        <f>IF(ISERROR((Z458/R458-1)*100),"NA",IF(((Z458/R458-1)*100)&gt;100,"NM",IF(((Z458/R458-1)*100)&lt;-50,"NM",(Z458/R458-1)*100)))</f>
        <v>20.134296469630698</v>
      </c>
      <c r="AB458" s="56">
        <f>AB449+AB450</f>
        <v>-1262.1999999999998</v>
      </c>
      <c r="AC458" s="23">
        <f>IF(ISERROR((AB458/T458-1)*100),"NA",IF(((AB458/T458-1)*100)&gt;100,"NM",IF(((AB458/T458-1)*100)&lt;-50,"NM",(AB458/T458-1)*100)))</f>
        <v>15.206279664110966</v>
      </c>
      <c r="AD458" s="56">
        <f>AD449+AD450</f>
        <v>-1225.1999999999998</v>
      </c>
      <c r="AE458" s="23">
        <f>IF(ISERROR((AD458/V458-1)*100),"NA",IF(((AD458/V458-1)*100)&gt;100,"NM",IF(((AD458/V458-1)*100)&lt;-50,"NM",(AD458/V458-1)*100)))</f>
        <v>18.239722061378096</v>
      </c>
      <c r="AF458" s="56">
        <f>AF449+AF450</f>
        <v>-1755.1</v>
      </c>
      <c r="AG458" s="23">
        <f>IF(ISERROR((AF458/X458-1)*100),"NA",IF(((AF458/X458-1)*100)&gt;100,"NM",IF(((AF458/X458-1)*100)&lt;-50,"NM",(AF458/X458-1)*100)))</f>
        <v>57.069983891175923</v>
      </c>
      <c r="AH458" s="56">
        <f>AH449+AH450</f>
        <v>-1195.5</v>
      </c>
      <c r="AI458" s="23">
        <f>IF(ISERROR((AH458/Z458-1)*100),"NA",IF(((AH458/Z458-1)*100)&gt;100,"NM",IF(((AH458/Z458-1)*100)&lt;-50,"NM",(AH458/Z458-1)*100)))</f>
        <v>1.2449186991869698</v>
      </c>
      <c r="AJ458" s="56">
        <f>AJ449+AJ450</f>
        <v>-1405.5</v>
      </c>
      <c r="AK458" s="23">
        <f>IF(ISERROR((AJ458/AB458-1)*100),"NA",IF(((AJ458/AB458-1)*100)&gt;100,"NM",IF(((AJ458/AB458-1)*100)&lt;-50,"NM",(AJ458/AB458-1)*100)))</f>
        <v>11.353192837902082</v>
      </c>
      <c r="AL458" s="56">
        <f>AL449+AL450</f>
        <v>-988.80000000000007</v>
      </c>
      <c r="AM458" s="23">
        <f>IF(ISERROR((AL458/AD458-1)*100),"NA",IF(((AL458/AD458-1)*100)&gt;100,"NM",IF(((AL458/AD458-1)*100)&lt;-50,"NM",(AL458/AD458-1)*100)))</f>
        <v>-19.29480901077374</v>
      </c>
      <c r="AN458" s="413">
        <f t="shared" ref="AN458:AP458" si="2877">AN449+AN450</f>
        <v>-945.4</v>
      </c>
      <c r="AO458" s="23">
        <f>IF(ISERROR((AN458/AF458-1)*100),"NA",IF(((AN458/AF458-1)*100)&gt;100,"NM",IF(((AN458/AF458-1)*100)&lt;-50,"NM",(AN458/AF458-1)*100)))</f>
        <v>-46.134123411771412</v>
      </c>
      <c r="AP458" s="413">
        <f t="shared" si="2877"/>
        <v>-857.19999999999993</v>
      </c>
      <c r="AQ458" s="23">
        <f t="shared" ref="AQ458" si="2878">IF(ISERROR((AP458/AH458-1)*100),"NA",IF(((AP458/AH458-1)*100)&gt;100,"NM",IF(((AP458/AH458-1)*100)&lt;-50,"NM",(AP458/AH458-1)*100)))</f>
        <v>-28.297783354245087</v>
      </c>
      <c r="AR458" s="413">
        <f t="shared" ref="AR458:AT458" si="2879">AR449+AR450</f>
        <v>-899.3</v>
      </c>
      <c r="AS458" s="23">
        <f t="shared" ref="AS458" si="2880">IF(ISERROR((AR458/AJ458-1)*100),"NA",IF(((AR458/AJ458-1)*100)&gt;100,"NM",IF(((AR458/AJ458-1)*100)&lt;-50,"NM",(AR458/AJ458-1)*100)))</f>
        <v>-36.015652792600505</v>
      </c>
      <c r="AT458" s="413">
        <f t="shared" si="2879"/>
        <v>-1083.7</v>
      </c>
      <c r="AU458" s="23">
        <f t="shared" ref="AU458" si="2881">IF(ISERROR((AT458/AL458-1)*100),"NA",IF(((AT458/AL458-1)*100)&gt;100,"NM",IF(((AT458/AL458-1)*100)&lt;-50,"NM",(AT458/AL458-1)*100)))</f>
        <v>9.5974919093851021</v>
      </c>
      <c r="AV458" s="413">
        <f t="shared" ref="AV458:AX458" si="2882">AV449+AV450</f>
        <v>-1391.2</v>
      </c>
      <c r="AW458" s="23">
        <f t="shared" ref="AW458" si="2883">IF(ISERROR((AV458/AN458-1)*100),"NA",IF(((AV458/AN458-1)*100)&gt;100,"NM",IF(((AV458/AN458-1)*100)&lt;-50,"NM",(AV458/AN458-1)*100)))</f>
        <v>47.15464353712715</v>
      </c>
      <c r="AX458" s="413">
        <f t="shared" si="2882"/>
        <v>-2031.1</v>
      </c>
      <c r="AY458" s="23" t="str">
        <f t="shared" ref="AY458" si="2884">IF(ISERROR((AX458/AP458-1)*100),"NA",IF(((AX458/AP458-1)*100)&gt;100,"NM",IF(((AX458/AP458-1)*100)&lt;-50,"NM",(AX458/AP458-1)*100)))</f>
        <v>NM</v>
      </c>
      <c r="AZ458" s="413">
        <f t="shared" ref="AZ458" si="2885">AZ449+AZ450</f>
        <v>-923.4</v>
      </c>
      <c r="BA458" s="23">
        <f t="shared" ref="BA458" si="2886">IF(ISERROR((AZ458/AR458-1)*100),"NA",IF(((AZ458/AR458-1)*100)&gt;100,"NM",IF(((AZ458/AR458-1)*100)&lt;-50,"NM",(AZ458/AR458-1)*100)))</f>
        <v>2.6798621149783264</v>
      </c>
      <c r="BB458" s="413">
        <f t="shared" ref="BB458:BD458" si="2887">BB449+BB450</f>
        <v>-1260.8999999999999</v>
      </c>
      <c r="BC458" s="23">
        <f t="shared" ref="BC458" si="2888">IF(ISERROR((BB458/AT458-1)*100),"NA",IF(((BB458/AT458-1)*100)&gt;100,"NM",IF(((BB458/AT458-1)*100)&lt;-50,"NM",(BB458/AT458-1)*100)))</f>
        <v>16.351388760727126</v>
      </c>
      <c r="BD458" s="413">
        <f t="shared" si="2887"/>
        <v>0</v>
      </c>
      <c r="BE458" s="23" t="str">
        <f t="shared" ref="BE458" si="2889">IF(ISERROR((BD458/AV458-1)*100),"NA",IF(((BD458/AV458-1)*100)&gt;100,"NM",IF(((BD458/AV458-1)*100)&lt;-50,"NM",(BD458/AV458-1)*100)))</f>
        <v>NM</v>
      </c>
      <c r="BF458" s="56">
        <f t="shared" ref="BF458" si="2890">BF449+BF450</f>
        <v>20.5</v>
      </c>
      <c r="BG458" s="23" t="str">
        <f t="shared" ref="BG458" si="2891">IF(ISERROR((BF458/AX458-1)*100),"NA",IF(((BF458/AX458-1)*100)&gt;100,"NM",IF(((BF458/AX458-1)*100)&lt;-50,"NM",(BF458/AX458-1)*100)))</f>
        <v>NM</v>
      </c>
      <c r="BH458" s="56">
        <f t="shared" ref="BH458" si="2892">BH449+BH450</f>
        <v>16.100000000000001</v>
      </c>
      <c r="BI458" s="23" t="str">
        <f t="shared" ref="BI458" si="2893">IF(ISERROR((BH458/AZ458-1)*100),"NA",IF(((BH458/AZ458-1)*100)&gt;100,"NM",IF(((BH458/AZ458-1)*100)&lt;-50,"NM",(BH458/AZ458-1)*100)))</f>
        <v>NM</v>
      </c>
      <c r="BJ458" s="56"/>
      <c r="BK458" s="23"/>
      <c r="BL458" s="56"/>
      <c r="BM458" s="23" t="str">
        <f t="shared" ref="BM458" si="2894">IF(ISERROR((BL458/BD458-1)*100),"NA",IF(((BL458/BD458-1)*100)&gt;100,"NM",IF(((BL458/BD458-1)*100)&lt;-50,"NM",(BL458/BD458-1)*100)))</f>
        <v>NA</v>
      </c>
      <c r="BN458" s="36"/>
      <c r="BO458" s="137"/>
      <c r="BP458" s="36"/>
      <c r="BQ458" s="112"/>
      <c r="BR458" s="36"/>
      <c r="BS458" s="56">
        <f>BS449+BS450</f>
        <v>-3012.5</v>
      </c>
      <c r="BT458" s="36"/>
      <c r="BU458" s="56">
        <f>BU449+BU450</f>
        <v>-3789.5590000000002</v>
      </c>
      <c r="BV458" s="23">
        <f>IF(ISERROR((BU458/BS458-1)*100),"NA",IF(((BU458/BS458-1)*100)&gt;100,"NM",IF(((BU458/BS458-1)*100)&lt;-50,"NM",(BU458/BS458-1)*100)))</f>
        <v>25.794489626556015</v>
      </c>
      <c r="BW458" s="56">
        <f>BW449+BW450</f>
        <v>-3518.8090000000002</v>
      </c>
      <c r="BX458" s="23">
        <f>IF(ISERROR((BW458/BU458-1)*100),"NA",IF(((BW458/BU458-1)*100)&gt;100,"NM",IF(((BW458/BU458-1)*100)&lt;-50,"NM",(BW458/BU458-1)*100)))</f>
        <v>-7.1446308132423813</v>
      </c>
      <c r="BY458" s="255">
        <f>BY449+BY450</f>
        <v>-4232.0999999999995</v>
      </c>
      <c r="BZ458" s="23">
        <f>IF(ISERROR((BY458/BW458-1)*100),"NA",IF(((BY458/BW458-1)*100)&gt;100,"NM",IF(((BY458/BW458-1)*100)&lt;-50,"NM",(BY458/BW458-1)*100)))</f>
        <v>20.270807537436642</v>
      </c>
      <c r="CA458" s="56">
        <f>CA449+CA450</f>
        <v>-5423.3</v>
      </c>
      <c r="CB458" s="23">
        <f>IF(ISERROR((CA458/BY458-1)*100),"NA",IF(((CA458/BY458-1)*100)&gt;100,"NM",IF(((CA458/BY458-1)*100)&lt;-50,"NM",(CA458/BY458-1)*100)))</f>
        <v>28.146782921008494</v>
      </c>
      <c r="CC458" s="56">
        <f>CC449+CC450</f>
        <v>-4535.2</v>
      </c>
      <c r="CD458" s="23">
        <f>IF(ISERROR((CC458/CA458-1)*100),"NA",IF(((CC458/CA458-1)*100)&gt;100,"NM",IF(((CC458/CA458-1)*100)&lt;-50,"NM",(CC458/CA458-1)*100)))</f>
        <v>-16.375638448914877</v>
      </c>
      <c r="CE458" s="56">
        <f>CE449+CE450</f>
        <v>-4231.3999999999996</v>
      </c>
      <c r="CF458" s="23">
        <f>IF(ISERROR((CE458/CC458-1)*100),"NA",IF(((CE458/CC458-1)*100)&gt;100,"NM",IF(((CE458/CC458-1)*100)&lt;-50,"NM",(CE458/CC458-1)*100)))</f>
        <v>-6.6987122949373816</v>
      </c>
      <c r="CG458" s="56">
        <f>CG449+CG450</f>
        <v>-4215.3999999999996</v>
      </c>
      <c r="CH458" s="23">
        <f>IF(ISERROR((CG458/CE458-1)*100),"NA",IF(((CG458/CE458-1)*100)&gt;100,"NM",IF(((CG458/CE458-1)*100)&lt;-50,"NM",(CG458/CE458-1)*100)))</f>
        <v>-0.37812544311575103</v>
      </c>
      <c r="CI458" s="56">
        <f>CI449+CI450</f>
        <v>36.6</v>
      </c>
      <c r="CJ458" s="23" t="str">
        <f>IF(ISERROR((CI458/CG458-1)*100),"NA",IF(((CI458/CG458-1)*100)&gt;100,"NM",IF(((CI458/CG458-1)*100)&lt;-50,"NM",(CI458/CG458-1)*100)))</f>
        <v>NM</v>
      </c>
      <c r="CK458" s="56"/>
      <c r="CL458" s="23"/>
      <c r="CM458" s="56"/>
      <c r="CN458" s="23"/>
      <c r="CO458" s="56"/>
      <c r="CP458" s="23"/>
      <c r="CQ458" s="56"/>
      <c r="CR458" s="23" t="str">
        <f>IF(ISERROR((CQ458/CO458-1)*100),"NA",IF(((CQ458/CO458-1)*100)&gt;100,"NM",IF(((CQ458/CO458-1)*100)&lt;-50,"NM",(CQ458/CO458-1)*100)))</f>
        <v>NA</v>
      </c>
      <c r="CS458" s="23" t="str">
        <f>IF(ISERROR(((CQ458/CG458)^0.2-1)*100),"NA",IF((((CQ458/CG458)^0.2-1)*100)&gt;100,"NM",IF((((CQ458/CG458)^0.2-1)*100)&lt;-50,"NM",((CQ458/CG458)^0.2-1)*100)))</f>
        <v>NM</v>
      </c>
    </row>
    <row r="459" spans="1:97" ht="12.75" hidden="1" customHeight="1" outlineLevel="1" x14ac:dyDescent="0.2">
      <c r="B459" s="35"/>
      <c r="C459" s="60"/>
      <c r="D459" s="35"/>
      <c r="E459" s="60"/>
      <c r="F459" s="35"/>
      <c r="G459" s="60"/>
      <c r="H459" s="35"/>
      <c r="I459" s="60"/>
      <c r="J459" s="35"/>
      <c r="K459" s="177"/>
      <c r="L459" s="35"/>
      <c r="M459" s="177"/>
      <c r="N459" s="35"/>
      <c r="O459" s="177"/>
      <c r="P459" s="35"/>
      <c r="Q459" s="177"/>
      <c r="R459" s="37"/>
      <c r="S459" s="177"/>
      <c r="T459" s="37"/>
      <c r="U459" s="177"/>
      <c r="V459" s="37"/>
      <c r="W459" s="177"/>
      <c r="X459" s="37"/>
      <c r="Y459" s="177"/>
      <c r="Z459" s="37"/>
      <c r="AA459" s="177"/>
      <c r="AB459" s="37"/>
      <c r="AC459" s="177"/>
      <c r="AD459" s="37"/>
      <c r="AE459" s="177"/>
      <c r="AF459" s="37"/>
      <c r="AG459" s="177"/>
      <c r="AH459" s="37"/>
      <c r="AI459" s="177"/>
      <c r="AJ459" s="37"/>
      <c r="AK459" s="177"/>
      <c r="AL459" s="37"/>
      <c r="AM459" s="177"/>
      <c r="AN459" s="411"/>
      <c r="AO459" s="177"/>
      <c r="AP459" s="411"/>
      <c r="AQ459" s="177"/>
      <c r="AR459" s="411"/>
      <c r="AS459" s="177"/>
      <c r="AT459" s="411"/>
      <c r="AU459" s="177"/>
      <c r="AV459" s="411"/>
      <c r="AW459" s="177"/>
      <c r="AX459" s="411"/>
      <c r="AY459" s="177"/>
      <c r="AZ459" s="411"/>
      <c r="BA459" s="177"/>
      <c r="BB459" s="411"/>
      <c r="BC459" s="177"/>
      <c r="BD459" s="411"/>
      <c r="BE459" s="177"/>
      <c r="BF459" s="37"/>
      <c r="BG459" s="177"/>
      <c r="BH459" s="37"/>
      <c r="BI459" s="177"/>
      <c r="BJ459" s="37"/>
      <c r="BK459" s="177"/>
      <c r="BL459" s="37"/>
      <c r="BM459" s="177"/>
      <c r="BN459" s="5"/>
      <c r="BO459" s="136"/>
      <c r="BP459" s="5"/>
      <c r="BQ459" s="32"/>
      <c r="BR459" s="32"/>
      <c r="BS459" s="32"/>
      <c r="BT459" s="32"/>
      <c r="BU459" s="37"/>
      <c r="BV459" s="177"/>
      <c r="BW459" s="37"/>
      <c r="BX459" s="177"/>
      <c r="BY459" s="37"/>
      <c r="BZ459" s="177"/>
      <c r="CA459" s="37"/>
      <c r="CB459" s="177"/>
      <c r="CC459" s="37"/>
      <c r="CD459" s="177"/>
      <c r="CE459" s="37"/>
      <c r="CF459" s="177"/>
      <c r="CG459" s="37"/>
      <c r="CH459" s="177"/>
      <c r="CI459" s="37"/>
      <c r="CJ459" s="177"/>
      <c r="CK459" s="37"/>
      <c r="CL459" s="177"/>
      <c r="CM459" s="37"/>
      <c r="CN459" s="177"/>
      <c r="CO459" s="37"/>
      <c r="CP459" s="177"/>
      <c r="CQ459" s="37"/>
      <c r="CR459" s="177"/>
      <c r="CS459" s="177"/>
    </row>
    <row r="460" spans="1:97" ht="12.75" hidden="1" customHeight="1" outlineLevel="1" x14ac:dyDescent="0.2">
      <c r="A460" s="3" t="s">
        <v>203</v>
      </c>
      <c r="J460" s="5"/>
      <c r="K460" s="177"/>
      <c r="L460" s="5"/>
      <c r="M460" s="177"/>
      <c r="N460" s="5"/>
      <c r="O460" s="177"/>
      <c r="P460" s="5"/>
      <c r="Q460" s="177"/>
      <c r="R460" s="10"/>
      <c r="S460" s="177"/>
      <c r="T460" s="10"/>
      <c r="U460" s="177"/>
      <c r="V460" s="10"/>
      <c r="W460" s="177"/>
      <c r="X460" s="10"/>
      <c r="Y460" s="177"/>
      <c r="Z460" s="10"/>
      <c r="AA460" s="177"/>
      <c r="AB460" s="10"/>
      <c r="AC460" s="177"/>
      <c r="AD460" s="10"/>
      <c r="AE460" s="177"/>
      <c r="AF460" s="10"/>
      <c r="AG460" s="177"/>
      <c r="AH460" s="10"/>
      <c r="AI460" s="177"/>
      <c r="AJ460" s="10"/>
      <c r="AK460" s="177"/>
      <c r="AL460" s="10"/>
      <c r="AM460" s="177"/>
      <c r="AN460" s="506"/>
      <c r="AO460" s="177"/>
      <c r="AP460" s="506"/>
      <c r="AQ460" s="177"/>
      <c r="AR460" s="506"/>
      <c r="AS460" s="177"/>
      <c r="AT460" s="506"/>
      <c r="AU460" s="177"/>
      <c r="AV460" s="506"/>
      <c r="AW460" s="177"/>
      <c r="AX460" s="506"/>
      <c r="AY460" s="177"/>
      <c r="AZ460" s="506"/>
      <c r="BA460" s="177"/>
      <c r="BB460" s="506"/>
      <c r="BC460" s="177"/>
      <c r="BD460" s="506"/>
      <c r="BE460" s="177"/>
      <c r="BF460" s="10"/>
      <c r="BG460" s="177"/>
      <c r="BH460" s="10"/>
      <c r="BI460" s="177"/>
      <c r="BJ460" s="10"/>
      <c r="BK460" s="177"/>
      <c r="BL460" s="10"/>
      <c r="BM460" s="177"/>
      <c r="BN460" s="10"/>
      <c r="BO460" s="136"/>
      <c r="BP460" s="10"/>
      <c r="BQ460" s="10"/>
      <c r="BR460" s="5"/>
      <c r="BS460" s="5"/>
      <c r="BT460" s="5"/>
      <c r="BU460" s="5"/>
      <c r="BV460" s="177"/>
      <c r="BW460" s="10"/>
      <c r="BX460" s="177"/>
      <c r="BY460" s="13"/>
      <c r="BZ460" s="177"/>
      <c r="CA460" s="13"/>
      <c r="CB460" s="177"/>
      <c r="CC460" s="13"/>
      <c r="CD460" s="177"/>
      <c r="CE460" s="13"/>
      <c r="CF460" s="177"/>
      <c r="CG460" s="13"/>
      <c r="CH460" s="177"/>
      <c r="CI460" s="13"/>
      <c r="CJ460" s="177"/>
      <c r="CK460" s="13"/>
      <c r="CL460" s="177"/>
      <c r="CM460" s="13"/>
      <c r="CN460" s="177"/>
      <c r="CO460" s="13"/>
      <c r="CP460" s="177"/>
      <c r="CQ460" s="13"/>
      <c r="CR460" s="177"/>
      <c r="CS460" s="177"/>
    </row>
    <row r="461" spans="1:97" ht="12.75" hidden="1" customHeight="1" outlineLevel="1" x14ac:dyDescent="0.2">
      <c r="A461" s="4" t="s">
        <v>99</v>
      </c>
      <c r="B461" s="49">
        <v>978.3</v>
      </c>
      <c r="C461" s="64"/>
      <c r="D461" s="49">
        <v>1011.2</v>
      </c>
      <c r="E461" s="64"/>
      <c r="F461" s="49">
        <v>1028.3</v>
      </c>
      <c r="G461" s="64"/>
      <c r="H461" s="49">
        <v>1069.4000000000001</v>
      </c>
      <c r="I461" s="64"/>
      <c r="J461" s="49">
        <v>1107.2</v>
      </c>
      <c r="K461" s="23">
        <f t="shared" ref="K461:Y464" si="2895">IF(ISERROR((J461/B461-1)*100),"NA",IF(((J461/B461-1)*100)&gt;100,"NM",IF(((J461/B461-1)*100)&lt;-50,"NM",(J461/B461-1)*100)))</f>
        <v>13.17591740774815</v>
      </c>
      <c r="L461" s="49">
        <v>1147.7</v>
      </c>
      <c r="M461" s="23">
        <f t="shared" si="2895"/>
        <v>13.498813291139244</v>
      </c>
      <c r="N461" s="49">
        <v>1188.5</v>
      </c>
      <c r="O461" s="23">
        <f t="shared" si="2895"/>
        <v>15.579111154332391</v>
      </c>
      <c r="P461" s="48">
        <v>1237.5999999999999</v>
      </c>
      <c r="Q461" s="23">
        <f t="shared" si="2895"/>
        <v>15.728445857490158</v>
      </c>
      <c r="R461" s="48">
        <v>1272.0999999999999</v>
      </c>
      <c r="S461" s="23">
        <f t="shared" si="2895"/>
        <v>14.893424855491322</v>
      </c>
      <c r="T461" s="48">
        <v>1336.6</v>
      </c>
      <c r="U461" s="23">
        <f t="shared" si="2895"/>
        <v>16.459004966454629</v>
      </c>
      <c r="V461" s="48">
        <v>1379.7</v>
      </c>
      <c r="W461" s="23">
        <f t="shared" si="2895"/>
        <v>16.087505258729486</v>
      </c>
      <c r="X461" s="48">
        <v>1429.1</v>
      </c>
      <c r="Y461" s="23">
        <f t="shared" si="2895"/>
        <v>15.473497091144161</v>
      </c>
      <c r="Z461" s="48">
        <v>1517.3</v>
      </c>
      <c r="AA461" s="23">
        <f>IF(ISERROR((Z461/R461-1)*100),"NA",IF(((Z461/R461-1)*100)&gt;100,"NM",IF(((Z461/R461-1)*100)&lt;-50,"NM",(Z461/R461-1)*100)))</f>
        <v>19.275214212719138</v>
      </c>
      <c r="AB461" s="48">
        <v>1651.4</v>
      </c>
      <c r="AC461" s="23">
        <f>IF(ISERROR((AB461/T461-1)*100),"NA",IF(((AB461/T461-1)*100)&gt;100,"NM",IF(((AB461/T461-1)*100)&lt;-50,"NM",(AB461/T461-1)*100)))</f>
        <v>23.552296872662005</v>
      </c>
      <c r="AD461" s="48">
        <v>1795.2</v>
      </c>
      <c r="AE461" s="23">
        <f>IF(ISERROR((AD461/V461-1)*100),"NA",IF(((AD461/V461-1)*100)&gt;100,"NM",IF(((AD461/V461-1)*100)&lt;-50,"NM",(AD461/V461-1)*100)))</f>
        <v>30.11524244400956</v>
      </c>
      <c r="AF461" s="48">
        <v>2556.3000000000002</v>
      </c>
      <c r="AG461" s="23">
        <f>IF(ISERROR((AF461/X461-1)*100),"NA",IF(((AF461/X461-1)*100)&gt;100,"NM",IF(((AF461/X461-1)*100)&lt;-50,"NM",(AF461/X461-1)*100)))</f>
        <v>78.874816317962384</v>
      </c>
      <c r="AH461" s="48">
        <v>2739</v>
      </c>
      <c r="AI461" s="23">
        <f>IF(ISERROR((AH461/Z461-1)*100),"NA",IF(((AH461/Z461-1)*100)&gt;100,"NM",IF(((AH461/Z461-1)*100)&lt;-50,"NM",(AH461/Z461-1)*100)))</f>
        <v>80.518025439926191</v>
      </c>
      <c r="AJ461" s="48">
        <v>3128.7</v>
      </c>
      <c r="AK461" s="23">
        <f>IF(ISERROR((AJ461/AB461-1)*100),"NA",IF(((AJ461/AB461-1)*100)&gt;100,"NM",IF(((AJ461/AB461-1)*100)&lt;-50,"NM",(AJ461/AB461-1)*100)))</f>
        <v>89.457430059343565</v>
      </c>
      <c r="AL461" s="48">
        <v>3269.8</v>
      </c>
      <c r="AM461" s="23">
        <f>IF(ISERROR((AL461/AD461-1)*100),"NA",IF(((AL461/AD461-1)*100)&gt;100,"NM",IF(((AL461/AD461-1)*100)&lt;-50,"NM",(AL461/AD461-1)*100)))</f>
        <v>82.141265597147964</v>
      </c>
      <c r="AN461" s="287">
        <v>3410.4</v>
      </c>
      <c r="AO461" s="23">
        <f>IF(ISERROR((AN461/AF461-1)*100),"NA",IF(((AN461/AF461-1)*100)&gt;100,"NM",IF(((AN461/AF461-1)*100)&lt;-50,"NM",(AN461/AF461-1)*100)))</f>
        <v>33.411571411806129</v>
      </c>
      <c r="AP461" s="287">
        <v>3642</v>
      </c>
      <c r="AQ461" s="23">
        <f t="shared" ref="AQ461:AQ464" si="2896">IF(ISERROR((AP461/AH461-1)*100),"NA",IF(((AP461/AH461-1)*100)&gt;100,"NM",IF(((AP461/AH461-1)*100)&lt;-50,"NM",(AP461/AH461-1)*100)))</f>
        <v>32.968236582694409</v>
      </c>
      <c r="AR461" s="287">
        <v>3835.5</v>
      </c>
      <c r="AS461" s="23">
        <f t="shared" ref="AS461:AS464" si="2897">IF(ISERROR((AR461/AJ461-1)*100),"NA",IF(((AR461/AJ461-1)*100)&gt;100,"NM",IF(((AR461/AJ461-1)*100)&lt;-50,"NM",(AR461/AJ461-1)*100)))</f>
        <v>22.59085243072203</v>
      </c>
      <c r="AT461" s="287">
        <v>4334.2</v>
      </c>
      <c r="AU461" s="23">
        <f t="shared" ref="AU461:AU464" si="2898">IF(ISERROR((AT461/AL461-1)*100),"NA",IF(((AT461/AL461-1)*100)&gt;100,"NM",IF(((AT461/AL461-1)*100)&lt;-50,"NM",(AT461/AL461-1)*100)))</f>
        <v>32.552449691112592</v>
      </c>
      <c r="AV461" s="287">
        <v>5207.6000000000004</v>
      </c>
      <c r="AW461" s="23">
        <f t="shared" ref="AW461:AW464" si="2899">IF(ISERROR((AV461/AN461-1)*100),"NA",IF(((AV461/AN461-1)*100)&gt;100,"NM",IF(((AV461/AN461-1)*100)&lt;-50,"NM",(AV461/AN461-1)*100)))</f>
        <v>52.697630776448513</v>
      </c>
      <c r="AX461" s="287">
        <v>5481.9</v>
      </c>
      <c r="AY461" s="23">
        <f t="shared" ref="AY461:AY464" si="2900">IF(ISERROR((AX461/AP461-1)*100),"NA",IF(((AX461/AP461-1)*100)&gt;100,"NM",IF(((AX461/AP461-1)*100)&lt;-50,"NM",(AX461/AP461-1)*100)))</f>
        <v>50.518945634266863</v>
      </c>
      <c r="AZ461" s="287">
        <v>5518.4</v>
      </c>
      <c r="BA461" s="23">
        <f t="shared" ref="BA461:BA464" si="2901">IF(ISERROR((AZ461/AR461-1)*100),"NA",IF(((AZ461/AR461-1)*100)&gt;100,"NM",IF(((AZ461/AR461-1)*100)&lt;-50,"NM",(AZ461/AR461-1)*100)))</f>
        <v>43.876939121366163</v>
      </c>
      <c r="BB461" s="287">
        <v>5588.6</v>
      </c>
      <c r="BC461" s="23">
        <f t="shared" ref="BC461:BC464" si="2902">IF(ISERROR((BB461/AT461-1)*100),"NA",IF(((BB461/AT461-1)*100)&gt;100,"NM",IF(((BB461/AT461-1)*100)&lt;-50,"NM",(BB461/AT461-1)*100)))</f>
        <v>28.941903926906942</v>
      </c>
      <c r="BD461" s="287"/>
      <c r="BE461" s="23" t="str">
        <f t="shared" ref="BE461:BE464" si="2903">IF(ISERROR((BD461/AV461-1)*100),"NA",IF(((BD461/AV461-1)*100)&gt;100,"NM",IF(((BD461/AV461-1)*100)&lt;-50,"NM",(BD461/AV461-1)*100)))</f>
        <v>NM</v>
      </c>
      <c r="BF461" s="49">
        <f>BD461*1.0254</f>
        <v>0</v>
      </c>
      <c r="BG461" s="23" t="str">
        <f t="shared" ref="BG461:BG464" si="2904">IF(ISERROR((BF461/AX461-1)*100),"NA",IF(((BF461/AX461-1)*100)&gt;100,"NM",IF(((BF461/AX461-1)*100)&lt;-50,"NM",(BF461/AX461-1)*100)))</f>
        <v>NM</v>
      </c>
      <c r="BH461" s="49">
        <f>BF461*1.03</f>
        <v>0</v>
      </c>
      <c r="BI461" s="23" t="str">
        <f t="shared" ref="BI461:BI464" si="2905">IF(ISERROR((BH461/AZ461-1)*100),"NA",IF(((BH461/AZ461-1)*100)&gt;100,"NM",IF(((BH461/AZ461-1)*100)&lt;-50,"NM",(BH461/AZ461-1)*100)))</f>
        <v>NM</v>
      </c>
      <c r="BJ461" s="49"/>
      <c r="BK461" s="23"/>
      <c r="BL461" s="49"/>
      <c r="BM461" s="23" t="str">
        <f t="shared" ref="BM461:BM464" si="2906">IF(ISERROR((BL461/BD461-1)*100),"NA",IF(((BL461/BD461-1)*100)&gt;100,"NM",IF(((BL461/BD461-1)*100)&lt;-50,"NM",(BL461/BD461-1)*100)))</f>
        <v>NA</v>
      </c>
      <c r="BN461" s="56"/>
      <c r="BO461" s="137"/>
      <c r="BP461" s="56"/>
      <c r="BQ461" s="112"/>
      <c r="BR461" s="36"/>
      <c r="BS461" s="49">
        <v>948.3</v>
      </c>
      <c r="BT461" s="36"/>
      <c r="BU461" s="36">
        <f>H461</f>
        <v>1069.4000000000001</v>
      </c>
      <c r="BV461" s="23">
        <f>IF(ISERROR((BU461/BS461-1)*100),"NA",IF(((BU461/BS461-1)*100)&gt;100,"NM",IF(((BU461/BS461-1)*100)&lt;-50,"NM",(BU461/BS461-1)*100)))</f>
        <v>12.770220394389975</v>
      </c>
      <c r="BW461" s="36">
        <f>P461</f>
        <v>1237.5999999999999</v>
      </c>
      <c r="BX461" s="23">
        <f>IF(ISERROR((BW461/BU461-1)*100),"NA",IF(((BW461/BU461-1)*100)&gt;100,"NM",IF(((BW461/BU461-1)*100)&lt;-50,"NM",(BW461/BU461-1)*100)))</f>
        <v>15.728445857490158</v>
      </c>
      <c r="BY461" s="56">
        <f>X461</f>
        <v>1429.1</v>
      </c>
      <c r="BZ461" s="23">
        <f>IF(ISERROR((BY461/BW461-1)*100),"NA",IF(((BY461/BW461-1)*100)&gt;100,"NM",IF(((BY461/BW461-1)*100)&lt;-50,"NM",(BY461/BW461-1)*100)))</f>
        <v>15.473497091144161</v>
      </c>
      <c r="CA461" s="56">
        <f>AF461</f>
        <v>2556.3000000000002</v>
      </c>
      <c r="CB461" s="23">
        <f>IF(ISERROR((CA461/BY461-1)*100),"NA",IF(((CA461/BY461-1)*100)&gt;100,"NM",IF(((CA461/BY461-1)*100)&lt;-50,"NM",(CA461/BY461-1)*100)))</f>
        <v>78.874816317962384</v>
      </c>
      <c r="CC461" s="56">
        <f>AN461</f>
        <v>3410.4</v>
      </c>
      <c r="CD461" s="23">
        <f>IF(ISERROR((CC461/CA461-1)*100),"NA",IF(((CC461/CA461-1)*100)&gt;100,"NM",IF(((CC461/CA461-1)*100)&lt;-50,"NM",(CC461/CA461-1)*100)))</f>
        <v>33.411571411806129</v>
      </c>
      <c r="CE461" s="56">
        <f>AV461</f>
        <v>5207.6000000000004</v>
      </c>
      <c r="CF461" s="23">
        <f>IF(ISERROR((CE461/CC461-1)*100),"NA",IF(((CE461/CC461-1)*100)&gt;100,"NM",IF(((CE461/CC461-1)*100)&lt;-50,"NM",(CE461/CC461-1)*100)))</f>
        <v>52.697630776448513</v>
      </c>
      <c r="CG461" s="56">
        <f>BD461</f>
        <v>0</v>
      </c>
      <c r="CH461" s="23" t="str">
        <f>IF(ISERROR((CG461/CE461-1)*100),"NA",IF(((CG461/CE461-1)*100)&gt;100,"NM",IF(((CG461/CE461-1)*100)&lt;-50,"NM",(CG461/CE461-1)*100)))</f>
        <v>NM</v>
      </c>
      <c r="CI461" s="56">
        <f>BL461</f>
        <v>0</v>
      </c>
      <c r="CJ461" s="23" t="str">
        <f>IF(ISERROR((CI461/CG461-1)*100),"NA",IF(((CI461/CG461-1)*100)&gt;100,"NM",IF(((CI461/CG461-1)*100)&lt;-50,"NM",(CI461/CG461-1)*100)))</f>
        <v>NA</v>
      </c>
      <c r="CK461" s="49"/>
      <c r="CL461" s="23"/>
      <c r="CM461" s="49"/>
      <c r="CN461" s="23"/>
      <c r="CO461" s="49"/>
      <c r="CP461" s="23"/>
      <c r="CQ461" s="49"/>
      <c r="CR461" s="23" t="str">
        <f>IF(ISERROR((CQ461/CO461-1)*100),"NA",IF(((CQ461/CO461-1)*100)&gt;100,"NM",IF(((CQ461/CO461-1)*100)&lt;-50,"NM",(CQ461/CO461-1)*100)))</f>
        <v>NA</v>
      </c>
      <c r="CS461" s="23" t="str">
        <f>IF(ISERROR(((CQ461/CG461)^0.2-1)*100),"NA",IF((((CQ461/CG461)^0.2-1)*100)&gt;100,"NM",IF((((CQ461/CG461)^0.2-1)*100)&lt;-50,"NM",((CQ461/CG461)^0.2-1)*100)))</f>
        <v>NA</v>
      </c>
    </row>
    <row r="462" spans="1:97" ht="12.75" hidden="1" customHeight="1" outlineLevel="1" x14ac:dyDescent="0.2">
      <c r="A462" s="4" t="s">
        <v>210</v>
      </c>
      <c r="B462" s="49">
        <v>47691.7</v>
      </c>
      <c r="C462" s="64"/>
      <c r="D462" s="49">
        <v>46554.3</v>
      </c>
      <c r="E462" s="64"/>
      <c r="F462" s="49">
        <v>39817.599999999999</v>
      </c>
      <c r="G462" s="64"/>
      <c r="H462" s="49">
        <v>41576.1</v>
      </c>
      <c r="I462" s="64"/>
      <c r="J462" s="49">
        <v>44026.6</v>
      </c>
      <c r="K462" s="23">
        <f t="shared" si="2895"/>
        <v>-7.6849850183574926</v>
      </c>
      <c r="L462" s="49">
        <v>41695.699999999997</v>
      </c>
      <c r="M462" s="23">
        <f t="shared" si="2895"/>
        <v>-10.436415110956466</v>
      </c>
      <c r="N462" s="49">
        <v>42653.7</v>
      </c>
      <c r="O462" s="23">
        <f t="shared" si="2895"/>
        <v>7.1227296471911838</v>
      </c>
      <c r="P462" s="48">
        <v>41960.800000000003</v>
      </c>
      <c r="Q462" s="23">
        <f t="shared" si="2895"/>
        <v>0.92529121298055017</v>
      </c>
      <c r="R462" s="48">
        <v>43274.5</v>
      </c>
      <c r="S462" s="23">
        <f t="shared" si="2895"/>
        <v>-1.7082854456169638</v>
      </c>
      <c r="T462" s="48">
        <v>42022.7</v>
      </c>
      <c r="U462" s="23">
        <f t="shared" si="2895"/>
        <v>0.78425353213880111</v>
      </c>
      <c r="V462" s="48">
        <v>43047.199999999997</v>
      </c>
      <c r="W462" s="23">
        <f t="shared" si="2895"/>
        <v>0.92254599249304015</v>
      </c>
      <c r="X462" s="48">
        <v>44269.9</v>
      </c>
      <c r="Y462" s="23">
        <f t="shared" si="2895"/>
        <v>5.5029932699090622</v>
      </c>
      <c r="Z462" s="48">
        <v>43524.7</v>
      </c>
      <c r="AA462" s="23">
        <f>IF(ISERROR((Z462/R462-1)*100),"NA",IF(((Z462/R462-1)*100)&gt;100,"NM",IF(((Z462/R462-1)*100)&lt;-50,"NM",(Z462/R462-1)*100)))</f>
        <v>0.57816959179193272</v>
      </c>
      <c r="AB462" s="48">
        <v>43739</v>
      </c>
      <c r="AC462" s="23">
        <f>IF(ISERROR((AB462/T462-1)*100),"NA",IF(((AB462/T462-1)*100)&gt;100,"NM",IF(((AB462/T462-1)*100)&lt;-50,"NM",(AB462/T462-1)*100)))</f>
        <v>4.0842211471419088</v>
      </c>
      <c r="AD462" s="48">
        <v>41755</v>
      </c>
      <c r="AE462" s="23">
        <f>IF(ISERROR((AD462/V462-1)*100),"NA",IF(((AD462/V462-1)*100)&gt;100,"NM",IF(((AD462/V462-1)*100)&lt;-50,"NM",(AD462/V462-1)*100)))</f>
        <v>-3.0018212566670921</v>
      </c>
      <c r="AF462" s="48">
        <v>40657.9</v>
      </c>
      <c r="AG462" s="23">
        <f>IF(ISERROR((AF462/X462-1)*100),"NA",IF(((AF462/X462-1)*100)&gt;100,"NM",IF(((AF462/X462-1)*100)&lt;-50,"NM",(AF462/X462-1)*100)))</f>
        <v>-8.1590426000510483</v>
      </c>
      <c r="AH462" s="48">
        <v>40228.699999999997</v>
      </c>
      <c r="AI462" s="23">
        <f>IF(ISERROR((AH462/Z462-1)*100),"NA",IF(((AH462/Z462-1)*100)&gt;100,"NM",IF(((AH462/Z462-1)*100)&lt;-50,"NM",(AH462/Z462-1)*100)))</f>
        <v>-7.5727115867541883</v>
      </c>
      <c r="AJ462" s="48">
        <v>38450.699999999997</v>
      </c>
      <c r="AK462" s="23">
        <f>IF(ISERROR((AJ462/AB462-1)*100),"NA",IF(((AJ462/AB462-1)*100)&gt;100,"NM",IF(((AJ462/AB462-1)*100)&lt;-50,"NM",(AJ462/AB462-1)*100)))</f>
        <v>-12.090582775097747</v>
      </c>
      <c r="AL462" s="48">
        <v>34959.4</v>
      </c>
      <c r="AM462" s="23">
        <f>IF(ISERROR((AL462/AD462-1)*100),"NA",IF(((AL462/AD462-1)*100)&gt;100,"NM",IF(((AL462/AD462-1)*100)&lt;-50,"NM",(AL462/AD462-1)*100)))</f>
        <v>-16.274937133277444</v>
      </c>
      <c r="AN462" s="287">
        <v>35141.4</v>
      </c>
      <c r="AO462" s="23">
        <f>IF(ISERROR((AN462/AF462-1)*100),"NA",IF(((AN462/AF462-1)*100)&gt;100,"NM",IF(((AN462/AF462-1)*100)&lt;-50,"NM",(AN462/AF462-1)*100)))</f>
        <v>-13.568088858499827</v>
      </c>
      <c r="AP462" s="287">
        <v>34209.4</v>
      </c>
      <c r="AQ462" s="23">
        <f t="shared" si="2896"/>
        <v>-14.96270075841376</v>
      </c>
      <c r="AR462" s="287">
        <v>33798.699999999997</v>
      </c>
      <c r="AS462" s="23">
        <f t="shared" si="2897"/>
        <v>-12.098609388125571</v>
      </c>
      <c r="AT462" s="287">
        <v>33758.6</v>
      </c>
      <c r="AU462" s="23">
        <f t="shared" si="2898"/>
        <v>-3.4348415590656711</v>
      </c>
      <c r="AV462" s="287">
        <v>32535.3</v>
      </c>
      <c r="AW462" s="23">
        <f t="shared" si="2899"/>
        <v>-7.4160392016254351</v>
      </c>
      <c r="AX462" s="287">
        <v>31942.6</v>
      </c>
      <c r="AY462" s="23">
        <f t="shared" si="2900"/>
        <v>-6.6262489257338686</v>
      </c>
      <c r="AZ462" s="287">
        <v>31834.1</v>
      </c>
      <c r="BA462" s="23">
        <f t="shared" si="2901"/>
        <v>-5.8126495989490712</v>
      </c>
      <c r="BB462" s="287">
        <v>31422.400000000001</v>
      </c>
      <c r="BC462" s="23">
        <f t="shared" si="2902"/>
        <v>-6.9203106763905957</v>
      </c>
      <c r="BD462" s="287"/>
      <c r="BE462" s="23" t="str">
        <f t="shared" si="2903"/>
        <v>NM</v>
      </c>
      <c r="BF462" s="49">
        <f>BD462*0.98</f>
        <v>0</v>
      </c>
      <c r="BG462" s="23" t="str">
        <f t="shared" si="2904"/>
        <v>NM</v>
      </c>
      <c r="BH462" s="49">
        <f>BF462*0.98</f>
        <v>0</v>
      </c>
      <c r="BI462" s="23" t="str">
        <f t="shared" si="2905"/>
        <v>NM</v>
      </c>
      <c r="BJ462" s="49"/>
      <c r="BK462" s="23"/>
      <c r="BL462" s="49"/>
      <c r="BM462" s="23" t="str">
        <f t="shared" si="2906"/>
        <v>NA</v>
      </c>
      <c r="BN462" s="56"/>
      <c r="BO462" s="137"/>
      <c r="BP462" s="56"/>
      <c r="BQ462" s="112"/>
      <c r="BR462" s="36"/>
      <c r="BS462" s="49">
        <v>47029.7</v>
      </c>
      <c r="BT462" s="36"/>
      <c r="BU462" s="36">
        <f>H462</f>
        <v>41576.1</v>
      </c>
      <c r="BV462" s="23">
        <f>IF(ISERROR((BU462/BS462-1)*100),"NA",IF(((BU462/BS462-1)*100)&gt;100,"NM",IF(((BU462/BS462-1)*100)&lt;-50,"NM",(BU462/BS462-1)*100)))</f>
        <v>-11.596076521857457</v>
      </c>
      <c r="BW462" s="36">
        <f>P462</f>
        <v>41960.800000000003</v>
      </c>
      <c r="BX462" s="23">
        <f>IF(ISERROR((BW462/BU462-1)*100),"NA",IF(((BW462/BU462-1)*100)&gt;100,"NM",IF(((BW462/BU462-1)*100)&lt;-50,"NM",(BW462/BU462-1)*100)))</f>
        <v>0.92529121298055017</v>
      </c>
      <c r="BY462" s="56">
        <f>X462</f>
        <v>44269.9</v>
      </c>
      <c r="BZ462" s="23">
        <f t="shared" ref="BZ462:CR464" si="2907">IF(ISERROR((BY462/BW462-1)*100),"NA",IF(((BY462/BW462-1)*100)&gt;100,"NM",IF(((BY462/BW462-1)*100)&lt;-50,"NM",(BY462/BW462-1)*100)))</f>
        <v>5.5029932699090622</v>
      </c>
      <c r="CA462" s="56">
        <f>AF462</f>
        <v>40657.9</v>
      </c>
      <c r="CB462" s="23">
        <f t="shared" si="2907"/>
        <v>-8.1590426000510483</v>
      </c>
      <c r="CC462" s="56">
        <f>AN462</f>
        <v>35141.4</v>
      </c>
      <c r="CD462" s="23">
        <f t="shared" si="2907"/>
        <v>-13.568088858499827</v>
      </c>
      <c r="CE462" s="56">
        <f>AV462</f>
        <v>32535.3</v>
      </c>
      <c r="CF462" s="23">
        <f t="shared" si="2907"/>
        <v>-7.4160392016254351</v>
      </c>
      <c r="CG462" s="56">
        <f>BD462</f>
        <v>0</v>
      </c>
      <c r="CH462" s="23" t="str">
        <f t="shared" si="2907"/>
        <v>NM</v>
      </c>
      <c r="CI462" s="56">
        <f>BL462</f>
        <v>0</v>
      </c>
      <c r="CJ462" s="23" t="str">
        <f t="shared" si="2907"/>
        <v>NA</v>
      </c>
      <c r="CK462" s="49"/>
      <c r="CL462" s="23"/>
      <c r="CM462" s="49"/>
      <c r="CN462" s="23"/>
      <c r="CO462" s="49"/>
      <c r="CP462" s="23"/>
      <c r="CQ462" s="49"/>
      <c r="CR462" s="23" t="str">
        <f t="shared" si="2907"/>
        <v>NA</v>
      </c>
      <c r="CS462" s="23" t="str">
        <f>IF(ISERROR(((CQ462/CG462)^0.2-1)*100),"NA",IF((((CQ462/CG462)^0.2-1)*100)&gt;100,"NM",IF((((CQ462/CG462)^0.2-1)*100)&lt;-50,"NM",((CQ462/CG462)^0.2-1)*100)))</f>
        <v>NA</v>
      </c>
    </row>
    <row r="463" spans="1:97" ht="12.75" hidden="1" customHeight="1" outlineLevel="1" x14ac:dyDescent="0.2">
      <c r="A463" s="4" t="s">
        <v>9</v>
      </c>
      <c r="B463" s="56">
        <f>B461+B462</f>
        <v>48670</v>
      </c>
      <c r="C463" s="64"/>
      <c r="D463" s="56">
        <f t="shared" ref="D463:N463" si="2908">D461+D462</f>
        <v>47565.5</v>
      </c>
      <c r="E463" s="64"/>
      <c r="F463" s="56">
        <f t="shared" si="2908"/>
        <v>40845.9</v>
      </c>
      <c r="G463" s="64"/>
      <c r="H463" s="56">
        <f t="shared" si="2908"/>
        <v>42645.5</v>
      </c>
      <c r="I463" s="64"/>
      <c r="J463" s="56">
        <f t="shared" si="2908"/>
        <v>45133.799999999996</v>
      </c>
      <c r="K463" s="23">
        <f t="shared" si="2895"/>
        <v>-7.2656667351551407</v>
      </c>
      <c r="L463" s="56">
        <f t="shared" si="2908"/>
        <v>42843.399999999994</v>
      </c>
      <c r="M463" s="23">
        <f t="shared" si="2895"/>
        <v>-9.9275735564642531</v>
      </c>
      <c r="N463" s="56">
        <f t="shared" si="2908"/>
        <v>43842.2</v>
      </c>
      <c r="O463" s="23">
        <f t="shared" si="2895"/>
        <v>7.3356199765459928</v>
      </c>
      <c r="P463" s="56">
        <f>P461+P462</f>
        <v>43198.400000000001</v>
      </c>
      <c r="Q463" s="23">
        <f t="shared" si="2895"/>
        <v>1.2965025618177695</v>
      </c>
      <c r="R463" s="56">
        <f>R461+R462</f>
        <v>44546.6</v>
      </c>
      <c r="S463" s="23">
        <f t="shared" si="2895"/>
        <v>-1.3010205212058312</v>
      </c>
      <c r="T463" s="56">
        <f>T461+T462</f>
        <v>43359.299999999996</v>
      </c>
      <c r="U463" s="23">
        <f t="shared" si="2895"/>
        <v>1.2041527983306599</v>
      </c>
      <c r="V463" s="56">
        <f>V461+V462</f>
        <v>44426.899999999994</v>
      </c>
      <c r="W463" s="23">
        <f t="shared" si="2895"/>
        <v>1.3336465779545614</v>
      </c>
      <c r="X463" s="56">
        <f>X461+X462</f>
        <v>45699</v>
      </c>
      <c r="Y463" s="23">
        <f t="shared" si="2895"/>
        <v>5.7886403200118508</v>
      </c>
      <c r="Z463" s="56">
        <f>Z461+Z462</f>
        <v>45042</v>
      </c>
      <c r="AA463" s="23">
        <f>IF(ISERROR((Z463/R463-1)*100),"NA",IF(((Z463/R463-1)*100)&gt;100,"NM",IF(((Z463/R463-1)*100)&lt;-50,"NM",(Z463/R463-1)*100)))</f>
        <v>1.1120938522805268</v>
      </c>
      <c r="AB463" s="56">
        <f>AB461+AB462</f>
        <v>45390.400000000001</v>
      </c>
      <c r="AC463" s="23">
        <f>IF(ISERROR((AB463/T463-1)*100),"NA",IF(((AB463/T463-1)*100)&gt;100,"NM",IF(((AB463/T463-1)*100)&lt;-50,"NM",(AB463/T463-1)*100)))</f>
        <v>4.6843468413927392</v>
      </c>
      <c r="AD463" s="56">
        <f>AD461+AD462</f>
        <v>43550.2</v>
      </c>
      <c r="AE463" s="23">
        <f>IF(ISERROR((AD463/V463-1)*100),"NA",IF(((AD463/V463-1)*100)&gt;100,"NM",IF(((AD463/V463-1)*100)&lt;-50,"NM",(AD463/V463-1)*100)))</f>
        <v>-1.9733539814841827</v>
      </c>
      <c r="AF463" s="56">
        <f>AF461+AF462</f>
        <v>43214.200000000004</v>
      </c>
      <c r="AG463" s="23">
        <f>IF(ISERROR((AF463/X463-1)*100),"NA",IF(((AF463/X463-1)*100)&gt;100,"NM",IF(((AF463/X463-1)*100)&lt;-50,"NM",(AF463/X463-1)*100)))</f>
        <v>-5.4373181032407629</v>
      </c>
      <c r="AH463" s="56">
        <f>AH461+AH462</f>
        <v>42967.7</v>
      </c>
      <c r="AI463" s="23">
        <f>IF(ISERROR((AH463/Z463-1)*100),"NA",IF(((AH463/Z463-1)*100)&gt;100,"NM",IF(((AH463/Z463-1)*100)&lt;-50,"NM",(AH463/Z463-1)*100)))</f>
        <v>-4.6052573153945282</v>
      </c>
      <c r="AJ463" s="56">
        <f>AJ461+AJ462</f>
        <v>41579.399999999994</v>
      </c>
      <c r="AK463" s="23">
        <f>IF(ISERROR((AJ463/AB463-1)*100),"NA",IF(((AJ463/AB463-1)*100)&gt;100,"NM",IF(((AJ463/AB463-1)*100)&lt;-50,"NM",(AJ463/AB463-1)*100)))</f>
        <v>-8.3960485036483679</v>
      </c>
      <c r="AL463" s="56">
        <f>AL461+AL462</f>
        <v>38229.200000000004</v>
      </c>
      <c r="AM463" s="23">
        <f>IF(ISERROR((AL463/AD463-1)*100),"NA",IF(((AL463/AD463-1)*100)&gt;100,"NM",IF(((AL463/AD463-1)*100)&lt;-50,"NM",(AL463/AD463-1)*100)))</f>
        <v>-12.218083958282611</v>
      </c>
      <c r="AN463" s="413">
        <f t="shared" ref="AN463:AP463" si="2909">AN461+AN462</f>
        <v>38551.800000000003</v>
      </c>
      <c r="AO463" s="23">
        <f>IF(ISERROR((AN463/AF463-1)*100),"NA",IF(((AN463/AF463-1)*100)&gt;100,"NM",IF(((AN463/AF463-1)*100)&lt;-50,"NM",(AN463/AF463-1)*100)))</f>
        <v>-10.789046193149476</v>
      </c>
      <c r="AP463" s="413">
        <f t="shared" si="2909"/>
        <v>37851.4</v>
      </c>
      <c r="AQ463" s="23">
        <f t="shared" si="2896"/>
        <v>-11.907316426059566</v>
      </c>
      <c r="AR463" s="413">
        <f t="shared" ref="AR463:AT463" si="2910">AR461+AR462</f>
        <v>37634.199999999997</v>
      </c>
      <c r="AS463" s="23">
        <f t="shared" si="2897"/>
        <v>-9.4883524052776114</v>
      </c>
      <c r="AT463" s="413">
        <f t="shared" si="2910"/>
        <v>38092.799999999996</v>
      </c>
      <c r="AU463" s="23">
        <f t="shared" si="2898"/>
        <v>-0.35679532922480162</v>
      </c>
      <c r="AV463" s="413">
        <f t="shared" ref="AV463:AX463" si="2911">AV461+AV462</f>
        <v>37742.9</v>
      </c>
      <c r="AW463" s="23">
        <f t="shared" si="2899"/>
        <v>-2.0982159069096729</v>
      </c>
      <c r="AX463" s="413">
        <f t="shared" si="2911"/>
        <v>37424.5</v>
      </c>
      <c r="AY463" s="23">
        <f t="shared" si="2900"/>
        <v>-1.1278314672640954</v>
      </c>
      <c r="AZ463" s="413">
        <f t="shared" ref="AZ463" si="2912">AZ461+AZ462</f>
        <v>37352.5</v>
      </c>
      <c r="BA463" s="23">
        <f t="shared" si="2901"/>
        <v>-0.74852129180372762</v>
      </c>
      <c r="BB463" s="413">
        <f t="shared" ref="BB463:BD463" si="2913">BB461+BB462</f>
        <v>37011</v>
      </c>
      <c r="BC463" s="23">
        <f t="shared" si="2902"/>
        <v>-2.8399067540322509</v>
      </c>
      <c r="BD463" s="413">
        <f t="shared" si="2913"/>
        <v>0</v>
      </c>
      <c r="BE463" s="23" t="str">
        <f t="shared" si="2903"/>
        <v>NM</v>
      </c>
      <c r="BF463" s="56">
        <f t="shared" ref="BF463" si="2914">BF461+BF462</f>
        <v>0</v>
      </c>
      <c r="BG463" s="23" t="str">
        <f t="shared" si="2904"/>
        <v>NM</v>
      </c>
      <c r="BH463" s="56">
        <f t="shared" ref="BH463" si="2915">BH461+BH462</f>
        <v>0</v>
      </c>
      <c r="BI463" s="23" t="str">
        <f t="shared" si="2905"/>
        <v>NM</v>
      </c>
      <c r="BJ463" s="56"/>
      <c r="BK463" s="23"/>
      <c r="BL463" s="56"/>
      <c r="BM463" s="23" t="str">
        <f t="shared" si="2906"/>
        <v>NA</v>
      </c>
      <c r="BN463" s="56"/>
      <c r="BO463" s="137"/>
      <c r="BP463" s="56"/>
      <c r="BQ463" s="112"/>
      <c r="BR463" s="36"/>
      <c r="BS463" s="56">
        <f>BS461+BS462</f>
        <v>47978</v>
      </c>
      <c r="BT463" s="36"/>
      <c r="BU463" s="56">
        <f>BU461+BU462</f>
        <v>42645.5</v>
      </c>
      <c r="BV463" s="23">
        <f>IF(ISERROR((BU463/BS463-1)*100),"NA",IF(((BU463/BS463-1)*100)&gt;100,"NM",IF(((BU463/BS463-1)*100)&lt;-50,"NM",(BU463/BS463-1)*100)))</f>
        <v>-11.114469131685356</v>
      </c>
      <c r="BW463" s="56">
        <f>BW461+BW462</f>
        <v>43198.400000000001</v>
      </c>
      <c r="BX463" s="23">
        <f>IF(ISERROR((BW463/BU463-1)*100),"NA",IF(((BW463/BU463-1)*100)&gt;100,"NM",IF(((BW463/BU463-1)*100)&lt;-50,"NM",(BW463/BU463-1)*100)))</f>
        <v>1.2965025618177695</v>
      </c>
      <c r="BY463" s="56">
        <f>BY461+BY462</f>
        <v>45699</v>
      </c>
      <c r="BZ463" s="23">
        <f t="shared" si="2907"/>
        <v>5.7886403200118508</v>
      </c>
      <c r="CA463" s="56">
        <f>CA461+CA462</f>
        <v>43214.200000000004</v>
      </c>
      <c r="CB463" s="23">
        <f t="shared" si="2907"/>
        <v>-5.4373181032407629</v>
      </c>
      <c r="CC463" s="56">
        <f>CC461+CC462</f>
        <v>38551.800000000003</v>
      </c>
      <c r="CD463" s="23">
        <f t="shared" si="2907"/>
        <v>-10.789046193149476</v>
      </c>
      <c r="CE463" s="56">
        <f>CE461+CE462</f>
        <v>37742.9</v>
      </c>
      <c r="CF463" s="23">
        <f t="shared" si="2907"/>
        <v>-2.0982159069096729</v>
      </c>
      <c r="CG463" s="56">
        <f>CG461+CG462</f>
        <v>0</v>
      </c>
      <c r="CH463" s="23" t="str">
        <f t="shared" si="2907"/>
        <v>NM</v>
      </c>
      <c r="CI463" s="56">
        <f>CI461+CI462</f>
        <v>0</v>
      </c>
      <c r="CJ463" s="23" t="str">
        <f t="shared" si="2907"/>
        <v>NA</v>
      </c>
      <c r="CK463" s="56"/>
      <c r="CL463" s="23"/>
      <c r="CM463" s="56"/>
      <c r="CN463" s="23"/>
      <c r="CO463" s="56"/>
      <c r="CP463" s="23"/>
      <c r="CQ463" s="56"/>
      <c r="CR463" s="23" t="str">
        <f t="shared" si="2907"/>
        <v>NA</v>
      </c>
      <c r="CS463" s="23" t="str">
        <f>IF(ISERROR(((CQ463/CG463)^0.2-1)*100),"NA",IF((((CQ463/CG463)^0.2-1)*100)&gt;100,"NM",IF((((CQ463/CG463)^0.2-1)*100)&lt;-50,"NM",((CQ463/CG463)^0.2-1)*100)))</f>
        <v>NA</v>
      </c>
    </row>
    <row r="464" spans="1:97" ht="12.75" hidden="1" customHeight="1" outlineLevel="1" x14ac:dyDescent="0.2">
      <c r="A464" s="4" t="s">
        <v>145</v>
      </c>
      <c r="B464" s="36">
        <f>AVERAGE(B463)</f>
        <v>48670</v>
      </c>
      <c r="C464" s="64"/>
      <c r="D464" s="36">
        <f>AVERAGE(B463,D463)</f>
        <v>48117.75</v>
      </c>
      <c r="E464" s="64"/>
      <c r="F464" s="36">
        <f>AVERAGE(D463,F463)</f>
        <v>44205.7</v>
      </c>
      <c r="G464" s="64"/>
      <c r="H464" s="36">
        <f>AVERAGE(F463,H463)</f>
        <v>41745.699999999997</v>
      </c>
      <c r="I464" s="64"/>
      <c r="J464" s="36">
        <f>AVERAGE(H463,J463)</f>
        <v>43889.649999999994</v>
      </c>
      <c r="K464" s="23">
        <f t="shared" si="2895"/>
        <v>-9.8219642490240506</v>
      </c>
      <c r="L464" s="36">
        <f>AVERAGE(J463,L463)</f>
        <v>43988.599999999991</v>
      </c>
      <c r="M464" s="23">
        <f t="shared" si="2895"/>
        <v>-8.5813447220620453</v>
      </c>
      <c r="N464" s="36">
        <f>AVERAGE(L463,N463)</f>
        <v>43342.799999999996</v>
      </c>
      <c r="O464" s="23">
        <f t="shared" si="2895"/>
        <v>-1.9520107135505227</v>
      </c>
      <c r="P464" s="36">
        <f>AVERAGE(N463,P463)</f>
        <v>43520.3</v>
      </c>
      <c r="Q464" s="23">
        <f t="shared" si="2895"/>
        <v>4.2509767473057236</v>
      </c>
      <c r="R464" s="36">
        <f>AVERAGE(P463,R463)</f>
        <v>43872.5</v>
      </c>
      <c r="S464" s="23">
        <f t="shared" si="2895"/>
        <v>-3.9075271732613714E-2</v>
      </c>
      <c r="T464" s="36">
        <f>AVERAGE(R463,T463)</f>
        <v>43952.95</v>
      </c>
      <c r="U464" s="23">
        <f t="shared" si="2895"/>
        <v>-8.1043724965090824E-2</v>
      </c>
      <c r="V464" s="36">
        <f>AVERAGE(T463,V463)</f>
        <v>43893.099999999991</v>
      </c>
      <c r="W464" s="23">
        <f t="shared" si="2895"/>
        <v>1.2696457081683654</v>
      </c>
      <c r="X464" s="36">
        <f>AVERAGE(V463,X463)</f>
        <v>45062.95</v>
      </c>
      <c r="Y464" s="23">
        <f t="shared" si="2895"/>
        <v>3.5446676608387184</v>
      </c>
      <c r="Z464" s="36">
        <f>AVERAGE(X463,Z463)</f>
        <v>45370.5</v>
      </c>
      <c r="AA464" s="23">
        <f>IF(ISERROR((Z464/R464-1)*100),"NA",IF(((Z464/R464-1)*100)&gt;100,"NM",IF(((Z464/R464-1)*100)&lt;-50,"NM",(Z464/R464-1)*100)))</f>
        <v>3.4144395692062179</v>
      </c>
      <c r="AB464" s="36">
        <f>AVERAGE(Z463,AB463)</f>
        <v>45216.2</v>
      </c>
      <c r="AC464" s="23">
        <f>IF(ISERROR((AB464/T464-1)*100),"NA",IF(((AB464/T464-1)*100)&gt;100,"NM",IF(((AB464/T464-1)*100)&lt;-50,"NM",(AB464/T464-1)*100)))</f>
        <v>2.8740960504357593</v>
      </c>
      <c r="AD464" s="36">
        <f>AVERAGE(AB463,AD463)</f>
        <v>44470.3</v>
      </c>
      <c r="AE464" s="23">
        <f>IF(ISERROR((AD464/V464-1)*100),"NA",IF(((AD464/V464-1)*100)&gt;100,"NM",IF(((AD464/V464-1)*100)&lt;-50,"NM",(AD464/V464-1)*100)))</f>
        <v>1.315013065834969</v>
      </c>
      <c r="AF464" s="36">
        <f>AVERAGE(AD463,AF463)</f>
        <v>43382.2</v>
      </c>
      <c r="AG464" s="23">
        <f>IF(ISERROR((AF464/X464-1)*100),"NA",IF(((AF464/X464-1)*100)&gt;100,"NM",IF(((AF464/X464-1)*100)&lt;-50,"NM",(AF464/X464-1)*100)))</f>
        <v>-3.7297824487744324</v>
      </c>
      <c r="AH464" s="36">
        <f>AVERAGE(AF463,AH463)</f>
        <v>43090.95</v>
      </c>
      <c r="AI464" s="23">
        <f>IF(ISERROR((AH464/Z464-1)*100),"NA",IF(((AH464/Z464-1)*100)&gt;100,"NM",IF(((AH464/Z464-1)*100)&lt;-50,"NM",(AH464/Z464-1)*100)))</f>
        <v>-5.0242999305716296</v>
      </c>
      <c r="AJ464" s="36">
        <f>AVERAGE(AH463,AJ463)</f>
        <v>42273.549999999996</v>
      </c>
      <c r="AK464" s="23">
        <f>IF(ISERROR((AJ464/AB464-1)*100),"NA",IF(((AJ464/AB464-1)*100)&gt;100,"NM",IF(((AJ464/AB464-1)*100)&lt;-50,"NM",(AJ464/AB464-1)*100)))</f>
        <v>-6.5079551134327946</v>
      </c>
      <c r="AL464" s="36">
        <f>AVERAGE(AJ463,AL463)</f>
        <v>39904.300000000003</v>
      </c>
      <c r="AM464" s="23">
        <f>IF(ISERROR((AL464/AD464-1)*100),"NA",IF(((AL464/AD464-1)*100)&gt;100,"NM",IF(((AL464/AD464-1)*100)&lt;-50,"NM",(AL464/AD464-1)*100)))</f>
        <v>-10.267526866245557</v>
      </c>
      <c r="AN464" s="410">
        <f t="shared" ref="AN464:AP464" si="2916">AVERAGE(AL463,AN463)</f>
        <v>38390.5</v>
      </c>
      <c r="AO464" s="23">
        <f>IF(ISERROR((AN464/AF464-1)*100),"NA",IF(((AN464/AF464-1)*100)&gt;100,"NM",IF(((AN464/AF464-1)*100)&lt;-50,"NM",(AN464/AF464-1)*100)))</f>
        <v>-11.506332090119908</v>
      </c>
      <c r="AP464" s="410">
        <f t="shared" si="2916"/>
        <v>38201.600000000006</v>
      </c>
      <c r="AQ464" s="23">
        <f t="shared" si="2896"/>
        <v>-11.346582054932631</v>
      </c>
      <c r="AR464" s="410">
        <f t="shared" ref="AR464:AT464" si="2917">AVERAGE(AP463,AR463)</f>
        <v>37742.800000000003</v>
      </c>
      <c r="AS464" s="23">
        <f t="shared" si="2897"/>
        <v>-10.717694634115171</v>
      </c>
      <c r="AT464" s="410">
        <f t="shared" si="2917"/>
        <v>37863.5</v>
      </c>
      <c r="AU464" s="23">
        <f t="shared" si="2898"/>
        <v>-5.1142358091734508</v>
      </c>
      <c r="AV464" s="410">
        <f t="shared" ref="AV464:AX464" si="2918">AVERAGE(AT463,AV463)</f>
        <v>37917.85</v>
      </c>
      <c r="AW464" s="23">
        <f t="shared" si="2899"/>
        <v>-1.2311639598338142</v>
      </c>
      <c r="AX464" s="410">
        <f t="shared" si="2918"/>
        <v>37583.699999999997</v>
      </c>
      <c r="AY464" s="23">
        <f t="shared" si="2900"/>
        <v>-1.6174715195175327</v>
      </c>
      <c r="AZ464" s="410">
        <f t="shared" ref="AZ464" si="2919">AVERAGE(AX463,AZ463)</f>
        <v>37388.5</v>
      </c>
      <c r="BA464" s="23">
        <f t="shared" si="2901"/>
        <v>-0.93872208739150809</v>
      </c>
      <c r="BB464" s="410">
        <f t="shared" ref="BB464:BD464" si="2920">AVERAGE(AZ463,BB463)</f>
        <v>37181.75</v>
      </c>
      <c r="BC464" s="23">
        <f t="shared" si="2902"/>
        <v>-1.8005467006483866</v>
      </c>
      <c r="BD464" s="410">
        <f t="shared" si="2920"/>
        <v>18505.5</v>
      </c>
      <c r="BE464" s="23" t="str">
        <f t="shared" si="2903"/>
        <v>NM</v>
      </c>
      <c r="BF464" s="56">
        <f t="shared" ref="BF464:BH464" si="2921">AVERAGE(BD463,BF463)</f>
        <v>0</v>
      </c>
      <c r="BG464" s="23" t="str">
        <f t="shared" si="2904"/>
        <v>NM</v>
      </c>
      <c r="BH464" s="56">
        <f t="shared" si="2921"/>
        <v>0</v>
      </c>
      <c r="BI464" s="23" t="str">
        <f t="shared" si="2905"/>
        <v>NM</v>
      </c>
      <c r="BJ464" s="56"/>
      <c r="BK464" s="23"/>
      <c r="BL464" s="56"/>
      <c r="BM464" s="23" t="str">
        <f t="shared" si="2906"/>
        <v>NM</v>
      </c>
      <c r="BN464" s="56"/>
      <c r="BO464" s="137"/>
      <c r="BP464" s="56"/>
      <c r="BQ464" s="112"/>
      <c r="BR464" s="36"/>
      <c r="BS464" s="56">
        <f>AVERAGE(BS463,BS448)</f>
        <v>47310.75</v>
      </c>
      <c r="BT464" s="36"/>
      <c r="BU464" s="36">
        <f>AVERAGE(BS463,BU463)</f>
        <v>45311.75</v>
      </c>
      <c r="BV464" s="23">
        <f>IF(ISERROR((BU464/BS464-1)*100),"NA",IF(((BU464/BS464-1)*100)&gt;100,"NM",IF(((BU464/BS464-1)*100)&lt;-50,"NM",(BU464/BS464-1)*100)))</f>
        <v>-4.2252553595113156</v>
      </c>
      <c r="BW464" s="36">
        <f>AVERAGE(BU463,BW463)</f>
        <v>42921.95</v>
      </c>
      <c r="BX464" s="23">
        <f>IF(ISERROR((BW464/BU464-1)*100),"NA",IF(((BW464/BU464-1)*100)&gt;100,"NM",IF(((BW464/BU464-1)*100)&lt;-50,"NM",(BW464/BU464-1)*100)))</f>
        <v>-5.2741286752332472</v>
      </c>
      <c r="BY464" s="56">
        <f>AVERAGE(BW463,BY463)</f>
        <v>44448.7</v>
      </c>
      <c r="BZ464" s="23">
        <f t="shared" si="2907"/>
        <v>3.5570378326241103</v>
      </c>
      <c r="CA464" s="56">
        <f>AVERAGE(BY463,CA463)</f>
        <v>44456.600000000006</v>
      </c>
      <c r="CB464" s="23">
        <f t="shared" si="2907"/>
        <v>1.7773298206713584E-2</v>
      </c>
      <c r="CC464" s="56">
        <f>AVERAGE(CA463,CC463)</f>
        <v>40883</v>
      </c>
      <c r="CD464" s="23">
        <f t="shared" si="2907"/>
        <v>-8.0384014971905273</v>
      </c>
      <c r="CE464" s="56">
        <f>AVERAGE(CC463,CE463)</f>
        <v>38147.350000000006</v>
      </c>
      <c r="CF464" s="23">
        <f t="shared" si="2907"/>
        <v>-6.6914120783699733</v>
      </c>
      <c r="CG464" s="56">
        <f>AVERAGE(CE463,CG463)</f>
        <v>18871.45</v>
      </c>
      <c r="CH464" s="23" t="str">
        <f t="shared" si="2907"/>
        <v>NM</v>
      </c>
      <c r="CI464" s="56">
        <f>AVERAGE(CG463,CI463)</f>
        <v>0</v>
      </c>
      <c r="CJ464" s="23" t="str">
        <f t="shared" si="2907"/>
        <v>NM</v>
      </c>
      <c r="CK464" s="56"/>
      <c r="CL464" s="23"/>
      <c r="CM464" s="56"/>
      <c r="CN464" s="23"/>
      <c r="CO464" s="56"/>
      <c r="CP464" s="23"/>
      <c r="CQ464" s="56"/>
      <c r="CR464" s="23" t="str">
        <f t="shared" si="2907"/>
        <v>NA</v>
      </c>
      <c r="CS464" s="23" t="str">
        <f>IF(ISERROR(((CQ464/CG464)^0.2-1)*100),"NA",IF((((CQ464/CG464)^0.2-1)*100)&gt;100,"NM",IF((((CQ464/CG464)^0.2-1)*100)&lt;-50,"NM",((CQ464/CG464)^0.2-1)*100)))</f>
        <v>NM</v>
      </c>
    </row>
    <row r="465" spans="1:97" ht="12.75" hidden="1" customHeight="1" outlineLevel="1" x14ac:dyDescent="0.2">
      <c r="B465" s="36"/>
      <c r="C465" s="65"/>
      <c r="D465" s="36"/>
      <c r="E465" s="65"/>
      <c r="F465" s="36"/>
      <c r="G465" s="65"/>
      <c r="H465" s="36"/>
      <c r="I465" s="65"/>
      <c r="J465" s="36"/>
      <c r="L465" s="36"/>
      <c r="N465" s="36"/>
      <c r="P465" s="36"/>
      <c r="R465" s="36"/>
      <c r="T465" s="36"/>
      <c r="V465" s="36"/>
      <c r="X465" s="36"/>
      <c r="Z465" s="36"/>
      <c r="AB465" s="36"/>
      <c r="AD465" s="36"/>
      <c r="AF465" s="36"/>
      <c r="AH465" s="36"/>
      <c r="AJ465" s="36"/>
      <c r="AL465" s="36"/>
      <c r="AN465" s="410"/>
      <c r="AP465" s="410"/>
      <c r="AR465" s="413"/>
      <c r="AT465" s="413"/>
      <c r="AV465" s="413"/>
      <c r="AX465" s="413"/>
      <c r="AZ465" s="413"/>
      <c r="BB465" s="413"/>
      <c r="BD465" s="413"/>
      <c r="BF465" s="56"/>
      <c r="BH465" s="56"/>
      <c r="BJ465" s="56"/>
      <c r="BL465" s="56"/>
      <c r="BN465" s="56"/>
      <c r="BO465" s="137"/>
      <c r="BP465" s="56"/>
      <c r="BQ465" s="36"/>
      <c r="BR465" s="36"/>
      <c r="BS465" s="36"/>
      <c r="BT465" s="36"/>
      <c r="BU465" s="36"/>
      <c r="BW465" s="36"/>
      <c r="BY465" s="56"/>
      <c r="CA465" s="56"/>
      <c r="CC465" s="56"/>
      <c r="CE465" s="56"/>
      <c r="CG465" s="56"/>
      <c r="CI465" s="56"/>
      <c r="CK465" s="56"/>
      <c r="CM465" s="56"/>
      <c r="CO465" s="56"/>
      <c r="CQ465" s="56"/>
    </row>
    <row r="466" spans="1:97" ht="12.75" hidden="1" customHeight="1" outlineLevel="1" x14ac:dyDescent="0.2">
      <c r="A466" s="4" t="s">
        <v>211</v>
      </c>
      <c r="B466" s="36">
        <f>AVERAGE(B461)</f>
        <v>978.3</v>
      </c>
      <c r="C466" s="64"/>
      <c r="D466" s="36">
        <f>AVERAGE(B461,D461)</f>
        <v>994.75</v>
      </c>
      <c r="E466" s="64"/>
      <c r="F466" s="36">
        <f>AVERAGE(D461,F461)</f>
        <v>1019.75</v>
      </c>
      <c r="G466" s="64"/>
      <c r="H466" s="36">
        <f>AVERAGE(F461,H461)</f>
        <v>1048.8499999999999</v>
      </c>
      <c r="I466" s="64"/>
      <c r="J466" s="36">
        <f>AVERAGE(H461,J461)</f>
        <v>1088.3000000000002</v>
      </c>
      <c r="K466" s="23">
        <f>IF(ISERROR((J466/B466-1)*100),"NA",IF(((J466/B466-1)*100)&gt;100,"NM",IF(((J466/B466-1)*100)&lt;-50,"NM",(J466/B466-1)*100)))</f>
        <v>11.243994684657089</v>
      </c>
      <c r="L466" s="36">
        <f>AVERAGE(J461,L461)</f>
        <v>1127.45</v>
      </c>
      <c r="M466" s="23">
        <f>IF(ISERROR((L466/D466-1)*100),"NA",IF(((L466/D466-1)*100)&gt;100,"NM",IF(((L466/D466-1)*100)&lt;-50,"NM",(L466/D466-1)*100)))</f>
        <v>13.340035184719778</v>
      </c>
      <c r="N466" s="36">
        <f>AVERAGE(L461,N461)</f>
        <v>1168.0999999999999</v>
      </c>
      <c r="O466" s="23">
        <f>IF(ISERROR((N466/F466-1)*100),"NA",IF(((N466/F466-1)*100)&gt;100,"NM",IF(((N466/F466-1)*100)&lt;-50,"NM",(N466/F466-1)*100)))</f>
        <v>14.547683255699928</v>
      </c>
      <c r="P466" s="36">
        <f>AVERAGE(N461,P461)</f>
        <v>1213.05</v>
      </c>
      <c r="Q466" s="23">
        <f>IF(ISERROR((P466/H466-1)*100),"NA",IF(((P466/H466-1)*100)&gt;100,"NM",IF(((P466/H466-1)*100)&lt;-50,"NM",(P466/H466-1)*100)))</f>
        <v>15.655241454926827</v>
      </c>
      <c r="R466" s="36">
        <f>AVERAGE(P461,R461)</f>
        <v>1254.8499999999999</v>
      </c>
      <c r="S466" s="23">
        <f>IF(ISERROR((R466/J466-1)*100),"NA",IF(((R466/J466-1)*100)&gt;100,"NM",IF(((R466/J466-1)*100)&lt;-50,"NM",(R466/J466-1)*100)))</f>
        <v>15.303684645777782</v>
      </c>
      <c r="T466" s="36">
        <f>AVERAGE(R461,T461)</f>
        <v>1304.3499999999999</v>
      </c>
      <c r="U466" s="23">
        <f>IF(ISERROR((T466/L466-1)*100),"NA",IF(((T466/L466-1)*100)&gt;100,"NM",IF(((T466/L466-1)*100)&lt;-50,"NM",(T466/L466-1)*100)))</f>
        <v>15.690274513282176</v>
      </c>
      <c r="V466" s="36">
        <f>AVERAGE(T461,V461)</f>
        <v>1358.15</v>
      </c>
      <c r="W466" s="23">
        <f>IF(ISERROR((V466/N466-1)*100),"NA",IF(((V466/N466-1)*100)&gt;100,"NM",IF(((V466/N466-1)*100)&lt;-50,"NM",(V466/N466-1)*100)))</f>
        <v>16.270011129184159</v>
      </c>
      <c r="X466" s="36">
        <f>AVERAGE(V461,X461)</f>
        <v>1404.4</v>
      </c>
      <c r="Y466" s="23">
        <f>IF(ISERROR((X466/P466-1)*100),"NA",IF(((X466/P466-1)*100)&gt;100,"NM",IF(((X466/P466-1)*100)&lt;-50,"NM",(X466/P466-1)*100)))</f>
        <v>15.774287951856891</v>
      </c>
      <c r="Z466" s="36">
        <f>AVERAGE(X461,Z461)</f>
        <v>1473.1999999999998</v>
      </c>
      <c r="AA466" s="23">
        <f>IF(ISERROR((Z466/R466-1)*100),"NA",IF(((Z466/R466-1)*100)&gt;100,"NM",IF(((Z466/R466-1)*100)&lt;-50,"NM",(Z466/R466-1)*100)))</f>
        <v>17.400486113878145</v>
      </c>
      <c r="AB466" s="36">
        <f>AVERAGE(Z461,AB461)</f>
        <v>1584.35</v>
      </c>
      <c r="AC466" s="23">
        <f>IF(ISERROR((AB466/T466-1)*100),"NA",IF(((AB466/T466-1)*100)&gt;100,"NM",IF(((AB466/T466-1)*100)&lt;-50,"NM",(AB466/T466-1)*100)))</f>
        <v>21.466630888948512</v>
      </c>
      <c r="AD466" s="36">
        <f>AVERAGE(AB461,AD461)</f>
        <v>1723.3000000000002</v>
      </c>
      <c r="AE466" s="23">
        <f>IF(ISERROR((AD466/V466-1)*100),"NA",IF(((AD466/V466-1)*100)&gt;100,"NM",IF(((AD466/V466-1)*100)&lt;-50,"NM",(AD466/V466-1)*100)))</f>
        <v>26.885837352280674</v>
      </c>
      <c r="AF466" s="36">
        <f>AVERAGE(AD461,AF461)</f>
        <v>2175.75</v>
      </c>
      <c r="AG466" s="23">
        <f>IF(ISERROR((AF466/X466-1)*100),"NA",IF(((AF466/X466-1)*100)&gt;100,"NM",IF(((AF466/X466-1)*100)&lt;-50,"NM",(AF466/X466-1)*100)))</f>
        <v>54.923810880091125</v>
      </c>
      <c r="AH466" s="36">
        <f>AVERAGE(AF461,AH461)</f>
        <v>2647.65</v>
      </c>
      <c r="AI466" s="23">
        <f>IF(ISERROR((AH466/Z466-1)*100),"NA",IF(((AH466/Z466-1)*100)&gt;100,"NM",IF(((AH466/Z466-1)*100)&lt;-50,"NM",(AH466/Z466-1)*100)))</f>
        <v>79.721015476513742</v>
      </c>
      <c r="AJ466" s="36">
        <f>AVERAGE(AH461,AJ461)</f>
        <v>2933.85</v>
      </c>
      <c r="AK466" s="23">
        <f>IF(ISERROR((AJ466/AB466-1)*100),"NA",IF(((AJ466/AB466-1)*100)&gt;100,"NM",IF(((AJ466/AB466-1)*100)&lt;-50,"NM",(AJ466/AB466-1)*100)))</f>
        <v>85.176886420298544</v>
      </c>
      <c r="AL466" s="36">
        <f>AVERAGE(AJ461,AL461)</f>
        <v>3199.25</v>
      </c>
      <c r="AM466" s="23">
        <f>IF(ISERROR((AL466/AD466-1)*100),"NA",IF(((AL466/AD466-1)*100)&gt;100,"NM",IF(((AL466/AD466-1)*100)&lt;-50,"NM",(AL466/AD466-1)*100)))</f>
        <v>85.646724308013674</v>
      </c>
      <c r="AN466" s="410">
        <f t="shared" ref="AN466:AP467" si="2922">AVERAGE(AL461,AN461)</f>
        <v>3340.1000000000004</v>
      </c>
      <c r="AO466" s="23">
        <f>IF(ISERROR((AN466/AF466-1)*100),"NA",IF(((AN466/AF466-1)*100)&gt;100,"NM",IF(((AN466/AF466-1)*100)&lt;-50,"NM",(AN466/AF466-1)*100)))</f>
        <v>53.514879926462157</v>
      </c>
      <c r="AP466" s="410">
        <f t="shared" si="2922"/>
        <v>3526.2</v>
      </c>
      <c r="AQ466" s="23">
        <f t="shared" ref="AQ466:AQ467" si="2923">IF(ISERROR((AP466/AH466-1)*100),"NA",IF(((AP466/AH466-1)*100)&gt;100,"NM",IF(((AP466/AH466-1)*100)&lt;-50,"NM",(AP466/AH466-1)*100)))</f>
        <v>33.182255962834951</v>
      </c>
      <c r="AR466" s="410">
        <f t="shared" ref="AR466:AT467" si="2924">AVERAGE(AP461,AR461)</f>
        <v>3738.75</v>
      </c>
      <c r="AS466" s="23">
        <f t="shared" ref="AS466:AS467" si="2925">IF(ISERROR((AR466/AJ466-1)*100),"NA",IF(((AR466/AJ466-1)*100)&gt;100,"NM",IF(((AR466/AJ466-1)*100)&lt;-50,"NM",(AR466/AJ466-1)*100)))</f>
        <v>27.434940436627642</v>
      </c>
      <c r="AT466" s="410">
        <f t="shared" si="2924"/>
        <v>4084.85</v>
      </c>
      <c r="AU466" s="23">
        <f t="shared" ref="AU466:AU467" si="2926">IF(ISERROR((AT466/AL466-1)*100),"NA",IF(((AT466/AL466-1)*100)&gt;100,"NM",IF(((AT466/AL466-1)*100)&lt;-50,"NM",(AT466/AL466-1)*100)))</f>
        <v>27.681487848714536</v>
      </c>
      <c r="AV466" s="410">
        <f t="shared" ref="AV466:AX467" si="2927">AVERAGE(AT461,AV461)</f>
        <v>4770.8999999999996</v>
      </c>
      <c r="AW466" s="23">
        <f t="shared" ref="AW466:AW467" si="2928">IF(ISERROR((AV466/AN466-1)*100),"NA",IF(((AV466/AN466-1)*100)&gt;100,"NM",IF(((AV466/AN466-1)*100)&lt;-50,"NM",(AV466/AN466-1)*100)))</f>
        <v>42.837040807161443</v>
      </c>
      <c r="AX466" s="410">
        <f t="shared" si="2927"/>
        <v>5344.75</v>
      </c>
      <c r="AY466" s="23">
        <f t="shared" ref="AY466:AY467" si="2929">IF(ISERROR((AX466/AP466-1)*100),"NA",IF(((AX466/AP466-1)*100)&gt;100,"NM",IF(((AX466/AP466-1)*100)&lt;-50,"NM",(AX466/AP466-1)*100)))</f>
        <v>51.57251432136578</v>
      </c>
      <c r="AZ466" s="410">
        <f t="shared" ref="AZ466:AZ467" si="2930">AVERAGE(AX461,AZ461)</f>
        <v>5500.15</v>
      </c>
      <c r="BA466" s="23">
        <f t="shared" ref="BA466:BA467" si="2931">IF(ISERROR((AZ466/AR466-1)*100),"NA",IF(((AZ466/AR466-1)*100)&gt;100,"NM",IF(((AZ466/AR466-1)*100)&lt;-50,"NM",(AZ466/AR466-1)*100)))</f>
        <v>47.112002674690736</v>
      </c>
      <c r="BB466" s="410">
        <f t="shared" ref="BB466:BD467" si="2932">AVERAGE(AZ461,BB461)</f>
        <v>5553.5</v>
      </c>
      <c r="BC466" s="23">
        <f t="shared" ref="BC466:BC467" si="2933">IF(ISERROR((BB466/AT466-1)*100),"NA",IF(((BB466/AT466-1)*100)&gt;100,"NM",IF(((BB466/AT466-1)*100)&lt;-50,"NM",(BB466/AT466-1)*100)))</f>
        <v>35.953584586949347</v>
      </c>
      <c r="BD466" s="410">
        <f t="shared" si="2932"/>
        <v>5588.6</v>
      </c>
      <c r="BE466" s="23">
        <f t="shared" ref="BE466:BE467" si="2934">IF(ISERROR((BD466/AV466-1)*100),"NA",IF(((BD466/AV466-1)*100)&gt;100,"NM",IF(((BD466/AV466-1)*100)&lt;-50,"NM",(BD466/AV466-1)*100)))</f>
        <v>17.139323817309116</v>
      </c>
      <c r="BF466" s="56">
        <f t="shared" ref="BF466:BH467" si="2935">AVERAGE(BD461,BF461)</f>
        <v>0</v>
      </c>
      <c r="BG466" s="23" t="str">
        <f t="shared" ref="BG466:BG467" si="2936">IF(ISERROR((BF466/AX466-1)*100),"NA",IF(((BF466/AX466-1)*100)&gt;100,"NM",IF(((BF466/AX466-1)*100)&lt;-50,"NM",(BF466/AX466-1)*100)))</f>
        <v>NM</v>
      </c>
      <c r="BH466" s="56">
        <f t="shared" si="2935"/>
        <v>0</v>
      </c>
      <c r="BI466" s="23" t="str">
        <f t="shared" ref="BI466:BI467" si="2937">IF(ISERROR((BH466/AZ466-1)*100),"NA",IF(((BH466/AZ466-1)*100)&gt;100,"NM",IF(((BH466/AZ466-1)*100)&lt;-50,"NM",(BH466/AZ466-1)*100)))</f>
        <v>NM</v>
      </c>
      <c r="BJ466" s="56"/>
      <c r="BK466" s="23"/>
      <c r="BL466" s="56"/>
      <c r="BM466" s="23" t="str">
        <f t="shared" ref="BM466:BM467" si="2938">IF(ISERROR((BL466/BD466-1)*100),"NA",IF(((BL466/BD466-1)*100)&gt;100,"NM",IF(((BL466/BD466-1)*100)&lt;-50,"NM",(BL466/BD466-1)*100)))</f>
        <v>NM</v>
      </c>
      <c r="BN466" s="56"/>
      <c r="BO466" s="137"/>
      <c r="BP466" s="56"/>
      <c r="BQ466" s="112"/>
      <c r="BR466" s="36"/>
      <c r="BS466" s="36">
        <f>AVERAGE(BS461)</f>
        <v>948.3</v>
      </c>
      <c r="BT466" s="64"/>
      <c r="BU466" s="36">
        <f>AVERAGE(BS461,BU461)</f>
        <v>1008.85</v>
      </c>
      <c r="BV466" s="23">
        <f>IF(ISERROR((BU466/BS466-1)*100),"NA",IF(((BU466/BS466-1)*100)&gt;100,"NM",IF(((BU466/BS466-1)*100)&lt;-50,"NM",(BU466/BS466-1)*100)))</f>
        <v>6.3851101971949875</v>
      </c>
      <c r="BW466" s="36">
        <f>AVERAGE(BU461,BW461)</f>
        <v>1153.5</v>
      </c>
      <c r="BX466" s="23">
        <f>IF(ISERROR((BW466/BU466-1)*100),"NA",IF(((BW466/BU466-1)*100)&gt;100,"NM",IF(((BW466/BU466-1)*100)&lt;-50,"NM",(BW466/BU466-1)*100)))</f>
        <v>14.338107746443974</v>
      </c>
      <c r="BY466" s="56">
        <f>AVERAGE(BW461,BY461)</f>
        <v>1333.35</v>
      </c>
      <c r="BZ466" s="23">
        <f>IF(ISERROR((BY466/BW466-1)*100),"NA",IF(((BY466/BW466-1)*100)&gt;100,"NM",IF(((BY466/BW466-1)*100)&lt;-50,"NM",(BY466/BW466-1)*100)))</f>
        <v>15.591677503250967</v>
      </c>
      <c r="CA466" s="56">
        <f>AVERAGE(BY461,CA461)</f>
        <v>1992.7</v>
      </c>
      <c r="CB466" s="23">
        <f>IF(ISERROR((CA466/BY466-1)*100),"NA",IF(((CA466/BY466-1)*100)&gt;100,"NM",IF(((CA466/BY466-1)*100)&lt;-50,"NM",(CA466/BY466-1)*100)))</f>
        <v>49.450631867101677</v>
      </c>
      <c r="CC466" s="56">
        <f>AVERAGE(CA461,CC461)</f>
        <v>2983.3500000000004</v>
      </c>
      <c r="CD466" s="23">
        <f>IF(ISERROR((CC466/CA466-1)*100),"NA",IF(((CC466/CA466-1)*100)&gt;100,"NM",IF(((CC466/CA466-1)*100)&lt;-50,"NM",(CC466/CA466-1)*100)))</f>
        <v>49.713955939178021</v>
      </c>
      <c r="CE466" s="56">
        <f>AVERAGE(CC461,CE461)</f>
        <v>4309</v>
      </c>
      <c r="CF466" s="23">
        <f>IF(ISERROR((CE466/CC466-1)*100),"NA",IF(((CE466/CC466-1)*100)&gt;100,"NM",IF(((CE466/CC466-1)*100)&lt;-50,"NM",(CE466/CC466-1)*100)))</f>
        <v>44.434947290797247</v>
      </c>
      <c r="CG466" s="56">
        <f>AVERAGE(CE461,CG461)</f>
        <v>2603.8000000000002</v>
      </c>
      <c r="CH466" s="23">
        <f>IF(ISERROR((CG466/CE466-1)*100),"NA",IF(((CG466/CE466-1)*100)&gt;100,"NM",IF(((CG466/CE466-1)*100)&lt;-50,"NM",(CG466/CE466-1)*100)))</f>
        <v>-39.57298677187282</v>
      </c>
      <c r="CI466" s="56">
        <f>AVERAGE(CG461,CI461)</f>
        <v>0</v>
      </c>
      <c r="CJ466" s="23" t="str">
        <f>IF(ISERROR((CI466/CG466-1)*100),"NA",IF(((CI466/CG466-1)*100)&gt;100,"NM",IF(((CI466/CG466-1)*100)&lt;-50,"NM",(CI466/CG466-1)*100)))</f>
        <v>NM</v>
      </c>
      <c r="CK466" s="56"/>
      <c r="CL466" s="23"/>
      <c r="CM466" s="56"/>
      <c r="CN466" s="23"/>
      <c r="CO466" s="56"/>
      <c r="CP466" s="23"/>
      <c r="CQ466" s="56"/>
      <c r="CR466" s="23" t="str">
        <f>IF(ISERROR((CQ466/CO466-1)*100),"NA",IF(((CQ466/CO466-1)*100)&gt;100,"NM",IF(((CQ466/CO466-1)*100)&lt;-50,"NM",(CQ466/CO466-1)*100)))</f>
        <v>NA</v>
      </c>
      <c r="CS466" s="23" t="str">
        <f>IF(ISERROR(((CQ466/CG466)^0.2-1)*100),"NA",IF((((CQ466/CG466)^0.2-1)*100)&gt;100,"NM",IF((((CQ466/CG466)^0.2-1)*100)&lt;-50,"NM",((CQ466/CG466)^0.2-1)*100)))</f>
        <v>NM</v>
      </c>
    </row>
    <row r="467" spans="1:97" ht="12.75" hidden="1" customHeight="1" outlineLevel="1" x14ac:dyDescent="0.2">
      <c r="A467" s="4" t="s">
        <v>212</v>
      </c>
      <c r="B467" s="36">
        <f>AVERAGE(B462)</f>
        <v>47691.7</v>
      </c>
      <c r="C467" s="64"/>
      <c r="D467" s="36">
        <f>AVERAGE(B462,D462)</f>
        <v>47123</v>
      </c>
      <c r="E467" s="64"/>
      <c r="F467" s="36">
        <f>AVERAGE(D462,F462)</f>
        <v>43185.95</v>
      </c>
      <c r="G467" s="64"/>
      <c r="H467" s="36">
        <f>AVERAGE(F462,H462)</f>
        <v>40696.85</v>
      </c>
      <c r="I467" s="64"/>
      <c r="J467" s="36">
        <f>AVERAGE(H462,J462)</f>
        <v>42801.35</v>
      </c>
      <c r="K467" s="23">
        <f>IF(ISERROR((J467/B467-1)*100),"NA",IF(((J467/B467-1)*100)&gt;100,"NM",IF(((J467/B467-1)*100)&lt;-50,"NM",(J467/B467-1)*100)))</f>
        <v>-10.254090334376842</v>
      </c>
      <c r="L467" s="36">
        <f>AVERAGE(J462,L462)</f>
        <v>42861.149999999994</v>
      </c>
      <c r="M467" s="23">
        <f>IF(ISERROR((L467/D467-1)*100),"NA",IF(((L467/D467-1)*100)&gt;100,"NM",IF(((L467/D467-1)*100)&lt;-50,"NM",(L467/D467-1)*100)))</f>
        <v>-9.0440973622222813</v>
      </c>
      <c r="N467" s="36">
        <f>AVERAGE(L462,N462)</f>
        <v>42174.7</v>
      </c>
      <c r="O467" s="23">
        <f>IF(ISERROR((N467/F467-1)*100),"NA",IF(((N467/F467-1)*100)&gt;100,"NM",IF(((N467/F467-1)*100)&lt;-50,"NM",(N467/F467-1)*100)))</f>
        <v>-2.3416180493887495</v>
      </c>
      <c r="P467" s="36">
        <f>AVERAGE(N462,P462)</f>
        <v>42307.25</v>
      </c>
      <c r="Q467" s="23">
        <f>IF(ISERROR((P467/H467-1)*100),"NA",IF(((P467/H467-1)*100)&gt;100,"NM",IF(((P467/H467-1)*100)&lt;-50,"NM",(P467/H467-1)*100)))</f>
        <v>3.9570630159336595</v>
      </c>
      <c r="R467" s="36">
        <f>AVERAGE(P462,R462)</f>
        <v>42617.65</v>
      </c>
      <c r="S467" s="23">
        <f>IF(ISERROR((R467/J467-1)*100),"NA",IF(((R467/J467-1)*100)&gt;100,"NM",IF(((R467/J467-1)*100)&lt;-50,"NM",(R467/J467-1)*100)))</f>
        <v>-0.4291920698762941</v>
      </c>
      <c r="T467" s="36">
        <f>AVERAGE(R462,T462)</f>
        <v>42648.6</v>
      </c>
      <c r="U467" s="23">
        <f>IF(ISERROR((T467/L467-1)*100),"NA",IF(((T467/L467-1)*100)&gt;100,"NM",IF(((T467/L467-1)*100)&lt;-50,"NM",(T467/L467-1)*100)))</f>
        <v>-0.49590363301030838</v>
      </c>
      <c r="V467" s="36">
        <f>AVERAGE(T462,V462)</f>
        <v>42534.95</v>
      </c>
      <c r="W467" s="23">
        <f>IF(ISERROR((V467/N467-1)*100),"NA",IF(((V467/N467-1)*100)&gt;100,"NM",IF(((V467/N467-1)*100)&lt;-50,"NM",(V467/N467-1)*100)))</f>
        <v>0.85418509201014015</v>
      </c>
      <c r="X467" s="36">
        <f>AVERAGE(V462,X462)</f>
        <v>43658.55</v>
      </c>
      <c r="Y467" s="23">
        <f>IF(ISERROR((X467/P467-1)*100),"NA",IF(((X467/P467-1)*100)&gt;100,"NM",IF(((X467/P467-1)*100)&lt;-50,"NM",(X467/P467-1)*100)))</f>
        <v>3.1940152101590291</v>
      </c>
      <c r="Z467" s="36">
        <f>AVERAGE(X462,Z462)</f>
        <v>43897.3</v>
      </c>
      <c r="AA467" s="23">
        <f>IF(ISERROR((Z467/R467-1)*100),"NA",IF(((Z467/R467-1)*100)&gt;100,"NM",IF(((Z467/R467-1)*100)&lt;-50,"NM",(Z467/R467-1)*100)))</f>
        <v>3.002629192365136</v>
      </c>
      <c r="AB467" s="36">
        <f>AVERAGE(Z462,AB462)</f>
        <v>43631.85</v>
      </c>
      <c r="AC467" s="23">
        <f>IF(ISERROR((AB467/T467-1)*100),"NA",IF(((AB467/T467-1)*100)&gt;100,"NM",IF(((AB467/T467-1)*100)&lt;-50,"NM",(AB467/T467-1)*100)))</f>
        <v>2.3054684092795652</v>
      </c>
      <c r="AD467" s="36">
        <f>AVERAGE(AB462,AD462)</f>
        <v>42747</v>
      </c>
      <c r="AE467" s="23">
        <f>IF(ISERROR((AD467/V467-1)*100),"NA",IF(((AD467/V467-1)*100)&gt;100,"NM",IF(((AD467/V467-1)*100)&lt;-50,"NM",(AD467/V467-1)*100)))</f>
        <v>0.49853120786553795</v>
      </c>
      <c r="AF467" s="36">
        <f>AVERAGE(AD462,AF462)</f>
        <v>41206.449999999997</v>
      </c>
      <c r="AG467" s="23">
        <f>IF(ISERROR((AF467/X467-1)*100),"NA",IF(((AF467/X467-1)*100)&gt;100,"NM",IF(((AF467/X467-1)*100)&lt;-50,"NM",(AF467/X467-1)*100)))</f>
        <v>-5.6165401736887883</v>
      </c>
      <c r="AH467" s="36">
        <f>AVERAGE(AF462,AH462)</f>
        <v>40443.300000000003</v>
      </c>
      <c r="AI467" s="23">
        <f>IF(ISERROR((AH467/Z467-1)*100),"NA",IF(((AH467/Z467-1)*100)&gt;100,"NM",IF(((AH467/Z467-1)*100)&lt;-50,"NM",(AH467/Z467-1)*100)))</f>
        <v>-7.868365480337058</v>
      </c>
      <c r="AJ467" s="36">
        <f>AVERAGE(AH462,AJ462)</f>
        <v>39339.699999999997</v>
      </c>
      <c r="AK467" s="23">
        <f>IF(ISERROR((AJ467/AB467-1)*100),"NA",IF(((AJ467/AB467-1)*100)&gt;100,"NM",IF(((AJ467/AB467-1)*100)&lt;-50,"NM",(AJ467/AB467-1)*100)))</f>
        <v>-9.8371946181516563</v>
      </c>
      <c r="AL467" s="36">
        <f>AVERAGE(AJ462,AL462)</f>
        <v>36705.050000000003</v>
      </c>
      <c r="AM467" s="23">
        <f>IF(ISERROR((AL467/AD467-1)*100),"NA",IF(((AL467/AD467-1)*100)&gt;100,"NM",IF(((AL467/AD467-1)*100)&lt;-50,"NM",(AL467/AD467-1)*100)))</f>
        <v>-14.134208248532055</v>
      </c>
      <c r="AN467" s="410">
        <f t="shared" si="2922"/>
        <v>35050.400000000001</v>
      </c>
      <c r="AO467" s="23">
        <f>IF(ISERROR((AN467/AF467-1)*100),"NA",IF(((AN467/AF467-1)*100)&gt;100,"NM",IF(((AN467/AF467-1)*100)&lt;-50,"NM",(AN467/AF467-1)*100)))</f>
        <v>-14.939530097836617</v>
      </c>
      <c r="AP467" s="410">
        <f t="shared" si="2922"/>
        <v>34675.4</v>
      </c>
      <c r="AQ467" s="23">
        <f t="shared" si="2923"/>
        <v>-14.261694767736566</v>
      </c>
      <c r="AR467" s="410">
        <f t="shared" si="2924"/>
        <v>34004.050000000003</v>
      </c>
      <c r="AS467" s="23">
        <f t="shared" si="2925"/>
        <v>-13.563016494787695</v>
      </c>
      <c r="AT467" s="410">
        <f t="shared" si="2924"/>
        <v>33778.649999999994</v>
      </c>
      <c r="AU467" s="23">
        <f t="shared" si="2926"/>
        <v>-7.9727448947760848</v>
      </c>
      <c r="AV467" s="410">
        <f t="shared" si="2927"/>
        <v>33146.949999999997</v>
      </c>
      <c r="AW467" s="23">
        <f t="shared" si="2928"/>
        <v>-5.4306084951954992</v>
      </c>
      <c r="AX467" s="410">
        <f t="shared" si="2927"/>
        <v>32238.949999999997</v>
      </c>
      <c r="AY467" s="23">
        <f t="shared" si="2929"/>
        <v>-7.0264510286831676</v>
      </c>
      <c r="AZ467" s="410">
        <f t="shared" si="2930"/>
        <v>31888.35</v>
      </c>
      <c r="BA467" s="23">
        <f t="shared" si="2931"/>
        <v>-6.2219059200301245</v>
      </c>
      <c r="BB467" s="410">
        <f t="shared" si="2932"/>
        <v>31628.25</v>
      </c>
      <c r="BC467" s="23">
        <f t="shared" si="2933"/>
        <v>-6.3661514003667818</v>
      </c>
      <c r="BD467" s="410">
        <f t="shared" si="2932"/>
        <v>31422.400000000001</v>
      </c>
      <c r="BE467" s="23">
        <f t="shared" si="2934"/>
        <v>-5.202741127011679</v>
      </c>
      <c r="BF467" s="56">
        <f t="shared" si="2935"/>
        <v>0</v>
      </c>
      <c r="BG467" s="23" t="str">
        <f t="shared" si="2936"/>
        <v>NM</v>
      </c>
      <c r="BH467" s="56">
        <f t="shared" si="2935"/>
        <v>0</v>
      </c>
      <c r="BI467" s="23" t="str">
        <f t="shared" si="2937"/>
        <v>NM</v>
      </c>
      <c r="BJ467" s="56"/>
      <c r="BK467" s="23"/>
      <c r="BL467" s="56"/>
      <c r="BM467" s="23" t="str">
        <f t="shared" si="2938"/>
        <v>NM</v>
      </c>
      <c r="BN467" s="56"/>
      <c r="BO467" s="137"/>
      <c r="BP467" s="56"/>
      <c r="BQ467" s="112"/>
      <c r="BR467" s="36"/>
      <c r="BS467" s="36">
        <f>AVERAGE(BS462)</f>
        <v>47029.7</v>
      </c>
      <c r="BT467" s="64"/>
      <c r="BU467" s="36">
        <f>AVERAGE(BS462,BU462)</f>
        <v>44302.899999999994</v>
      </c>
      <c r="BV467" s="23">
        <f>IF(ISERROR((BU467/BS467-1)*100),"NA",IF(((BU467/BS467-1)*100)&gt;100,"NM",IF(((BU467/BS467-1)*100)&lt;-50,"NM",(BU467/BS467-1)*100)))</f>
        <v>-5.79803826092874</v>
      </c>
      <c r="BW467" s="36">
        <f>AVERAGE(BU462,BW462)</f>
        <v>41768.449999999997</v>
      </c>
      <c r="BX467" s="23">
        <f>IF(ISERROR((BW467/BU467-1)*100),"NA",IF(((BW467/BU467-1)*100)&gt;100,"NM",IF(((BW467/BU467-1)*100)&lt;-50,"NM",(BW467/BU467-1)*100)))</f>
        <v>-5.7207315999629804</v>
      </c>
      <c r="BY467" s="56">
        <f>AVERAGE(BW462,BY462)</f>
        <v>43115.350000000006</v>
      </c>
      <c r="BZ467" s="23">
        <f>IF(ISERROR((BY467/BW467-1)*100),"NA",IF(((BY467/BW467-1)*100)&gt;100,"NM",IF(((BY467/BW467-1)*100)&lt;-50,"NM",(BY467/BW467-1)*100)))</f>
        <v>3.224682744990548</v>
      </c>
      <c r="CA467" s="56">
        <f>AVERAGE(BY462,CA462)</f>
        <v>42463.9</v>
      </c>
      <c r="CB467" s="23">
        <f>IF(ISERROR((CA467/BY467-1)*100),"NA",IF(((CA467/BY467-1)*100)&gt;100,"NM",IF(((CA467/BY467-1)*100)&lt;-50,"NM",(CA467/BY467-1)*100)))</f>
        <v>-1.5109467973703161</v>
      </c>
      <c r="CC467" s="56">
        <f>AVERAGE(CA462,CC462)</f>
        <v>37899.65</v>
      </c>
      <c r="CD467" s="23">
        <f>IF(ISERROR((CC467/CA467-1)*100),"NA",IF(((CC467/CA467-1)*100)&gt;100,"NM",IF(((CC467/CA467-1)*100)&lt;-50,"NM",(CC467/CA467-1)*100)))</f>
        <v>-10.748541702481408</v>
      </c>
      <c r="CE467" s="56">
        <f>AVERAGE(CC462,CE462)</f>
        <v>33838.35</v>
      </c>
      <c r="CF467" s="23">
        <f>IF(ISERROR((CE467/CC467-1)*100),"NA",IF(((CE467/CC467-1)*100)&gt;100,"NM",IF(((CE467/CC467-1)*100)&lt;-50,"NM",(CE467/CC467-1)*100)))</f>
        <v>-10.715930094341253</v>
      </c>
      <c r="CG467" s="56">
        <f>AVERAGE(CE462,CG462)</f>
        <v>16267.65</v>
      </c>
      <c r="CH467" s="23" t="str">
        <f>IF(ISERROR((CG467/CE467-1)*100),"NA",IF(((CG467/CE467-1)*100)&gt;100,"NM",IF(((CG467/CE467-1)*100)&lt;-50,"NM",(CG467/CE467-1)*100)))</f>
        <v>NM</v>
      </c>
      <c r="CI467" s="56">
        <f>AVERAGE(CG462,CI462)</f>
        <v>0</v>
      </c>
      <c r="CJ467" s="23" t="str">
        <f>IF(ISERROR((CI467/CG467-1)*100),"NA",IF(((CI467/CG467-1)*100)&gt;100,"NM",IF(((CI467/CG467-1)*100)&lt;-50,"NM",(CI467/CG467-1)*100)))</f>
        <v>NM</v>
      </c>
      <c r="CK467" s="56"/>
      <c r="CL467" s="23"/>
      <c r="CM467" s="56"/>
      <c r="CN467" s="23"/>
      <c r="CO467" s="56"/>
      <c r="CP467" s="23"/>
      <c r="CQ467" s="56"/>
      <c r="CR467" s="23" t="str">
        <f>IF(ISERROR((CQ467/CO467-1)*100),"NA",IF(((CQ467/CO467-1)*100)&gt;100,"NM",IF(((CQ467/CO467-1)*100)&lt;-50,"NM",(CQ467/CO467-1)*100)))</f>
        <v>NA</v>
      </c>
      <c r="CS467" s="23" t="str">
        <f>IF(ISERROR(((CQ467/CG467)^0.2-1)*100),"NA",IF((((CQ467/CG467)^0.2-1)*100)&gt;100,"NM",IF((((CQ467/CG467)^0.2-1)*100)&lt;-50,"NM",((CQ467/CG467)^0.2-1)*100)))</f>
        <v>NM</v>
      </c>
    </row>
    <row r="468" spans="1:97" ht="12.75" hidden="1" customHeight="1" outlineLevel="1" x14ac:dyDescent="0.2">
      <c r="J468" s="5"/>
      <c r="L468" s="5"/>
      <c r="N468" s="5"/>
      <c r="P468" s="5"/>
      <c r="R468" s="5"/>
      <c r="T468" s="5"/>
      <c r="V468" s="5"/>
      <c r="X468" s="5"/>
      <c r="Z468" s="5"/>
      <c r="AB468" s="5"/>
      <c r="AD468" s="5"/>
      <c r="AF468" s="5"/>
      <c r="AH468" s="5"/>
      <c r="AJ468" s="5"/>
      <c r="AL468" s="5"/>
      <c r="AN468" s="475"/>
      <c r="AP468" s="475"/>
      <c r="AR468" s="506"/>
      <c r="AT468" s="506"/>
      <c r="AV468" s="506"/>
      <c r="AX468" s="506"/>
      <c r="AZ468" s="506"/>
      <c r="BB468" s="506"/>
      <c r="BD468" s="506"/>
      <c r="BF468" s="10"/>
      <c r="BH468" s="10"/>
      <c r="BJ468" s="10"/>
      <c r="BL468" s="10"/>
      <c r="BN468" s="10"/>
      <c r="BO468" s="136"/>
      <c r="BP468" s="10"/>
      <c r="BQ468" s="10"/>
      <c r="BR468" s="5"/>
      <c r="BS468" s="5"/>
      <c r="BT468" s="5"/>
      <c r="BU468" s="5"/>
      <c r="BW468" s="5"/>
      <c r="BY468" s="13"/>
      <c r="CA468" s="13"/>
      <c r="CC468" s="13"/>
      <c r="CE468" s="13"/>
      <c r="CG468" s="13"/>
      <c r="CI468" s="13"/>
      <c r="CK468" s="13"/>
      <c r="CM468" s="13"/>
      <c r="CO468" s="13"/>
      <c r="CQ468" s="13"/>
    </row>
    <row r="469" spans="1:97" ht="12.75" hidden="1" customHeight="1" outlineLevel="1" x14ac:dyDescent="0.2">
      <c r="A469" s="4" t="s">
        <v>322</v>
      </c>
      <c r="B469" s="35">
        <f>-B450/B448*400</f>
        <v>9.6923529056207371</v>
      </c>
      <c r="C469" s="59"/>
      <c r="D469" s="35">
        <f>-D450/D448*400</f>
        <v>9.7915409734586074</v>
      </c>
      <c r="E469" s="59"/>
      <c r="F469" s="35">
        <f>-F450/F448*400</f>
        <v>8.5509163549177494</v>
      </c>
      <c r="G469" s="59"/>
      <c r="H469" s="35">
        <f>-H450/H448*400</f>
        <v>9.4214078236143592</v>
      </c>
      <c r="I469" s="59"/>
      <c r="J469" s="35">
        <f>-J450/J448*400</f>
        <v>9.5837927991434881</v>
      </c>
      <c r="K469" s="23">
        <f>IF(ISERROR((J469/B469-1)*100),"NA",IF(((J469/B469-1)*100)&gt;100,"NM",IF(((J469/B469-1)*100)&lt;-50,"NM",(J469/B469-1)*100)))</f>
        <v>-1.1200593657118452</v>
      </c>
      <c r="L469" s="35">
        <f>-L450/L448*400</f>
        <v>8.5750301176796846</v>
      </c>
      <c r="M469" s="23">
        <f>IF(ISERROR((L469/D469-1)*100),"NA",IF(((L469/D469-1)*100)&gt;100,"NM",IF(((L469/D469-1)*100)&lt;-50,"NM",(L469/D469-1)*100)))</f>
        <v>-12.424100139870243</v>
      </c>
      <c r="N469" s="35">
        <f>-N450/N448*400</f>
        <v>8.9003983018522419</v>
      </c>
      <c r="O469" s="23">
        <f>IF(ISERROR((N469/F469-1)*100),"NA",IF(((N469/F469-1)*100)&gt;100,"NM",IF(((N469/F469-1)*100)&lt;-50,"NM",(N469/F469-1)*100)))</f>
        <v>4.0870701153976396</v>
      </c>
      <c r="P469" s="35">
        <f>-P450/P448*400</f>
        <v>9.8224939582219211</v>
      </c>
      <c r="Q469" s="23">
        <f>IF(ISERROR((P469/H469-1)*100),"NA",IF(((P469/H469-1)*100)&gt;100,"NM",IF(((P469/H469-1)*100)&lt;-50,"NM",(P469/H469-1)*100)))</f>
        <v>4.2571783550464426</v>
      </c>
      <c r="R469" s="35">
        <f>-R450/R448*400</f>
        <v>9.9345865050034519</v>
      </c>
      <c r="S469" s="23">
        <f>IF(ISERROR((R469/J469-1)*100),"NA",IF(((R469/J469-1)*100)&gt;100,"NM",IF(((R469/J469-1)*100)&lt;-50,"NM",(R469/J469-1)*100)))</f>
        <v>3.6602805717097064</v>
      </c>
      <c r="T469" s="35">
        <f>-T450/T448*400</f>
        <v>10.708509310261563</v>
      </c>
      <c r="U469" s="23">
        <f>IF(ISERROR((T469/L469-1)*100),"NA",IF(((T469/L469-1)*100)&gt;100,"NM",IF(((T469/L469-1)*100)&lt;-50,"NM",(T469/L469-1)*100)))</f>
        <v>24.880136434543232</v>
      </c>
      <c r="V469" s="35">
        <f>-V450/V448*400</f>
        <v>10.293841708259844</v>
      </c>
      <c r="W469" s="23">
        <f>IF(ISERROR((V469/N469-1)*100),"NA",IF(((V469/N469-1)*100)&gt;100,"NM",IF(((V469/N469-1)*100)&lt;-50,"NM",(V469/N469-1)*100)))</f>
        <v>15.655966835974255</v>
      </c>
      <c r="X469" s="35">
        <f>-X450/X448*400</f>
        <v>10.754833368877025</v>
      </c>
      <c r="Y469" s="23">
        <f>IF(ISERROR((X469/P469-1)*100),"NA",IF(((X469/P469-1)*100)&gt;100,"NM",IF(((X469/P469-1)*100)&lt;-50,"NM",(X469/P469-1)*100)))</f>
        <v>9.4918807241890732</v>
      </c>
      <c r="Z469" s="35">
        <f>-Z450/Z448*400</f>
        <v>11.024356916234447</v>
      </c>
      <c r="AA469" s="23">
        <f>IF(ISERROR((Z469/R469-1)*100),"NA",IF(((Z469/R469-1)*100)&gt;100,"NM",IF(((Z469/R469-1)*100)&lt;-50,"NM",(Z469/R469-1)*100)))</f>
        <v>10.969459178619513</v>
      </c>
      <c r="AB469" s="35">
        <f>-AB450/AB448*400</f>
        <v>11.899315580371034</v>
      </c>
      <c r="AC469" s="23">
        <f>IF(ISERROR((AB469/T469-1)*100),"NA",IF(((AB469/T469-1)*100)&gt;100,"NM",IF(((AB469/T469-1)*100)&lt;-50,"NM",(AB469/T469-1)*100)))</f>
        <v>11.120187092412248</v>
      </c>
      <c r="AD469" s="35">
        <f>-AD450/AD448*400</f>
        <v>11.397611666248334</v>
      </c>
      <c r="AE469" s="23">
        <f>IF(ISERROR((AD469/V469-1)*100),"NA",IF(((AD469/V469-1)*100)&gt;100,"NM",IF(((AD469/V469-1)*100)&lt;-50,"NM",(AD469/V469-1)*100)))</f>
        <v>10.722624159868488</v>
      </c>
      <c r="AF469" s="35">
        <f>-AF450/AF448*400</f>
        <v>16.947732023930996</v>
      </c>
      <c r="AG469" s="23">
        <f>IF(ISERROR((AF469/X469-1)*100),"NA",IF(((AF469/X469-1)*100)&gt;100,"NM",IF(((AF469/X469-1)*100)&lt;-50,"NM",(AF469/X469-1)*100)))</f>
        <v>57.582469598974441</v>
      </c>
      <c r="AH469" s="35">
        <f>-AH450/AH448*400</f>
        <v>11.956656512341999</v>
      </c>
      <c r="AI469" s="23">
        <f>IF(ISERROR((AH469/Z469-1)*100),"NA",IF(((AH469/Z469-1)*100)&gt;100,"NM",IF(((AH469/Z469-1)*100)&lt;-50,"NM",(AH469/Z469-1)*100)))</f>
        <v>8.4567254415960349</v>
      </c>
      <c r="AJ469" s="35">
        <f>-AJ450/AJ448*400</f>
        <v>14.149288062951253</v>
      </c>
      <c r="AK469" s="23">
        <f>IF(ISERROR((AJ469/AB469-1)*100),"NA",IF(((AJ469/AB469-1)*100)&gt;100,"NM",IF(((AJ469/AB469-1)*100)&lt;-50,"NM",(AJ469/AB469-1)*100)))</f>
        <v>18.908419290028288</v>
      </c>
      <c r="AL469" s="35">
        <f>-AL450/AL448*400</f>
        <v>10.452798663324977</v>
      </c>
      <c r="AM469" s="23">
        <f>IF(ISERROR((AL469/AD469-1)*100),"NA",IF(((AL469/AD469-1)*100)&gt;100,"NM",IF(((AL469/AD469-1)*100)&lt;-50,"NM",(AL469/AD469-1)*100)))</f>
        <v>-8.2895700484446717</v>
      </c>
      <c r="AN469" s="409">
        <f t="shared" ref="AN469:AP469" si="2939">-AN450/AN448*400</f>
        <v>10.996365607977021</v>
      </c>
      <c r="AO469" s="23">
        <f>IF(ISERROR((AN469/AF469-1)*100),"NA",IF(((AN469/AF469-1)*100)&gt;100,"NM",IF(((AN469/AF469-1)*100)&lt;-50,"NM",(AN469/AF469-1)*100)))</f>
        <v>-35.11600494715379</v>
      </c>
      <c r="AP469" s="409">
        <f t="shared" si="2939"/>
        <v>9.9539574654680951</v>
      </c>
      <c r="AQ469" s="23">
        <f t="shared" ref="AQ469" si="2940">IF(ISERROR((AP469/AH469-1)*100),"NA",IF(((AP469/AH469-1)*100)&gt;100,"NM",IF(((AP469/AH469-1)*100)&lt;-50,"NM",(AP469/AH469-1)*100)))</f>
        <v>-16.749657772694736</v>
      </c>
      <c r="AR469" s="409">
        <f t="shared" ref="AR469:AT469" si="2941">-AR450/AR448*400</f>
        <v>10.630370094580044</v>
      </c>
      <c r="AS469" s="23">
        <f t="shared" ref="AS469" si="2942">IF(ISERROR((AR469/AJ469-1)*100),"NA",IF(((AR469/AJ469-1)*100)&gt;100,"NM",IF(((AR469/AJ469-1)*100)&lt;-50,"NM",(AR469/AJ469-1)*100)))</f>
        <v>-24.869929516702726</v>
      </c>
      <c r="AT469" s="409">
        <f t="shared" si="2941"/>
        <v>12.845660995854258</v>
      </c>
      <c r="AU469" s="23">
        <f t="shared" ref="AU469" si="2943">IF(ISERROR((AT469/AL469-1)*100),"NA",IF(((AT469/AL469-1)*100)&gt;100,"NM",IF(((AT469/AL469-1)*100)&lt;-50,"NM",(AT469/AL469-1)*100)))</f>
        <v>22.892073305926708</v>
      </c>
      <c r="AV469" s="409">
        <f t="shared" ref="AV469:AX469" si="2944">-AV450/AV448*400</f>
        <v>16.458287037578504</v>
      </c>
      <c r="AW469" s="23">
        <f t="shared" ref="AW469" si="2945">IF(ISERROR((AV469/AN469-1)*100),"NA",IF(((AV469/AN469-1)*100)&gt;100,"NM",IF(((AV469/AN469-1)*100)&lt;-50,"NM",(AV469/AN469-1)*100)))</f>
        <v>49.670242190194891</v>
      </c>
      <c r="AX469" s="409">
        <f t="shared" si="2944"/>
        <v>24.896245419022879</v>
      </c>
      <c r="AY469" s="23" t="str">
        <f t="shared" ref="AY469" si="2946">IF(ISERROR((AX469/AP469-1)*100),"NA",IF(((AX469/AP469-1)*100)&gt;100,"NM",IF(((AX469/AP469-1)*100)&lt;-50,"NM",(AX469/AP469-1)*100)))</f>
        <v>NM</v>
      </c>
      <c r="AZ469" s="409">
        <f t="shared" ref="AZ469" si="2947">-AZ450/AZ448*400</f>
        <v>11.611846679129261</v>
      </c>
      <c r="BA469" s="23">
        <f t="shared" ref="BA469" si="2948">IF(ISERROR((AZ469/AR469-1)*100),"NA",IF(((AZ469/AR469-1)*100)&gt;100,"NM",IF(((AZ469/AR469-1)*100)&lt;-50,"NM",(AZ469/AR469-1)*100)))</f>
        <v>9.2327602502722641</v>
      </c>
      <c r="BB469" s="409">
        <f t="shared" ref="BB469:BD469" si="2949">-BB450/BB448*400</f>
        <v>15.801243777236698</v>
      </c>
      <c r="BC469" s="23">
        <f t="shared" ref="BC469" si="2950">IF(ISERROR((BB469/AT469-1)*100),"NA",IF(((BB469/AT469-1)*100)&gt;100,"NM",IF(((BB469/AT469-1)*100)&lt;-50,"NM",(BB469/AT469-1)*100)))</f>
        <v>23.008413364919946</v>
      </c>
      <c r="BD469" s="409">
        <f t="shared" si="2949"/>
        <v>0</v>
      </c>
      <c r="BE469" s="23" t="str">
        <f t="shared" ref="BE469" si="2951">IF(ISERROR((BD469/AV469-1)*100),"NA",IF(((BD469/AV469-1)*100)&gt;100,"NM",IF(((BD469/AV469-1)*100)&lt;-50,"NM",(BD469/AV469-1)*100)))</f>
        <v>NM</v>
      </c>
      <c r="BF469" s="35">
        <f t="shared" ref="BF469" si="2952">-BF450/BF448*400</f>
        <v>0</v>
      </c>
      <c r="BG469" s="23" t="str">
        <f t="shared" ref="BG469" si="2953">IF(ISERROR((BF469/AX469-1)*100),"NA",IF(((BF469/AX469-1)*100)&gt;100,"NM",IF(((BF469/AX469-1)*100)&lt;-50,"NM",(BF469/AX469-1)*100)))</f>
        <v>NM</v>
      </c>
      <c r="BH469" s="35">
        <f t="shared" ref="BH469" si="2954">-BH450/BH448*400</f>
        <v>0</v>
      </c>
      <c r="BI469" s="23" t="str">
        <f t="shared" ref="BI469" si="2955">IF(ISERROR((BH469/AZ469-1)*100),"NA",IF(((BH469/AZ469-1)*100)&gt;100,"NM",IF(((BH469/AZ469-1)*100)&lt;-50,"NM",(BH469/AZ469-1)*100)))</f>
        <v>NM</v>
      </c>
      <c r="BJ469" s="35"/>
      <c r="BK469" s="23"/>
      <c r="BL469" s="35"/>
      <c r="BM469" s="23" t="str">
        <f t="shared" ref="BM469" si="2956">IF(ISERROR((BL469/BD469-1)*100),"NA",IF(((BL469/BD469-1)*100)&gt;100,"NM",IF(((BL469/BD469-1)*100)&lt;-50,"NM",(BL469/BD469-1)*100)))</f>
        <v>NA</v>
      </c>
      <c r="BN469" s="10"/>
      <c r="BO469" s="138"/>
      <c r="BP469" s="10"/>
      <c r="BQ469" s="152"/>
      <c r="BR469" s="152"/>
      <c r="BS469" s="152">
        <f>-BS450/BS448*100</f>
        <v>8.3893790131529578</v>
      </c>
      <c r="BT469" s="10"/>
      <c r="BU469" s="35">
        <f>-BU450/BU448*100</f>
        <v>9.030899772185828</v>
      </c>
      <c r="BV469" s="23"/>
      <c r="BW469" s="35">
        <f>-BW450/BW448*100</f>
        <v>9.4247421617708298</v>
      </c>
      <c r="BX469" s="23"/>
      <c r="BY469" s="35">
        <f>-BY450/BY448*100</f>
        <v>10.572051109869314</v>
      </c>
      <c r="BZ469" s="23"/>
      <c r="CA469" s="35">
        <f>-CA450/CA448*100</f>
        <v>12.489254958348312</v>
      </c>
      <c r="CB469" s="23"/>
      <c r="CC469" s="35">
        <f>-CC450/CC448*100</f>
        <v>11.326974927003128</v>
      </c>
      <c r="CD469" s="23"/>
      <c r="CE469" s="35">
        <f>-CE450/CE448*100</f>
        <v>12.122004283810904</v>
      </c>
      <c r="CF469" s="23"/>
      <c r="CG469" s="35">
        <f>-CG450/CG448*100</f>
        <v>12.93807489745892</v>
      </c>
      <c r="CH469" s="23"/>
      <c r="CI469" s="35">
        <f>-CI450/CI448*100</f>
        <v>0</v>
      </c>
      <c r="CJ469" s="23"/>
      <c r="CK469" s="35"/>
      <c r="CL469" s="23"/>
      <c r="CM469" s="35"/>
      <c r="CN469" s="23"/>
      <c r="CO469" s="35"/>
      <c r="CP469" s="23"/>
      <c r="CQ469" s="35"/>
      <c r="CR469" s="23"/>
      <c r="CS469" s="23" t="str">
        <f>IF(ISERROR(((CQ469/CG469)^0.2-1)*100),"NA",IF((((CQ469/CG469)^0.2-1)*100)&gt;100,"NM",IF((((CQ469/CG469)^0.2-1)*100)&lt;-50,"NM",((CQ469/CG469)^0.2-1)*100)))</f>
        <v>NM</v>
      </c>
    </row>
    <row r="470" spans="1:97" ht="12.75" hidden="1" customHeight="1" outlineLevel="1" x14ac:dyDescent="0.2">
      <c r="J470" s="5"/>
      <c r="L470" s="5"/>
      <c r="N470" s="5"/>
      <c r="P470" s="5"/>
      <c r="R470" s="5"/>
      <c r="T470" s="5"/>
      <c r="V470" s="5"/>
      <c r="X470" s="5"/>
      <c r="Z470" s="5"/>
      <c r="AB470" s="5"/>
      <c r="AD470" s="5"/>
      <c r="AF470" s="5"/>
      <c r="AH470" s="5"/>
      <c r="AJ470" s="5"/>
      <c r="AL470" s="5"/>
      <c r="AN470" s="475"/>
      <c r="AP470" s="475"/>
      <c r="AR470" s="506"/>
      <c r="AT470" s="506"/>
      <c r="AV470" s="506"/>
      <c r="AX470" s="506"/>
      <c r="AZ470" s="506"/>
      <c r="BB470" s="506"/>
      <c r="BD470" s="506"/>
      <c r="BF470" s="10"/>
      <c r="BH470" s="10"/>
      <c r="BJ470" s="10"/>
      <c r="BL470" s="10"/>
      <c r="BN470" s="10"/>
      <c r="BO470" s="136"/>
      <c r="BP470" s="10"/>
      <c r="BQ470" s="10"/>
      <c r="BR470" s="5"/>
      <c r="BS470" s="5"/>
      <c r="BT470" s="5"/>
      <c r="BU470" s="5"/>
      <c r="BW470" s="5"/>
      <c r="BY470" s="13"/>
      <c r="CA470" s="13"/>
      <c r="CC470" s="13"/>
      <c r="CE470" s="13"/>
      <c r="CG470" s="13"/>
      <c r="CI470" s="13"/>
      <c r="CK470" s="13"/>
      <c r="CM470" s="13"/>
      <c r="CO470" s="13"/>
      <c r="CQ470" s="13"/>
    </row>
    <row r="471" spans="1:97" ht="12.75" hidden="1" customHeight="1" outlineLevel="1" x14ac:dyDescent="0.2">
      <c r="A471" s="3" t="s">
        <v>100</v>
      </c>
      <c r="J471" s="5"/>
      <c r="K471" s="177"/>
      <c r="L471" s="5"/>
      <c r="M471" s="177"/>
      <c r="N471" s="5"/>
      <c r="O471" s="177"/>
      <c r="P471" s="5"/>
      <c r="Q471" s="177"/>
      <c r="R471" s="5"/>
      <c r="S471" s="177"/>
      <c r="T471" s="5"/>
      <c r="U471" s="177"/>
      <c r="V471" s="5"/>
      <c r="W471" s="177"/>
      <c r="X471" s="5"/>
      <c r="Y471" s="177"/>
      <c r="Z471" s="5"/>
      <c r="AA471" s="177"/>
      <c r="AB471" s="5"/>
      <c r="AC471" s="177"/>
      <c r="AD471" s="5"/>
      <c r="AE471" s="177"/>
      <c r="AF471" s="5"/>
      <c r="AG471" s="177"/>
      <c r="AH471" s="5"/>
      <c r="AI471" s="177"/>
      <c r="AJ471" s="5"/>
      <c r="AK471" s="177"/>
      <c r="AL471" s="5"/>
      <c r="AM471" s="177"/>
      <c r="AN471" s="475"/>
      <c r="AO471" s="177"/>
      <c r="AP471" s="475"/>
      <c r="AQ471" s="177"/>
      <c r="AR471" s="506"/>
      <c r="AS471" s="177"/>
      <c r="AT471" s="506"/>
      <c r="AU471" s="177"/>
      <c r="AV471" s="506"/>
      <c r="AW471" s="177"/>
      <c r="AX471" s="506"/>
      <c r="AY471" s="177"/>
      <c r="AZ471" s="506"/>
      <c r="BA471" s="177"/>
      <c r="BB471" s="506"/>
      <c r="BC471" s="177"/>
      <c r="BD471" s="506"/>
      <c r="BE471" s="177"/>
      <c r="BF471" s="10"/>
      <c r="BG471" s="177"/>
      <c r="BH471" s="10"/>
      <c r="BI471" s="177"/>
      <c r="BJ471" s="10"/>
      <c r="BK471" s="177"/>
      <c r="BL471" s="10"/>
      <c r="BM471" s="177"/>
      <c r="BN471" s="10"/>
      <c r="BO471" s="136"/>
      <c r="BP471" s="10"/>
      <c r="BQ471" s="10"/>
      <c r="BR471" s="5"/>
      <c r="BS471" s="5"/>
      <c r="BT471" s="5"/>
      <c r="BU471" s="5"/>
      <c r="BV471" s="177"/>
      <c r="BW471" s="5"/>
      <c r="BX471" s="177"/>
      <c r="BY471" s="13"/>
      <c r="BZ471" s="177"/>
      <c r="CA471" s="13"/>
      <c r="CB471" s="177"/>
      <c r="CC471" s="13"/>
      <c r="CD471" s="177"/>
      <c r="CE471" s="13"/>
      <c r="CF471" s="177"/>
      <c r="CG471" s="13"/>
      <c r="CH471" s="177"/>
      <c r="CI471" s="13"/>
      <c r="CJ471" s="177"/>
      <c r="CK471" s="13"/>
      <c r="CL471" s="177"/>
      <c r="CM471" s="13"/>
      <c r="CN471" s="177"/>
      <c r="CO471" s="13"/>
      <c r="CP471" s="177"/>
      <c r="CQ471" s="13"/>
      <c r="CR471" s="177"/>
      <c r="CS471" s="177"/>
    </row>
    <row r="472" spans="1:97" ht="12.75" hidden="1" customHeight="1" outlineLevel="1" x14ac:dyDescent="0.2">
      <c r="A472" s="4" t="s">
        <v>18</v>
      </c>
      <c r="B472" s="48">
        <v>24.8</v>
      </c>
      <c r="C472" s="44"/>
      <c r="D472" s="48">
        <v>22.5</v>
      </c>
      <c r="E472" s="44"/>
      <c r="F472" s="48">
        <v>7.8</v>
      </c>
      <c r="G472" s="44"/>
      <c r="H472" s="48">
        <v>30.7</v>
      </c>
      <c r="I472" s="44"/>
      <c r="J472" s="48">
        <v>17.399999999999999</v>
      </c>
      <c r="K472" s="23">
        <f t="shared" ref="K472:Y476" si="2957">IF(ISERROR((J472/B472-1)*100),"NA",IF(((J472/B472-1)*100)&gt;100,"NM",IF(((J472/B472-1)*100)&lt;-50,"NM",(J472/B472-1)*100)))</f>
        <v>-29.838709677419363</v>
      </c>
      <c r="L472" s="48">
        <v>5.9</v>
      </c>
      <c r="M472" s="23" t="str">
        <f t="shared" si="2957"/>
        <v>NM</v>
      </c>
      <c r="N472" s="48">
        <v>12.2</v>
      </c>
      <c r="O472" s="23">
        <f t="shared" si="2957"/>
        <v>56.410256410256409</v>
      </c>
      <c r="P472" s="48">
        <v>17.2</v>
      </c>
      <c r="Q472" s="23">
        <f t="shared" si="2957"/>
        <v>-43.973941368078172</v>
      </c>
      <c r="R472" s="48">
        <v>18.399999999999999</v>
      </c>
      <c r="S472" s="23">
        <f t="shared" si="2957"/>
        <v>5.7471264367816133</v>
      </c>
      <c r="T472" s="48">
        <v>20.9</v>
      </c>
      <c r="U472" s="23" t="str">
        <f t="shared" si="2957"/>
        <v>NM</v>
      </c>
      <c r="V472" s="48">
        <v>28.8</v>
      </c>
      <c r="W472" s="23" t="str">
        <f t="shared" si="2957"/>
        <v>NM</v>
      </c>
      <c r="X472" s="48">
        <v>29.5</v>
      </c>
      <c r="Y472" s="23">
        <f t="shared" si="2957"/>
        <v>71.511627906976756</v>
      </c>
      <c r="Z472" s="48">
        <v>34.799999999999997</v>
      </c>
      <c r="AA472" s="23">
        <f>IF(ISERROR((Z472/R472-1)*100),"NA",IF(((Z472/R472-1)*100)&gt;100,"NM",IF(((Z472/R472-1)*100)&lt;-50,"NM",(Z472/R472-1)*100)))</f>
        <v>89.130434782608688</v>
      </c>
      <c r="AB472" s="48">
        <v>38.9</v>
      </c>
      <c r="AC472" s="23">
        <f>IF(ISERROR((AB472/T472-1)*100),"NA",IF(((AB472/T472-1)*100)&gt;100,"NM",IF(((AB472/T472-1)*100)&lt;-50,"NM",(AB472/T472-1)*100)))</f>
        <v>86.124401913875602</v>
      </c>
      <c r="AD472" s="48">
        <v>43</v>
      </c>
      <c r="AE472" s="23">
        <f>IF(ISERROR((AD472/V472-1)*100),"NA",IF(((AD472/V472-1)*100)&gt;100,"NM",IF(((AD472/V472-1)*100)&lt;-50,"NM",(AD472/V472-1)*100)))</f>
        <v>49.305555555555557</v>
      </c>
      <c r="AF472" s="48">
        <v>46.5</v>
      </c>
      <c r="AG472" s="23">
        <f>IF(ISERROR((AF472/X472-1)*100),"NA",IF(((AF472/X472-1)*100)&gt;100,"NM",IF(((AF472/X472-1)*100)&lt;-50,"NM",(AF472/X472-1)*100)))</f>
        <v>57.627118644067799</v>
      </c>
      <c r="AH472" s="48">
        <v>50.9</v>
      </c>
      <c r="AI472" s="23">
        <f>IF(ISERROR((AH472/Z472-1)*100),"NA",IF(((AH472/Z472-1)*100)&gt;100,"NM",IF(((AH472/Z472-1)*100)&lt;-50,"NM",(AH472/Z472-1)*100)))</f>
        <v>46.264367816091955</v>
      </c>
      <c r="AJ472" s="48">
        <v>54.7</v>
      </c>
      <c r="AK472" s="23">
        <f>IF(ISERROR((AJ472/AB472-1)*100),"NA",IF(((AJ472/AB472-1)*100)&gt;100,"NM",IF(((AJ472/AB472-1)*100)&lt;-50,"NM",(AJ472/AB472-1)*100)))</f>
        <v>40.616966580976865</v>
      </c>
      <c r="AL472" s="48">
        <v>61.1</v>
      </c>
      <c r="AM472" s="23">
        <f>IF(ISERROR((AL472/AD472-1)*100),"NA",IF(((AL472/AD472-1)*100)&gt;100,"NM",IF(((AL472/AD472-1)*100)&lt;-50,"NM",(AL472/AD472-1)*100)))</f>
        <v>42.093023255813968</v>
      </c>
      <c r="AN472" s="287">
        <v>64.400000000000006</v>
      </c>
      <c r="AO472" s="23">
        <f>IF(ISERROR((AN472/AF472-1)*100),"NA",IF(((AN472/AF472-1)*100)&gt;100,"NM",IF(((AN472/AF472-1)*100)&lt;-50,"NM",(AN472/AF472-1)*100)))</f>
        <v>38.494623655913983</v>
      </c>
      <c r="AP472" s="287">
        <v>67.599999999999994</v>
      </c>
      <c r="AQ472" s="23">
        <f t="shared" ref="AQ472:AQ476" si="2958">IF(ISERROR((AP472/AH472-1)*100),"NA",IF(((AP472/AH472-1)*100)&gt;100,"NM",IF(((AP472/AH472-1)*100)&lt;-50,"NM",(AP472/AH472-1)*100)))</f>
        <v>32.809430255402752</v>
      </c>
      <c r="AR472" s="287">
        <v>69.099999999999994</v>
      </c>
      <c r="AS472" s="23">
        <f t="shared" ref="AS472:AS476" si="2959">IF(ISERROR((AR472/AJ472-1)*100),"NA",IF(((AR472/AJ472-1)*100)&gt;100,"NM",IF(((AR472/AJ472-1)*100)&lt;-50,"NM",(AR472/AJ472-1)*100)))</f>
        <v>26.325411334552086</v>
      </c>
      <c r="AT472" s="287">
        <v>72</v>
      </c>
      <c r="AU472" s="23">
        <f t="shared" ref="AU472:AU476" si="2960">IF(ISERROR((AT472/AL472-1)*100),"NA",IF(((AT472/AL472-1)*100)&gt;100,"NM",IF(((AT472/AL472-1)*100)&lt;-50,"NM",(AT472/AL472-1)*100)))</f>
        <v>17.839607201309327</v>
      </c>
      <c r="AV472" s="287">
        <v>76.8</v>
      </c>
      <c r="AW472" s="23">
        <f t="shared" ref="AW472:AW476" si="2961">IF(ISERROR((AV472/AN472-1)*100),"NA",IF(((AV472/AN472-1)*100)&gt;100,"NM",IF(((AV472/AN472-1)*100)&lt;-50,"NM",(AV472/AN472-1)*100)))</f>
        <v>19.254658385093148</v>
      </c>
      <c r="AX472" s="287">
        <v>79.400000000000006</v>
      </c>
      <c r="AY472" s="23">
        <f t="shared" ref="AY472:AY476" si="2962">IF(ISERROR((AX472/AP472-1)*100),"NA",IF(((AX472/AP472-1)*100)&gt;100,"NM",IF(((AX472/AP472-1)*100)&lt;-50,"NM",(AX472/AP472-1)*100)))</f>
        <v>17.45562130177516</v>
      </c>
      <c r="AZ472" s="287">
        <v>79.400000000000006</v>
      </c>
      <c r="BA472" s="23">
        <f t="shared" ref="BA472:BA476" si="2963">IF(ISERROR((AZ472/AR472-1)*100),"NA",IF(((AZ472/AR472-1)*100)&gt;100,"NM",IF(((AZ472/AR472-1)*100)&lt;-50,"NM",(AZ472/AR472-1)*100)))</f>
        <v>14.90593342981188</v>
      </c>
      <c r="BB472" s="287">
        <v>77.3</v>
      </c>
      <c r="BC472" s="23">
        <f t="shared" ref="BC472:BC476" si="2964">IF(ISERROR((BB472/AT472-1)*100),"NA",IF(((BB472/AT472-1)*100)&gt;100,"NM",IF(((BB472/AT472-1)*100)&lt;-50,"NM",(BB472/AT472-1)*100)))</f>
        <v>7.3611111111111072</v>
      </c>
      <c r="BD472" s="287"/>
      <c r="BE472" s="23" t="str">
        <f t="shared" ref="BE472:BE476" si="2965">IF(ISERROR((BD472/AV472-1)*100),"NA",IF(((BD472/AV472-1)*100)&gt;100,"NM",IF(((BD472/AV472-1)*100)&lt;-50,"NM",(BD472/AV472-1)*100)))</f>
        <v>NM</v>
      </c>
      <c r="BF472" s="56">
        <f t="shared" ref="BF472" si="2966">BF466*BF479/400</f>
        <v>0</v>
      </c>
      <c r="BG472" s="23" t="str">
        <f t="shared" ref="BG472:BG476" si="2967">IF(ISERROR((BF472/AX472-1)*100),"NA",IF(((BF472/AX472-1)*100)&gt;100,"NM",IF(((BF472/AX472-1)*100)&lt;-50,"NM",(BF472/AX472-1)*100)))</f>
        <v>NM</v>
      </c>
      <c r="BH472" s="56">
        <f t="shared" ref="BH472" si="2968">BH466*BH479/400</f>
        <v>0</v>
      </c>
      <c r="BI472" s="23" t="str">
        <f t="shared" ref="BI472:BI476" si="2969">IF(ISERROR((BH472/AZ472-1)*100),"NA",IF(((BH472/AZ472-1)*100)&gt;100,"NM",IF(((BH472/AZ472-1)*100)&lt;-50,"NM",(BH472/AZ472-1)*100)))</f>
        <v>NM</v>
      </c>
      <c r="BJ472" s="56"/>
      <c r="BK472" s="23"/>
      <c r="BL472" s="56"/>
      <c r="BM472" s="23" t="str">
        <f t="shared" ref="BM472:BM476" si="2970">IF(ISERROR((BL472/BD472-1)*100),"NA",IF(((BL472/BD472-1)*100)&gt;100,"NM",IF(((BL472/BD472-1)*100)&lt;-50,"NM",(BL472/BD472-1)*100)))</f>
        <v>NA</v>
      </c>
      <c r="BN472" s="37"/>
      <c r="BO472" s="137"/>
      <c r="BP472" s="37"/>
      <c r="BQ472" s="48">
        <v>37.9</v>
      </c>
      <c r="BR472" s="37"/>
      <c r="BS472" s="48">
        <v>52</v>
      </c>
      <c r="BT472" s="37"/>
      <c r="BU472" s="56">
        <f>B472+D472+F472+H472</f>
        <v>85.8</v>
      </c>
      <c r="BV472" s="23">
        <f>IF(ISERROR((BU472/BS472-1)*100),"NA",IF(((BU472/BS472-1)*100)&gt;100,"NM",IF(((BU472/BS472-1)*100)&lt;-50,"NM",(BU472/BS472-1)*100)))</f>
        <v>64.999999999999986</v>
      </c>
      <c r="BW472" s="56">
        <f>J472+L472+N472+P472</f>
        <v>52.7</v>
      </c>
      <c r="BX472" s="23">
        <f>IF(ISERROR((BW472/BU472-1)*100),"NA",IF(((BW472/BU472-1)*100)&gt;100,"NM",IF(((BW472/BU472-1)*100)&lt;-50,"NM",(BW472/BU472-1)*100)))</f>
        <v>-38.578088578088575</v>
      </c>
      <c r="BY472" s="56">
        <f>R472+T472+V472+X472</f>
        <v>97.6</v>
      </c>
      <c r="BZ472" s="23">
        <f>IF(ISERROR((BY472/BW472-1)*100),"NA",IF(((BY472/BW472-1)*100)&gt;100,"NM",IF(((BY472/BW472-1)*100)&lt;-50,"NM",(BY472/BW472-1)*100)))</f>
        <v>85.199240986717257</v>
      </c>
      <c r="CA472" s="56">
        <f>Z472+AB472+AD472+AF472</f>
        <v>163.19999999999999</v>
      </c>
      <c r="CB472" s="23">
        <f>IF(ISERROR((CA472/BY472-1)*100),"NA",IF(((CA472/BY472-1)*100)&gt;100,"NM",IF(((CA472/BY472-1)*100)&lt;-50,"NM",(CA472/BY472-1)*100)))</f>
        <v>67.21311475409837</v>
      </c>
      <c r="CC472" s="56">
        <f>AH472+AJ472+AL472+AN472</f>
        <v>231.1</v>
      </c>
      <c r="CD472" s="23">
        <f>IF(ISERROR((CC472/CA472-1)*100),"NA",IF(((CC472/CA472-1)*100)&gt;100,"NM",IF(((CC472/CA472-1)*100)&lt;-50,"NM",(CC472/CA472-1)*100)))</f>
        <v>41.605392156862742</v>
      </c>
      <c r="CE472" s="56">
        <f>AP472+AR472+AT472+AV472</f>
        <v>285.5</v>
      </c>
      <c r="CF472" s="23">
        <f>IF(ISERROR((CE472/CC472-1)*100),"NA",IF(((CE472/CC472-1)*100)&gt;100,"NM",IF(((CE472/CC472-1)*100)&lt;-50,"NM",(CE472/CC472-1)*100)))</f>
        <v>23.539593249675473</v>
      </c>
      <c r="CG472" s="56">
        <f>AX472+AZ472+BB472+BD472</f>
        <v>236.10000000000002</v>
      </c>
      <c r="CH472" s="23">
        <f>IF(ISERROR((CG472/CE472-1)*100),"NA",IF(((CG472/CE472-1)*100)&gt;100,"NM",IF(((CG472/CE472-1)*100)&lt;-50,"NM",(CG472/CE472-1)*100)))</f>
        <v>-17.30297723292469</v>
      </c>
      <c r="CI472" s="56">
        <f>BF472+BH472+BJ472+BL472</f>
        <v>0</v>
      </c>
      <c r="CJ472" s="23" t="str">
        <f>IF(ISERROR((CI472/CG472-1)*100),"NA",IF(((CI472/CG472-1)*100)&gt;100,"NM",IF(((CI472/CG472-1)*100)&lt;-50,"NM",(CI472/CG472-1)*100)))</f>
        <v>NM</v>
      </c>
      <c r="CK472" s="56"/>
      <c r="CL472" s="23"/>
      <c r="CM472" s="56"/>
      <c r="CN472" s="23"/>
      <c r="CO472" s="56"/>
      <c r="CP472" s="23"/>
      <c r="CQ472" s="56"/>
      <c r="CR472" s="23" t="str">
        <f>IF(ISERROR((CQ472/CO472-1)*100),"NA",IF(((CQ472/CO472-1)*100)&gt;100,"NM",IF(((CQ472/CO472-1)*100)&lt;-50,"NM",(CQ472/CO472-1)*100)))</f>
        <v>NA</v>
      </c>
      <c r="CS472" s="23" t="str">
        <f>IF(ISERROR(((CQ472/CG472)^0.2-1)*100),"NA",IF((((CQ472/CG472)^0.2-1)*100)&gt;100,"NM",IF((((CQ472/CG472)^0.2-1)*100)&lt;-50,"NM",((CQ472/CG472)^0.2-1)*100)))</f>
        <v>NM</v>
      </c>
    </row>
    <row r="473" spans="1:97" ht="12.75" hidden="1" customHeight="1" outlineLevel="1" x14ac:dyDescent="0.2">
      <c r="A473" s="4" t="s">
        <v>101</v>
      </c>
      <c r="B473" s="48">
        <v>330.1</v>
      </c>
      <c r="C473" s="44"/>
      <c r="D473" s="48">
        <v>333.1</v>
      </c>
      <c r="E473" s="44"/>
      <c r="F473" s="48">
        <v>314.10000000000002</v>
      </c>
      <c r="G473" s="44"/>
      <c r="H473" s="48">
        <v>303.39999999999998</v>
      </c>
      <c r="I473" s="44"/>
      <c r="J473" s="48">
        <v>310.3</v>
      </c>
      <c r="K473" s="23">
        <f t="shared" si="2957"/>
        <v>-5.9981823689790996</v>
      </c>
      <c r="L473" s="48">
        <v>304.8</v>
      </c>
      <c r="M473" s="23">
        <f t="shared" si="2957"/>
        <v>-8.495947163014117</v>
      </c>
      <c r="N473" s="48">
        <v>307.89999999999998</v>
      </c>
      <c r="O473" s="23">
        <f t="shared" si="2957"/>
        <v>-1.9738936644380867</v>
      </c>
      <c r="P473" s="48">
        <v>312.89999999999998</v>
      </c>
      <c r="Q473" s="23">
        <f t="shared" si="2957"/>
        <v>3.1311799604482493</v>
      </c>
      <c r="R473" s="48">
        <v>309.3</v>
      </c>
      <c r="S473" s="23">
        <f t="shared" si="2957"/>
        <v>-0.32226877215597582</v>
      </c>
      <c r="T473" s="48">
        <v>320.7</v>
      </c>
      <c r="U473" s="23">
        <f t="shared" si="2957"/>
        <v>5.2165354330708569</v>
      </c>
      <c r="V473" s="48">
        <v>325.3</v>
      </c>
      <c r="W473" s="23">
        <f t="shared" si="2957"/>
        <v>5.6511854498213721</v>
      </c>
      <c r="X473" s="48">
        <v>331.8</v>
      </c>
      <c r="Y473" s="23">
        <f t="shared" si="2957"/>
        <v>6.0402684563758413</v>
      </c>
      <c r="Z473" s="48">
        <v>316.8</v>
      </c>
      <c r="AA473" s="23">
        <f>IF(ISERROR((Z473/R473-1)*100),"NA",IF(((Z473/R473-1)*100)&gt;100,"NM",IF(((Z473/R473-1)*100)&lt;-50,"NM",(Z473/R473-1)*100)))</f>
        <v>2.4248302618816719</v>
      </c>
      <c r="AB473" s="48">
        <v>315.8</v>
      </c>
      <c r="AC473" s="23">
        <f>IF(ISERROR((AB473/T473-1)*100),"NA",IF(((AB473/T473-1)*100)&gt;100,"NM",IF(((AB473/T473-1)*100)&lt;-50,"NM",(AB473/T473-1)*100)))</f>
        <v>-1.527907701902087</v>
      </c>
      <c r="AD473" s="48">
        <v>316.2</v>
      </c>
      <c r="AE473" s="23">
        <f>IF(ISERROR((AD473/V473-1)*100),"NA",IF(((AD473/V473-1)*100)&gt;100,"NM",IF(((AD473/V473-1)*100)&lt;-50,"NM",(AD473/V473-1)*100)))</f>
        <v>-2.7974177682139612</v>
      </c>
      <c r="AF473" s="48">
        <v>302.89999999999998</v>
      </c>
      <c r="AG473" s="23">
        <f>IF(ISERROR((AF473/X473-1)*100),"NA",IF(((AF473/X473-1)*100)&gt;100,"NM",IF(((AF473/X473-1)*100)&lt;-50,"NM",(AF473/X473-1)*100)))</f>
        <v>-8.7100663050030285</v>
      </c>
      <c r="AH473" s="48">
        <v>288</v>
      </c>
      <c r="AI473" s="23">
        <f>IF(ISERROR((AH473/Z473-1)*100),"NA",IF(((AH473/Z473-1)*100)&gt;100,"NM",IF(((AH473/Z473-1)*100)&lt;-50,"NM",(AH473/Z473-1)*100)))</f>
        <v>-9.0909090909090935</v>
      </c>
      <c r="AJ473" s="48">
        <v>291.2</v>
      </c>
      <c r="AK473" s="23">
        <f>IF(ISERROR((AJ473/AB473-1)*100),"NA",IF(((AJ473/AB473-1)*100)&gt;100,"NM",IF(((AJ473/AB473-1)*100)&lt;-50,"NM",(AJ473/AB473-1)*100)))</f>
        <v>-7.7897403419886047</v>
      </c>
      <c r="AL473" s="48">
        <v>274.89999999999998</v>
      </c>
      <c r="AM473" s="23">
        <f>IF(ISERROR((AL473/AD473-1)*100),"NA",IF(((AL473/AD473-1)*100)&gt;100,"NM",IF(((AL473/AD473-1)*100)&lt;-50,"NM",(AL473/AD473-1)*100)))</f>
        <v>-13.061353573687541</v>
      </c>
      <c r="AN473" s="287">
        <v>264.2</v>
      </c>
      <c r="AO473" s="23">
        <f>IF(ISERROR((AN473/AF473-1)*100),"NA",IF(((AN473/AF473-1)*100)&gt;100,"NM",IF(((AN473/AF473-1)*100)&lt;-50,"NM",(AN473/AF473-1)*100)))</f>
        <v>-12.776493892373718</v>
      </c>
      <c r="AP473" s="287">
        <v>245.6</v>
      </c>
      <c r="AQ473" s="23">
        <f t="shared" si="2958"/>
        <v>-14.722222222222225</v>
      </c>
      <c r="AR473" s="287">
        <v>249.1</v>
      </c>
      <c r="AS473" s="23">
        <f t="shared" si="2959"/>
        <v>-14.457417582417587</v>
      </c>
      <c r="AT473" s="287">
        <v>252.4</v>
      </c>
      <c r="AU473" s="23">
        <f t="shared" si="2960"/>
        <v>-8.184794470716616</v>
      </c>
      <c r="AV473" s="287">
        <v>244.8</v>
      </c>
      <c r="AW473" s="23">
        <f t="shared" si="2961"/>
        <v>-7.3429220287660746</v>
      </c>
      <c r="AX473" s="287">
        <v>238.8</v>
      </c>
      <c r="AY473" s="23">
        <f t="shared" si="2962"/>
        <v>-2.7687296416938012</v>
      </c>
      <c r="AZ473" s="287">
        <v>212.7</v>
      </c>
      <c r="BA473" s="23">
        <f t="shared" si="2963"/>
        <v>-14.612605379365718</v>
      </c>
      <c r="BB473" s="287">
        <v>204.2</v>
      </c>
      <c r="BC473" s="23">
        <f t="shared" si="2964"/>
        <v>-19.096671949286847</v>
      </c>
      <c r="BD473" s="287"/>
      <c r="BE473" s="23" t="str">
        <f t="shared" si="2965"/>
        <v>NM</v>
      </c>
      <c r="BF473" s="56">
        <f t="shared" ref="BF473" si="2971">BF464*BF482/400</f>
        <v>0</v>
      </c>
      <c r="BG473" s="23" t="str">
        <f t="shared" si="2967"/>
        <v>NM</v>
      </c>
      <c r="BH473" s="56">
        <f t="shared" ref="BH473" si="2972">BH464*BH482/400</f>
        <v>0</v>
      </c>
      <c r="BI473" s="23" t="str">
        <f t="shared" si="2969"/>
        <v>NM</v>
      </c>
      <c r="BJ473" s="56"/>
      <c r="BK473" s="23"/>
      <c r="BL473" s="56"/>
      <c r="BM473" s="23" t="str">
        <f t="shared" si="2970"/>
        <v>NA</v>
      </c>
      <c r="BN473" s="37"/>
      <c r="BO473" s="137"/>
      <c r="BP473" s="37"/>
      <c r="BQ473" s="48">
        <v>1133</v>
      </c>
      <c r="BR473" s="37"/>
      <c r="BS473" s="48">
        <v>1285.7</v>
      </c>
      <c r="BT473" s="37"/>
      <c r="BU473" s="56">
        <f>B473+D473+F473+H473</f>
        <v>1280.7</v>
      </c>
      <c r="BV473" s="23">
        <f>IF(ISERROR((BU473/BS473-1)*100),"NA",IF(((BU473/BS473-1)*100)&gt;100,"NM",IF(((BU473/BS473-1)*100)&lt;-50,"NM",(BU473/BS473-1)*100)))</f>
        <v>-0.38889320992455678</v>
      </c>
      <c r="BW473" s="56">
        <f>J473+L473+N473+P473</f>
        <v>1235.9000000000001</v>
      </c>
      <c r="BX473" s="23">
        <f>IF(ISERROR((BW473/BU473-1)*100),"NA",IF(((BW473/BU473-1)*100)&gt;100,"NM",IF(((BW473/BU473-1)*100)&lt;-50,"NM",(BW473/BU473-1)*100)))</f>
        <v>-3.4980869836807926</v>
      </c>
      <c r="BY473" s="56">
        <f>R473+T473+V473+X473</f>
        <v>1287.0999999999999</v>
      </c>
      <c r="BZ473" s="23">
        <f>IF(ISERROR((BY473/BW473-1)*100),"NA",IF(((BY473/BW473-1)*100)&gt;100,"NM",IF(((BY473/BW473-1)*100)&lt;-50,"NM",(BY473/BW473-1)*100)))</f>
        <v>4.1427299943360918</v>
      </c>
      <c r="CA473" s="56">
        <f>Z473+AB473+AD473+AF473</f>
        <v>1251.6999999999998</v>
      </c>
      <c r="CB473" s="23">
        <f>IF(ISERROR((CA473/BY473-1)*100),"NA",IF(((CA473/BY473-1)*100)&gt;100,"NM",IF(((CA473/BY473-1)*100)&lt;-50,"NM",(CA473/BY473-1)*100)))</f>
        <v>-2.7503690466941233</v>
      </c>
      <c r="CC473" s="56">
        <f>AH473+AJ473+AL473+AN473</f>
        <v>1118.3</v>
      </c>
      <c r="CD473" s="23">
        <f>IF(ISERROR((CC473/CA473-1)*100),"NA",IF(((CC473/CA473-1)*100)&gt;100,"NM",IF(((CC473/CA473-1)*100)&lt;-50,"NM",(CC473/CA473-1)*100)))</f>
        <v>-10.657505792122702</v>
      </c>
      <c r="CE473" s="56">
        <f>AP473+AR473+AT473+AV473</f>
        <v>991.90000000000009</v>
      </c>
      <c r="CF473" s="23">
        <f>IF(ISERROR((CE473/CC473-1)*100),"NA",IF(((CE473/CC473-1)*100)&gt;100,"NM",IF(((CE473/CC473-1)*100)&lt;-50,"NM",(CE473/CC473-1)*100)))</f>
        <v>-11.302870428328704</v>
      </c>
      <c r="CG473" s="56">
        <f>AX473+AZ473+BB473+BD473</f>
        <v>655.7</v>
      </c>
      <c r="CH473" s="23">
        <f>IF(ISERROR((CG473/CE473-1)*100),"NA",IF(((CG473/CE473-1)*100)&gt;100,"NM",IF(((CG473/CE473-1)*100)&lt;-50,"NM",(CG473/CE473-1)*100)))</f>
        <v>-33.894545821151326</v>
      </c>
      <c r="CI473" s="56">
        <f>BF473+BH473+BJ473+BL473</f>
        <v>0</v>
      </c>
      <c r="CJ473" s="23" t="str">
        <f>IF(ISERROR((CI473/CG473-1)*100),"NA",IF(((CI473/CG473-1)*100)&gt;100,"NM",IF(((CI473/CG473-1)*100)&lt;-50,"NM",(CI473/CG473-1)*100)))</f>
        <v>NM</v>
      </c>
      <c r="CK473" s="56"/>
      <c r="CL473" s="23"/>
      <c r="CM473" s="56"/>
      <c r="CN473" s="23"/>
      <c r="CO473" s="56"/>
      <c r="CP473" s="23"/>
      <c r="CQ473" s="56"/>
      <c r="CR473" s="23" t="str">
        <f>IF(ISERROR((CQ473/CO473-1)*100),"NA",IF(((CQ473/CO473-1)*100)&gt;100,"NM",IF(((CQ473/CO473-1)*100)&lt;-50,"NM",(CQ473/CO473-1)*100)))</f>
        <v>NA</v>
      </c>
      <c r="CS473" s="23" t="str">
        <f>IF(ISERROR(((CQ473/CG473)^0.2-1)*100),"NA",IF((((CQ473/CG473)^0.2-1)*100)&gt;100,"NM",IF((((CQ473/CG473)^0.2-1)*100)&lt;-50,"NM",((CQ473/CG473)^0.2-1)*100)))</f>
        <v>NM</v>
      </c>
    </row>
    <row r="474" spans="1:97" ht="12.75" hidden="1" customHeight="1" outlineLevel="1" x14ac:dyDescent="0.2">
      <c r="A474" s="13" t="s">
        <v>217</v>
      </c>
      <c r="B474" s="49">
        <v>-296.10000000000002</v>
      </c>
      <c r="C474" s="44"/>
      <c r="D474" s="49">
        <v>74</v>
      </c>
      <c r="E474" s="44"/>
      <c r="F474" s="49">
        <v>1231.8</v>
      </c>
      <c r="G474" s="44"/>
      <c r="H474" s="49">
        <v>-1619.4</v>
      </c>
      <c r="I474" s="44"/>
      <c r="J474" s="49">
        <v>-1313.3</v>
      </c>
      <c r="K474" s="23" t="str">
        <f t="shared" si="2957"/>
        <v>NM</v>
      </c>
      <c r="L474" s="49">
        <v>480.8</v>
      </c>
      <c r="M474" s="23" t="str">
        <f t="shared" si="2957"/>
        <v>NM</v>
      </c>
      <c r="N474" s="49">
        <v>-283</v>
      </c>
      <c r="O474" s="23" t="str">
        <f t="shared" si="2957"/>
        <v>NM</v>
      </c>
      <c r="P474" s="49">
        <v>-267.3</v>
      </c>
      <c r="Q474" s="23" t="str">
        <f t="shared" si="2957"/>
        <v>NM</v>
      </c>
      <c r="R474" s="49">
        <v>-776.4</v>
      </c>
      <c r="S474" s="23">
        <f t="shared" si="2957"/>
        <v>-40.881748267722529</v>
      </c>
      <c r="T474" s="49">
        <v>-408.4</v>
      </c>
      <c r="U474" s="23" t="str">
        <f t="shared" si="2957"/>
        <v>NM</v>
      </c>
      <c r="V474" s="49">
        <v>-463</v>
      </c>
      <c r="W474" s="23">
        <f t="shared" si="2957"/>
        <v>63.604240282685524</v>
      </c>
      <c r="X474" s="49">
        <v>-560.79999999999995</v>
      </c>
      <c r="Y474" s="23" t="str">
        <f t="shared" si="2957"/>
        <v>NM</v>
      </c>
      <c r="Z474" s="49">
        <v>-121.1</v>
      </c>
      <c r="AA474" s="23" t="str">
        <f>IF(ISERROR((Z474/R474-1)*100),"NA",IF(((Z474/R474-1)*100)&gt;100,"NM",IF(((Z474/R474-1)*100)&lt;-50,"NM",(Z474/R474-1)*100)))</f>
        <v>NM</v>
      </c>
      <c r="AB474" s="49">
        <v>-337.4</v>
      </c>
      <c r="AC474" s="23">
        <f>IF(ISERROR((AB474/T474-1)*100),"NA",IF(((AB474/T474-1)*100)&gt;100,"NM",IF(((AB474/T474-1)*100)&lt;-50,"NM",(AB474/T474-1)*100)))</f>
        <v>-17.384916748285995</v>
      </c>
      <c r="AD474" s="49">
        <v>227.1</v>
      </c>
      <c r="AE474" s="23" t="str">
        <f>IF(ISERROR((AD474/V474-1)*100),"NA",IF(((AD474/V474-1)*100)&gt;100,"NM",IF(((AD474/V474-1)*100)&lt;-50,"NM",(AD474/V474-1)*100)))</f>
        <v>NM</v>
      </c>
      <c r="AF474" s="49">
        <v>-462.3</v>
      </c>
      <c r="AG474" s="23">
        <f>IF(ISERROR((AF474/X474-1)*100),"NA",IF(((AF474/X474-1)*100)&gt;100,"NM",IF(((AF474/X474-1)*100)&lt;-50,"NM",(AF474/X474-1)*100)))</f>
        <v>-17.564194008559198</v>
      </c>
      <c r="AH474" s="49">
        <v>-166.2</v>
      </c>
      <c r="AI474" s="23">
        <f>IF(ISERROR((AH474/Z474-1)*100),"NA",IF(((AH474/Z474-1)*100)&gt;100,"NM",IF(((AH474/Z474-1)*100)&lt;-50,"NM",(AH474/Z474-1)*100)))</f>
        <v>37.24194880264244</v>
      </c>
      <c r="AJ474" s="49">
        <v>145.5</v>
      </c>
      <c r="AK474" s="23" t="str">
        <f>IF(ISERROR((AJ474/AB474-1)*100),"NA",IF(((AJ474/AB474-1)*100)&gt;100,"NM",IF(((AJ474/AB474-1)*100)&lt;-50,"NM",(AJ474/AB474-1)*100)))</f>
        <v>NM</v>
      </c>
      <c r="AL474" s="49">
        <v>370.3</v>
      </c>
      <c r="AM474" s="23">
        <f>IF(ISERROR((AL474/AD474-1)*100),"NA",IF(((AL474/AD474-1)*100)&gt;100,"NM",IF(((AL474/AD474-1)*100)&lt;-50,"NM",(AL474/AD474-1)*100)))</f>
        <v>63.055922501100838</v>
      </c>
      <c r="AN474" s="158">
        <v>-537.70000000000005</v>
      </c>
      <c r="AO474" s="23">
        <f>IF(ISERROR((AN474/AF474-1)*100),"NA",IF(((AN474/AF474-1)*100)&gt;100,"NM",IF(((AN474/AF474-1)*100)&lt;-50,"NM",(AN474/AF474-1)*100)))</f>
        <v>16.309755569976204</v>
      </c>
      <c r="AP474" s="158">
        <v>31</v>
      </c>
      <c r="AQ474" s="23" t="str">
        <f t="shared" si="2958"/>
        <v>NM</v>
      </c>
      <c r="AR474" s="158">
        <v>-54.4</v>
      </c>
      <c r="AS474" s="23" t="str">
        <f t="shared" si="2959"/>
        <v>NM</v>
      </c>
      <c r="AT474" s="158">
        <v>-219.8</v>
      </c>
      <c r="AU474" s="23" t="str">
        <f t="shared" si="2960"/>
        <v>NM</v>
      </c>
      <c r="AV474" s="158">
        <v>-428.5</v>
      </c>
      <c r="AW474" s="23">
        <f t="shared" si="2961"/>
        <v>-20.308722335875029</v>
      </c>
      <c r="AX474" s="158">
        <v>-426.5</v>
      </c>
      <c r="AY474" s="23" t="str">
        <f t="shared" si="2962"/>
        <v>NM</v>
      </c>
      <c r="AZ474" s="158">
        <v>-185.3</v>
      </c>
      <c r="BA474" s="23" t="str">
        <f t="shared" si="2963"/>
        <v>NM</v>
      </c>
      <c r="BB474" s="158">
        <v>-107.4</v>
      </c>
      <c r="BC474" s="23" t="str">
        <f t="shared" si="2964"/>
        <v>NM</v>
      </c>
      <c r="BD474" s="158"/>
      <c r="BE474" s="23" t="str">
        <f t="shared" si="2965"/>
        <v>NM</v>
      </c>
      <c r="BF474" s="56">
        <f t="shared" ref="BF474" si="2973">BF464*BF483/400</f>
        <v>0</v>
      </c>
      <c r="BG474" s="23" t="str">
        <f t="shared" si="2967"/>
        <v>NM</v>
      </c>
      <c r="BH474" s="56">
        <f t="shared" ref="BH474" si="2974">BH464*BH483/400</f>
        <v>0</v>
      </c>
      <c r="BI474" s="23" t="str">
        <f t="shared" si="2969"/>
        <v>NM</v>
      </c>
      <c r="BJ474" s="56"/>
      <c r="BK474" s="23"/>
      <c r="BL474" s="56"/>
      <c r="BM474" s="23" t="str">
        <f t="shared" si="2970"/>
        <v>NA</v>
      </c>
      <c r="BN474" s="37"/>
      <c r="BO474" s="137"/>
      <c r="BP474" s="37"/>
      <c r="BQ474" s="49">
        <v>-1538.2</v>
      </c>
      <c r="BR474" s="37"/>
      <c r="BS474" s="49">
        <v>-705.8</v>
      </c>
      <c r="BT474" s="37"/>
      <c r="BU474" s="56">
        <f>B474+D474+F474+H474</f>
        <v>-609.70000000000016</v>
      </c>
      <c r="BV474" s="23">
        <f>IF(ISERROR((BU474/BS474-1)*100),"NA",IF(((BU474/BS474-1)*100)&gt;100,"NM",IF(((BU474/BS474-1)*100)&lt;-50,"NM",(BU474/BS474-1)*100)))</f>
        <v>-13.615755171436639</v>
      </c>
      <c r="BW474" s="56">
        <f>J474+L474+N474+P474</f>
        <v>-1382.8</v>
      </c>
      <c r="BX474" s="23" t="str">
        <f>IF(ISERROR((BW474/BU474-1)*100),"NA",IF(((BW474/BU474-1)*100)&gt;100,"NM",IF(((BW474/BU474-1)*100)&lt;-50,"NM",(BW474/BU474-1)*100)))</f>
        <v>NM</v>
      </c>
      <c r="BY474" s="56">
        <f>R474+T474+V474+X474</f>
        <v>-2208.6</v>
      </c>
      <c r="BZ474" s="23">
        <f>IF(ISERROR((BY474/BW474-1)*100),"NA",IF(((BY474/BW474-1)*100)&gt;100,"NM",IF(((BY474/BW474-1)*100)&lt;-50,"NM",(BY474/BW474-1)*100)))</f>
        <v>59.719409892970774</v>
      </c>
      <c r="CA474" s="56">
        <f>Z474+AB474+AD474+AF474</f>
        <v>-693.7</v>
      </c>
      <c r="CB474" s="23" t="str">
        <f>IF(ISERROR((CA474/BY474-1)*100),"NA",IF(((CA474/BY474-1)*100)&gt;100,"NM",IF(((CA474/BY474-1)*100)&lt;-50,"NM",(CA474/BY474-1)*100)))</f>
        <v>NM</v>
      </c>
      <c r="CC474" s="56">
        <f>AH474+AJ474+AL474+AN474</f>
        <v>-188.10000000000002</v>
      </c>
      <c r="CD474" s="23" t="str">
        <f>IF(ISERROR((CC474/CA474-1)*100),"NA",IF(((CC474/CA474-1)*100)&gt;100,"NM",IF(((CC474/CA474-1)*100)&lt;-50,"NM",(CC474/CA474-1)*100)))</f>
        <v>NM</v>
      </c>
      <c r="CE474" s="56">
        <f>AP474+AR474+AT474+AV474</f>
        <v>-671.7</v>
      </c>
      <c r="CF474" s="23" t="str">
        <f>IF(ISERROR((CE474/CC474-1)*100),"NA",IF(((CE474/CC474-1)*100)&gt;100,"NM",IF(((CE474/CC474-1)*100)&lt;-50,"NM",(CE474/CC474-1)*100)))</f>
        <v>NM</v>
      </c>
      <c r="CG474" s="56">
        <f>AX474+AZ474+BB474+BD474</f>
        <v>-719.19999999999993</v>
      </c>
      <c r="CH474" s="23">
        <f>IF(ISERROR((CG474/CE474-1)*100),"NA",IF(((CG474/CE474-1)*100)&gt;100,"NM",IF(((CG474/CE474-1)*100)&lt;-50,"NM",(CG474/CE474-1)*100)))</f>
        <v>7.0716093494119114</v>
      </c>
      <c r="CI474" s="56">
        <f>BF474+BH474+BJ474+BL474</f>
        <v>0</v>
      </c>
      <c r="CJ474" s="23" t="str">
        <f>IF(ISERROR((CI474/CG474-1)*100),"NA",IF(((CI474/CG474-1)*100)&gt;100,"NM",IF(((CI474/CG474-1)*100)&lt;-50,"NM",(CI474/CG474-1)*100)))</f>
        <v>NM</v>
      </c>
      <c r="CK474" s="56"/>
      <c r="CL474" s="23"/>
      <c r="CM474" s="56"/>
      <c r="CN474" s="23"/>
      <c r="CO474" s="56"/>
      <c r="CP474" s="23"/>
      <c r="CQ474" s="56"/>
      <c r="CR474" s="23" t="str">
        <f>IF(ISERROR((CQ474/CO474-1)*100),"NA",IF(((CQ474/CO474-1)*100)&gt;100,"NM",IF(((CQ474/CO474-1)*100)&lt;-50,"NM",(CQ474/CO474-1)*100)))</f>
        <v>NA</v>
      </c>
      <c r="CS474" s="23" t="str">
        <f>IF(ISERROR(((CQ474/CG474)^0.2-1)*100),"NA",IF((((CQ474/CG474)^0.2-1)*100)&gt;100,"NM",IF((((CQ474/CG474)^0.2-1)*100)&lt;-50,"NM",((CQ474/CG474)^0.2-1)*100)))</f>
        <v>NM</v>
      </c>
    </row>
    <row r="475" spans="1:97" ht="12.75" hidden="1" customHeight="1" outlineLevel="1" x14ac:dyDescent="0.2">
      <c r="A475" s="4" t="s">
        <v>14</v>
      </c>
      <c r="B475" s="48">
        <v>11.8</v>
      </c>
      <c r="C475" s="44"/>
      <c r="D475" s="48">
        <v>10.9</v>
      </c>
      <c r="E475" s="44"/>
      <c r="F475" s="48">
        <v>8.9</v>
      </c>
      <c r="G475" s="44"/>
      <c r="H475" s="48">
        <v>6.5</v>
      </c>
      <c r="I475" s="44"/>
      <c r="J475" s="48">
        <v>6.8</v>
      </c>
      <c r="K475" s="23">
        <f t="shared" si="2957"/>
        <v>-42.372881355932215</v>
      </c>
      <c r="L475" s="48">
        <v>6.7</v>
      </c>
      <c r="M475" s="23">
        <f t="shared" si="2957"/>
        <v>-38.532110091743121</v>
      </c>
      <c r="N475" s="48">
        <v>5.4</v>
      </c>
      <c r="O475" s="23">
        <f t="shared" si="2957"/>
        <v>-39.325842696629209</v>
      </c>
      <c r="P475" s="48">
        <v>5.3</v>
      </c>
      <c r="Q475" s="23">
        <f t="shared" si="2957"/>
        <v>-18.461538461538463</v>
      </c>
      <c r="R475" s="48">
        <v>4.7</v>
      </c>
      <c r="S475" s="23">
        <f t="shared" si="2957"/>
        <v>-30.88235294117646</v>
      </c>
      <c r="T475" s="48">
        <v>6.5</v>
      </c>
      <c r="U475" s="23">
        <f t="shared" si="2957"/>
        <v>-2.9850746268656692</v>
      </c>
      <c r="V475" s="48">
        <f>38.8+4</f>
        <v>42.8</v>
      </c>
      <c r="W475" s="23" t="str">
        <f t="shared" si="2957"/>
        <v>NM</v>
      </c>
      <c r="X475" s="48">
        <f>40.4+3.2</f>
        <v>43.6</v>
      </c>
      <c r="Y475" s="23" t="str">
        <f t="shared" si="2957"/>
        <v>NM</v>
      </c>
      <c r="Z475" s="48">
        <f>50.2+3.9</f>
        <v>54.1</v>
      </c>
      <c r="AA475" s="23" t="str">
        <f>IF(ISERROR((Z475/R475-1)*100),"NA",IF(((Z475/R475-1)*100)&gt;100,"NM",IF(((Z475/R475-1)*100)&lt;-50,"NM",(Z475/R475-1)*100)))</f>
        <v>NM</v>
      </c>
      <c r="AB475" s="48">
        <f>93+3.8</f>
        <v>96.8</v>
      </c>
      <c r="AC475" s="23" t="str">
        <f>IF(ISERROR((AB475/T475-1)*100),"NA",IF(((AB475/T475-1)*100)&gt;100,"NM",IF(((AB475/T475-1)*100)&lt;-50,"NM",(AB475/T475-1)*100)))</f>
        <v>NM</v>
      </c>
      <c r="AD475" s="48">
        <f>76+3.3</f>
        <v>79.3</v>
      </c>
      <c r="AE475" s="23">
        <f>IF(ISERROR((AD475/V475-1)*100),"NA",IF(((AD475/V475-1)*100)&gt;100,"NM",IF(((AD475/V475-1)*100)&lt;-50,"NM",(AD475/V475-1)*100)))</f>
        <v>85.280373831775719</v>
      </c>
      <c r="AF475" s="48">
        <f>303+3.6</f>
        <v>306.60000000000002</v>
      </c>
      <c r="AG475" s="23" t="str">
        <f>IF(ISERROR((AF475/X475-1)*100),"NA",IF(((AF475/X475-1)*100)&gt;100,"NM",IF(((AF475/X475-1)*100)&lt;-50,"NM",(AF475/X475-1)*100)))</f>
        <v>NM</v>
      </c>
      <c r="AH475" s="48">
        <f>89.2+2.5</f>
        <v>91.7</v>
      </c>
      <c r="AI475" s="23">
        <f>IF(ISERROR((AH475/Z475-1)*100),"NA",IF(((AH475/Z475-1)*100)&gt;100,"NM",IF(((AH475/Z475-1)*100)&lt;-50,"NM",(AH475/Z475-1)*100)))</f>
        <v>69.500924214417736</v>
      </c>
      <c r="AJ475" s="48">
        <f>164.3+2.8</f>
        <v>167.10000000000002</v>
      </c>
      <c r="AK475" s="23">
        <f>IF(ISERROR((AJ475/AB475-1)*100),"NA",IF(((AJ475/AB475-1)*100)&gt;100,"NM",IF(((AJ475/AB475-1)*100)&lt;-50,"NM",(AJ475/AB475-1)*100)))</f>
        <v>72.623966942148783</v>
      </c>
      <c r="AL475" s="48">
        <f>82.4+0.3</f>
        <v>82.7</v>
      </c>
      <c r="AM475" s="23">
        <f>IF(ISERROR((AL475/AD475-1)*100),"NA",IF(((AL475/AD475-1)*100)&gt;100,"NM",IF(((AL475/AD475-1)*100)&lt;-50,"NM",(AL475/AD475-1)*100)))</f>
        <v>4.2875157629256089</v>
      </c>
      <c r="AN475" s="287">
        <f>80.3+1.4</f>
        <v>81.7</v>
      </c>
      <c r="AO475" s="23" t="str">
        <f>IF(ISERROR((AN475/AF475-1)*100),"NA",IF(((AN475/AF475-1)*100)&gt;100,"NM",IF(((AN475/AF475-1)*100)&lt;-50,"NM",(AN475/AF475-1)*100)))</f>
        <v>NM</v>
      </c>
      <c r="AP475" s="287">
        <f>107.2+1.6</f>
        <v>108.8</v>
      </c>
      <c r="AQ475" s="23">
        <f t="shared" si="2958"/>
        <v>18.64776444929117</v>
      </c>
      <c r="AR475" s="287">
        <f>97.2+1</f>
        <v>98.2</v>
      </c>
      <c r="AS475" s="23">
        <f t="shared" si="2959"/>
        <v>-41.232794733692401</v>
      </c>
      <c r="AT475" s="287">
        <f>166.6+0.5</f>
        <v>167.1</v>
      </c>
      <c r="AU475" s="23" t="str">
        <f t="shared" si="2960"/>
        <v>NM</v>
      </c>
      <c r="AV475" s="287">
        <f>316+0.4</f>
        <v>316.39999999999998</v>
      </c>
      <c r="AW475" s="23" t="str">
        <f t="shared" si="2961"/>
        <v>NM</v>
      </c>
      <c r="AX475" s="287">
        <f>51.2+1</f>
        <v>52.2</v>
      </c>
      <c r="AY475" s="23" t="str">
        <f t="shared" si="2962"/>
        <v>NM</v>
      </c>
      <c r="AZ475" s="287">
        <f>46.7+0.5</f>
        <v>47.2</v>
      </c>
      <c r="BA475" s="23" t="str">
        <f t="shared" si="2963"/>
        <v>NM</v>
      </c>
      <c r="BB475" s="287">
        <f>43.3+0.5</f>
        <v>43.8</v>
      </c>
      <c r="BC475" s="23" t="str">
        <f t="shared" si="2964"/>
        <v>NM</v>
      </c>
      <c r="BD475" s="287"/>
      <c r="BE475" s="23" t="str">
        <f t="shared" si="2965"/>
        <v>NM</v>
      </c>
      <c r="BF475" s="49">
        <f>AX475</f>
        <v>52.2</v>
      </c>
      <c r="BG475" s="23">
        <f t="shared" si="2967"/>
        <v>0</v>
      </c>
      <c r="BH475" s="49">
        <f>AZ475</f>
        <v>47.2</v>
      </c>
      <c r="BI475" s="23">
        <f t="shared" si="2969"/>
        <v>0</v>
      </c>
      <c r="BJ475" s="49"/>
      <c r="BK475" s="23"/>
      <c r="BL475" s="49"/>
      <c r="BM475" s="23" t="str">
        <f t="shared" si="2970"/>
        <v>NA</v>
      </c>
      <c r="BN475" s="37"/>
      <c r="BO475" s="137"/>
      <c r="BP475" s="37"/>
      <c r="BQ475" s="48">
        <v>42</v>
      </c>
      <c r="BR475" s="37"/>
      <c r="BS475" s="48">
        <v>45.8</v>
      </c>
      <c r="BT475" s="37"/>
      <c r="BU475" s="56">
        <f>B475+D475+F475+H475</f>
        <v>38.1</v>
      </c>
      <c r="BV475" s="23">
        <f>IF(ISERROR((BU475/BS475-1)*100),"NA",IF(((BU475/BS475-1)*100)&gt;100,"NM",IF(((BU475/BS475-1)*100)&lt;-50,"NM",(BU475/BS475-1)*100)))</f>
        <v>-16.812227074235796</v>
      </c>
      <c r="BW475" s="56">
        <f>J475+L475+N475+P475</f>
        <v>24.2</v>
      </c>
      <c r="BX475" s="23">
        <f>IF(ISERROR((BW475/BU475-1)*100),"NA",IF(((BW475/BU475-1)*100)&gt;100,"NM",IF(((BW475/BU475-1)*100)&lt;-50,"NM",(BW475/BU475-1)*100)))</f>
        <v>-36.482939632545943</v>
      </c>
      <c r="BY475" s="56">
        <f>R475+T475+V475+X475</f>
        <v>97.6</v>
      </c>
      <c r="BZ475" s="23" t="str">
        <f>IF(ISERROR((BY475/BW475-1)*100),"NA",IF(((BY475/BW475-1)*100)&gt;100,"NM",IF(((BY475/BW475-1)*100)&lt;-50,"NM",(BY475/BW475-1)*100)))</f>
        <v>NM</v>
      </c>
      <c r="CA475" s="56">
        <f>Z475+AB475+AD475+AF475</f>
        <v>536.79999999999995</v>
      </c>
      <c r="CB475" s="23" t="str">
        <f>IF(ISERROR((CA475/BY475-1)*100),"NA",IF(((CA475/BY475-1)*100)&gt;100,"NM",IF(((CA475/BY475-1)*100)&lt;-50,"NM",(CA475/BY475-1)*100)))</f>
        <v>NM</v>
      </c>
      <c r="CC475" s="56">
        <f>AH475+AJ475+AL475+AN475</f>
        <v>423.2</v>
      </c>
      <c r="CD475" s="23">
        <f>IF(ISERROR((CC475/CA475-1)*100),"NA",IF(((CC475/CA475-1)*100)&gt;100,"NM",IF(((CC475/CA475-1)*100)&lt;-50,"NM",(CC475/CA475-1)*100)))</f>
        <v>-21.162444113263778</v>
      </c>
      <c r="CE475" s="56">
        <f>AP475+AR475+AT475+AV475</f>
        <v>690.5</v>
      </c>
      <c r="CF475" s="23">
        <f>IF(ISERROR((CE475/CC475-1)*100),"NA",IF(((CE475/CC475-1)*100)&gt;100,"NM",IF(((CE475/CC475-1)*100)&lt;-50,"NM",(CE475/CC475-1)*100)))</f>
        <v>63.161625708884685</v>
      </c>
      <c r="CG475" s="56">
        <f>AX475+AZ475+BB475+BD475</f>
        <v>143.19999999999999</v>
      </c>
      <c r="CH475" s="23" t="str">
        <f>IF(ISERROR((CG475/CE475-1)*100),"NA",IF(((CG475/CE475-1)*100)&gt;100,"NM",IF(((CG475/CE475-1)*100)&lt;-50,"NM",(CG475/CE475-1)*100)))</f>
        <v>NM</v>
      </c>
      <c r="CI475" s="56">
        <f>BF475+BH475+BJ475+BL475</f>
        <v>99.4</v>
      </c>
      <c r="CJ475" s="23">
        <f>IF(ISERROR((CI475/CG475-1)*100),"NA",IF(((CI475/CG475-1)*100)&gt;100,"NM",IF(((CI475/CG475-1)*100)&lt;-50,"NM",(CI475/CG475-1)*100)))</f>
        <v>-30.586592178770942</v>
      </c>
      <c r="CK475" s="49"/>
      <c r="CL475" s="23"/>
      <c r="CM475" s="49"/>
      <c r="CN475" s="23"/>
      <c r="CO475" s="49"/>
      <c r="CP475" s="23"/>
      <c r="CQ475" s="49"/>
      <c r="CR475" s="23" t="str">
        <f>IF(ISERROR((CQ475/CO475-1)*100),"NA",IF(((CQ475/CO475-1)*100)&gt;100,"NM",IF(((CQ475/CO475-1)*100)&lt;-50,"NM",(CQ475/CO475-1)*100)))</f>
        <v>NA</v>
      </c>
      <c r="CS475" s="23" t="str">
        <f>IF(ISERROR(((CQ475/CG475)^0.2-1)*100),"NA",IF((((CQ475/CG475)^0.2-1)*100)&gt;100,"NM",IF((((CQ475/CG475)^0.2-1)*100)&lt;-50,"NM",((CQ475/CG475)^0.2-1)*100)))</f>
        <v>NM</v>
      </c>
    </row>
    <row r="476" spans="1:97" ht="12.75" hidden="1" customHeight="1" outlineLevel="1" x14ac:dyDescent="0.2">
      <c r="A476" s="4" t="s">
        <v>15</v>
      </c>
      <c r="B476" s="36">
        <f>SUM(B472:B475)</f>
        <v>70.600000000000009</v>
      </c>
      <c r="C476" s="44"/>
      <c r="D476" s="36">
        <f t="shared" ref="D476:Z476" si="2975">SUM(D472:D475)</f>
        <v>440.5</v>
      </c>
      <c r="E476" s="44"/>
      <c r="F476" s="36">
        <f t="shared" si="2975"/>
        <v>1562.6000000000001</v>
      </c>
      <c r="G476" s="44"/>
      <c r="H476" s="36">
        <f t="shared" si="2975"/>
        <v>-1278.8000000000002</v>
      </c>
      <c r="I476" s="44"/>
      <c r="J476" s="36">
        <f t="shared" si="2975"/>
        <v>-978.8</v>
      </c>
      <c r="K476" s="23" t="str">
        <f t="shared" si="2957"/>
        <v>NM</v>
      </c>
      <c r="L476" s="36">
        <f t="shared" si="2975"/>
        <v>798.2</v>
      </c>
      <c r="M476" s="23">
        <f t="shared" si="2957"/>
        <v>81.203178206583445</v>
      </c>
      <c r="N476" s="36">
        <f t="shared" si="2975"/>
        <v>42.499999999999964</v>
      </c>
      <c r="O476" s="23" t="str">
        <f t="shared" si="2957"/>
        <v>NM</v>
      </c>
      <c r="P476" s="36">
        <f t="shared" si="2975"/>
        <v>68.099999999999952</v>
      </c>
      <c r="Q476" s="23" t="str">
        <f t="shared" si="2957"/>
        <v>NM</v>
      </c>
      <c r="R476" s="36">
        <f t="shared" si="2975"/>
        <v>-444</v>
      </c>
      <c r="S476" s="23" t="str">
        <f t="shared" si="2957"/>
        <v>NM</v>
      </c>
      <c r="T476" s="36">
        <f t="shared" si="2975"/>
        <v>-60.300000000000011</v>
      </c>
      <c r="U476" s="23" t="str">
        <f t="shared" si="2957"/>
        <v>NM</v>
      </c>
      <c r="V476" s="36">
        <f t="shared" si="2975"/>
        <v>-66.09999999999998</v>
      </c>
      <c r="W476" s="23" t="str">
        <f t="shared" si="2957"/>
        <v>NM</v>
      </c>
      <c r="X476" s="36">
        <f t="shared" si="2975"/>
        <v>-155.89999999999995</v>
      </c>
      <c r="Y476" s="23" t="str">
        <f t="shared" si="2957"/>
        <v>NM</v>
      </c>
      <c r="Z476" s="36">
        <f t="shared" si="2975"/>
        <v>284.60000000000002</v>
      </c>
      <c r="AA476" s="23" t="str">
        <f>IF(ISERROR((Z476/R476-1)*100),"NA",IF(((Z476/R476-1)*100)&gt;100,"NM",IF(((Z476/R476-1)*100)&lt;-50,"NM",(Z476/R476-1)*100)))</f>
        <v>NM</v>
      </c>
      <c r="AB476" s="36">
        <f t="shared" ref="AB476:AD476" si="2976">SUM(AB472:AB475)</f>
        <v>114.10000000000001</v>
      </c>
      <c r="AC476" s="23" t="str">
        <f>IF(ISERROR((AB476/T476-1)*100),"NA",IF(((AB476/T476-1)*100)&gt;100,"NM",IF(((AB476/T476-1)*100)&lt;-50,"NM",(AB476/T476-1)*100)))</f>
        <v>NM</v>
      </c>
      <c r="AD476" s="36">
        <f t="shared" si="2976"/>
        <v>665.59999999999991</v>
      </c>
      <c r="AE476" s="23" t="str">
        <f>IF(ISERROR((AD476/V476-1)*100),"NA",IF(((AD476/V476-1)*100)&gt;100,"NM",IF(((AD476/V476-1)*100)&lt;-50,"NM",(AD476/V476-1)*100)))</f>
        <v>NM</v>
      </c>
      <c r="AF476" s="36">
        <f t="shared" ref="AF476:AH476" si="2977">SUM(AF472:AF475)</f>
        <v>193.7</v>
      </c>
      <c r="AG476" s="23" t="str">
        <f>IF(ISERROR((AF476/X476-1)*100),"NA",IF(((AF476/X476-1)*100)&gt;100,"NM",IF(((AF476/X476-1)*100)&lt;-50,"NM",(AF476/X476-1)*100)))</f>
        <v>NM</v>
      </c>
      <c r="AH476" s="36">
        <f t="shared" si="2977"/>
        <v>264.39999999999998</v>
      </c>
      <c r="AI476" s="23">
        <f>IF(ISERROR((AH476/Z476-1)*100),"NA",IF(((AH476/Z476-1)*100)&gt;100,"NM",IF(((AH476/Z476-1)*100)&lt;-50,"NM",(AH476/Z476-1)*100)))</f>
        <v>-7.0976809557273484</v>
      </c>
      <c r="AJ476" s="36">
        <f t="shared" ref="AJ476:AL476" si="2978">SUM(AJ472:AJ475)</f>
        <v>658.5</v>
      </c>
      <c r="AK476" s="23" t="str">
        <f>IF(ISERROR((AJ476/AB476-1)*100),"NA",IF(((AJ476/AB476-1)*100)&gt;100,"NM",IF(((AJ476/AB476-1)*100)&lt;-50,"NM",(AJ476/AB476-1)*100)))</f>
        <v>NM</v>
      </c>
      <c r="AL476" s="36">
        <f t="shared" si="2978"/>
        <v>789</v>
      </c>
      <c r="AM476" s="23">
        <f>IF(ISERROR((AL476/AD476-1)*100),"NA",IF(((AL476/AD476-1)*100)&gt;100,"NM",IF(((AL476/AD476-1)*100)&lt;-50,"NM",(AL476/AD476-1)*100)))</f>
        <v>18.539663461538481</v>
      </c>
      <c r="AN476" s="410">
        <f t="shared" ref="AN476:AP476" si="2979">SUM(AN472:AN475)</f>
        <v>-127.40000000000002</v>
      </c>
      <c r="AO476" s="23" t="str">
        <f>IF(ISERROR((AN476/AF476-1)*100),"NA",IF(((AN476/AF476-1)*100)&gt;100,"NM",IF(((AN476/AF476-1)*100)&lt;-50,"NM",(AN476/AF476-1)*100)))</f>
        <v>NM</v>
      </c>
      <c r="AP476" s="410">
        <f t="shared" si="2979"/>
        <v>453</v>
      </c>
      <c r="AQ476" s="23">
        <f t="shared" si="2958"/>
        <v>71.331316187594567</v>
      </c>
      <c r="AR476" s="410">
        <f t="shared" ref="AR476:AT476" si="2980">SUM(AR472:AR475)</f>
        <v>362</v>
      </c>
      <c r="AS476" s="23">
        <f t="shared" si="2959"/>
        <v>-45.02657555049354</v>
      </c>
      <c r="AT476" s="410">
        <f t="shared" si="2980"/>
        <v>271.69999999999993</v>
      </c>
      <c r="AU476" s="23" t="str">
        <f t="shared" si="2960"/>
        <v>NM</v>
      </c>
      <c r="AV476" s="410">
        <f t="shared" ref="AV476:AX476" si="2981">SUM(AV472:AV475)</f>
        <v>209.5</v>
      </c>
      <c r="AW476" s="23" t="str">
        <f t="shared" si="2961"/>
        <v>NM</v>
      </c>
      <c r="AX476" s="410">
        <f t="shared" si="2981"/>
        <v>-56.099999999999952</v>
      </c>
      <c r="AY476" s="23" t="str">
        <f t="shared" si="2962"/>
        <v>NM</v>
      </c>
      <c r="AZ476" s="410">
        <f t="shared" ref="AZ476" si="2982">SUM(AZ472:AZ475)</f>
        <v>154</v>
      </c>
      <c r="BA476" s="23" t="str">
        <f t="shared" si="2963"/>
        <v>NM</v>
      </c>
      <c r="BB476" s="410">
        <f t="shared" ref="BB476:BD476" si="2983">SUM(BB472:BB475)</f>
        <v>217.89999999999998</v>
      </c>
      <c r="BC476" s="23">
        <f t="shared" si="2964"/>
        <v>-19.801251380198735</v>
      </c>
      <c r="BD476" s="410">
        <f t="shared" si="2983"/>
        <v>0</v>
      </c>
      <c r="BE476" s="23" t="str">
        <f t="shared" si="2965"/>
        <v>NM</v>
      </c>
      <c r="BF476" s="56">
        <f t="shared" ref="BF476" si="2984">SUM(BF472:BF475)</f>
        <v>52.2</v>
      </c>
      <c r="BG476" s="23" t="str">
        <f t="shared" si="2967"/>
        <v>NM</v>
      </c>
      <c r="BH476" s="56">
        <f t="shared" ref="BH476" si="2985">SUM(BH472:BH475)</f>
        <v>47.2</v>
      </c>
      <c r="BI476" s="23" t="str">
        <f t="shared" si="2969"/>
        <v>NM</v>
      </c>
      <c r="BJ476" s="56"/>
      <c r="BK476" s="23"/>
      <c r="BL476" s="56"/>
      <c r="BM476" s="23" t="str">
        <f t="shared" si="2970"/>
        <v>NA</v>
      </c>
      <c r="BN476" s="37"/>
      <c r="BO476" s="137"/>
      <c r="BP476" s="37"/>
      <c r="BQ476" s="36">
        <f>SUM(BQ472:BQ475)</f>
        <v>-325.29999999999995</v>
      </c>
      <c r="BR476" s="37"/>
      <c r="BS476" s="36">
        <f>SUM(BS472:BS475)</f>
        <v>677.7</v>
      </c>
      <c r="BT476" s="37"/>
      <c r="BU476" s="36">
        <f>SUM(BU472:BU475)</f>
        <v>794.89999999999986</v>
      </c>
      <c r="BV476" s="23">
        <f>IF(ISERROR((BU476/BS476-1)*100),"NA",IF(((BU476/BS476-1)*100)&gt;100,"NM",IF(((BU476/BS476-1)*100)&lt;-50,"NM",(BU476/BS476-1)*100)))</f>
        <v>17.293787811716065</v>
      </c>
      <c r="BW476" s="36">
        <f>SUM(BW472:BW475)</f>
        <v>-69.999999999999815</v>
      </c>
      <c r="BX476" s="23" t="str">
        <f>IF(ISERROR((BW476/BU476-1)*100),"NA",IF(((BW476/BU476-1)*100)&gt;100,"NM",IF(((BW476/BU476-1)*100)&lt;-50,"NM",(BW476/BU476-1)*100)))</f>
        <v>NM</v>
      </c>
      <c r="BY476" s="56">
        <f>SUM(BY472:BY475)</f>
        <v>-726.30000000000007</v>
      </c>
      <c r="BZ476" s="23" t="str">
        <f>IF(ISERROR((BY476/BW476-1)*100),"NA",IF(((BY476/BW476-1)*100)&gt;100,"NM",IF(((BY476/BW476-1)*100)&lt;-50,"NM",(BY476/BW476-1)*100)))</f>
        <v>NM</v>
      </c>
      <c r="CA476" s="56">
        <f>SUM(CA472:CA475)</f>
        <v>1257.9999999999998</v>
      </c>
      <c r="CB476" s="23" t="str">
        <f>IF(ISERROR((CA476/BY476-1)*100),"NA",IF(((CA476/BY476-1)*100)&gt;100,"NM",IF(((CA476/BY476-1)*100)&lt;-50,"NM",(CA476/BY476-1)*100)))</f>
        <v>NM</v>
      </c>
      <c r="CC476" s="56">
        <f>SUM(CC472:CC475)</f>
        <v>1584.4999999999998</v>
      </c>
      <c r="CD476" s="23">
        <f>IF(ISERROR((CC476/CA476-1)*100),"NA",IF(((CC476/CA476-1)*100)&gt;100,"NM",IF(((CC476/CA476-1)*100)&lt;-50,"NM",(CC476/CA476-1)*100)))</f>
        <v>25.953895071542131</v>
      </c>
      <c r="CE476" s="56">
        <f>SUM(CE472:CE475)</f>
        <v>1296.2</v>
      </c>
      <c r="CF476" s="23">
        <f>IF(ISERROR((CE476/CC476-1)*100),"NA",IF(((CE476/CC476-1)*100)&gt;100,"NM",IF(((CE476/CC476-1)*100)&lt;-50,"NM",(CE476/CC476-1)*100)))</f>
        <v>-18.195014200063099</v>
      </c>
      <c r="CG476" s="56">
        <f>SUM(CG472:CG475)</f>
        <v>315.80000000000013</v>
      </c>
      <c r="CH476" s="23" t="str">
        <f>IF(ISERROR((CG476/CE476-1)*100),"NA",IF(((CG476/CE476-1)*100)&gt;100,"NM",IF(((CG476/CE476-1)*100)&lt;-50,"NM",(CG476/CE476-1)*100)))</f>
        <v>NM</v>
      </c>
      <c r="CI476" s="56">
        <f>SUM(CI472:CI475)</f>
        <v>99.4</v>
      </c>
      <c r="CJ476" s="23" t="str">
        <f>IF(ISERROR((CI476/CG476-1)*100),"NA",IF(((CI476/CG476-1)*100)&gt;100,"NM",IF(((CI476/CG476-1)*100)&lt;-50,"NM",(CI476/CG476-1)*100)))</f>
        <v>NM</v>
      </c>
      <c r="CK476" s="56"/>
      <c r="CL476" s="23"/>
      <c r="CM476" s="56"/>
      <c r="CN476" s="23"/>
      <c r="CO476" s="56"/>
      <c r="CP476" s="23"/>
      <c r="CQ476" s="56"/>
      <c r="CR476" s="23" t="str">
        <f>IF(ISERROR((CQ476/CO476-1)*100),"NA",IF(((CQ476/CO476-1)*100)&gt;100,"NM",IF(((CQ476/CO476-1)*100)&lt;-50,"NM",(CQ476/CO476-1)*100)))</f>
        <v>NA</v>
      </c>
      <c r="CS476" s="23" t="str">
        <f>IF(ISERROR(((CQ476/CG476)^0.2-1)*100),"NA",IF((((CQ476/CG476)^0.2-1)*100)&gt;100,"NM",IF((((CQ476/CG476)^0.2-1)*100)&lt;-50,"NM",((CQ476/CG476)^0.2-1)*100)))</f>
        <v>NM</v>
      </c>
    </row>
    <row r="477" spans="1:97" ht="12.75" hidden="1" customHeight="1" outlineLevel="1" x14ac:dyDescent="0.2">
      <c r="B477" s="35"/>
      <c r="C477" s="63"/>
      <c r="D477" s="35"/>
      <c r="E477" s="63"/>
      <c r="F477" s="35"/>
      <c r="G477" s="63"/>
      <c r="H477" s="35"/>
      <c r="I477" s="63"/>
      <c r="J477" s="35"/>
      <c r="K477" s="177"/>
      <c r="L477" s="35"/>
      <c r="M477" s="177"/>
      <c r="N477" s="35"/>
      <c r="O477" s="177"/>
      <c r="P477" s="35"/>
      <c r="Q477" s="177"/>
      <c r="R477" s="35"/>
      <c r="S477" s="177"/>
      <c r="T477" s="35"/>
      <c r="U477" s="177"/>
      <c r="V477" s="35"/>
      <c r="W477" s="177"/>
      <c r="X477" s="35"/>
      <c r="Y477" s="177"/>
      <c r="Z477" s="35"/>
      <c r="AA477" s="177"/>
      <c r="AB477" s="35"/>
      <c r="AC477" s="37"/>
      <c r="AD477" s="35"/>
      <c r="AE477" s="37"/>
      <c r="AF477" s="35"/>
      <c r="AG477" s="177"/>
      <c r="AH477" s="35"/>
      <c r="AI477" s="177"/>
      <c r="AJ477" s="35"/>
      <c r="AK477" s="177"/>
      <c r="AL477" s="35"/>
      <c r="AM477" s="177"/>
      <c r="AN477" s="409"/>
      <c r="AO477" s="177"/>
      <c r="AP477" s="409"/>
      <c r="AQ477" s="177"/>
      <c r="AR477" s="411"/>
      <c r="AS477" s="177"/>
      <c r="AT477" s="411"/>
      <c r="AU477" s="177"/>
      <c r="AV477" s="411"/>
      <c r="AW477" s="177"/>
      <c r="AX477" s="411"/>
      <c r="AY477" s="177"/>
      <c r="AZ477" s="411"/>
      <c r="BA477" s="177"/>
      <c r="BB477" s="411"/>
      <c r="BC477" s="177"/>
      <c r="BD477" s="411"/>
      <c r="BE477" s="177"/>
      <c r="BF477" s="37"/>
      <c r="BG477" s="177"/>
      <c r="BH477" s="37"/>
      <c r="BI477" s="177"/>
      <c r="BJ477" s="37"/>
      <c r="BK477" s="177"/>
      <c r="BL477" s="37"/>
      <c r="BM477" s="177"/>
      <c r="BN477" s="37"/>
      <c r="BO477" s="138"/>
      <c r="BP477" s="37"/>
      <c r="BQ477" s="37"/>
      <c r="BR477" s="37"/>
      <c r="BS477" s="37"/>
      <c r="BT477" s="37"/>
      <c r="BU477" s="37"/>
      <c r="BV477" s="177"/>
      <c r="BW477" s="35"/>
      <c r="BX477" s="177"/>
      <c r="BY477" s="37"/>
      <c r="BZ477" s="177"/>
      <c r="CA477" s="37"/>
      <c r="CB477" s="177"/>
      <c r="CC477" s="37"/>
      <c r="CD477" s="177"/>
      <c r="CE477" s="37"/>
      <c r="CF477" s="177"/>
      <c r="CG477" s="37"/>
      <c r="CH477" s="177"/>
      <c r="CI477" s="37"/>
      <c r="CJ477" s="177"/>
      <c r="CK477" s="37"/>
      <c r="CL477" s="177"/>
      <c r="CM477" s="37"/>
      <c r="CN477" s="177"/>
      <c r="CO477" s="37"/>
      <c r="CP477" s="177"/>
      <c r="CQ477" s="37"/>
      <c r="CR477" s="177"/>
      <c r="CS477" s="177"/>
    </row>
    <row r="478" spans="1:97" ht="12.75" hidden="1" customHeight="1" outlineLevel="1" x14ac:dyDescent="0.2">
      <c r="A478" s="11" t="s">
        <v>152</v>
      </c>
      <c r="B478" s="37"/>
      <c r="C478" s="24"/>
      <c r="D478" s="37"/>
      <c r="E478" s="24"/>
      <c r="F478" s="37"/>
      <c r="G478" s="24"/>
      <c r="H478" s="37"/>
      <c r="I478" s="24"/>
      <c r="J478" s="37"/>
      <c r="K478" s="177"/>
      <c r="L478" s="37"/>
      <c r="M478" s="177"/>
      <c r="N478" s="37"/>
      <c r="O478" s="177"/>
      <c r="P478" s="37"/>
      <c r="Q478" s="177"/>
      <c r="R478" s="37"/>
      <c r="S478" s="177"/>
      <c r="T478" s="37"/>
      <c r="U478" s="177"/>
      <c r="V478" s="37"/>
      <c r="W478" s="177"/>
      <c r="X478" s="37"/>
      <c r="Y478" s="177"/>
      <c r="Z478" s="37"/>
      <c r="AA478" s="177"/>
      <c r="AB478" s="37"/>
      <c r="AC478" s="177"/>
      <c r="AD478" s="37"/>
      <c r="AE478" s="177"/>
      <c r="AF478" s="37"/>
      <c r="AG478" s="177"/>
      <c r="AH478" s="37"/>
      <c r="AI478" s="177"/>
      <c r="AJ478" s="37"/>
      <c r="AK478" s="177"/>
      <c r="AL478" s="37"/>
      <c r="AM478" s="177"/>
      <c r="AN478" s="411"/>
      <c r="AO478" s="177"/>
      <c r="AP478" s="411"/>
      <c r="AQ478" s="177"/>
      <c r="AR478" s="411"/>
      <c r="AS478" s="177"/>
      <c r="AT478" s="411"/>
      <c r="AU478" s="177"/>
      <c r="AV478" s="411"/>
      <c r="AW478" s="177"/>
      <c r="AX478" s="411"/>
      <c r="AY478" s="177"/>
      <c r="AZ478" s="411"/>
      <c r="BA478" s="177"/>
      <c r="BB478" s="411"/>
      <c r="BC478" s="177"/>
      <c r="BD478" s="411"/>
      <c r="BE478" s="177"/>
      <c r="BF478" s="37"/>
      <c r="BG478" s="177"/>
      <c r="BH478" s="37"/>
      <c r="BI478" s="177"/>
      <c r="BJ478" s="37"/>
      <c r="BK478" s="177"/>
      <c r="BL478" s="37"/>
      <c r="BM478" s="177"/>
      <c r="BN478" s="10"/>
      <c r="BO478" s="138"/>
      <c r="BP478" s="10"/>
      <c r="BQ478" s="10"/>
      <c r="BR478" s="10"/>
      <c r="BS478" s="10"/>
      <c r="BT478" s="10"/>
      <c r="BU478" s="37"/>
      <c r="BV478" s="177"/>
      <c r="BW478" s="37"/>
      <c r="BX478" s="177"/>
      <c r="BY478" s="37"/>
      <c r="BZ478" s="177"/>
      <c r="CA478" s="37"/>
      <c r="CB478" s="177"/>
      <c r="CC478" s="37"/>
      <c r="CD478" s="177"/>
      <c r="CE478" s="37"/>
      <c r="CF478" s="177"/>
      <c r="CG478" s="37"/>
      <c r="CH478" s="177"/>
      <c r="CI478" s="37"/>
      <c r="CJ478" s="177"/>
      <c r="CK478" s="37"/>
      <c r="CL478" s="177"/>
      <c r="CM478" s="37"/>
      <c r="CN478" s="177"/>
      <c r="CO478" s="37"/>
      <c r="CP478" s="177"/>
      <c r="CQ478" s="37"/>
      <c r="CR478" s="177"/>
      <c r="CS478" s="177"/>
    </row>
    <row r="479" spans="1:97" ht="12.75" hidden="1" customHeight="1" outlineLevel="1" x14ac:dyDescent="0.2">
      <c r="A479" s="34" t="s">
        <v>208</v>
      </c>
      <c r="B479" s="35">
        <f>B472/B466*400</f>
        <v>10.140038842890728</v>
      </c>
      <c r="C479" s="59"/>
      <c r="D479" s="35">
        <f>D472/D466*400</f>
        <v>9.0474993717014325</v>
      </c>
      <c r="E479" s="59"/>
      <c r="F479" s="35">
        <f>F472/F466*400</f>
        <v>3.0595734248590341</v>
      </c>
      <c r="G479" s="59"/>
      <c r="H479" s="35">
        <f>H472/H466*400</f>
        <v>11.708061209896554</v>
      </c>
      <c r="I479" s="59"/>
      <c r="J479" s="35">
        <f>J472/J466*400</f>
        <v>6.3952954148672223</v>
      </c>
      <c r="K479" s="23">
        <f t="shared" ref="K479:Y479" si="2986">IF(ISERROR((J479/B479-1)*100),"NA",IF(((J479/B479-1)*100)&gt;100,"NM",IF(((J479/B479-1)*100)&lt;-50,"NM",(J479/B479-1)*100)))</f>
        <v>-36.930267093098756</v>
      </c>
      <c r="L479" s="35">
        <f>L472/L466*400</f>
        <v>2.0932192114949668</v>
      </c>
      <c r="M479" s="23" t="str">
        <f t="shared" si="2986"/>
        <v>NM</v>
      </c>
      <c r="N479" s="35">
        <f>N472/N466*400</f>
        <v>4.1777245098878524</v>
      </c>
      <c r="O479" s="23">
        <f t="shared" si="2986"/>
        <v>36.545979774299276</v>
      </c>
      <c r="P479" s="35">
        <f>P472/P466*400</f>
        <v>5.6716540950496688</v>
      </c>
      <c r="Q479" s="23" t="str">
        <f t="shared" si="2986"/>
        <v>NM</v>
      </c>
      <c r="R479" s="35">
        <f>R472/R466*400</f>
        <v>5.8652428577120777</v>
      </c>
      <c r="S479" s="23">
        <f t="shared" si="2986"/>
        <v>-8.2881637636773586</v>
      </c>
      <c r="T479" s="35">
        <f>T472/T466*400</f>
        <v>6.4093226511289156</v>
      </c>
      <c r="U479" s="23" t="str">
        <f t="shared" si="2986"/>
        <v>NM</v>
      </c>
      <c r="V479" s="35">
        <f>V472/V466*400</f>
        <v>8.4821264219710635</v>
      </c>
      <c r="W479" s="23" t="str">
        <f t="shared" si="2986"/>
        <v>NM</v>
      </c>
      <c r="X479" s="35">
        <f>X472/X466*400</f>
        <v>8.4021646254628308</v>
      </c>
      <c r="Y479" s="23">
        <f t="shared" si="2986"/>
        <v>48.143107542408224</v>
      </c>
      <c r="Z479" s="35">
        <f>Z472/Z466*400</f>
        <v>9.4488188976377945</v>
      </c>
      <c r="AA479" s="23">
        <f>IF(ISERROR((Z479/R479-1)*100),"NA",IF(((Z479/R479-1)*100)&gt;100,"NM",IF(((Z479/R479-1)*100)&lt;-50,"NM",(Z479/R479-1)*100)))</f>
        <v>61.098510783978057</v>
      </c>
      <c r="AB479" s="35">
        <f>AB472/AB466*400</f>
        <v>9.8210622652822934</v>
      </c>
      <c r="AC479" s="23">
        <f>IF(ISERROR((AB479/T479-1)*100),"NA",IF(((AB479/T479-1)*100)&gt;100,"NM",IF(((AB479/T479-1)*100)&lt;-50,"NM",(AB479/T479-1)*100)))</f>
        <v>53.230891934461219</v>
      </c>
      <c r="AD479" s="35">
        <f>AD472/AD466*400</f>
        <v>9.9808506934370094</v>
      </c>
      <c r="AE479" s="23">
        <f>IF(ISERROR((AD479/V479-1)*100),"NA",IF(((AD479/V479-1)*100)&gt;100,"NM",IF(((AD479/V479-1)*100)&lt;-50,"NM",(AD479/V479-1)*100)))</f>
        <v>17.669204594544041</v>
      </c>
      <c r="AF479" s="35">
        <f>AF472/AF466*400</f>
        <v>8.5487762840399864</v>
      </c>
      <c r="AG479" s="23">
        <f>IF(ISERROR((AF479/X479-1)*100),"NA",IF(((AF479/X479-1)*100)&gt;100,"NM",IF(((AF479/X479-1)*100)&lt;-50,"NM",(AF479/X479-1)*100)))</f>
        <v>1.7449272314047137</v>
      </c>
      <c r="AH479" s="35">
        <f>AH472/AH466*400</f>
        <v>7.6898381583668529</v>
      </c>
      <c r="AI479" s="23">
        <f>IF(ISERROR((AH479/Z479-1)*100),"NA",IF(((AH479/Z479-1)*100)&gt;100,"NM",IF(((AH479/Z479-1)*100)&lt;-50,"NM",(AH479/Z479-1)*100)))</f>
        <v>-18.61587949061747</v>
      </c>
      <c r="AJ479" s="35">
        <f>AJ472/AJ466*400</f>
        <v>7.4577773233123716</v>
      </c>
      <c r="AK479" s="23">
        <f>IF(ISERROR((AJ479/AB479-1)*100),"NA",IF(((AJ479/AB479-1)*100)&gt;100,"NM",IF(((AJ479/AB479-1)*100)&lt;-50,"NM",(AJ479/AB479-1)*100)))</f>
        <v>-24.063435075900031</v>
      </c>
      <c r="AL479" s="35">
        <f>AL472/AL466*400</f>
        <v>7.6392904587012591</v>
      </c>
      <c r="AM479" s="23">
        <f>IF(ISERROR((AL479/AD479-1)*100),"NA",IF(((AL479/AD479-1)*100)&gt;100,"NM",IF(((AL479/AD479-1)*100)&lt;-50,"NM",(AL479/AD479-1)*100)))</f>
        <v>-23.460527630930926</v>
      </c>
      <c r="AN479" s="409">
        <f t="shared" ref="AN479:AP479" si="2987">AN472/AN466*400</f>
        <v>7.7123439417981494</v>
      </c>
      <c r="AO479" s="23">
        <f>IF(ISERROR((AN479/AF479-1)*100),"NA",IF(((AN479/AF479-1)*100)&gt;100,"NM",IF(((AN479/AF479-1)*100)&lt;-50,"NM",(AN479/AF479-1)*100)))</f>
        <v>-9.7842347775950351</v>
      </c>
      <c r="AP479" s="409">
        <f t="shared" si="2987"/>
        <v>7.6683114967954173</v>
      </c>
      <c r="AQ479" s="23">
        <f t="shared" ref="AQ479" si="2988">IF(ISERROR((AP479/AH479-1)*100),"NA",IF(((AP479/AH479-1)*100)&gt;100,"NM",IF(((AP479/AH479-1)*100)&lt;-50,"NM",(AP479/AH479-1)*100)))</f>
        <v>-0.27993647106882014</v>
      </c>
      <c r="AR479" s="409">
        <f t="shared" ref="AR479:AT479" si="2989">AR472/AR466*400</f>
        <v>7.3928452022734863</v>
      </c>
      <c r="AS479" s="23">
        <f t="shared" ref="AS479" si="2990">IF(ISERROR((AR479/AJ479-1)*100),"NA",IF(((AR479/AJ479-1)*100)&gt;100,"NM",IF(((AR479/AJ479-1)*100)&lt;-50,"NM",(AR479/AJ479-1)*100)))</f>
        <v>-0.87066317783333069</v>
      </c>
      <c r="AT479" s="409">
        <f t="shared" si="2989"/>
        <v>7.0504424887082768</v>
      </c>
      <c r="AU479" s="23">
        <f t="shared" ref="AU479" si="2991">IF(ISERROR((AT479/AL479-1)*100),"NA",IF(((AT479/AL479-1)*100)&gt;100,"NM",IF(((AT479/AL479-1)*100)&lt;-50,"NM",(AT479/AL479-1)*100)))</f>
        <v>-7.7081500327334185</v>
      </c>
      <c r="AV479" s="409">
        <f t="shared" ref="AV479:AX479" si="2992">AV472/AV466*400</f>
        <v>6.4390366597497337</v>
      </c>
      <c r="AW479" s="23">
        <f t="shared" ref="AW479" si="2993">IF(ISERROR((AV479/AN479-1)*100),"NA",IF(((AV479/AN479-1)*100)&gt;100,"NM",IF(((AV479/AN479-1)*100)&lt;-50,"NM",(AV479/AN479-1)*100)))</f>
        <v>-16.509990888081958</v>
      </c>
      <c r="AX479" s="409">
        <f t="shared" si="2992"/>
        <v>5.9422798072875249</v>
      </c>
      <c r="AY479" s="23">
        <f t="shared" ref="AY479" si="2994">IF(ISERROR((AX479/AP479-1)*100),"NA",IF(((AX479/AP479-1)*100)&gt;100,"NM",IF(((AX479/AP479-1)*100)&lt;-50,"NM",(AX479/AP479-1)*100)))</f>
        <v>-22.5086277497882</v>
      </c>
      <c r="AZ479" s="409">
        <f t="shared" ref="AZ479" si="2995">AZ472/AZ466*400</f>
        <v>5.7743879712371484</v>
      </c>
      <c r="BA479" s="23">
        <f t="shared" ref="BA479" si="2996">IF(ISERROR((AZ479/AR479-1)*100),"NA",IF(((AZ479/AR479-1)*100)&gt;100,"NM",IF(((AZ479/AR479-1)*100)&lt;-50,"NM",(AZ479/AR479-1)*100)))</f>
        <v>-21.892210465040197</v>
      </c>
      <c r="BB479" s="409">
        <f t="shared" ref="BB479:BD479" si="2997">BB472/BB466*400</f>
        <v>5.5676600342126585</v>
      </c>
      <c r="BC479" s="23">
        <f t="shared" ref="BC479" si="2998">IF(ISERROR((BB479/AT479-1)*100),"NA",IF(((BB479/AT479-1)*100)&gt;100,"NM",IF(((BB479/AT479-1)*100)&lt;-50,"NM",(BB479/AT479-1)*100)))</f>
        <v>-21.031055240438977</v>
      </c>
      <c r="BD479" s="409">
        <f t="shared" si="2997"/>
        <v>0</v>
      </c>
      <c r="BE479" s="23" t="str">
        <f t="shared" ref="BE479" si="2999">IF(ISERROR((BD479/AV479-1)*100),"NA",IF(((BD479/AV479-1)*100)&gt;100,"NM",IF(((BD479/AV479-1)*100)&lt;-50,"NM",(BD479/AV479-1)*100)))</f>
        <v>NM</v>
      </c>
      <c r="BF479" s="114">
        <f t="shared" ref="BF479:BH479" si="3000">BD479</f>
        <v>0</v>
      </c>
      <c r="BG479" s="23" t="str">
        <f t="shared" ref="BG479" si="3001">IF(ISERROR((BF479/AX479-1)*100),"NA",IF(((BF479/AX479-1)*100)&gt;100,"NM",IF(((BF479/AX479-1)*100)&lt;-50,"NM",(BF479/AX479-1)*100)))</f>
        <v>NM</v>
      </c>
      <c r="BH479" s="114">
        <f t="shared" si="3000"/>
        <v>0</v>
      </c>
      <c r="BI479" s="23" t="str">
        <f t="shared" ref="BI479" si="3002">IF(ISERROR((BH479/AZ479-1)*100),"NA",IF(((BH479/AZ479-1)*100)&gt;100,"NM",IF(((BH479/AZ479-1)*100)&lt;-50,"NM",(BH479/AZ479-1)*100)))</f>
        <v>NM</v>
      </c>
      <c r="BJ479" s="114"/>
      <c r="BK479" s="23"/>
      <c r="BL479" s="114"/>
      <c r="BM479" s="23" t="str">
        <f t="shared" ref="BM479" si="3003">IF(ISERROR((BL479/BD479-1)*100),"NA",IF(((BL479/BD479-1)*100)&gt;100,"NM",IF(((BL479/BD479-1)*100)&lt;-50,"NM",(BL479/BD479-1)*100)))</f>
        <v>NA</v>
      </c>
      <c r="BN479" s="35"/>
      <c r="BO479" s="138"/>
      <c r="BP479" s="35"/>
      <c r="BQ479" s="35" t="e">
        <f>BQ472/BQ466*100</f>
        <v>#DIV/0!</v>
      </c>
      <c r="BR479" s="35"/>
      <c r="BS479" s="35">
        <f>BS472/BS466*100</f>
        <v>5.4834967837182331</v>
      </c>
      <c r="BT479" s="35"/>
      <c r="BU479" s="35">
        <f>BU472/BU466*100</f>
        <v>8.50473311195916</v>
      </c>
      <c r="BV479" s="23">
        <f>IF(ISERROR((BU479/BS479-1)*100),"NA",IF(((BU479/BS479-1)*100)&gt;100,"NM",IF(((BU479/BS479-1)*100)&lt;-50,"NM",(BU479/BS479-1)*100)))</f>
        <v>55.096892501362895</v>
      </c>
      <c r="BW479" s="35">
        <f>BW472/BW466*100</f>
        <v>4.568703944516689</v>
      </c>
      <c r="BX479" s="23">
        <f>IF(ISERROR((BW479/BU479-1)*100),"NA",IF(((BW479/BU479-1)*100)&gt;100,"NM",IF(((BW479/BU479-1)*100)&lt;-50,"NM",(BW479/BU479-1)*100)))</f>
        <v>-46.280454843523742</v>
      </c>
      <c r="BY479" s="37">
        <f>BY472/BY466*100</f>
        <v>7.3199085011437361</v>
      </c>
      <c r="BZ479" s="23">
        <f>IF(ISERROR((BY479/BW479-1)*100),"NA",IF(((BY479/BW479-1)*100)&gt;100,"NM",IF(((BY479/BW479-1)*100)&lt;-50,"NM",(BY479/BW479-1)*100)))</f>
        <v>60.218490627500913</v>
      </c>
      <c r="CA479" s="37">
        <f>CA472/CA466*100</f>
        <v>8.1898931098509564</v>
      </c>
      <c r="CB479" s="23">
        <f>IF(ISERROR((CA479/BY479-1)*100),"NA",IF(((CA479/BY479-1)*100)&gt;100,"NM",IF(((CA479/BY479-1)*100)&lt;-50,"NM",(CA479/BY479-1)*100)))</f>
        <v>11.885184201022248</v>
      </c>
      <c r="CC479" s="37">
        <f>CC472/CC466*100</f>
        <v>7.7463254395226837</v>
      </c>
      <c r="CD479" s="23">
        <f>IF(ISERROR((CC479/CA479-1)*100),"NA",IF(((CC479/CA479-1)*100)&gt;100,"NM",IF(((CC479/CA479-1)*100)&lt;-50,"NM",(CC479/CA479-1)*100)))</f>
        <v>-5.4160373570045888</v>
      </c>
      <c r="CE479" s="37">
        <f>CE472/CE466*100</f>
        <v>6.6256672081689487</v>
      </c>
      <c r="CF479" s="23">
        <f>IF(ISERROR((CE479/CC479-1)*100),"NA",IF(((CE479/CC479-1)*100)&gt;100,"NM",IF(((CE479/CC479-1)*100)&lt;-50,"NM",(CE479/CC479-1)*100)))</f>
        <v>-14.466965532276788</v>
      </c>
      <c r="CG479" s="37">
        <f>CG472/CG466*100</f>
        <v>9.0675167063522544</v>
      </c>
      <c r="CH479" s="23">
        <f>IF(ISERROR((CG479/CE479-1)*100),"NA",IF(((CG479/CE479-1)*100)&gt;100,"NM",IF(((CG479/CE479-1)*100)&lt;-50,"NM",(CG479/CE479-1)*100)))</f>
        <v>36.854394002353288</v>
      </c>
      <c r="CI479" s="37" t="e">
        <f>CI472/CI466*100</f>
        <v>#DIV/0!</v>
      </c>
      <c r="CJ479" s="23" t="str">
        <f>IF(ISERROR((CI479/CG479-1)*100),"NA",IF(((CI479/CG479-1)*100)&gt;100,"NM",IF(((CI479/CG479-1)*100)&lt;-50,"NM",(CI479/CG479-1)*100)))</f>
        <v>NA</v>
      </c>
      <c r="CK479" s="114"/>
      <c r="CL479" s="23"/>
      <c r="CM479" s="114"/>
      <c r="CN479" s="23"/>
      <c r="CO479" s="114"/>
      <c r="CP479" s="23"/>
      <c r="CQ479" s="114"/>
      <c r="CR479" s="23" t="str">
        <f>IF(ISERROR((CQ479/CO479-1)*100),"NA",IF(((CQ479/CO479-1)*100)&gt;100,"NM",IF(((CQ479/CO479-1)*100)&lt;-50,"NM",(CQ479/CO479-1)*100)))</f>
        <v>NA</v>
      </c>
      <c r="CS479" s="23" t="str">
        <f>IF(ISERROR(((CQ479/CG479)^0.2-1)*100),"NA",IF((((CQ479/CG479)^0.2-1)*100)&gt;100,"NM",IF((((CQ479/CG479)^0.2-1)*100)&lt;-50,"NM",((CQ479/CG479)^0.2-1)*100)))</f>
        <v>NM</v>
      </c>
    </row>
    <row r="480" spans="1:97" ht="12.75" hidden="1" customHeight="1" outlineLevel="1" x14ac:dyDescent="0.2">
      <c r="A480" s="31"/>
      <c r="B480" s="35"/>
      <c r="C480" s="59"/>
      <c r="D480" s="35"/>
      <c r="E480" s="59"/>
      <c r="F480" s="35"/>
      <c r="G480" s="59"/>
      <c r="H480" s="35"/>
      <c r="I480" s="59"/>
      <c r="J480" s="35"/>
      <c r="L480" s="35"/>
      <c r="N480" s="35"/>
      <c r="P480" s="35"/>
      <c r="R480" s="35"/>
      <c r="T480" s="35"/>
      <c r="V480" s="35"/>
      <c r="X480" s="35"/>
      <c r="Z480" s="35"/>
      <c r="AB480" s="35"/>
      <c r="AD480" s="35"/>
      <c r="AF480" s="35"/>
      <c r="AH480" s="35"/>
      <c r="AJ480" s="35"/>
      <c r="AL480" s="35"/>
      <c r="AN480" s="409"/>
      <c r="AP480" s="409"/>
      <c r="AR480" s="253"/>
      <c r="AT480" s="253"/>
      <c r="AV480" s="253"/>
      <c r="AX480" s="253"/>
      <c r="AZ480" s="253"/>
      <c r="BB480" s="587"/>
      <c r="BD480" s="587"/>
      <c r="BF480" s="114"/>
      <c r="BH480" s="114"/>
      <c r="BJ480" s="114"/>
      <c r="BL480" s="114"/>
      <c r="BN480" s="35"/>
      <c r="BO480" s="138"/>
      <c r="BP480" s="35"/>
      <c r="BQ480" s="35"/>
      <c r="BR480" s="35"/>
      <c r="BS480" s="35"/>
      <c r="BT480" s="35"/>
      <c r="BU480" s="35"/>
      <c r="BW480" s="35"/>
      <c r="BY480" s="37"/>
      <c r="CA480" s="37"/>
      <c r="CC480" s="37"/>
      <c r="CE480" s="37"/>
      <c r="CG480" s="37"/>
      <c r="CI480" s="37"/>
      <c r="CK480" s="114"/>
      <c r="CM480" s="114"/>
      <c r="CO480" s="114"/>
      <c r="CQ480" s="114"/>
    </row>
    <row r="481" spans="1:97" ht="12.75" hidden="1" customHeight="1" outlineLevel="1" x14ac:dyDescent="0.2">
      <c r="A481" s="40" t="s">
        <v>111</v>
      </c>
      <c r="B481" s="35"/>
      <c r="C481" s="60"/>
      <c r="D481" s="35"/>
      <c r="E481" s="60"/>
      <c r="F481" s="35"/>
      <c r="G481" s="60"/>
      <c r="H481" s="35"/>
      <c r="I481" s="60"/>
      <c r="J481" s="35"/>
      <c r="L481" s="35"/>
      <c r="N481" s="35"/>
      <c r="P481" s="37"/>
      <c r="R481" s="37"/>
      <c r="T481" s="37"/>
      <c r="V481" s="37"/>
      <c r="X481" s="37"/>
      <c r="Z481" s="37"/>
      <c r="AB481" s="37"/>
      <c r="AD481" s="37"/>
      <c r="AF481" s="37"/>
      <c r="AH481" s="37"/>
      <c r="AJ481" s="37"/>
      <c r="AL481" s="37"/>
      <c r="AN481" s="411"/>
      <c r="AP481" s="411"/>
      <c r="AR481" s="411"/>
      <c r="AT481" s="411"/>
      <c r="AV481" s="411"/>
      <c r="AX481" s="411"/>
      <c r="AZ481" s="411"/>
      <c r="BB481" s="411"/>
      <c r="BD481" s="411"/>
      <c r="BF481" s="37"/>
      <c r="BH481" s="37"/>
      <c r="BJ481" s="37"/>
      <c r="BL481" s="37"/>
      <c r="BN481" s="35"/>
      <c r="BO481" s="138"/>
      <c r="BP481" s="35"/>
      <c r="BQ481" s="35"/>
      <c r="BR481" s="35"/>
      <c r="BS481" s="35"/>
      <c r="BT481" s="35"/>
      <c r="BU481" s="37"/>
      <c r="BW481" s="37"/>
      <c r="BY481" s="37"/>
      <c r="CA481" s="37"/>
      <c r="CC481" s="37"/>
      <c r="CE481" s="37"/>
      <c r="CG481" s="37"/>
      <c r="CI481" s="37"/>
      <c r="CK481" s="37"/>
      <c r="CM481" s="37"/>
      <c r="CO481" s="37"/>
      <c r="CQ481" s="37"/>
    </row>
    <row r="482" spans="1:97" ht="12.75" hidden="1" customHeight="1" outlineLevel="1" x14ac:dyDescent="0.2">
      <c r="A482" s="31" t="s">
        <v>119</v>
      </c>
      <c r="B482" s="35">
        <f>B473/B464*400</f>
        <v>2.7129648654201768</v>
      </c>
      <c r="C482" s="59"/>
      <c r="D482" s="35">
        <f>D473/D464*400</f>
        <v>2.7690405307812607</v>
      </c>
      <c r="E482" s="59"/>
      <c r="F482" s="35">
        <f>F473/F464*400</f>
        <v>2.8421674127997072</v>
      </c>
      <c r="G482" s="59"/>
      <c r="H482" s="35">
        <f>H473/H464*400</f>
        <v>2.907125763851127</v>
      </c>
      <c r="I482" s="59"/>
      <c r="J482" s="35">
        <f>J473/J464*400</f>
        <v>2.8280015903521676</v>
      </c>
      <c r="K482" s="23">
        <f t="shared" ref="K482:Y483" si="3004">IF(ISERROR((J482/B482-1)*100),"NA",IF(((J482/B482-1)*100)&gt;100,"NM",IF(((J482/B482-1)*100)&lt;-50,"NM",(J482/B482-1)*100)))</f>
        <v>4.2402585598606324</v>
      </c>
      <c r="L482" s="35">
        <f>L473/L464*400</f>
        <v>2.7716271943185289</v>
      </c>
      <c r="M482" s="23">
        <f t="shared" si="3004"/>
        <v>9.341371166344814E-2</v>
      </c>
      <c r="N482" s="35">
        <f>N473/N464*400</f>
        <v>2.8415330804654984</v>
      </c>
      <c r="O482" s="23">
        <f t="shared" si="3004"/>
        <v>-2.2318612596572418E-2</v>
      </c>
      <c r="P482" s="35">
        <f>P473/P464*400</f>
        <v>2.8758992929736231</v>
      </c>
      <c r="Q482" s="23">
        <f t="shared" si="3004"/>
        <v>-1.0741355350288528</v>
      </c>
      <c r="R482" s="35">
        <f>R473/R464*400</f>
        <v>2.8199897430052996</v>
      </c>
      <c r="S482" s="23">
        <f t="shared" si="3004"/>
        <v>-0.28330420231023057</v>
      </c>
      <c r="T482" s="35">
        <f>T473/T464*400</f>
        <v>2.9185754312281658</v>
      </c>
      <c r="U482" s="23">
        <f t="shared" si="3004"/>
        <v>5.3018759958360029</v>
      </c>
      <c r="V482" s="35">
        <f>V473/V464*400</f>
        <v>2.9644750541656899</v>
      </c>
      <c r="W482" s="23">
        <f t="shared" si="3004"/>
        <v>4.3266071595426059</v>
      </c>
      <c r="X482" s="35">
        <f>X473/X464*400</f>
        <v>2.9452133071625362</v>
      </c>
      <c r="Y482" s="23">
        <f t="shared" si="3004"/>
        <v>2.4101683378920935</v>
      </c>
      <c r="Z482" s="35">
        <f>Z473/Z464*400</f>
        <v>2.793004264885774</v>
      </c>
      <c r="AA482" s="23">
        <f>IF(ISERROR((Z482/R482-1)*100),"NA",IF(((Z482/R482-1)*100)&gt;100,"NM",IF(((Z482/R482-1)*100)&lt;-50,"NM",(Z482/R482-1)*100)))</f>
        <v>-0.95693532880608556</v>
      </c>
      <c r="AB482" s="35">
        <f>AB473/AB464*400</f>
        <v>2.79368898757525</v>
      </c>
      <c r="AC482" s="23">
        <f>IF(ISERROR((AB482/T482-1)*100),"NA",IF(((AB482/T482-1)*100)&gt;100,"NM",IF(((AB482/T482-1)*100)&lt;-50,"NM",(AB482/T482-1)*100)))</f>
        <v>-4.2790205905475664</v>
      </c>
      <c r="AD482" s="35">
        <f>AD473/AD464*400</f>
        <v>2.8441454184028441</v>
      </c>
      <c r="AE482" s="23">
        <f>IF(ISERROR((AD482/V482-1)*100),"NA",IF(((AD482/V482-1)*100)&gt;100,"NM",IF(((AD482/V482-1)*100)&lt;-50,"NM",(AD482/V482-1)*100)))</f>
        <v>-4.0590537469275763</v>
      </c>
      <c r="AF482" s="35">
        <f>AF473/AF464*400</f>
        <v>2.7928505239476098</v>
      </c>
      <c r="AG482" s="23">
        <f>IF(ISERROR((AF482/X482-1)*100),"NA",IF(((AF482/X482-1)*100)&gt;100,"NM",IF(((AF482/X482-1)*100)&lt;-50,"NM",(AF482/X482-1)*100)))</f>
        <v>-5.1732342389052661</v>
      </c>
      <c r="AH482" s="35">
        <f>AH473/AH464*400</f>
        <v>2.6734151834665978</v>
      </c>
      <c r="AI482" s="23">
        <f>IF(ISERROR((AH482/Z482-1)*100),"NA",IF(((AH482/Z482-1)*100)&gt;100,"NM",IF(((AH482/Z482-1)*100)&lt;-50,"NM",(AH482/Z482-1)*100)))</f>
        <v>-4.2817364413894721</v>
      </c>
      <c r="AJ482" s="35">
        <f>AJ473/AJ464*400</f>
        <v>2.7553872338613625</v>
      </c>
      <c r="AK482" s="23">
        <f>IF(ISERROR((AJ482/AB482-1)*100),"NA",IF(((AJ482/AB482-1)*100)&gt;100,"NM",IF(((AJ482/AB482-1)*100)&lt;-50,"NM",(AJ482/AB482-1)*100)))</f>
        <v>-1.3710099400553122</v>
      </c>
      <c r="AL482" s="35">
        <f>AL473/AL464*400</f>
        <v>2.7555927556679349</v>
      </c>
      <c r="AM482" s="23">
        <f>IF(ISERROR((AL482/AD482-1)*100),"NA",IF(((AL482/AD482-1)*100)&gt;100,"NM",IF(((AL482/AD482-1)*100)&lt;-50,"NM",(AL482/AD482-1)*100)))</f>
        <v>-3.1135068608635574</v>
      </c>
      <c r="AN482" s="409">
        <f t="shared" ref="AN482:AP482" si="3005">AN473/AN464*400</f>
        <v>2.7527643557650983</v>
      </c>
      <c r="AO482" s="23">
        <f>IF(ISERROR((AN482/AF482-1)*100),"NA",IF(((AN482/AF482-1)*100)&gt;100,"NM",IF(((AN482/AF482-1)*100)&lt;-50,"NM",(AN482/AF482-1)*100)))</f>
        <v>-1.4353137713167263</v>
      </c>
      <c r="AP482" s="409">
        <f t="shared" si="3005"/>
        <v>2.5716200368570945</v>
      </c>
      <c r="AQ482" s="23">
        <f t="shared" ref="AQ482:AQ483" si="3006">IF(ISERROR((AP482/AH482-1)*100),"NA",IF(((AP482/AH482-1)*100)&gt;100,"NM",IF(((AP482/AH482-1)*100)&lt;-50,"NM",(AP482/AH482-1)*100)))</f>
        <v>-3.8076819208270662</v>
      </c>
      <c r="AR482" s="409">
        <f t="shared" ref="AR482:AT482" si="3007">AR473/AR464*400</f>
        <v>2.6399737168413573</v>
      </c>
      <c r="AS482" s="23">
        <f t="shared" ref="AS482:AS483" si="3008">IF(ISERROR((AR482/AJ482-1)*100),"NA",IF(((AR482/AJ482-1)*100)&gt;100,"NM",IF(((AR482/AJ482-1)*100)&lt;-50,"NM",(AR482/AJ482-1)*100)))</f>
        <v>-4.1886496243312532</v>
      </c>
      <c r="AT482" s="409">
        <f t="shared" si="3007"/>
        <v>2.6664201671794738</v>
      </c>
      <c r="AU482" s="23">
        <f t="shared" ref="AU482:AU483" si="3009">IF(ISERROR((AT482/AL482-1)*100),"NA",IF(((AT482/AL482-1)*100)&gt;100,"NM",IF(((AT482/AL482-1)*100)&lt;-50,"NM",(AT482/AL482-1)*100)))</f>
        <v>-3.2360583146781585</v>
      </c>
      <c r="AV482" s="409">
        <f t="shared" ref="AV482:AX482" si="3010">AV473/AV464*400</f>
        <v>2.5824249001459734</v>
      </c>
      <c r="AW482" s="23">
        <f t="shared" ref="AW482:AW483" si="3011">IF(ISERROR((AV482/AN482-1)*100),"NA",IF(((AV482/AN482-1)*100)&gt;100,"NM",IF(((AV482/AN482-1)*100)&lt;-50,"NM",(AV482/AN482-1)*100)))</f>
        <v>-6.1879417779579953</v>
      </c>
      <c r="AX482" s="409">
        <f t="shared" si="3010"/>
        <v>2.5415273110417553</v>
      </c>
      <c r="AY482" s="23">
        <f t="shared" ref="AY482:AY483" si="3012">IF(ISERROR((AX482/AP482-1)*100),"NA",IF(((AX482/AP482-1)*100)&gt;100,"NM",IF(((AX482/AP482-1)*100)&lt;-50,"NM",(AX482/AP482-1)*100)))</f>
        <v>-1.1701855400114591</v>
      </c>
      <c r="AZ482" s="409">
        <f t="shared" ref="AZ482" si="3013">AZ473/AZ464*400</f>
        <v>2.2755660162884306</v>
      </c>
      <c r="BA482" s="23">
        <f t="shared" ref="BA482:BA483" si="3014">IF(ISERROR((AZ482/AR482-1)*100),"NA",IF(((AZ482/AR482-1)*100)&gt;100,"NM",IF(((AZ482/AR482-1)*100)&lt;-50,"NM",(AZ482/AR482-1)*100)))</f>
        <v>-13.803459414320562</v>
      </c>
      <c r="BB482" s="409">
        <f t="shared" ref="BB482:BD482" si="3015">BB473/BB464*400</f>
        <v>2.1967766444559493</v>
      </c>
      <c r="BC482" s="23">
        <f t="shared" ref="BC482:BC483" si="3016">IF(ISERROR((BB482/AT482-1)*100),"NA",IF(((BB482/AT482-1)*100)&gt;100,"NM",IF(((BB482/AT482-1)*100)&lt;-50,"NM",(BB482/AT482-1)*100)))</f>
        <v>-17.613260224487092</v>
      </c>
      <c r="BD482" s="409">
        <f t="shared" si="3015"/>
        <v>0</v>
      </c>
      <c r="BE482" s="23" t="str">
        <f t="shared" ref="BE482:BE483" si="3017">IF(ISERROR((BD482/AV482-1)*100),"NA",IF(((BD482/AV482-1)*100)&gt;100,"NM",IF(((BD482/AV482-1)*100)&lt;-50,"NM",(BD482/AV482-1)*100)))</f>
        <v>NM</v>
      </c>
      <c r="BF482" s="114">
        <v>2.5</v>
      </c>
      <c r="BG482" s="23">
        <f t="shared" ref="BG482:BG483" si="3018">IF(ISERROR((BF482/AX482-1)*100),"NA",IF(((BF482/AX482-1)*100)&gt;100,"NM",IF(((BF482/AX482-1)*100)&lt;-50,"NM",(BF482/AX482-1)*100)))</f>
        <v>-1.6339510050251471</v>
      </c>
      <c r="BH482" s="114">
        <v>2.4</v>
      </c>
      <c r="BI482" s="23">
        <f t="shared" ref="BI482:BI483" si="3019">IF(ISERROR((BH482/AZ482-1)*100),"NA",IF(((BH482/AZ482-1)*100)&gt;100,"NM",IF(((BH482/AZ482-1)*100)&lt;-50,"NM",(BH482/AZ482-1)*100)))</f>
        <v>5.468265162200292</v>
      </c>
      <c r="BJ482" s="114"/>
      <c r="BK482" s="23"/>
      <c r="BL482" s="114"/>
      <c r="BM482" s="23" t="str">
        <f t="shared" ref="BM482:BM483" si="3020">IF(ISERROR((BL482/BD482-1)*100),"NA",IF(((BL482/BD482-1)*100)&gt;100,"NM",IF(((BL482/BD482-1)*100)&lt;-50,"NM",(BL482/BD482-1)*100)))</f>
        <v>NA</v>
      </c>
      <c r="BN482" s="35"/>
      <c r="BO482" s="138"/>
      <c r="BP482" s="35"/>
      <c r="BQ482" s="35" t="e">
        <f>BQ473/BQ464*100</f>
        <v>#DIV/0!</v>
      </c>
      <c r="BR482" s="35"/>
      <c r="BS482" s="35">
        <f>BS473/BS464*100</f>
        <v>2.7175641899568284</v>
      </c>
      <c r="BT482" s="35"/>
      <c r="BU482" s="35">
        <f>BU473/BU464*100</f>
        <v>2.8264191959039326</v>
      </c>
      <c r="BV482" s="23">
        <f>IF(ISERROR((BU482/BS482-1)*100),"NA",IF(((BU482/BS482-1)*100)&gt;100,"NM",IF(((BU482/BS482-1)*100)&lt;-50,"NM",(BU482/BS482-1)*100)))</f>
        <v>4.0056093743578991</v>
      </c>
      <c r="BW482" s="35">
        <f>BW473/BW464*100</f>
        <v>2.8794125150418379</v>
      </c>
      <c r="BX482" s="23">
        <f>IF(ISERROR((BW482/BU482-1)*100),"NA",IF(((BW482/BU482-1)*100)&gt;100,"NM",IF(((BW482/BU482-1)*100)&lt;-50,"NM",(BW482/BU482-1)*100)))</f>
        <v>1.8749277960857125</v>
      </c>
      <c r="BY482" s="37">
        <f>BY473/BY464*100</f>
        <v>2.8956977369416879</v>
      </c>
      <c r="BZ482" s="23">
        <f>IF(ISERROR((BY482/BW482-1)*100),"NA",IF(((BY482/BW482-1)*100)&gt;100,"NM",IF(((BY482/BW482-1)*100)&lt;-50,"NM",(BY482/BW482-1)*100)))</f>
        <v>0.56557446405394174</v>
      </c>
      <c r="CA482" s="37">
        <f>CA473/CA464*100</f>
        <v>2.8155549457223441</v>
      </c>
      <c r="CB482" s="23">
        <f>IF(ISERROR((CA482/BY482-1)*100),"NA",IF(((CA482/BY482-1)*100)&gt;100,"NM",IF(((CA482/BY482-1)*100)&lt;-50,"NM",(CA482/BY482-1)*100)))</f>
        <v>-2.7676504421344506</v>
      </c>
      <c r="CC482" s="37">
        <f>CC473/CC464*100</f>
        <v>2.7353667783675366</v>
      </c>
      <c r="CD482" s="23">
        <f>IF(ISERROR((CC482/CA482-1)*100),"NA",IF(((CC482/CA482-1)*100)&gt;100,"NM",IF(((CC482/CA482-1)*100)&lt;-50,"NM",(CC482/CA482-1)*100)))</f>
        <v>-2.8480412885082185</v>
      </c>
      <c r="CE482" s="37">
        <f>CE473/CE464*100</f>
        <v>2.6001806154293807</v>
      </c>
      <c r="CF482" s="23">
        <f>IF(ISERROR((CE482/CC482-1)*100),"NA",IF(((CE482/CC482-1)*100)&gt;100,"NM",IF(((CE482/CC482-1)*100)&lt;-50,"NM",(CE482/CC482-1)*100)))</f>
        <v>-4.9421585436829396</v>
      </c>
      <c r="CG482" s="37">
        <f>CG473/CG464*100</f>
        <v>3.4745607783185717</v>
      </c>
      <c r="CH482" s="23">
        <f>IF(ISERROR((CG482/CE482-1)*100),"NA",IF(((CG482/CE482-1)*100)&gt;100,"NM",IF(((CG482/CE482-1)*100)&lt;-50,"NM",(CG482/CE482-1)*100)))</f>
        <v>33.627670235700144</v>
      </c>
      <c r="CI482" s="37" t="e">
        <f>CI473/CI464*100</f>
        <v>#DIV/0!</v>
      </c>
      <c r="CJ482" s="23" t="str">
        <f>IF(ISERROR((CI482/CG482-1)*100),"NA",IF(((CI482/CG482-1)*100)&gt;100,"NM",IF(((CI482/CG482-1)*100)&lt;-50,"NM",(CI482/CG482-1)*100)))</f>
        <v>NA</v>
      </c>
      <c r="CK482" s="114"/>
      <c r="CL482" s="23"/>
      <c r="CM482" s="114"/>
      <c r="CN482" s="23"/>
      <c r="CO482" s="114"/>
      <c r="CP482" s="23"/>
      <c r="CQ482" s="114"/>
      <c r="CR482" s="23" t="str">
        <f>IF(ISERROR((CQ482/CO482-1)*100),"NA",IF(((CQ482/CO482-1)*100)&gt;100,"NM",IF(((CQ482/CO482-1)*100)&lt;-50,"NM",(CQ482/CO482-1)*100)))</f>
        <v>NA</v>
      </c>
      <c r="CS482" s="23" t="str">
        <f>IF(ISERROR(((CQ482/CG482)^0.2-1)*100),"NA",IF((((CQ482/CG482)^0.2-1)*100)&gt;100,"NM",IF((((CQ482/CG482)^0.2-1)*100)&lt;-50,"NM",((CQ482/CG482)^0.2-1)*100)))</f>
        <v>NM</v>
      </c>
    </row>
    <row r="483" spans="1:97" ht="12.75" hidden="1" customHeight="1" outlineLevel="1" x14ac:dyDescent="0.2">
      <c r="A483" s="34" t="s">
        <v>263</v>
      </c>
      <c r="B483" s="35">
        <f>B474/B464*400</f>
        <v>-2.4335319498664476</v>
      </c>
      <c r="C483" s="59"/>
      <c r="D483" s="35">
        <f>D474/D464*400</f>
        <v>0.61515760815915133</v>
      </c>
      <c r="E483" s="59"/>
      <c r="F483" s="35">
        <f>F474/F464*400</f>
        <v>11.146073922593693</v>
      </c>
      <c r="G483" s="59"/>
      <c r="H483" s="35">
        <f>H474/H464*400</f>
        <v>-15.516807719118377</v>
      </c>
      <c r="I483" s="59"/>
      <c r="J483" s="35">
        <f>J474/J464*400</f>
        <v>-11.969108890136971</v>
      </c>
      <c r="K483" s="23" t="str">
        <f t="shared" si="3004"/>
        <v>NM</v>
      </c>
      <c r="L483" s="35">
        <f>L474/L464*400</f>
        <v>4.3720418472058684</v>
      </c>
      <c r="M483" s="23" t="str">
        <f t="shared" si="3004"/>
        <v>NM</v>
      </c>
      <c r="N483" s="35">
        <f>N474/N464*400</f>
        <v>-2.6117371281966095</v>
      </c>
      <c r="O483" s="23" t="str">
        <f t="shared" si="3004"/>
        <v>NM</v>
      </c>
      <c r="P483" s="35">
        <f>P474/P464*400</f>
        <v>-2.4567845350330764</v>
      </c>
      <c r="Q483" s="23" t="str">
        <f t="shared" si="3004"/>
        <v>NM</v>
      </c>
      <c r="R483" s="35">
        <f>R474/R464*400</f>
        <v>-7.0786939426747963</v>
      </c>
      <c r="S483" s="23">
        <f t="shared" si="3004"/>
        <v>-40.858638620056951</v>
      </c>
      <c r="T483" s="35">
        <f>T474/T464*400</f>
        <v>-3.7167016093345273</v>
      </c>
      <c r="U483" s="23" t="str">
        <f t="shared" si="3004"/>
        <v>NM</v>
      </c>
      <c r="V483" s="35">
        <f>V474/V464*400</f>
        <v>-4.219341992249352</v>
      </c>
      <c r="W483" s="23">
        <f t="shared" si="3004"/>
        <v>61.553088429032869</v>
      </c>
      <c r="X483" s="35">
        <f>X474/X464*400</f>
        <v>-4.9779253244627792</v>
      </c>
      <c r="Y483" s="23" t="str">
        <f t="shared" si="3004"/>
        <v>NM</v>
      </c>
      <c r="Z483" s="35">
        <f>Z474/Z464*400</f>
        <v>-1.0676540924168789</v>
      </c>
      <c r="AA483" s="23" t="str">
        <f>IF(ISERROR((Z483/R483-1)*100),"NA",IF(((Z483/R483-1)*100)&gt;100,"NM",IF(((Z483/R483-1)*100)&lt;-50,"NM",(Z483/R483-1)*100)))</f>
        <v>NM</v>
      </c>
      <c r="AB483" s="35">
        <f>AB474/AB464*400</f>
        <v>-2.9847709449268183</v>
      </c>
      <c r="AC483" s="23">
        <f>IF(ISERROR((AB483/T483-1)*100),"NA",IF(((AB483/T483-1)*100)&gt;100,"NM",IF(((AB483/T483-1)*100)&lt;-50,"NM",(AB483/T483-1)*100)))</f>
        <v>-19.693016586789181</v>
      </c>
      <c r="AD483" s="35">
        <f>AD474/AD464*400</f>
        <v>2.0427116524961599</v>
      </c>
      <c r="AE483" s="23" t="str">
        <f>IF(ISERROR((AD483/V483-1)*100),"NA",IF(((AD483/V483-1)*100)&gt;100,"NM",IF(((AD483/V483-1)*100)&lt;-50,"NM",(AD483/V483-1)*100)))</f>
        <v>NM</v>
      </c>
      <c r="AF483" s="35">
        <f>AF474/AF464*400</f>
        <v>-4.2625777392571154</v>
      </c>
      <c r="AG483" s="23">
        <f>IF(ISERROR((AF483/X483-1)*100),"NA",IF(((AF483/X483-1)*100)&gt;100,"NM",IF(((AF483/X483-1)*100)&lt;-50,"NM",(AF483/X483-1)*100)))</f>
        <v>-14.370396070231617</v>
      </c>
      <c r="AH483" s="35">
        <f>AH474/AH464*400</f>
        <v>-1.5427833454588491</v>
      </c>
      <c r="AI483" s="23">
        <f>IF(ISERROR((AH483/Z483-1)*100),"NA",IF(((AH483/Z483-1)*100)&gt;100,"NM",IF(((AH483/Z483-1)*100)&lt;-50,"NM",(AH483/Z483-1)*100)))</f>
        <v>44.502171294675286</v>
      </c>
      <c r="AJ483" s="35">
        <f>AJ474/AJ464*400</f>
        <v>1.376747398787185</v>
      </c>
      <c r="AK483" s="23" t="str">
        <f>IF(ISERROR((AJ483/AB483-1)*100),"NA",IF(((AJ483/AB483-1)*100)&gt;100,"NM",IF(((AJ483/AB483-1)*100)&lt;-50,"NM",(AJ483/AB483-1)*100)))</f>
        <v>NM</v>
      </c>
      <c r="AL483" s="35">
        <f>AL474/AL464*400</f>
        <v>3.711880674513774</v>
      </c>
      <c r="AM483" s="23">
        <f>IF(ISERROR((AL483/AD483-1)*100),"NA",IF(((AL483/AD483-1)*100)&gt;100,"NM",IF(((AL483/AD483-1)*100)&lt;-50,"NM",(AL483/AD483-1)*100)))</f>
        <v>81.713394055294941</v>
      </c>
      <c r="AN483" s="409">
        <f t="shared" ref="AN483:AP483" si="3021">AN474/AN464*400</f>
        <v>-5.6024276839322233</v>
      </c>
      <c r="AO483" s="23">
        <f>IF(ISERROR((AN483/AF483-1)*100),"NA",IF(((AN483/AF483-1)*100)&gt;100,"NM",IF(((AN483/AF483-1)*100)&lt;-50,"NM",(AN483/AF483-1)*100)))</f>
        <v>31.432856516268902</v>
      </c>
      <c r="AP483" s="409">
        <f t="shared" si="3021"/>
        <v>0.32459373429385152</v>
      </c>
      <c r="AQ483" s="23" t="str">
        <f t="shared" si="3006"/>
        <v>NM</v>
      </c>
      <c r="AR483" s="409">
        <f t="shared" ref="AR483:AT483" si="3022">AR474/AR464*400</f>
        <v>-0.57653380247358432</v>
      </c>
      <c r="AS483" s="23" t="str">
        <f t="shared" si="3008"/>
        <v>NM</v>
      </c>
      <c r="AT483" s="409">
        <f t="shared" si="3022"/>
        <v>-2.3220251693583531</v>
      </c>
      <c r="AU483" s="23" t="str">
        <f t="shared" si="3009"/>
        <v>NM</v>
      </c>
      <c r="AV483" s="409">
        <f t="shared" ref="AV483:AX483" si="3023">AV474/AV464*400</f>
        <v>-4.5202984873878664</v>
      </c>
      <c r="AW483" s="23">
        <f t="shared" si="3011"/>
        <v>-19.315362153587568</v>
      </c>
      <c r="AX483" s="409">
        <f t="shared" si="3023"/>
        <v>-4.5392018348379759</v>
      </c>
      <c r="AY483" s="23" t="str">
        <f t="shared" si="3012"/>
        <v>NM</v>
      </c>
      <c r="AZ483" s="409">
        <f t="shared" ref="AZ483" si="3024">AZ474/AZ464*400</f>
        <v>-1.9824277518488305</v>
      </c>
      <c r="BA483" s="23" t="str">
        <f t="shared" si="3014"/>
        <v>NM</v>
      </c>
      <c r="BB483" s="409">
        <f t="shared" ref="BB483:BD483" si="3025">BB474/BB464*400</f>
        <v>-1.1554055416972038</v>
      </c>
      <c r="BC483" s="23" t="str">
        <f t="shared" si="3016"/>
        <v>NM</v>
      </c>
      <c r="BD483" s="409">
        <f t="shared" si="3025"/>
        <v>0</v>
      </c>
      <c r="BE483" s="23" t="str">
        <f t="shared" si="3017"/>
        <v>NM</v>
      </c>
      <c r="BF483" s="114">
        <f>AX483</f>
        <v>-4.5392018348379759</v>
      </c>
      <c r="BG483" s="23">
        <f t="shared" si="3018"/>
        <v>0</v>
      </c>
      <c r="BH483" s="114">
        <f>AZ483</f>
        <v>-1.9824277518488305</v>
      </c>
      <c r="BI483" s="23">
        <f t="shared" si="3019"/>
        <v>0</v>
      </c>
      <c r="BJ483" s="114"/>
      <c r="BK483" s="23"/>
      <c r="BL483" s="114"/>
      <c r="BM483" s="23" t="str">
        <f t="shared" si="3020"/>
        <v>NA</v>
      </c>
      <c r="BN483" s="35"/>
      <c r="BO483" s="138"/>
      <c r="BP483" s="35"/>
      <c r="BQ483" s="35" t="e">
        <f>BQ474/BQ464*100</f>
        <v>#DIV/0!</v>
      </c>
      <c r="BR483" s="35"/>
      <c r="BS483" s="35">
        <f>BS474/BS464*100</f>
        <v>-1.4918385356393631</v>
      </c>
      <c r="BT483" s="35"/>
      <c r="BU483" s="35">
        <f>BU474/BU464*100</f>
        <v>-1.3455670990416395</v>
      </c>
      <c r="BV483" s="23">
        <f>IF(ISERROR((BU483/BS483-1)*100),"NA",IF(((BU483/BS483-1)*100)&gt;100,"NM",IF(((BU483/BS483-1)*100)&lt;-50,"NM",(BU483/BS483-1)*100)))</f>
        <v>-9.8047766633830413</v>
      </c>
      <c r="BW483" s="35">
        <f>BW474/BW464*100</f>
        <v>-3.2216616439840222</v>
      </c>
      <c r="BX483" s="23" t="str">
        <f>IF(ISERROR((BW483/BU483-1)*100),"NA",IF(((BW483/BU483-1)*100)&gt;100,"NM",IF(((BW483/BU483-1)*100)&lt;-50,"NM",(BW483/BU483-1)*100)))</f>
        <v>NM</v>
      </c>
      <c r="BY483" s="37">
        <f>BY474/BY464*100</f>
        <v>-4.9688742302924496</v>
      </c>
      <c r="BZ483" s="23">
        <f>IF(ISERROR((BY483/BW483-1)*100),"NA",IF(((BY483/BW483-1)*100)&gt;100,"NM",IF(((BY483/BW483-1)*100)&lt;-50,"NM",(BY483/BW483-1)*100)))</f>
        <v>54.233273986766719</v>
      </c>
      <c r="CA483" s="37">
        <f>CA474/CA464*100</f>
        <v>-1.5603982310837985</v>
      </c>
      <c r="CB483" s="23" t="str">
        <f>IF(ISERROR((CA483/BY483-1)*100),"NA",IF(((CA483/BY483-1)*100)&gt;100,"NM",IF(((CA483/BY483-1)*100)&lt;-50,"NM",(CA483/BY483-1)*100)))</f>
        <v>NM</v>
      </c>
      <c r="CC483" s="37">
        <f>CC474/CC464*100</f>
        <v>-0.46009343737005609</v>
      </c>
      <c r="CD483" s="23" t="str">
        <f>IF(ISERROR((CC483/CA483-1)*100),"NA",IF(((CC483/CA483-1)*100)&gt;100,"NM",IF(((CC483/CA483-1)*100)&lt;-50,"NM",(CC483/CA483-1)*100)))</f>
        <v>NM</v>
      </c>
      <c r="CE483" s="37">
        <f>CE474/CE464*100</f>
        <v>-1.7608038304102382</v>
      </c>
      <c r="CF483" s="23" t="str">
        <f>IF(ISERROR((CE483/CC483-1)*100),"NA",IF(((CE483/CC483-1)*100)&gt;100,"NM",IF(((CE483/CC483-1)*100)&lt;-50,"NM",(CE483/CC483-1)*100)))</f>
        <v>NM</v>
      </c>
      <c r="CG483" s="37">
        <f>CG474/CG464*100</f>
        <v>-3.8110479056988193</v>
      </c>
      <c r="CH483" s="23" t="str">
        <f>IF(ISERROR((CG483/CE483-1)*100),"NA",IF(((CG483/CE483-1)*100)&gt;100,"NM",IF(((CG483/CE483-1)*100)&lt;-50,"NM",(CG483/CE483-1)*100)))</f>
        <v>NM</v>
      </c>
      <c r="CI483" s="37" t="e">
        <f>CI474/CI464*100</f>
        <v>#DIV/0!</v>
      </c>
      <c r="CJ483" s="23" t="str">
        <f>IF(ISERROR((CI483/CG483-1)*100),"NA",IF(((CI483/CG483-1)*100)&gt;100,"NM",IF(((CI483/CG483-1)*100)&lt;-50,"NM",(CI483/CG483-1)*100)))</f>
        <v>NA</v>
      </c>
      <c r="CK483" s="114"/>
      <c r="CL483" s="23"/>
      <c r="CM483" s="114"/>
      <c r="CN483" s="23"/>
      <c r="CO483" s="114"/>
      <c r="CP483" s="23"/>
      <c r="CQ483" s="114"/>
      <c r="CR483" s="23" t="str">
        <f>IF(ISERROR((CQ483/CO483-1)*100),"NA",IF(((CQ483/CO483-1)*100)&gt;100,"NM",IF(((CQ483/CO483-1)*100)&lt;-50,"NM",(CQ483/CO483-1)*100)))</f>
        <v>NA</v>
      </c>
      <c r="CS483" s="23" t="str">
        <f>IF(ISERROR(((CQ483/CG483)^0.2-1)*100),"NA",IF((((CQ483/CG483)^0.2-1)*100)&gt;100,"NM",IF((((CQ483/CG483)^0.2-1)*100)&lt;-50,"NM",((CQ483/CG483)^0.2-1)*100)))</f>
        <v>NM</v>
      </c>
    </row>
    <row r="484" spans="1:97" ht="12.75" hidden="1" customHeight="1" outlineLevel="1" x14ac:dyDescent="0.2">
      <c r="B484" s="35"/>
      <c r="C484" s="60"/>
      <c r="D484" s="35"/>
      <c r="E484" s="60"/>
      <c r="F484" s="35"/>
      <c r="G484" s="60"/>
      <c r="H484" s="35"/>
      <c r="I484" s="60"/>
      <c r="J484" s="35"/>
      <c r="L484" s="35"/>
      <c r="N484" s="35"/>
      <c r="P484" s="37"/>
      <c r="R484" s="37"/>
      <c r="T484" s="37"/>
      <c r="V484" s="37"/>
      <c r="X484" s="37"/>
      <c r="Z484" s="37"/>
      <c r="AB484" s="37"/>
      <c r="AD484" s="37"/>
      <c r="AF484" s="37"/>
      <c r="AH484" s="37"/>
      <c r="AJ484" s="37"/>
      <c r="AL484" s="37"/>
      <c r="AN484" s="411"/>
      <c r="AP484" s="411"/>
      <c r="AR484" s="411"/>
      <c r="AT484" s="411"/>
      <c r="AV484" s="411"/>
      <c r="AX484" s="411"/>
      <c r="AZ484" s="411"/>
      <c r="BB484" s="411"/>
      <c r="BD484" s="411"/>
      <c r="BF484" s="37"/>
      <c r="BH484" s="37"/>
      <c r="BJ484" s="37"/>
      <c r="BL484" s="37"/>
      <c r="BN484" s="35"/>
      <c r="BO484" s="138"/>
      <c r="BP484" s="35"/>
      <c r="BQ484" s="35"/>
      <c r="BR484" s="35"/>
      <c r="BS484" s="35"/>
      <c r="BT484" s="35"/>
      <c r="BU484" s="35"/>
      <c r="BW484" s="35"/>
      <c r="BY484" s="37"/>
      <c r="CA484" s="37"/>
      <c r="CC484" s="37"/>
      <c r="CE484" s="37"/>
      <c r="CG484" s="37"/>
      <c r="CI484" s="37"/>
      <c r="CK484" s="37"/>
      <c r="CM484" s="37"/>
      <c r="CO484" s="37"/>
      <c r="CQ484" s="37"/>
    </row>
    <row r="485" spans="1:97" ht="12.75" hidden="1" customHeight="1" outlineLevel="1" x14ac:dyDescent="0.2">
      <c r="A485" s="3" t="s">
        <v>124</v>
      </c>
      <c r="B485" s="35"/>
      <c r="C485" s="63"/>
      <c r="D485" s="35"/>
      <c r="E485" s="63"/>
      <c r="F485" s="35"/>
      <c r="G485" s="63"/>
      <c r="H485" s="35"/>
      <c r="I485" s="63"/>
      <c r="J485" s="35"/>
      <c r="L485" s="35"/>
      <c r="N485" s="35"/>
      <c r="P485" s="35"/>
      <c r="R485" s="35"/>
      <c r="T485" s="35"/>
      <c r="V485" s="35"/>
      <c r="X485" s="35"/>
      <c r="Z485" s="35"/>
      <c r="AB485" s="35"/>
      <c r="AD485" s="35"/>
      <c r="AF485" s="35"/>
      <c r="AH485" s="35"/>
      <c r="AJ485" s="35"/>
      <c r="AL485" s="35"/>
      <c r="AN485" s="409"/>
      <c r="AP485" s="409"/>
      <c r="AR485" s="411"/>
      <c r="AT485" s="411"/>
      <c r="AV485" s="411"/>
      <c r="AX485" s="411"/>
      <c r="AZ485" s="411"/>
      <c r="BB485" s="411"/>
      <c r="BD485" s="411"/>
      <c r="BF485" s="37"/>
      <c r="BH485" s="37"/>
      <c r="BJ485" s="37"/>
      <c r="BL485" s="37"/>
      <c r="BN485" s="37"/>
      <c r="BO485" s="138"/>
      <c r="BP485" s="37"/>
      <c r="BQ485" s="37"/>
      <c r="BR485" s="37"/>
      <c r="BS485" s="37"/>
      <c r="BT485" s="37"/>
      <c r="BU485" s="37"/>
      <c r="BW485" s="35"/>
      <c r="BY485" s="37"/>
      <c r="CA485" s="37"/>
      <c r="CC485" s="37"/>
      <c r="CE485" s="37"/>
      <c r="CG485" s="37"/>
      <c r="CI485" s="37"/>
      <c r="CK485" s="37"/>
      <c r="CM485" s="37"/>
      <c r="CO485" s="37"/>
      <c r="CQ485" s="37"/>
    </row>
    <row r="486" spans="1:97" ht="13.5" hidden="1" customHeight="1" outlineLevel="1" x14ac:dyDescent="0.2">
      <c r="A486" s="4" t="s">
        <v>215</v>
      </c>
      <c r="B486" s="48">
        <v>8.4</v>
      </c>
      <c r="C486" s="44"/>
      <c r="D486" s="48">
        <v>115.6</v>
      </c>
      <c r="E486" s="44"/>
      <c r="F486" s="48">
        <v>623.6</v>
      </c>
      <c r="G486" s="44"/>
      <c r="H486" s="48">
        <v>135.30000000000001</v>
      </c>
      <c r="I486" s="44"/>
      <c r="J486" s="48">
        <v>-196.2</v>
      </c>
      <c r="K486" s="23" t="str">
        <f t="shared" ref="K486:Y489" si="3026">IF(ISERROR((J486/B486-1)*100),"NA",IF(((J486/B486-1)*100)&gt;100,"NM",IF(((J486/B486-1)*100)&lt;-50,"NM",(J486/B486-1)*100)))</f>
        <v>NM</v>
      </c>
      <c r="L486" s="48">
        <v>286.3</v>
      </c>
      <c r="M486" s="23" t="str">
        <f t="shared" si="3026"/>
        <v>NM</v>
      </c>
      <c r="N486" s="48">
        <v>-84.1</v>
      </c>
      <c r="O486" s="23" t="str">
        <f t="shared" si="3026"/>
        <v>NM</v>
      </c>
      <c r="P486" s="48">
        <v>107.6</v>
      </c>
      <c r="Q486" s="23">
        <f t="shared" si="3026"/>
        <v>-20.473022912047313</v>
      </c>
      <c r="R486" s="48">
        <v>-94.1</v>
      </c>
      <c r="S486" s="23" t="str">
        <f t="shared" si="3026"/>
        <v>NM</v>
      </c>
      <c r="T486" s="48">
        <v>144.30000000000001</v>
      </c>
      <c r="U486" s="23">
        <f t="shared" si="3026"/>
        <v>-49.598323436954239</v>
      </c>
      <c r="V486" s="48">
        <v>-37.6</v>
      </c>
      <c r="W486" s="23" t="str">
        <f t="shared" si="3026"/>
        <v>NM</v>
      </c>
      <c r="X486" s="48">
        <v>-64.5</v>
      </c>
      <c r="Y486" s="23" t="str">
        <f t="shared" si="3026"/>
        <v>NM</v>
      </c>
      <c r="Z486" s="48">
        <v>126.5</v>
      </c>
      <c r="AA486" s="23" t="str">
        <f>IF(ISERROR((Z486/R486-1)*100),"NA",IF(((Z486/R486-1)*100)&gt;100,"NM",IF(((Z486/R486-1)*100)&lt;-50,"NM",(Z486/R486-1)*100)))</f>
        <v>NM</v>
      </c>
      <c r="AB486" s="48">
        <v>62.8</v>
      </c>
      <c r="AC486" s="23" t="str">
        <f>IF(ISERROR((AB486/T486-1)*100),"NA",IF(((AB486/T486-1)*100)&gt;100,"NM",IF(((AB486/T486-1)*100)&lt;-50,"NM",(AB486/T486-1)*100)))</f>
        <v>NM</v>
      </c>
      <c r="AD486" s="49">
        <v>429.3</v>
      </c>
      <c r="AE486" s="23" t="str">
        <f>IF(ISERROR((AD486/V486-1)*100),"NA",IF(((AD486/V486-1)*100)&gt;100,"NM",IF(((AD486/V486-1)*100)&lt;-50,"NM",(AD486/V486-1)*100)))</f>
        <v>NM</v>
      </c>
      <c r="AF486" s="48">
        <v>376.2</v>
      </c>
      <c r="AG486" s="23" t="str">
        <f>IF(ISERROR((AF486/X486-1)*100),"NA",IF(((AF486/X486-1)*100)&gt;100,"NM",IF(((AF486/X486-1)*100)&lt;-50,"NM",(AF486/X486-1)*100)))</f>
        <v>NM</v>
      </c>
      <c r="AH486" s="48">
        <v>168.5</v>
      </c>
      <c r="AI486" s="23">
        <f>IF(ISERROR((AH486/Z486-1)*100),"NA",IF(((AH486/Z486-1)*100)&gt;100,"NM",IF(((AH486/Z486-1)*100)&lt;-50,"NM",(AH486/Z486-1)*100)))</f>
        <v>33.201581027667991</v>
      </c>
      <c r="AJ486" s="48">
        <v>351.8</v>
      </c>
      <c r="AK486" s="23" t="str">
        <f>IF(ISERROR((AJ486/AB486-1)*100),"NA",IF(((AJ486/AB486-1)*100)&gt;100,"NM",IF(((AJ486/AB486-1)*100)&lt;-50,"NM",(AJ486/AB486-1)*100)))</f>
        <v>NM</v>
      </c>
      <c r="AL486" s="48">
        <v>682.9</v>
      </c>
      <c r="AM486" s="23">
        <f>IF(ISERROR((AL486/AD486-1)*100),"NA",IF(((AL486/AD486-1)*100)&gt;100,"NM",IF(((AL486/AD486-1)*100)&lt;-50,"NM",(AL486/AD486-1)*100)))</f>
        <v>59.072909387374793</v>
      </c>
      <c r="AN486" s="287">
        <v>72.7</v>
      </c>
      <c r="AO486" s="23" t="str">
        <f>IF(ISERROR((AN486/AF486-1)*100),"NA",IF(((AN486/AF486-1)*100)&gt;100,"NM",IF(((AN486/AF486-1)*100)&lt;-50,"NM",(AN486/AF486-1)*100)))</f>
        <v>NM</v>
      </c>
      <c r="AP486" s="287">
        <v>296.8</v>
      </c>
      <c r="AQ486" s="23">
        <f t="shared" ref="AQ486:AQ489" si="3027">IF(ISERROR((AP486/AH486-1)*100),"NA",IF(((AP486/AH486-1)*100)&gt;100,"NM",IF(((AP486/AH486-1)*100)&lt;-50,"NM",(AP486/AH486-1)*100)))</f>
        <v>76.142433234421375</v>
      </c>
      <c r="AR486" s="287">
        <v>193.7</v>
      </c>
      <c r="AS486" s="23">
        <f t="shared" ref="AS486:AS489" si="3028">IF(ISERROR((AR486/AJ486-1)*100),"NA",IF(((AR486/AJ486-1)*100)&gt;100,"NM",IF(((AR486/AJ486-1)*100)&lt;-50,"NM",(AR486/AJ486-1)*100)))</f>
        <v>-44.94030699260945</v>
      </c>
      <c r="AT486" s="287">
        <v>497.9</v>
      </c>
      <c r="AU486" s="23">
        <f t="shared" ref="AU486:AU489" si="3029">IF(ISERROR((AT486/AL486-1)*100),"NA",IF(((AT486/AL486-1)*100)&gt;100,"NM",IF(((AT486/AL486-1)*100)&lt;-50,"NM",(AT486/AL486-1)*100)))</f>
        <v>-27.090349978034855</v>
      </c>
      <c r="AV486" s="287">
        <v>740.1</v>
      </c>
      <c r="AW486" s="23" t="str">
        <f t="shared" ref="AW486:AW489" si="3030">IF(ISERROR((AV486/AN486-1)*100),"NA",IF(((AV486/AN486-1)*100)&gt;100,"NM",IF(((AV486/AN486-1)*100)&lt;-50,"NM",(AV486/AN486-1)*100)))</f>
        <v>NM</v>
      </c>
      <c r="AX486" s="287">
        <v>237.9</v>
      </c>
      <c r="AY486" s="23">
        <f t="shared" ref="AY486:AY489" si="3031">IF(ISERROR((AX486/AP486-1)*100),"NA",IF(((AX486/AP486-1)*100)&gt;100,"NM",IF(((AX486/AP486-1)*100)&lt;-50,"NM",(AX486/AP486-1)*100)))</f>
        <v>-19.845013477088948</v>
      </c>
      <c r="AZ486" s="287">
        <v>102.2</v>
      </c>
      <c r="BA486" s="23">
        <f t="shared" ref="BA486:BA489" si="3032">IF(ISERROR((AZ486/AR486-1)*100),"NA",IF(((AZ486/AR486-1)*100)&gt;100,"NM",IF(((AZ486/AR486-1)*100)&lt;-50,"NM",(AZ486/AR486-1)*100)))</f>
        <v>-47.237996902426424</v>
      </c>
      <c r="BB486" s="287">
        <v>5.4</v>
      </c>
      <c r="BC486" s="23" t="str">
        <f t="shared" ref="BC486:BC489" si="3033">IF(ISERROR((BB486/AT486-1)*100),"NA",IF(((BB486/AT486-1)*100)&gt;100,"NM",IF(((BB486/AT486-1)*100)&lt;-50,"NM",(BB486/AT486-1)*100)))</f>
        <v>NM</v>
      </c>
      <c r="BD486" s="287"/>
      <c r="BE486" s="23" t="str">
        <f t="shared" ref="BE486:BE489" si="3034">IF(ISERROR((BD486/AV486-1)*100),"NA",IF(((BD486/AV486-1)*100)&gt;100,"NM",IF(((BD486/AV486-1)*100)&lt;-50,"NM",(BD486/AV486-1)*100)))</f>
        <v>NM</v>
      </c>
      <c r="BF486" s="56">
        <f t="shared" ref="BF486" si="3035">(BF466+BF467)*BF492/400</f>
        <v>0</v>
      </c>
      <c r="BG486" s="23" t="str">
        <f t="shared" ref="BG486:BG489" si="3036">IF(ISERROR((BF486/AX486-1)*100),"NA",IF(((BF486/AX486-1)*100)&gt;100,"NM",IF(((BF486/AX486-1)*100)&lt;-50,"NM",(BF486/AX486-1)*100)))</f>
        <v>NM</v>
      </c>
      <c r="BH486" s="56">
        <f t="shared" ref="BH486" si="3037">(BH466+BH467)*BH492/400</f>
        <v>0</v>
      </c>
      <c r="BI486" s="23" t="str">
        <f t="shared" ref="BI486:BI489" si="3038">IF(ISERROR((BH486/AZ486-1)*100),"NA",IF(((BH486/AZ486-1)*100)&gt;100,"NM",IF(((BH486/AZ486-1)*100)&lt;-50,"NM",(BH486/AZ486-1)*100)))</f>
        <v>NM</v>
      </c>
      <c r="BJ486" s="56"/>
      <c r="BK486" s="23"/>
      <c r="BL486" s="56"/>
      <c r="BM486" s="23" t="str">
        <f t="shared" ref="BM486:BM489" si="3039">IF(ISERROR((BL486/BD486-1)*100),"NA",IF(((BL486/BD486-1)*100)&gt;100,"NM",IF(((BL486/BD486-1)*100)&lt;-50,"NM",(BL486/BD486-1)*100)))</f>
        <v>NA</v>
      </c>
      <c r="BN486" s="37"/>
      <c r="BO486" s="137"/>
      <c r="BP486" s="37"/>
      <c r="BQ486" s="37">
        <v>476.8</v>
      </c>
      <c r="BR486" s="37"/>
      <c r="BS486" s="37">
        <v>240.2</v>
      </c>
      <c r="BT486" s="37"/>
      <c r="BU486" s="56">
        <f>B486+D486+F486+H486</f>
        <v>882.90000000000009</v>
      </c>
      <c r="BV486" s="23" t="str">
        <f>IF(ISERROR((BU486/BS486-1)*100),"NA",IF(((BU486/BS486-1)*100)&gt;100,"NM",IF(((BU486/BS486-1)*100)&lt;-50,"NM",(BU486/BS486-1)*100)))</f>
        <v>NM</v>
      </c>
      <c r="BW486" s="56">
        <f>J486+L486+N486+P486</f>
        <v>113.60000000000002</v>
      </c>
      <c r="BX486" s="23" t="str">
        <f>IF(ISERROR((BW486/BU486-1)*100),"NA",IF(((BW486/BU486-1)*100)&gt;100,"NM",IF(((BW486/BU486-1)*100)&lt;-50,"NM",(BW486/BU486-1)*100)))</f>
        <v>NM</v>
      </c>
      <c r="BY486" s="56">
        <f>R486+T486+V486+X486</f>
        <v>-51.899999999999984</v>
      </c>
      <c r="BZ486" s="23" t="str">
        <f>IF(ISERROR((BY486/BW486-1)*100),"NA",IF(((BY486/BW486-1)*100)&gt;100,"NM",IF(((BY486/BW486-1)*100)&lt;-50,"NM",(BY486/BW486-1)*100)))</f>
        <v>NM</v>
      </c>
      <c r="CA486" s="56">
        <f>Z486+AB486+AD486+AF486</f>
        <v>994.8</v>
      </c>
      <c r="CB486" s="23" t="str">
        <f>IF(ISERROR((CA486/BY486-1)*100),"NA",IF(((CA486/BY486-1)*100)&gt;100,"NM",IF(((CA486/BY486-1)*100)&lt;-50,"NM",(CA486/BY486-1)*100)))</f>
        <v>NM</v>
      </c>
      <c r="CC486" s="56">
        <f>AH486+AJ486+AL486+AN486</f>
        <v>1275.8999999999999</v>
      </c>
      <c r="CD486" s="23">
        <f>IF(ISERROR((CC486/CA486-1)*100),"NA",IF(((CC486/CA486-1)*100)&gt;100,"NM",IF(((CC486/CA486-1)*100)&lt;-50,"NM",(CC486/CA486-1)*100)))</f>
        <v>28.256936067551266</v>
      </c>
      <c r="CE486" s="56">
        <f>AP486+AR486+AT486+AV486</f>
        <v>1728.5</v>
      </c>
      <c r="CF486" s="23">
        <f>IF(ISERROR((CE486/CC486-1)*100),"NA",IF(((CE486/CC486-1)*100)&gt;100,"NM",IF(((CE486/CC486-1)*100)&lt;-50,"NM",(CE486/CC486-1)*100)))</f>
        <v>35.472999451367684</v>
      </c>
      <c r="CG486" s="56">
        <f>AX486+AZ486+BB486+BD486</f>
        <v>345.5</v>
      </c>
      <c r="CH486" s="23" t="str">
        <f>IF(ISERROR((CG486/CE486-1)*100),"NA",IF(((CG486/CE486-1)*100)&gt;100,"NM",IF(((CG486/CE486-1)*100)&lt;-50,"NM",(CG486/CE486-1)*100)))</f>
        <v>NM</v>
      </c>
      <c r="CI486" s="56">
        <f>BF486+BH486+BJ486+BL486</f>
        <v>0</v>
      </c>
      <c r="CJ486" s="23" t="str">
        <f>IF(ISERROR((CI486/CG486-1)*100),"NA",IF(((CI486/CG486-1)*100)&gt;100,"NM",IF(((CI486/CG486-1)*100)&lt;-50,"NM",(CI486/CG486-1)*100)))</f>
        <v>NM</v>
      </c>
      <c r="CK486" s="56"/>
      <c r="CL486" s="23"/>
      <c r="CM486" s="56"/>
      <c r="CN486" s="23"/>
      <c r="CO486" s="56"/>
      <c r="CP486" s="23"/>
      <c r="CQ486" s="56"/>
      <c r="CR486" s="23" t="str">
        <f>IF(ISERROR((CQ486/CO486-1)*100),"NA",IF(((CQ486/CO486-1)*100)&gt;100,"NM",IF(((CQ486/CO486-1)*100)&lt;-50,"NM",(CQ486/CO486-1)*100)))</f>
        <v>NA</v>
      </c>
      <c r="CS486" s="23" t="str">
        <f>IF(ISERROR(((CQ486/CG486)^0.2-1)*100),"NA",IF((((CQ486/CG486)^0.2-1)*100)&gt;100,"NM",IF((((CQ486/CG486)^0.2-1)*100)&lt;-50,"NM",((CQ486/CG486)^0.2-1)*100)))</f>
        <v>NM</v>
      </c>
    </row>
    <row r="487" spans="1:97" ht="12.75" hidden="1" customHeight="1" outlineLevel="1" x14ac:dyDescent="0.2">
      <c r="A487" s="4" t="s">
        <v>219</v>
      </c>
      <c r="B487" s="48">
        <v>107.5</v>
      </c>
      <c r="C487" s="44"/>
      <c r="D487" s="48">
        <v>109.1</v>
      </c>
      <c r="E487" s="44"/>
      <c r="F487" s="48">
        <v>104.1</v>
      </c>
      <c r="G487" s="44"/>
      <c r="H487" s="48">
        <v>100.5</v>
      </c>
      <c r="I487" s="44"/>
      <c r="J487" s="48">
        <v>110.2</v>
      </c>
      <c r="K487" s="23">
        <f t="shared" si="3026"/>
        <v>2.5116279069767433</v>
      </c>
      <c r="L487" s="48">
        <v>113.6</v>
      </c>
      <c r="M487" s="23">
        <f t="shared" si="3026"/>
        <v>4.124656278643446</v>
      </c>
      <c r="N487" s="48">
        <v>113.3</v>
      </c>
      <c r="O487" s="23">
        <f t="shared" si="3026"/>
        <v>8.8376560999039455</v>
      </c>
      <c r="P487" s="48">
        <v>113.3</v>
      </c>
      <c r="Q487" s="23">
        <f t="shared" si="3026"/>
        <v>12.736318407960191</v>
      </c>
      <c r="R487" s="48">
        <v>112.2</v>
      </c>
      <c r="S487" s="23">
        <f t="shared" si="3026"/>
        <v>1.8148820326678861</v>
      </c>
      <c r="T487" s="48">
        <v>116.5</v>
      </c>
      <c r="U487" s="23">
        <f t="shared" si="3026"/>
        <v>2.5528169014084501</v>
      </c>
      <c r="V487" s="48">
        <v>119.2</v>
      </c>
      <c r="W487" s="23">
        <f t="shared" si="3026"/>
        <v>5.2074139452780388</v>
      </c>
      <c r="X487" s="48">
        <v>119.6</v>
      </c>
      <c r="Y487" s="23">
        <f t="shared" si="3026"/>
        <v>5.5604589585172004</v>
      </c>
      <c r="Z487" s="48">
        <v>122.1</v>
      </c>
      <c r="AA487" s="23">
        <f>IF(ISERROR((Z487/R487-1)*100),"NA",IF(((Z487/R487-1)*100)&gt;100,"NM",IF(((Z487/R487-1)*100)&lt;-50,"NM",(Z487/R487-1)*100)))</f>
        <v>8.8235294117646959</v>
      </c>
      <c r="AB487" s="48">
        <v>118.6</v>
      </c>
      <c r="AC487" s="23">
        <f>IF(ISERROR((AB487/T487-1)*100),"NA",IF(((AB487/T487-1)*100)&gt;100,"NM",IF(((AB487/T487-1)*100)&lt;-50,"NM",(AB487/T487-1)*100)))</f>
        <v>1.8025751072961338</v>
      </c>
      <c r="AD487" s="48">
        <v>116.9</v>
      </c>
      <c r="AE487" s="23">
        <f>IF(ISERROR((AD487/V487-1)*100),"NA",IF(((AD487/V487-1)*100)&gt;100,"NM",IF(((AD487/V487-1)*100)&lt;-50,"NM",(AD487/V487-1)*100)))</f>
        <v>-1.9295302013422777</v>
      </c>
      <c r="AF487" s="48">
        <v>116</v>
      </c>
      <c r="AG487" s="23">
        <f>IF(ISERROR((AF487/X487-1)*100),"NA",IF(((AF487/X487-1)*100)&gt;100,"NM",IF(((AF487/X487-1)*100)&lt;-50,"NM",(AF487/X487-1)*100)))</f>
        <v>-3.0100334448160515</v>
      </c>
      <c r="AH487" s="48">
        <v>112.1</v>
      </c>
      <c r="AI487" s="23">
        <f>IF(ISERROR((AH487/Z487-1)*100),"NA",IF(((AH487/Z487-1)*100)&gt;100,"NM",IF(((AH487/Z487-1)*100)&lt;-50,"NM",(AH487/Z487-1)*100)))</f>
        <v>-8.1900081900081911</v>
      </c>
      <c r="AJ487" s="48">
        <v>110.5</v>
      </c>
      <c r="AK487" s="23">
        <f>IF(ISERROR((AJ487/AB487-1)*100),"NA",IF(((AJ487/AB487-1)*100)&gt;100,"NM",IF(((AJ487/AB487-1)*100)&lt;-50,"NM",(AJ487/AB487-1)*100)))</f>
        <v>-6.8296795952782379</v>
      </c>
      <c r="AL487" s="48">
        <v>104.1</v>
      </c>
      <c r="AM487" s="23">
        <f>IF(ISERROR((AL487/AD487-1)*100),"NA",IF(((AL487/AD487-1)*100)&gt;100,"NM",IF(((AL487/AD487-1)*100)&lt;-50,"NM",(AL487/AD487-1)*100)))</f>
        <v>-10.949529512403778</v>
      </c>
      <c r="AN487" s="287">
        <v>104.8</v>
      </c>
      <c r="AO487" s="23">
        <f>IF(ISERROR((AN487/AF487-1)*100),"NA",IF(((AN487/AF487-1)*100)&gt;100,"NM",IF(((AN487/AF487-1)*100)&lt;-50,"NM",(AN487/AF487-1)*100)))</f>
        <v>-9.6551724137930997</v>
      </c>
      <c r="AP487" s="287">
        <v>98.6</v>
      </c>
      <c r="AQ487" s="23">
        <f t="shared" si="3027"/>
        <v>-12.042818911685993</v>
      </c>
      <c r="AR487" s="287">
        <v>98.4</v>
      </c>
      <c r="AS487" s="23">
        <f t="shared" si="3028"/>
        <v>-10.950226244343886</v>
      </c>
      <c r="AT487" s="287">
        <v>98</v>
      </c>
      <c r="AU487" s="23">
        <f t="shared" si="3029"/>
        <v>-5.8597502401536943</v>
      </c>
      <c r="AV487" s="287">
        <v>97.6</v>
      </c>
      <c r="AW487" s="23">
        <f t="shared" si="3030"/>
        <v>-6.8702290076335881</v>
      </c>
      <c r="AX487" s="287">
        <v>95.1</v>
      </c>
      <c r="AY487" s="23">
        <f t="shared" si="3031"/>
        <v>-3.5496957403651108</v>
      </c>
      <c r="AZ487" s="287">
        <v>71.5</v>
      </c>
      <c r="BA487" s="23">
        <f t="shared" si="3032"/>
        <v>-27.337398373983746</v>
      </c>
      <c r="BB487" s="287">
        <v>63.6</v>
      </c>
      <c r="BC487" s="23">
        <f t="shared" si="3033"/>
        <v>-35.102040816326529</v>
      </c>
      <c r="BD487" s="287"/>
      <c r="BE487" s="23" t="str">
        <f t="shared" si="3034"/>
        <v>NM</v>
      </c>
      <c r="BF487" s="56">
        <f t="shared" ref="BF487" si="3040">BF473*BF493/100</f>
        <v>0</v>
      </c>
      <c r="BG487" s="23" t="str">
        <f t="shared" si="3036"/>
        <v>NM</v>
      </c>
      <c r="BH487" s="56">
        <f t="shared" ref="BH487" si="3041">BH473*BH493/100</f>
        <v>0</v>
      </c>
      <c r="BI487" s="23" t="str">
        <f t="shared" si="3038"/>
        <v>NM</v>
      </c>
      <c r="BJ487" s="56"/>
      <c r="BK487" s="23"/>
      <c r="BL487" s="56"/>
      <c r="BM487" s="23" t="str">
        <f t="shared" si="3039"/>
        <v>NA</v>
      </c>
      <c r="BN487" s="37"/>
      <c r="BO487" s="137"/>
      <c r="BP487" s="37"/>
      <c r="BQ487" s="37">
        <v>415</v>
      </c>
      <c r="BR487" s="37"/>
      <c r="BS487" s="37">
        <v>405.1</v>
      </c>
      <c r="BT487" s="37"/>
      <c r="BU487" s="56">
        <f>B487+D487+F487+H487</f>
        <v>421.2</v>
      </c>
      <c r="BV487" s="23">
        <f>IF(ISERROR((BU487/BS487-1)*100),"NA",IF(((BU487/BS487-1)*100)&gt;100,"NM",IF(((BU487/BS487-1)*100)&lt;-50,"NM",(BU487/BS487-1)*100)))</f>
        <v>3.9743273265860246</v>
      </c>
      <c r="BW487" s="56">
        <f>J487+L487+N487+P487</f>
        <v>450.40000000000003</v>
      </c>
      <c r="BX487" s="23">
        <f>IF(ISERROR((BW487/BU487-1)*100),"NA",IF(((BW487/BU487-1)*100)&gt;100,"NM",IF(((BW487/BU487-1)*100)&lt;-50,"NM",(BW487/BU487-1)*100)))</f>
        <v>6.9325735992402659</v>
      </c>
      <c r="BY487" s="56">
        <f>R487+T487+V487+X487</f>
        <v>467.5</v>
      </c>
      <c r="BZ487" s="23">
        <f>IF(ISERROR((BY487/BW487-1)*100),"NA",IF(((BY487/BW487-1)*100)&gt;100,"NM",IF(((BY487/BW487-1)*100)&lt;-50,"NM",(BY487/BW487-1)*100)))</f>
        <v>3.7966252220248631</v>
      </c>
      <c r="CA487" s="56">
        <f>Z487+AB487+AD487+AF487</f>
        <v>473.6</v>
      </c>
      <c r="CB487" s="23">
        <f>IF(ISERROR((CA487/BY487-1)*100),"NA",IF(((CA487/BY487-1)*100)&gt;100,"NM",IF(((CA487/BY487-1)*100)&lt;-50,"NM",(CA487/BY487-1)*100)))</f>
        <v>1.3048128342246113</v>
      </c>
      <c r="CC487" s="56">
        <f>AH487+AJ487+AL487+AN487</f>
        <v>431.5</v>
      </c>
      <c r="CD487" s="23">
        <f>IF(ISERROR((CC487/CA487-1)*100),"NA",IF(((CC487/CA487-1)*100)&gt;100,"NM",IF(((CC487/CA487-1)*100)&lt;-50,"NM",(CC487/CA487-1)*100)))</f>
        <v>-8.8893581081081141</v>
      </c>
      <c r="CE487" s="56">
        <f>AP487+AR487+AT487+AV487</f>
        <v>392.6</v>
      </c>
      <c r="CF487" s="23">
        <f>IF(ISERROR((CE487/CC487-1)*100),"NA",IF(((CE487/CC487-1)*100)&gt;100,"NM",IF(((CE487/CC487-1)*100)&lt;-50,"NM",(CE487/CC487-1)*100)))</f>
        <v>-9.0150637311703257</v>
      </c>
      <c r="CG487" s="56">
        <f>AX487+AZ487+BB487+BD487</f>
        <v>230.2</v>
      </c>
      <c r="CH487" s="23">
        <f>IF(ISERROR((CG487/CE487-1)*100),"NA",IF(((CG487/CE487-1)*100)&gt;100,"NM",IF(((CG487/CE487-1)*100)&lt;-50,"NM",(CG487/CE487-1)*100)))</f>
        <v>-41.365257259297003</v>
      </c>
      <c r="CI487" s="56">
        <f>BF487+BH487+BJ487+BL487</f>
        <v>0</v>
      </c>
      <c r="CJ487" s="23" t="str">
        <f>IF(ISERROR((CI487/CG487-1)*100),"NA",IF(((CI487/CG487-1)*100)&gt;100,"NM",IF(((CI487/CG487-1)*100)&lt;-50,"NM",(CI487/CG487-1)*100)))</f>
        <v>NM</v>
      </c>
      <c r="CK487" s="56"/>
      <c r="CL487" s="23"/>
      <c r="CM487" s="56"/>
      <c r="CN487" s="23"/>
      <c r="CO487" s="56"/>
      <c r="CP487" s="23"/>
      <c r="CQ487" s="56"/>
      <c r="CR487" s="23" t="str">
        <f>IF(ISERROR((CQ487/CO487-1)*100),"NA",IF(((CQ487/CO487-1)*100)&gt;100,"NM",IF(((CQ487/CO487-1)*100)&lt;-50,"NM",(CQ487/CO487-1)*100)))</f>
        <v>NA</v>
      </c>
      <c r="CS487" s="23" t="str">
        <f>IF(ISERROR(((CQ487/CG487)^0.2-1)*100),"NA",IF((((CQ487/CG487)^0.2-1)*100)&gt;100,"NM",IF((((CQ487/CG487)^0.2-1)*100)&lt;-50,"NM",((CQ487/CG487)^0.2-1)*100)))</f>
        <v>NM</v>
      </c>
    </row>
    <row r="488" spans="1:97" ht="12.75" hidden="1" customHeight="1" outlineLevel="1" x14ac:dyDescent="0.2">
      <c r="A488" s="4" t="s">
        <v>185</v>
      </c>
      <c r="B488" s="48">
        <v>19.399999999999999</v>
      </c>
      <c r="C488" s="44"/>
      <c r="D488" s="48">
        <v>19.5</v>
      </c>
      <c r="E488" s="44"/>
      <c r="F488" s="48">
        <v>21.9</v>
      </c>
      <c r="G488" s="44"/>
      <c r="H488" s="48">
        <v>-5.5</v>
      </c>
      <c r="I488" s="44"/>
      <c r="J488" s="48">
        <v>15</v>
      </c>
      <c r="K488" s="23">
        <f t="shared" si="3026"/>
        <v>-22.680412371134018</v>
      </c>
      <c r="L488" s="48">
        <v>16.3</v>
      </c>
      <c r="M488" s="23">
        <f t="shared" si="3026"/>
        <v>-16.410256410256409</v>
      </c>
      <c r="N488" s="48">
        <v>12.5</v>
      </c>
      <c r="O488" s="23">
        <f t="shared" si="3026"/>
        <v>-42.922374429223744</v>
      </c>
      <c r="P488" s="48">
        <v>14.5</v>
      </c>
      <c r="Q488" s="23" t="str">
        <f t="shared" si="3026"/>
        <v>NM</v>
      </c>
      <c r="R488" s="48">
        <v>15</v>
      </c>
      <c r="S488" s="23">
        <f t="shared" si="3026"/>
        <v>0</v>
      </c>
      <c r="T488" s="48">
        <v>17.3</v>
      </c>
      <c r="U488" s="23">
        <f t="shared" si="3026"/>
        <v>6.1349693251533832</v>
      </c>
      <c r="V488" s="48">
        <v>19.7</v>
      </c>
      <c r="W488" s="23">
        <f t="shared" si="3026"/>
        <v>57.599999999999987</v>
      </c>
      <c r="X488" s="48">
        <v>15.4</v>
      </c>
      <c r="Y488" s="23">
        <f t="shared" si="3026"/>
        <v>6.2068965517241503</v>
      </c>
      <c r="Z488" s="48">
        <v>15.8</v>
      </c>
      <c r="AA488" s="23">
        <f>IF(ISERROR((Z488/R488-1)*100),"NA",IF(((Z488/R488-1)*100)&gt;100,"NM",IF(((Z488/R488-1)*100)&lt;-50,"NM",(Z488/R488-1)*100)))</f>
        <v>5.3333333333333455</v>
      </c>
      <c r="AB488" s="48">
        <v>14.8</v>
      </c>
      <c r="AC488" s="23">
        <f>IF(ISERROR((AB488/T488-1)*100),"NA",IF(((AB488/T488-1)*100)&gt;100,"NM",IF(((AB488/T488-1)*100)&lt;-50,"NM",(AB488/T488-1)*100)))</f>
        <v>-14.450867052023121</v>
      </c>
      <c r="AD488" s="48">
        <v>-16.600000000000001</v>
      </c>
      <c r="AE488" s="23" t="str">
        <f>IF(ISERROR((AD488/V488-1)*100),"NA",IF(((AD488/V488-1)*100)&gt;100,"NM",IF(((AD488/V488-1)*100)&lt;-50,"NM",(AD488/V488-1)*100)))</f>
        <v>NM</v>
      </c>
      <c r="AF488" s="48">
        <v>18.8</v>
      </c>
      <c r="AG488" s="23">
        <f>IF(ISERROR((AF488/X488-1)*100),"NA",IF(((AF488/X488-1)*100)&gt;100,"NM",IF(((AF488/X488-1)*100)&lt;-50,"NM",(AF488/X488-1)*100)))</f>
        <v>22.077922077922075</v>
      </c>
      <c r="AH488" s="48">
        <v>13.2</v>
      </c>
      <c r="AI488" s="23">
        <f>IF(ISERROR((AH488/Z488-1)*100),"NA",IF(((AH488/Z488-1)*100)&gt;100,"NM",IF(((AH488/Z488-1)*100)&lt;-50,"NM",(AH488/Z488-1)*100)))</f>
        <v>-16.455696202531655</v>
      </c>
      <c r="AJ488" s="48">
        <v>15.7</v>
      </c>
      <c r="AK488" s="23">
        <f>IF(ISERROR((AJ488/AB488-1)*100),"NA",IF(((AJ488/AB488-1)*100)&gt;100,"NM",IF(((AJ488/AB488-1)*100)&lt;-50,"NM",(AJ488/AB488-1)*100)))</f>
        <v>6.0810810810810745</v>
      </c>
      <c r="AL488" s="48">
        <v>9.1</v>
      </c>
      <c r="AM488" s="23" t="str">
        <f>IF(ISERROR((AL488/AD488-1)*100),"NA",IF(((AL488/AD488-1)*100)&gt;100,"NM",IF(((AL488/AD488-1)*100)&lt;-50,"NM",(AL488/AD488-1)*100)))</f>
        <v>NM</v>
      </c>
      <c r="AN488" s="287">
        <v>12.4</v>
      </c>
      <c r="AO488" s="23">
        <f>IF(ISERROR((AN488/AF488-1)*100),"NA",IF(((AN488/AF488-1)*100)&gt;100,"NM",IF(((AN488/AF488-1)*100)&lt;-50,"NM",(AN488/AF488-1)*100)))</f>
        <v>-34.042553191489368</v>
      </c>
      <c r="AP488" s="287">
        <v>11.6</v>
      </c>
      <c r="AQ488" s="23">
        <f t="shared" si="3027"/>
        <v>-12.121212121212121</v>
      </c>
      <c r="AR488" s="287">
        <v>13.4</v>
      </c>
      <c r="AS488" s="23">
        <f t="shared" si="3028"/>
        <v>-14.649681528662416</v>
      </c>
      <c r="AT488" s="287">
        <v>3.8</v>
      </c>
      <c r="AU488" s="23" t="str">
        <f t="shared" si="3029"/>
        <v>NM</v>
      </c>
      <c r="AV488" s="287">
        <v>101.3</v>
      </c>
      <c r="AW488" s="23" t="str">
        <f t="shared" si="3030"/>
        <v>NM</v>
      </c>
      <c r="AX488" s="287">
        <v>-2</v>
      </c>
      <c r="AY488" s="23" t="str">
        <f t="shared" si="3031"/>
        <v>NM</v>
      </c>
      <c r="AZ488" s="287">
        <v>8.3000000000000007</v>
      </c>
      <c r="BA488" s="23">
        <f t="shared" si="3032"/>
        <v>-38.059701492537314</v>
      </c>
      <c r="BB488" s="287">
        <v>7.1</v>
      </c>
      <c r="BC488" s="23">
        <f t="shared" si="3033"/>
        <v>86.842105263157904</v>
      </c>
      <c r="BD488" s="287"/>
      <c r="BE488" s="23" t="str">
        <f t="shared" si="3034"/>
        <v>NM</v>
      </c>
      <c r="BF488" s="56">
        <f t="shared" ref="BF488" si="3042">BF473*BF494/100</f>
        <v>0</v>
      </c>
      <c r="BG488" s="23" t="str">
        <f t="shared" si="3036"/>
        <v>NM</v>
      </c>
      <c r="BH488" s="56">
        <f t="shared" ref="BH488" si="3043">BH473*BH494/100</f>
        <v>0</v>
      </c>
      <c r="BI488" s="23" t="str">
        <f t="shared" si="3038"/>
        <v>NM</v>
      </c>
      <c r="BJ488" s="56"/>
      <c r="BK488" s="23"/>
      <c r="BL488" s="56"/>
      <c r="BM488" s="23" t="str">
        <f t="shared" si="3039"/>
        <v>NA</v>
      </c>
      <c r="BN488" s="37"/>
      <c r="BO488" s="137"/>
      <c r="BP488" s="37"/>
      <c r="BQ488" s="37">
        <v>647.70000000000005</v>
      </c>
      <c r="BR488" s="37"/>
      <c r="BS488" s="37">
        <v>252.6</v>
      </c>
      <c r="BT488" s="37"/>
      <c r="BU488" s="56">
        <f>B488+D488+F488+H488</f>
        <v>55.3</v>
      </c>
      <c r="BV488" s="23" t="str">
        <f>IF(ISERROR((BU488/BS488-1)*100),"NA",IF(((BU488/BS488-1)*100)&gt;100,"NM",IF(((BU488/BS488-1)*100)&lt;-50,"NM",(BU488/BS488-1)*100)))</f>
        <v>NM</v>
      </c>
      <c r="BW488" s="56">
        <f>J488+L488+N488+P488</f>
        <v>58.3</v>
      </c>
      <c r="BX488" s="23">
        <f>IF(ISERROR((BW488/BU488-1)*100),"NA",IF(((BW488/BU488-1)*100)&gt;100,"NM",IF(((BW488/BU488-1)*100)&lt;-50,"NM",(BW488/BU488-1)*100)))</f>
        <v>5.4249547920433905</v>
      </c>
      <c r="BY488" s="56">
        <f>R488+T488+V488+X488</f>
        <v>67.400000000000006</v>
      </c>
      <c r="BZ488" s="23">
        <f>IF(ISERROR((BY488/BW488-1)*100),"NA",IF(((BY488/BW488-1)*100)&gt;100,"NM",IF(((BY488/BW488-1)*100)&lt;-50,"NM",(BY488/BW488-1)*100)))</f>
        <v>15.608919382504304</v>
      </c>
      <c r="CA488" s="56">
        <f>Z488+AB488+AD488+AF488</f>
        <v>32.799999999999997</v>
      </c>
      <c r="CB488" s="23" t="str">
        <f>IF(ISERROR((CA488/BY488-1)*100),"NA",IF(((CA488/BY488-1)*100)&gt;100,"NM",IF(((CA488/BY488-1)*100)&lt;-50,"NM",(CA488/BY488-1)*100)))</f>
        <v>NM</v>
      </c>
      <c r="CC488" s="56">
        <f>AH488+AJ488+AL488+AN488</f>
        <v>50.4</v>
      </c>
      <c r="CD488" s="23">
        <f>IF(ISERROR((CC488/CA488-1)*100),"NA",IF(((CC488/CA488-1)*100)&gt;100,"NM",IF(((CC488/CA488-1)*100)&lt;-50,"NM",(CC488/CA488-1)*100)))</f>
        <v>53.658536585365859</v>
      </c>
      <c r="CE488" s="56">
        <f>AP488+AR488+AT488+AV488</f>
        <v>130.1</v>
      </c>
      <c r="CF488" s="23" t="str">
        <f>IF(ISERROR((CE488/CC488-1)*100),"NA",IF(((CE488/CC488-1)*100)&gt;100,"NM",IF(((CE488/CC488-1)*100)&lt;-50,"NM",(CE488/CC488-1)*100)))</f>
        <v>NM</v>
      </c>
      <c r="CG488" s="56">
        <f>AX488+AZ488+BB488+BD488</f>
        <v>13.4</v>
      </c>
      <c r="CH488" s="23" t="str">
        <f>IF(ISERROR((CG488/CE488-1)*100),"NA",IF(((CG488/CE488-1)*100)&gt;100,"NM",IF(((CG488/CE488-1)*100)&lt;-50,"NM",(CG488/CE488-1)*100)))</f>
        <v>NM</v>
      </c>
      <c r="CI488" s="56">
        <f>BF488+BH488+BJ488+BL488</f>
        <v>0</v>
      </c>
      <c r="CJ488" s="23" t="str">
        <f>IF(ISERROR((CI488/CG488-1)*100),"NA",IF(((CI488/CG488-1)*100)&gt;100,"NM",IF(((CI488/CG488-1)*100)&lt;-50,"NM",(CI488/CG488-1)*100)))</f>
        <v>NM</v>
      </c>
      <c r="CK488" s="56"/>
      <c r="CL488" s="23"/>
      <c r="CM488" s="56"/>
      <c r="CN488" s="23"/>
      <c r="CO488" s="56"/>
      <c r="CP488" s="23"/>
      <c r="CQ488" s="56"/>
      <c r="CR488" s="23" t="str">
        <f>IF(ISERROR((CQ488/CO488-1)*100),"NA",IF(((CQ488/CO488-1)*100)&gt;100,"NM",IF(((CQ488/CO488-1)*100)&lt;-50,"NM",(CQ488/CO488-1)*100)))</f>
        <v>NA</v>
      </c>
      <c r="CS488" s="23" t="str">
        <f>IF(ISERROR(((CQ488/CG488)^0.2-1)*100),"NA",IF((((CQ488/CG488)^0.2-1)*100)&gt;100,"NM",IF((((CQ488/CG488)^0.2-1)*100)&lt;-50,"NM",((CQ488/CG488)^0.2-1)*100)))</f>
        <v>NM</v>
      </c>
    </row>
    <row r="489" spans="1:97" ht="12.75" hidden="1" customHeight="1" outlineLevel="1" x14ac:dyDescent="0.2">
      <c r="A489" s="4" t="s">
        <v>11</v>
      </c>
      <c r="B489" s="36">
        <f>SUM(B486:B488)</f>
        <v>135.30000000000001</v>
      </c>
      <c r="C489" s="44"/>
      <c r="D489" s="36">
        <f t="shared" ref="D489:Z489" si="3044">SUM(D486:D488)</f>
        <v>244.2</v>
      </c>
      <c r="E489" s="44"/>
      <c r="F489" s="36">
        <f t="shared" si="3044"/>
        <v>749.6</v>
      </c>
      <c r="G489" s="44"/>
      <c r="H489" s="36">
        <f t="shared" si="3044"/>
        <v>230.3</v>
      </c>
      <c r="I489" s="44"/>
      <c r="J489" s="36">
        <f t="shared" si="3044"/>
        <v>-70.999999999999986</v>
      </c>
      <c r="K489" s="23" t="str">
        <f t="shared" si="3026"/>
        <v>NM</v>
      </c>
      <c r="L489" s="36">
        <f t="shared" si="3044"/>
        <v>416.2</v>
      </c>
      <c r="M489" s="23">
        <f t="shared" si="3026"/>
        <v>70.434070434070435</v>
      </c>
      <c r="N489" s="36">
        <f t="shared" si="3044"/>
        <v>41.7</v>
      </c>
      <c r="O489" s="23" t="str">
        <f t="shared" si="3026"/>
        <v>NM</v>
      </c>
      <c r="P489" s="36">
        <f t="shared" si="3044"/>
        <v>235.39999999999998</v>
      </c>
      <c r="Q489" s="23">
        <f t="shared" si="3026"/>
        <v>2.2145028224055396</v>
      </c>
      <c r="R489" s="36">
        <f t="shared" si="3044"/>
        <v>33.100000000000009</v>
      </c>
      <c r="S489" s="23" t="str">
        <f t="shared" si="3026"/>
        <v>NM</v>
      </c>
      <c r="T489" s="36">
        <f t="shared" si="3044"/>
        <v>278.10000000000002</v>
      </c>
      <c r="U489" s="23">
        <f t="shared" si="3026"/>
        <v>-33.181162902450737</v>
      </c>
      <c r="V489" s="36">
        <f t="shared" si="3044"/>
        <v>101.3</v>
      </c>
      <c r="W489" s="23" t="str">
        <f t="shared" si="3026"/>
        <v>NM</v>
      </c>
      <c r="X489" s="36">
        <f t="shared" si="3044"/>
        <v>70.5</v>
      </c>
      <c r="Y489" s="23" t="str">
        <f t="shared" si="3026"/>
        <v>NM</v>
      </c>
      <c r="Z489" s="36">
        <f t="shared" si="3044"/>
        <v>264.39999999999998</v>
      </c>
      <c r="AA489" s="23" t="str">
        <f>IF(ISERROR((Z489/R489-1)*100),"NA",IF(((Z489/R489-1)*100)&gt;100,"NM",IF(((Z489/R489-1)*100)&lt;-50,"NM",(Z489/R489-1)*100)))</f>
        <v>NM</v>
      </c>
      <c r="AB489" s="36">
        <f t="shared" ref="AB489:AD489" si="3045">SUM(AB486:AB488)</f>
        <v>196.2</v>
      </c>
      <c r="AC489" s="23">
        <f>IF(ISERROR((AB489/T489-1)*100),"NA",IF(((AB489/T489-1)*100)&gt;100,"NM",IF(((AB489/T489-1)*100)&lt;-50,"NM",(AB489/T489-1)*100)))</f>
        <v>-29.449838187702269</v>
      </c>
      <c r="AD489" s="36">
        <f t="shared" si="3045"/>
        <v>529.6</v>
      </c>
      <c r="AE489" s="23" t="str">
        <f>IF(ISERROR((AD489/V489-1)*100),"NA",IF(((AD489/V489-1)*100)&gt;100,"NM",IF(((AD489/V489-1)*100)&lt;-50,"NM",(AD489/V489-1)*100)))</f>
        <v>NM</v>
      </c>
      <c r="AF489" s="36">
        <f t="shared" ref="AF489:AH489" si="3046">SUM(AF486:AF488)</f>
        <v>511</v>
      </c>
      <c r="AG489" s="23" t="str">
        <f>IF(ISERROR((AF489/X489-1)*100),"NA",IF(((AF489/X489-1)*100)&gt;100,"NM",IF(((AF489/X489-1)*100)&lt;-50,"NM",(AF489/X489-1)*100)))</f>
        <v>NM</v>
      </c>
      <c r="AH489" s="36">
        <f t="shared" si="3046"/>
        <v>293.8</v>
      </c>
      <c r="AI489" s="23">
        <f>IF(ISERROR((AH489/Z489-1)*100),"NA",IF(((AH489/Z489-1)*100)&gt;100,"NM",IF(((AH489/Z489-1)*100)&lt;-50,"NM",(AH489/Z489-1)*100)))</f>
        <v>11.119515885022713</v>
      </c>
      <c r="AJ489" s="36">
        <f t="shared" ref="AJ489:AL489" si="3047">SUM(AJ486:AJ488)</f>
        <v>478</v>
      </c>
      <c r="AK489" s="23" t="str">
        <f>IF(ISERROR((AJ489/AB489-1)*100),"NA",IF(((AJ489/AB489-1)*100)&gt;100,"NM",IF(((AJ489/AB489-1)*100)&lt;-50,"NM",(AJ489/AB489-1)*100)))</f>
        <v>NM</v>
      </c>
      <c r="AL489" s="36">
        <f t="shared" si="3047"/>
        <v>796.1</v>
      </c>
      <c r="AM489" s="23">
        <f>IF(ISERROR((AL489/AD489-1)*100),"NA",IF(((AL489/AD489-1)*100)&gt;100,"NM",IF(((AL489/AD489-1)*100)&lt;-50,"NM",(AL489/AD489-1)*100)))</f>
        <v>50.320996978851952</v>
      </c>
      <c r="AN489" s="410">
        <f t="shared" ref="AN489:AP489" si="3048">SUM(AN486:AN488)</f>
        <v>189.9</v>
      </c>
      <c r="AO489" s="23" t="str">
        <f>IF(ISERROR((AN489/AF489-1)*100),"NA",IF(((AN489/AF489-1)*100)&gt;100,"NM",IF(((AN489/AF489-1)*100)&lt;-50,"NM",(AN489/AF489-1)*100)))</f>
        <v>NM</v>
      </c>
      <c r="AP489" s="410">
        <f t="shared" si="3048"/>
        <v>407</v>
      </c>
      <c r="AQ489" s="23">
        <f t="shared" si="3027"/>
        <v>38.529611980939407</v>
      </c>
      <c r="AR489" s="410">
        <f t="shared" ref="AR489:AT489" si="3049">SUM(AR486:AR488)</f>
        <v>305.5</v>
      </c>
      <c r="AS489" s="23">
        <f t="shared" si="3028"/>
        <v>-36.087866108786613</v>
      </c>
      <c r="AT489" s="410">
        <f t="shared" si="3049"/>
        <v>599.69999999999993</v>
      </c>
      <c r="AU489" s="23">
        <f t="shared" si="3029"/>
        <v>-24.670267554327353</v>
      </c>
      <c r="AV489" s="410">
        <f t="shared" ref="AV489:AX489" si="3050">SUM(AV486:AV488)</f>
        <v>939</v>
      </c>
      <c r="AW489" s="23" t="str">
        <f t="shared" si="3030"/>
        <v>NM</v>
      </c>
      <c r="AX489" s="410">
        <f t="shared" si="3050"/>
        <v>331</v>
      </c>
      <c r="AY489" s="23">
        <f t="shared" si="3031"/>
        <v>-18.67321867321867</v>
      </c>
      <c r="AZ489" s="410">
        <f t="shared" ref="AZ489" si="3051">SUM(AZ486:AZ488)</f>
        <v>182</v>
      </c>
      <c r="BA489" s="23">
        <f t="shared" si="3032"/>
        <v>-40.425531914893618</v>
      </c>
      <c r="BB489" s="410">
        <f t="shared" ref="BB489:BD489" si="3052">SUM(BB486:BB488)</f>
        <v>76.099999999999994</v>
      </c>
      <c r="BC489" s="23" t="str">
        <f t="shared" si="3033"/>
        <v>NM</v>
      </c>
      <c r="BD489" s="410">
        <f t="shared" si="3052"/>
        <v>0</v>
      </c>
      <c r="BE489" s="23" t="str">
        <f t="shared" si="3034"/>
        <v>NM</v>
      </c>
      <c r="BF489" s="56">
        <f t="shared" ref="BF489" si="3053">SUM(BF486:BF488)</f>
        <v>0</v>
      </c>
      <c r="BG489" s="23" t="str">
        <f t="shared" si="3036"/>
        <v>NM</v>
      </c>
      <c r="BH489" s="56">
        <f t="shared" ref="BH489" si="3054">SUM(BH486:BH488)</f>
        <v>0</v>
      </c>
      <c r="BI489" s="23" t="str">
        <f t="shared" si="3038"/>
        <v>NM</v>
      </c>
      <c r="BJ489" s="56"/>
      <c r="BK489" s="23"/>
      <c r="BL489" s="56"/>
      <c r="BM489" s="23" t="str">
        <f t="shared" si="3039"/>
        <v>NA</v>
      </c>
      <c r="BN489" s="37"/>
      <c r="BO489" s="137"/>
      <c r="BP489" s="37"/>
      <c r="BQ489" s="36">
        <f>SUM(BQ486:BQ488)</f>
        <v>1539.5</v>
      </c>
      <c r="BR489" s="37"/>
      <c r="BS489" s="36">
        <f>SUM(BS486:BS488)</f>
        <v>897.9</v>
      </c>
      <c r="BT489" s="37"/>
      <c r="BU489" s="36">
        <f>SUM(BU486:BU488)</f>
        <v>1359.4</v>
      </c>
      <c r="BV489" s="23">
        <f>IF(ISERROR((BU489/BS489-1)*100),"NA",IF(((BU489/BS489-1)*100)&gt;100,"NM",IF(((BU489/BS489-1)*100)&lt;-50,"NM",(BU489/BS489-1)*100)))</f>
        <v>51.397705757879521</v>
      </c>
      <c r="BW489" s="36">
        <f>SUM(BW486:BW488)</f>
        <v>622.29999999999995</v>
      </c>
      <c r="BX489" s="23" t="str">
        <f>IF(ISERROR((BW489/BU489-1)*100),"NA",IF(((BW489/BU489-1)*100)&gt;100,"NM",IF(((BW489/BU489-1)*100)&lt;-50,"NM",(BW489/BU489-1)*100)))</f>
        <v>NM</v>
      </c>
      <c r="BY489" s="56">
        <f>SUM(BY486:BY488)</f>
        <v>483</v>
      </c>
      <c r="BZ489" s="23">
        <f>IF(ISERROR((BY489/BW489-1)*100),"NA",IF(((BY489/BW489-1)*100)&gt;100,"NM",IF(((BY489/BW489-1)*100)&lt;-50,"NM",(BY489/BW489-1)*100)))</f>
        <v>-22.384701912260962</v>
      </c>
      <c r="CA489" s="56">
        <f>SUM(CA486:CA488)</f>
        <v>1501.2</v>
      </c>
      <c r="CB489" s="23" t="str">
        <f>IF(ISERROR((CA489/BY489-1)*100),"NA",IF(((CA489/BY489-1)*100)&gt;100,"NM",IF(((CA489/BY489-1)*100)&lt;-50,"NM",(CA489/BY489-1)*100)))</f>
        <v>NM</v>
      </c>
      <c r="CC489" s="56">
        <f>SUM(CC486:CC488)</f>
        <v>1757.8</v>
      </c>
      <c r="CD489" s="23">
        <f>IF(ISERROR((CC489/CA489-1)*100),"NA",IF(((CC489/CA489-1)*100)&gt;100,"NM",IF(((CC489/CA489-1)*100)&lt;-50,"NM",(CC489/CA489-1)*100)))</f>
        <v>17.092992272848374</v>
      </c>
      <c r="CE489" s="56">
        <f>SUM(CE486:CE488)</f>
        <v>2251.1999999999998</v>
      </c>
      <c r="CF489" s="23">
        <f>IF(ISERROR((CE489/CC489-1)*100),"NA",IF(((CE489/CC489-1)*100)&gt;100,"NM",IF(((CE489/CC489-1)*100)&lt;-50,"NM",(CE489/CC489-1)*100)))</f>
        <v>28.069177380816935</v>
      </c>
      <c r="CG489" s="56">
        <f>SUM(CG486:CG488)</f>
        <v>589.1</v>
      </c>
      <c r="CH489" s="23" t="str">
        <f>IF(ISERROR((CG489/CE489-1)*100),"NA",IF(((CG489/CE489-1)*100)&gt;100,"NM",IF(((CG489/CE489-1)*100)&lt;-50,"NM",(CG489/CE489-1)*100)))</f>
        <v>NM</v>
      </c>
      <c r="CI489" s="56">
        <f>SUM(CI486:CI488)</f>
        <v>0</v>
      </c>
      <c r="CJ489" s="23" t="str">
        <f>IF(ISERROR((CI489/CG489-1)*100),"NA",IF(((CI489/CG489-1)*100)&gt;100,"NM",IF(((CI489/CG489-1)*100)&lt;-50,"NM",(CI489/CG489-1)*100)))</f>
        <v>NM</v>
      </c>
      <c r="CK489" s="56"/>
      <c r="CL489" s="23"/>
      <c r="CM489" s="56"/>
      <c r="CN489" s="23"/>
      <c r="CO489" s="56"/>
      <c r="CP489" s="23"/>
      <c r="CQ489" s="56"/>
      <c r="CR489" s="23" t="str">
        <f>IF(ISERROR((CQ489/CO489-1)*100),"NA",IF(((CQ489/CO489-1)*100)&gt;100,"NM",IF(((CQ489/CO489-1)*100)&lt;-50,"NM",(CQ489/CO489-1)*100)))</f>
        <v>NA</v>
      </c>
      <c r="CS489" s="23" t="str">
        <f>IF(ISERROR(((CQ489/CG489)^0.2-1)*100),"NA",IF((((CQ489/CG489)^0.2-1)*100)&gt;100,"NM",IF((((CQ489/CG489)^0.2-1)*100)&lt;-50,"NM",((CQ489/CG489)^0.2-1)*100)))</f>
        <v>NM</v>
      </c>
    </row>
    <row r="490" spans="1:97" ht="12.75" hidden="1" customHeight="1" outlineLevel="1" x14ac:dyDescent="0.2">
      <c r="B490" s="35"/>
      <c r="C490" s="63"/>
      <c r="D490" s="35"/>
      <c r="E490" s="63"/>
      <c r="F490" s="35"/>
      <c r="G490" s="63"/>
      <c r="H490" s="35"/>
      <c r="I490" s="63"/>
      <c r="J490" s="35"/>
      <c r="L490" s="35"/>
      <c r="N490" s="35"/>
      <c r="P490" s="35"/>
      <c r="R490" s="35"/>
      <c r="T490" s="35"/>
      <c r="V490" s="35"/>
      <c r="X490" s="35"/>
      <c r="Z490" s="35"/>
      <c r="AB490" s="35"/>
      <c r="AD490" s="35"/>
      <c r="AF490" s="35"/>
      <c r="AH490" s="35"/>
      <c r="AJ490" s="35"/>
      <c r="AL490" s="35"/>
      <c r="AN490" s="409"/>
      <c r="AP490" s="409"/>
      <c r="AR490" s="409"/>
      <c r="AT490" s="409"/>
      <c r="AV490" s="409"/>
      <c r="AX490" s="409"/>
      <c r="AZ490" s="409"/>
      <c r="BB490" s="409"/>
      <c r="BD490" s="409"/>
      <c r="BF490" s="35"/>
      <c r="BH490" s="35"/>
      <c r="BJ490" s="35"/>
      <c r="BL490" s="35"/>
      <c r="BN490" s="37"/>
      <c r="BO490" s="138"/>
      <c r="BP490" s="37"/>
      <c r="BQ490" s="37"/>
      <c r="BR490" s="37"/>
      <c r="BS490" s="37"/>
      <c r="BT490" s="37"/>
      <c r="BU490" s="37"/>
      <c r="BW490" s="35"/>
      <c r="BY490" s="35"/>
      <c r="CA490" s="35"/>
      <c r="CC490" s="35"/>
      <c r="CE490" s="35"/>
      <c r="CG490" s="35"/>
      <c r="CI490" s="35"/>
      <c r="CK490" s="35"/>
      <c r="CM490" s="35"/>
      <c r="CO490" s="35"/>
      <c r="CQ490" s="35"/>
    </row>
    <row r="491" spans="1:97" ht="12.75" hidden="1" customHeight="1" outlineLevel="1" x14ac:dyDescent="0.2">
      <c r="A491" s="11" t="s">
        <v>125</v>
      </c>
      <c r="B491" s="35"/>
      <c r="C491" s="60"/>
      <c r="D491" s="35"/>
      <c r="E491" s="60"/>
      <c r="F491" s="35"/>
      <c r="G491" s="60"/>
      <c r="H491" s="35"/>
      <c r="I491" s="60"/>
      <c r="J491" s="35"/>
      <c r="L491" s="35"/>
      <c r="N491" s="35"/>
      <c r="P491" s="35"/>
      <c r="R491" s="35"/>
      <c r="T491" s="35"/>
      <c r="V491" s="35"/>
      <c r="X491" s="35"/>
      <c r="Z491" s="35"/>
      <c r="AB491" s="35"/>
      <c r="AD491" s="35"/>
      <c r="AF491" s="35"/>
      <c r="AH491" s="35"/>
      <c r="AJ491" s="35"/>
      <c r="AL491" s="35"/>
      <c r="AN491" s="409"/>
      <c r="AP491" s="409"/>
      <c r="AR491" s="409"/>
      <c r="AT491" s="409"/>
      <c r="AV491" s="409"/>
      <c r="AX491" s="409"/>
      <c r="AZ491" s="409"/>
      <c r="BB491" s="409"/>
      <c r="BD491" s="409"/>
      <c r="BF491" s="35"/>
      <c r="BH491" s="35"/>
      <c r="BJ491" s="35"/>
      <c r="BL491" s="35"/>
      <c r="BN491" s="35"/>
      <c r="BO491" s="138"/>
      <c r="BP491" s="35"/>
      <c r="BQ491" s="35"/>
      <c r="BR491" s="35"/>
      <c r="BS491" s="35"/>
      <c r="BT491" s="35"/>
      <c r="BU491" s="37"/>
      <c r="BW491" s="37"/>
      <c r="BY491" s="37"/>
      <c r="CA491" s="37"/>
      <c r="CC491" s="37"/>
      <c r="CE491" s="37"/>
      <c r="CG491" s="37"/>
      <c r="CI491" s="37"/>
      <c r="CK491" s="37"/>
      <c r="CM491" s="37"/>
      <c r="CO491" s="37"/>
      <c r="CQ491" s="37"/>
    </row>
    <row r="492" spans="1:97" ht="12.75" hidden="1" customHeight="1" outlineLevel="1" x14ac:dyDescent="0.2">
      <c r="A492" s="4" t="s">
        <v>281</v>
      </c>
      <c r="B492" s="115">
        <f>B486/(B466+B467)*400</f>
        <v>6.9036367372097798E-2</v>
      </c>
      <c r="C492" s="59"/>
      <c r="D492" s="115">
        <f>D486/(D466+D467)*400</f>
        <v>0.96097593923240388</v>
      </c>
      <c r="E492" s="59"/>
      <c r="F492" s="115">
        <f>F486/(F466+F467)*400</f>
        <v>5.6427112340716246</v>
      </c>
      <c r="G492" s="59"/>
      <c r="H492" s="115">
        <f>H486/(H466+H467)*400</f>
        <v>1.2964209487444218</v>
      </c>
      <c r="I492" s="59"/>
      <c r="J492" s="115">
        <f>J486/(J466+J467)*400</f>
        <v>-1.7881208895491305</v>
      </c>
      <c r="K492" s="23" t="str">
        <f t="shared" ref="K492:Y494" si="3055">IF(ISERROR((J492/B492-1)*100),"NA",IF(((J492/B492-1)*100)&gt;100,"NM",IF(((J492/B492-1)*100)&lt;-50,"NM",(J492/B492-1)*100)))</f>
        <v>NM</v>
      </c>
      <c r="L492" s="115">
        <f>L486/(L466+L467)*400</f>
        <v>2.6034017904638938</v>
      </c>
      <c r="M492" s="23" t="str">
        <f t="shared" si="3055"/>
        <v>NM</v>
      </c>
      <c r="N492" s="115">
        <f>N486/(N466+N467)*400</f>
        <v>-0.77613813597644821</v>
      </c>
      <c r="O492" s="23" t="str">
        <f t="shared" si="3055"/>
        <v>NM</v>
      </c>
      <c r="P492" s="115">
        <f>P486/(P466+P467)*400</f>
        <v>0.98896377092988785</v>
      </c>
      <c r="Q492" s="23">
        <f t="shared" si="3055"/>
        <v>-23.715844619165171</v>
      </c>
      <c r="R492" s="115">
        <f>R486/(R466+R467)*400</f>
        <v>-0.85794062339734456</v>
      </c>
      <c r="S492" s="23" t="str">
        <f t="shared" si="3055"/>
        <v>NM</v>
      </c>
      <c r="T492" s="115">
        <f>T486/(T466+T467)*400</f>
        <v>1.3132224344441046</v>
      </c>
      <c r="U492" s="23">
        <f t="shared" si="3055"/>
        <v>-49.557442909720642</v>
      </c>
      <c r="V492" s="115">
        <f>V486/(V466+V467)*400</f>
        <v>-0.34265066718914816</v>
      </c>
      <c r="W492" s="23" t="str">
        <f t="shared" si="3055"/>
        <v>NM</v>
      </c>
      <c r="X492" s="115">
        <f>X486/(X466+X467)*400</f>
        <v>-0.57253242408674976</v>
      </c>
      <c r="Y492" s="23" t="str">
        <f t="shared" si="3055"/>
        <v>NM</v>
      </c>
      <c r="Z492" s="115">
        <f>Z486/(Z466+Z467)*400</f>
        <v>1.1152621196592498</v>
      </c>
      <c r="AA492" s="23" t="str">
        <f>IF(ISERROR((Z492/R492-1)*100),"NA",IF(((Z492/R492-1)*100)&gt;100,"NM",IF(((Z492/R492-1)*100)&lt;-50,"NM",(Z492/R492-1)*100)))</f>
        <v>NM</v>
      </c>
      <c r="AB492" s="115">
        <f>AB486/(AB466+AB467)*400</f>
        <v>0.55555309822585708</v>
      </c>
      <c r="AC492" s="23" t="str">
        <f>IF(ISERROR((AB492/T492-1)*100),"NA",IF(((AB492/T492-1)*100)&gt;100,"NM",IF(((AB492/T492-1)*100)&lt;-50,"NM",(AB492/T492-1)*100)))</f>
        <v>NM</v>
      </c>
      <c r="AD492" s="115">
        <f>AD486/(AD466+AD467)*400</f>
        <v>3.8614535993685672</v>
      </c>
      <c r="AE492" s="23" t="str">
        <f>IF(ISERROR((AD492/V492-1)*100),"NA",IF(((AD492/V492-1)*100)&gt;100,"NM",IF(((AD492/V492-1)*100)&lt;-50,"NM",(AD492/V492-1)*100)))</f>
        <v>NM</v>
      </c>
      <c r="AF492" s="115">
        <f>AF486/(AF466+AF467)*400</f>
        <v>3.4687037540742516</v>
      </c>
      <c r="AG492" s="23" t="str">
        <f>IF(ISERROR((AF492/X492-1)*100),"NA",IF(((AF492/X492-1)*100)&gt;100,"NM",IF(((AF492/X492-1)*100)&lt;-50,"NM",(AF492/X492-1)*100)))</f>
        <v>NM</v>
      </c>
      <c r="AH492" s="115">
        <f>AH486/(AH466+AH467)*400</f>
        <v>1.5641335361601449</v>
      </c>
      <c r="AI492" s="23">
        <f>IF(ISERROR((AH492/Z492-1)*100),"NA",IF(((AH492/Z492-1)*100)&gt;100,"NM",IF(((AH492/Z492-1)*100)&lt;-50,"NM",(AH492/Z492-1)*100)))</f>
        <v>40.248064431529372</v>
      </c>
      <c r="AJ492" s="115">
        <f>AJ486/(AJ466+AJ467)*400</f>
        <v>3.3287954288201491</v>
      </c>
      <c r="AK492" s="23" t="str">
        <f>IF(ISERROR((AJ492/AB492-1)*100),"NA",IF(((AJ492/AB492-1)*100)&gt;100,"NM",IF(((AJ492/AB492-1)*100)&lt;-50,"NM",(AJ492/AB492-1)*100)))</f>
        <v>NM</v>
      </c>
      <c r="AL492" s="115">
        <f>AL486/(AL466+AL467)*400</f>
        <v>6.8453775658262384</v>
      </c>
      <c r="AM492" s="23">
        <f>IF(ISERROR((AL492/AD492-1)*100),"NA",IF(((AL492/AD492-1)*100)&gt;100,"NM",IF(((AL492/AD492-1)*100)&lt;-50,"NM",(AL492/AD492-1)*100)))</f>
        <v>77.274629609575229</v>
      </c>
      <c r="AN492" s="457">
        <f t="shared" ref="AN492:AP492" si="3056">AN486/(AN466+AN467)*400</f>
        <v>0.75747906383089569</v>
      </c>
      <c r="AO492" s="23" t="str">
        <f>IF(ISERROR((AN492/AF492-1)*100),"NA",IF(((AN492/AF492-1)*100)&gt;100,"NM",IF(((AN492/AF492-1)*100)&lt;-50,"NM",(AN492/AF492-1)*100)))</f>
        <v>NM</v>
      </c>
      <c r="AP492" s="457">
        <f t="shared" si="3056"/>
        <v>3.1077232367230692</v>
      </c>
      <c r="AQ492" s="23">
        <f t="shared" ref="AQ492:AQ494" si="3057">IF(ISERROR((AP492/AH492-1)*100),"NA",IF(((AP492/AH492-1)*100)&gt;100,"NM",IF(((AP492/AH492-1)*100)&lt;-50,"NM",(AP492/AH492-1)*100)))</f>
        <v>98.686567666872321</v>
      </c>
      <c r="AR492" s="457">
        <f t="shared" ref="AR492:AT492" si="3058">AR486/(AR466+AR467)*400</f>
        <v>2.0528418665281856</v>
      </c>
      <c r="AS492" s="23">
        <f t="shared" ref="AS492:AS494" si="3059">IF(ISERROR((AR492/AJ492-1)*100),"NA",IF(((AR492/AJ492-1)*100)&gt;100,"NM",IF(((AR492/AJ492-1)*100)&lt;-50,"NM",(AR492/AJ492-1)*100)))</f>
        <v>-38.330789307296357</v>
      </c>
      <c r="AT492" s="457">
        <f t="shared" si="3058"/>
        <v>5.2599469145747229</v>
      </c>
      <c r="AU492" s="23">
        <f t="shared" ref="AU492:AU494" si="3060">IF(ISERROR((AT492/AL492-1)*100),"NA",IF(((AT492/AL492-1)*100)&gt;100,"NM",IF(((AT492/AL492-1)*100)&lt;-50,"NM",(AT492/AL492-1)*100)))</f>
        <v>-23.160601968346704</v>
      </c>
      <c r="AV492" s="457">
        <f t="shared" ref="AV492:AX492" si="3061">AV486/(AV466+AV467)*400</f>
        <v>7.8074046919854379</v>
      </c>
      <c r="AW492" s="23" t="str">
        <f t="shared" ref="AW492:AW494" si="3062">IF(ISERROR((AV492/AN492-1)*100),"NA",IF(((AV492/AN492-1)*100)&gt;100,"NM",IF(((AV492/AN492-1)*100)&lt;-50,"NM",(AV492/AN492-1)*100)))</f>
        <v>NM</v>
      </c>
      <c r="AX492" s="457">
        <f t="shared" si="3061"/>
        <v>2.5319486905227535</v>
      </c>
      <c r="AY492" s="23">
        <f t="shared" ref="AY492:AY494" si="3063">IF(ISERROR((AX492/AP492-1)*100),"NA",IF(((AX492/AP492-1)*100)&gt;100,"NM",IF(((AX492/AP492-1)*100)&lt;-50,"NM",(AX492/AP492-1)*100)))</f>
        <v>-18.527214373421476</v>
      </c>
      <c r="AZ492" s="457">
        <f t="shared" ref="AZ492" si="3064">AZ486/(AZ466+AZ467)*400</f>
        <v>1.0933843294061008</v>
      </c>
      <c r="BA492" s="23">
        <f t="shared" ref="BA492:BA494" si="3065">IF(ISERROR((AZ492/AR492-1)*100),"NA",IF(((AZ492/AR492-1)*100)&gt;100,"NM",IF(((AZ492/AR492-1)*100)&lt;-50,"NM",(AZ492/AR492-1)*100)))</f>
        <v>-46.738014883958989</v>
      </c>
      <c r="BB492" s="457">
        <f t="shared" ref="BB492:BD492" si="3066">BB486/(BB466+BB467)*400</f>
        <v>5.8093016062987897E-2</v>
      </c>
      <c r="BC492" s="23" t="str">
        <f t="shared" ref="BC492:BC494" si="3067">IF(ISERROR((BB492/AT492-1)*100),"NA",IF(((BB492/AT492-1)*100)&gt;100,"NM",IF(((BB492/AT492-1)*100)&lt;-50,"NM",(BB492/AT492-1)*100)))</f>
        <v>NM</v>
      </c>
      <c r="BD492" s="457">
        <f t="shared" si="3066"/>
        <v>0</v>
      </c>
      <c r="BE492" s="23" t="str">
        <f t="shared" ref="BE492:BE494" si="3068">IF(ISERROR((BD492/AV492-1)*100),"NA",IF(((BD492/AV492-1)*100)&gt;100,"NM",IF(((BD492/AV492-1)*100)&lt;-50,"NM",(BD492/AV492-1)*100)))</f>
        <v>NM</v>
      </c>
      <c r="BF492" s="47">
        <v>1.25</v>
      </c>
      <c r="BG492" s="23" t="str">
        <f t="shared" ref="BG492:BG494" si="3069">IF(ISERROR((BF492/AX492-1)*100),"NA",IF(((BF492/AX492-1)*100)&gt;100,"NM",IF(((BF492/AX492-1)*100)&lt;-50,"NM",(BF492/AX492-1)*100)))</f>
        <v>NM</v>
      </c>
      <c r="BH492" s="47">
        <v>1.6</v>
      </c>
      <c r="BI492" s="23">
        <f t="shared" ref="BI492:BI494" si="3070">IF(ISERROR((BH492/AZ492-1)*100),"NA",IF(((BH492/AZ492-1)*100)&gt;100,"NM",IF(((BH492/AZ492-1)*100)&lt;-50,"NM",(BH492/AZ492-1)*100)))</f>
        <v>46.33463796477497</v>
      </c>
      <c r="BJ492" s="47"/>
      <c r="BK492" s="23"/>
      <c r="BL492" s="47"/>
      <c r="BM492" s="23" t="str">
        <f t="shared" ref="BM492:BM494" si="3071">IF(ISERROR((BL492/BD492-1)*100),"NA",IF(((BL492/BD492-1)*100)&gt;100,"NM",IF(((BL492/BD492-1)*100)&lt;-50,"NM",(BL492/BD492-1)*100)))</f>
        <v>NA</v>
      </c>
      <c r="BN492" s="35"/>
      <c r="BO492" s="138"/>
      <c r="BP492" s="35"/>
      <c r="BQ492" s="115" t="e">
        <f>BQ486/(BQ466+BQ467)*100</f>
        <v>#DIV/0!</v>
      </c>
      <c r="BR492" s="35"/>
      <c r="BS492" s="115">
        <f>BS486/(BS466+BS467)*100</f>
        <v>0.50064612947600984</v>
      </c>
      <c r="BT492" s="35"/>
      <c r="BU492" s="115">
        <f>BU486/(BU466+BU467)*100</f>
        <v>1.9485012165718609</v>
      </c>
      <c r="BV492" s="23" t="str">
        <f>IF(ISERROR((BU492/BS492-1)*100),"NA",IF(((BU492/BS492-1)*100)&gt;100,"NM",IF(((BU492/BS492-1)*100)&lt;-50,"NM",(BU492/BS492-1)*100)))</f>
        <v>NM</v>
      </c>
      <c r="BW492" s="115">
        <f>BW486/(BW466+BW467)*100</f>
        <v>0.26466644688789775</v>
      </c>
      <c r="BX492" s="23" t="str">
        <f>IF(ISERROR((BW492/BU492-1)*100),"NA",IF(((BW492/BU492-1)*100)&gt;100,"NM",IF(((BW492/BU492-1)*100)&lt;-50,"NM",(BW492/BU492-1)*100)))</f>
        <v>NM</v>
      </c>
      <c r="BY492" s="115">
        <f>BY486/(BY466+BY467)*100</f>
        <v>-0.11676381986424796</v>
      </c>
      <c r="BZ492" s="23" t="str">
        <f>IF(ISERROR((BY492/BW492-1)*100),"NA",IF(((BY492/BW492-1)*100)&gt;100,"NM",IF(((BY492/BW492-1)*100)&lt;-50,"NM",(BY492/BW492-1)*100)))</f>
        <v>NM</v>
      </c>
      <c r="CA492" s="115">
        <f>CA486/(CA466+CA467)*100</f>
        <v>2.2376879923340964</v>
      </c>
      <c r="CB492" s="23" t="str">
        <f>IF(ISERROR((CA492/BY492-1)*100),"NA",IF(((CA492/BY492-1)*100)&gt;100,"NM",IF(((CA492/BY492-1)*100)&lt;-50,"NM",(CA492/BY492-1)*100)))</f>
        <v>NM</v>
      </c>
      <c r="CC492" s="115">
        <f>CC486/(CC466+CC467)*100</f>
        <v>3.1208570799598849</v>
      </c>
      <c r="CD492" s="23">
        <f>IF(ISERROR((CC492/CA492-1)*100),"NA",IF(((CC492/CA492-1)*100)&gt;100,"NM",IF(((CC492/CA492-1)*100)&lt;-50,"NM",(CC492/CA492-1)*100)))</f>
        <v>39.46792808699702</v>
      </c>
      <c r="CE492" s="115">
        <f>CE486/(CE466+CE467)*100</f>
        <v>4.5311142189431246</v>
      </c>
      <c r="CF492" s="23">
        <f>IF(ISERROR((CE492/CC492-1)*100),"NA",IF(((CE492/CC492-1)*100)&gt;100,"NM",IF(((CE492/CC492-1)*100)&lt;-50,"NM",(CE492/CC492-1)*100)))</f>
        <v>45.188135914297199</v>
      </c>
      <c r="CG492" s="115">
        <f>CG486/(CG466+CG467)*100</f>
        <v>1.8308079135413546</v>
      </c>
      <c r="CH492" s="23" t="str">
        <f>IF(ISERROR((CG492/CE492-1)*100),"NA",IF(((CG492/CE492-1)*100)&gt;100,"NM",IF(((CG492/CE492-1)*100)&lt;-50,"NM",(CG492/CE492-1)*100)))</f>
        <v>NM</v>
      </c>
      <c r="CI492" s="115" t="e">
        <f>CI486/(CI466+CI467)*100</f>
        <v>#DIV/0!</v>
      </c>
      <c r="CJ492" s="23" t="str">
        <f>IF(ISERROR((CI492/CG492-1)*100),"NA",IF(((CI492/CG492-1)*100)&gt;100,"NM",IF(((CI492/CG492-1)*100)&lt;-50,"NM",(CI492/CG492-1)*100)))</f>
        <v>NA</v>
      </c>
      <c r="CK492" s="118"/>
      <c r="CL492" s="23"/>
      <c r="CM492" s="118"/>
      <c r="CN492" s="23"/>
      <c r="CO492" s="118"/>
      <c r="CP492" s="23"/>
      <c r="CQ492" s="118"/>
      <c r="CR492" s="23" t="str">
        <f>IF(ISERROR((CQ492/CO492-1)*100),"NA",IF(((CQ492/CO492-1)*100)&gt;100,"NM",IF(((CQ492/CO492-1)*100)&lt;-50,"NM",(CQ492/CO492-1)*100)))</f>
        <v>NA</v>
      </c>
      <c r="CS492" s="23" t="str">
        <f>IF(ISERROR(((CQ492/CG492)^0.2-1)*100),"NA",IF((((CQ492/CG492)^0.2-1)*100)&gt;100,"NM",IF((((CQ492/CG492)^0.2-1)*100)&lt;-50,"NM",((CQ492/CG492)^0.2-1)*100)))</f>
        <v>NM</v>
      </c>
    </row>
    <row r="493" spans="1:97" ht="12.75" hidden="1" customHeight="1" outlineLevel="1" x14ac:dyDescent="0.2">
      <c r="A493" s="4" t="s">
        <v>282</v>
      </c>
      <c r="B493" s="35">
        <f>B487/B473*100</f>
        <v>32.565889124507727</v>
      </c>
      <c r="C493" s="59"/>
      <c r="D493" s="35">
        <f>D487/D473*100</f>
        <v>32.752927048934247</v>
      </c>
      <c r="E493" s="59"/>
      <c r="F493" s="35">
        <f>F487/F473*100</f>
        <v>33.142311365807068</v>
      </c>
      <c r="G493" s="59"/>
      <c r="H493" s="35">
        <f>H487/H473*100</f>
        <v>33.124588002636784</v>
      </c>
      <c r="I493" s="59"/>
      <c r="J493" s="35">
        <f>J487/J473*100</f>
        <v>35.514018691588781</v>
      </c>
      <c r="K493" s="23">
        <f t="shared" si="3055"/>
        <v>9.0528146055205205</v>
      </c>
      <c r="L493" s="35">
        <f>L487/L473*100</f>
        <v>37.270341207349077</v>
      </c>
      <c r="M493" s="23">
        <f t="shared" si="3055"/>
        <v>13.792398315013576</v>
      </c>
      <c r="N493" s="35">
        <f>N487/N473*100</f>
        <v>36.797661578434557</v>
      </c>
      <c r="O493" s="23">
        <f t="shared" si="3055"/>
        <v>11.029255540694471</v>
      </c>
      <c r="P493" s="35">
        <f>P487/P473*100</f>
        <v>36.20965164589326</v>
      </c>
      <c r="Q493" s="23">
        <f t="shared" si="3055"/>
        <v>9.3135155160598551</v>
      </c>
      <c r="R493" s="35">
        <f>R487/R473*100</f>
        <v>36.275460717749759</v>
      </c>
      <c r="S493" s="23">
        <f t="shared" si="3055"/>
        <v>2.1440604420848608</v>
      </c>
      <c r="T493" s="35">
        <f>T487/T473*100</f>
        <v>36.326785157468038</v>
      </c>
      <c r="U493" s="23">
        <f t="shared" si="3055"/>
        <v>-2.5316539084836331</v>
      </c>
      <c r="V493" s="35">
        <f>V487/V473*100</f>
        <v>36.643098678143254</v>
      </c>
      <c r="W493" s="23">
        <f t="shared" si="3055"/>
        <v>-0.42003457193020566</v>
      </c>
      <c r="X493" s="35">
        <f>X487/X473*100</f>
        <v>36.045810729355033</v>
      </c>
      <c r="Y493" s="23">
        <f t="shared" si="3055"/>
        <v>-0.45247857709453942</v>
      </c>
      <c r="Z493" s="35">
        <f>Z487/Z473*100</f>
        <v>38.541666666666664</v>
      </c>
      <c r="AA493" s="23">
        <f>IF(ISERROR((Z493/R493-1)*100),"NA",IF(((Z493/R493-1)*100)&gt;100,"NM",IF(((Z493/R493-1)*100)&lt;-50,"NM",(Z493/R493-1)*100)))</f>
        <v>6.247214795008893</v>
      </c>
      <c r="AB493" s="35">
        <f>AB487/AB473*100</f>
        <v>37.555414819506012</v>
      </c>
      <c r="AC493" s="23">
        <f>IF(ISERROR((AB493/T493-1)*100),"NA",IF(((AB493/T493-1)*100)&gt;100,"NM",IF(((AB493/T493-1)*100)&lt;-50,"NM",(AB493/T493-1)*100)))</f>
        <v>3.3821590782453059</v>
      </c>
      <c r="AD493" s="35">
        <f>AD487/AD473*100</f>
        <v>36.970271979759652</v>
      </c>
      <c r="AE493" s="23">
        <f>IF(ISERROR((AD493/V493-1)*100),"NA",IF(((AD493/V493-1)*100)&gt;100,"NM",IF(((AD493/V493-1)*100)&lt;-50,"NM",(AD493/V493-1)*100)))</f>
        <v>0.89286472328702349</v>
      </c>
      <c r="AF493" s="35">
        <f>AF487/AF473*100</f>
        <v>38.29646748101684</v>
      </c>
      <c r="AG493" s="23">
        <f>IF(ISERROR((AF493/X493-1)*100),"NA",IF(((AF493/X493-1)*100)&gt;100,"NM",IF(((AF493/X493-1)*100)&lt;-50,"NM",(AF493/X493-1)*100)))</f>
        <v>6.2438788478376805</v>
      </c>
      <c r="AH493" s="35">
        <f>AH487/AH473*100</f>
        <v>38.923611111111114</v>
      </c>
      <c r="AI493" s="23">
        <f>IF(ISERROR((AH493/Z493-1)*100),"NA",IF(((AH493/Z493-1)*100)&gt;100,"NM",IF(((AH493/Z493-1)*100)&lt;-50,"NM",(AH493/Z493-1)*100)))</f>
        <v>0.99099099099100307</v>
      </c>
      <c r="AJ493" s="35">
        <f>AJ487/AJ473*100</f>
        <v>37.946428571428577</v>
      </c>
      <c r="AK493" s="23">
        <f>IF(ISERROR((AJ493/AB493-1)*100),"NA",IF(((AJ493/AB493-1)*100)&gt;100,"NM",IF(((AJ493/AB493-1)*100)&lt;-50,"NM",(AJ493/AB493-1)*100)))</f>
        <v>1.0411647795712131</v>
      </c>
      <c r="AL493" s="35">
        <f>AL487/AL473*100</f>
        <v>37.868315751182244</v>
      </c>
      <c r="AM493" s="23">
        <f>IF(ISERROR((AL493/AD493-1)*100),"NA",IF(((AL493/AD493-1)*100)&gt;100,"NM",IF(((AL493/AD493-1)*100)&lt;-50,"NM",(AL493/AD493-1)*100)))</f>
        <v>2.4290970104689835</v>
      </c>
      <c r="AN493" s="409">
        <f t="shared" ref="AN493:AP493" si="3072">AN487/AN473*100</f>
        <v>39.666919000756998</v>
      </c>
      <c r="AO493" s="23">
        <f>IF(ISERROR((AN493/AF493-1)*100),"NA",IF(((AN493/AF493-1)*100)&gt;100,"NM",IF(((AN493/AF493-1)*100)&lt;-50,"NM",(AN493/AF493-1)*100)))</f>
        <v>3.5785324597352952</v>
      </c>
      <c r="AP493" s="409">
        <f t="shared" si="3072"/>
        <v>40.146579804560261</v>
      </c>
      <c r="AQ493" s="23">
        <f t="shared" si="3057"/>
        <v>3.1419713087721179</v>
      </c>
      <c r="AR493" s="409">
        <f t="shared" ref="AR493:AT493" si="3073">AR487/AR473*100</f>
        <v>39.502207948615016</v>
      </c>
      <c r="AS493" s="23">
        <f t="shared" si="3059"/>
        <v>4.0999362410560236</v>
      </c>
      <c r="AT493" s="409">
        <f t="shared" si="3073"/>
        <v>38.827258320126781</v>
      </c>
      <c r="AU493" s="23">
        <f t="shared" si="3060"/>
        <v>2.53230847457111</v>
      </c>
      <c r="AV493" s="409">
        <f t="shared" ref="AV493:AX493" si="3074">AV487/AV473*100</f>
        <v>39.869281045751634</v>
      </c>
      <c r="AW493" s="23">
        <f t="shared" si="3062"/>
        <v>0.51015317068303645</v>
      </c>
      <c r="AX493" s="409">
        <f t="shared" si="3074"/>
        <v>39.824120603015075</v>
      </c>
      <c r="AY493" s="23">
        <f t="shared" si="3063"/>
        <v>-0.80320466429510962</v>
      </c>
      <c r="AZ493" s="409">
        <f t="shared" ref="AZ493" si="3075">AZ487/AZ473*100</f>
        <v>33.615420780441937</v>
      </c>
      <c r="BA493" s="23">
        <f t="shared" si="3065"/>
        <v>-14.902425646259287</v>
      </c>
      <c r="BB493" s="409">
        <f t="shared" ref="BB493:BD493" si="3076">BB487/BB473*100</f>
        <v>31.145935357492654</v>
      </c>
      <c r="BC493" s="23">
        <f t="shared" si="3067"/>
        <v>-19.783325671110752</v>
      </c>
      <c r="BD493" s="409" t="e">
        <f t="shared" si="3076"/>
        <v>#DIV/0!</v>
      </c>
      <c r="BE493" s="23" t="str">
        <f t="shared" si="3068"/>
        <v>NA</v>
      </c>
      <c r="BF493" s="47">
        <v>35.799999999999997</v>
      </c>
      <c r="BG493" s="23">
        <f t="shared" si="3069"/>
        <v>-10.104731861198745</v>
      </c>
      <c r="BH493" s="47">
        <f t="shared" ref="BH493:BH494" si="3077">BF493</f>
        <v>35.799999999999997</v>
      </c>
      <c r="BI493" s="23">
        <f t="shared" si="3070"/>
        <v>6.4987412587412585</v>
      </c>
      <c r="BJ493" s="47"/>
      <c r="BK493" s="23"/>
      <c r="BL493" s="47"/>
      <c r="BM493" s="23" t="str">
        <f t="shared" si="3071"/>
        <v>NA</v>
      </c>
      <c r="BN493" s="35"/>
      <c r="BO493" s="138"/>
      <c r="BP493" s="35"/>
      <c r="BQ493" s="35">
        <f>BQ487/BQ473*100</f>
        <v>36.628420123565753</v>
      </c>
      <c r="BR493" s="35"/>
      <c r="BS493" s="35">
        <f>BS487/BS473*100</f>
        <v>31.508127868087428</v>
      </c>
      <c r="BT493" s="35"/>
      <c r="BU493" s="35">
        <f>BU487/BU473*100</f>
        <v>32.88826423049894</v>
      </c>
      <c r="BV493" s="23">
        <f>IF(ISERROR((BU493/BS493-1)*100),"NA",IF(((BU493/BS493-1)*100)&gt;100,"NM",IF(((BU493/BS493-1)*100)&lt;-50,"NM",(BU493/BS493-1)*100)))</f>
        <v>4.3802550509811855</v>
      </c>
      <c r="BW493" s="35">
        <f>BW487/BW473*100</f>
        <v>36.443077918925482</v>
      </c>
      <c r="BX493" s="23">
        <f>IF(ISERROR((BW493/BU493-1)*100),"NA",IF(((BW493/BU493-1)*100)&gt;100,"NM",IF(((BW493/BU493-1)*100)&lt;-50,"NM",(BW493/BU493-1)*100)))</f>
        <v>10.808760424425156</v>
      </c>
      <c r="BY493" s="35">
        <f>BY487/BY473*100</f>
        <v>36.321964105353125</v>
      </c>
      <c r="BZ493" s="23">
        <f>IF(ISERROR((BY493/BW493-1)*100),"NA",IF(((BY493/BW493-1)*100)&gt;100,"NM",IF(((BY493/BW493-1)*100)&lt;-50,"NM",(BY493/BW493-1)*100)))</f>
        <v>-0.33233694980923101</v>
      </c>
      <c r="CA493" s="35">
        <f>CA487/CA473*100</f>
        <v>37.836542302468651</v>
      </c>
      <c r="CB493" s="23">
        <f>IF(ISERROR((CA493/BY493-1)*100),"NA",IF(((CA493/BY493-1)*100)&gt;100,"NM",IF(((CA493/BY493-1)*100)&lt;-50,"NM",(CA493/BY493-1)*100)))</f>
        <v>4.1698686577698263</v>
      </c>
      <c r="CC493" s="35">
        <f>CC487/CC473*100</f>
        <v>38.585352767593676</v>
      </c>
      <c r="CD493" s="23">
        <f>IF(ISERROR((CC493/CA493-1)*100),"NA",IF(((CC493/CA493-1)*100)&gt;100,"NM",IF(((CC493/CA493-1)*100)&lt;-50,"NM",(CC493/CA493-1)*100)))</f>
        <v>1.9790668479666262</v>
      </c>
      <c r="CE493" s="35">
        <f>CE487/CE473*100</f>
        <v>39.580602883355176</v>
      </c>
      <c r="CF493" s="23">
        <f>IF(ISERROR((CE493/CC493-1)*100),"NA",IF(((CE493/CC493-1)*100)&gt;100,"NM",IF(((CE493/CC493-1)*100)&lt;-50,"NM",(CE493/CC493-1)*100)))</f>
        <v>2.5793469396433011</v>
      </c>
      <c r="CG493" s="35">
        <f>CG487/CG473*100</f>
        <v>35.107518682324226</v>
      </c>
      <c r="CH493" s="23">
        <f>IF(ISERROR((CG493/CE493-1)*100),"NA",IF(((CG493/CE493-1)*100)&gt;100,"NM",IF(((CG493/CE493-1)*100)&lt;-50,"NM",(CG493/CE493-1)*100)))</f>
        <v>-11.301202799293431</v>
      </c>
      <c r="CI493" s="35" t="e">
        <f>CI487/CI473*100</f>
        <v>#DIV/0!</v>
      </c>
      <c r="CJ493" s="23" t="str">
        <f>IF(ISERROR((CI493/CG493-1)*100),"NA",IF(((CI493/CG493-1)*100)&gt;100,"NM",IF(((CI493/CG493-1)*100)&lt;-50,"NM",(CI493/CG493-1)*100)))</f>
        <v>NA</v>
      </c>
      <c r="CK493" s="114"/>
      <c r="CL493" s="23"/>
      <c r="CM493" s="114"/>
      <c r="CN493" s="23"/>
      <c r="CO493" s="114"/>
      <c r="CP493" s="23"/>
      <c r="CQ493" s="114"/>
      <c r="CR493" s="23" t="str">
        <f>IF(ISERROR((CQ493/CO493-1)*100),"NA",IF(((CQ493/CO493-1)*100)&gt;100,"NM",IF(((CQ493/CO493-1)*100)&lt;-50,"NM",(CQ493/CO493-1)*100)))</f>
        <v>NA</v>
      </c>
      <c r="CS493" s="23" t="str">
        <f>IF(ISERROR(((CQ493/CG493)^0.2-1)*100),"NA",IF((((CQ493/CG493)^0.2-1)*100)&gt;100,"NM",IF((((CQ493/CG493)^0.2-1)*100)&lt;-50,"NM",((CQ493/CG493)^0.2-1)*100)))</f>
        <v>NM</v>
      </c>
    </row>
    <row r="494" spans="1:97" ht="12.75" hidden="1" customHeight="1" outlineLevel="1" x14ac:dyDescent="0.2">
      <c r="A494" s="4" t="s">
        <v>283</v>
      </c>
      <c r="B494" s="35">
        <f>B488/B473*100</f>
        <v>5.8770069675855794</v>
      </c>
      <c r="C494" s="59"/>
      <c r="D494" s="35">
        <f>D488/D473*100</f>
        <v>5.8540978685079548</v>
      </c>
      <c r="E494" s="59"/>
      <c r="F494" s="35">
        <f>F488/F473*100</f>
        <v>6.9723018147086906</v>
      </c>
      <c r="G494" s="59"/>
      <c r="H494" s="35">
        <f>H488/H473*100</f>
        <v>-1.8127883981542519</v>
      </c>
      <c r="I494" s="59"/>
      <c r="J494" s="35">
        <f>J488/J473*100</f>
        <v>4.8340315823396711</v>
      </c>
      <c r="K494" s="23">
        <f t="shared" si="3055"/>
        <v>-17.746710034519296</v>
      </c>
      <c r="L494" s="35">
        <f>L488/L473*100</f>
        <v>5.3477690288713911</v>
      </c>
      <c r="M494" s="23">
        <f t="shared" si="3055"/>
        <v>-8.6491352042532998</v>
      </c>
      <c r="N494" s="35">
        <f>N488/N473*100</f>
        <v>4.0597596622279966</v>
      </c>
      <c r="O494" s="23">
        <f t="shared" si="3055"/>
        <v>-41.773036077360089</v>
      </c>
      <c r="P494" s="35">
        <f>P488/P473*100</f>
        <v>4.6340683924576549</v>
      </c>
      <c r="Q494" s="23" t="str">
        <f t="shared" si="3055"/>
        <v>NM</v>
      </c>
      <c r="R494" s="35">
        <f>R488/R473*100</f>
        <v>4.8496605237633359</v>
      </c>
      <c r="S494" s="23">
        <f t="shared" si="3055"/>
        <v>0.32331070158422293</v>
      </c>
      <c r="T494" s="35">
        <f>T488/T473*100</f>
        <v>5.394449641409417</v>
      </c>
      <c r="U494" s="23">
        <f t="shared" si="3055"/>
        <v>0.87289881604848407</v>
      </c>
      <c r="V494" s="35">
        <f>V488/V473*100</f>
        <v>6.0559483553642792</v>
      </c>
      <c r="W494" s="23">
        <f t="shared" si="3055"/>
        <v>49.170119889332909</v>
      </c>
      <c r="X494" s="35">
        <f>X488/X473*100</f>
        <v>4.6413502109704643</v>
      </c>
      <c r="Y494" s="23">
        <f t="shared" si="3055"/>
        <v>0.15713662156262576</v>
      </c>
      <c r="Z494" s="35">
        <f>Z488/Z473*100</f>
        <v>4.9873737373737379</v>
      </c>
      <c r="AA494" s="23">
        <f>IF(ISERROR((Z494/R494-1)*100),"NA",IF(((Z494/R494-1)*100)&gt;100,"NM",IF(((Z494/R494-1)*100)&lt;-50,"NM",(Z494/R494-1)*100)))</f>
        <v>2.8396464646464947</v>
      </c>
      <c r="AB494" s="35">
        <f>AB488/AB473*100</f>
        <v>4.6865104496516787</v>
      </c>
      <c r="AC494" s="23">
        <f>IF(ISERROR((AB494/T494-1)*100),"NA",IF(((AB494/T494-1)*100)&gt;100,"NM",IF(((AB494/T494-1)*100)&lt;-50,"NM",(AB494/T494-1)*100)))</f>
        <v>-13.123473918884777</v>
      </c>
      <c r="AD494" s="35">
        <f>AD488/AD473*100</f>
        <v>-5.2498418722327651</v>
      </c>
      <c r="AE494" s="23" t="str">
        <f>IF(ISERROR((AD494/V494-1)*100),"NA",IF(((AD494/V494-1)*100)&gt;100,"NM",IF(((AD494/V494-1)*100)&lt;-50,"NM",(AD494/V494-1)*100)))</f>
        <v>NM</v>
      </c>
      <c r="AF494" s="35">
        <f>AF488/AF473*100</f>
        <v>6.2066688676130743</v>
      </c>
      <c r="AG494" s="23">
        <f>IF(ISERROR((AF494/X494-1)*100),"NA",IF(((AF494/X494-1)*100)&gt;100,"NM",IF(((AF494/X494-1)*100)&lt;-50,"NM",(AF494/X494-1)*100)))</f>
        <v>33.725501965845318</v>
      </c>
      <c r="AH494" s="35">
        <f>AH488/AH473*100</f>
        <v>4.583333333333333</v>
      </c>
      <c r="AI494" s="23">
        <f>IF(ISERROR((AH494/Z494-1)*100),"NA",IF(((AH494/Z494-1)*100)&gt;100,"NM",IF(((AH494/Z494-1)*100)&lt;-50,"NM",(AH494/Z494-1)*100)))</f>
        <v>-8.101265822784832</v>
      </c>
      <c r="AJ494" s="35">
        <f>AJ488/AJ473*100</f>
        <v>5.3914835164835164</v>
      </c>
      <c r="AK494" s="23">
        <f>IF(ISERROR((AJ494/AB494-1)*100),"NA",IF(((AJ494/AB494-1)*100)&gt;100,"NM",IF(((AJ494/AB494-1)*100)&lt;-50,"NM",(AJ494/AB494-1)*100)))</f>
        <v>15.042600980100973</v>
      </c>
      <c r="AL494" s="35">
        <f>AL488/AL473*100</f>
        <v>3.310294652600946</v>
      </c>
      <c r="AM494" s="23" t="str">
        <f>IF(ISERROR((AL494/AD494-1)*100),"NA",IF(((AL494/AD494-1)*100)&gt;100,"NM",IF(((AL494/AD494-1)*100)&lt;-50,"NM",(AL494/AD494-1)*100)))</f>
        <v>NM</v>
      </c>
      <c r="AN494" s="409">
        <f t="shared" ref="AN494:AP494" si="3078">AN488/AN473*100</f>
        <v>4.693414080242241</v>
      </c>
      <c r="AO494" s="23">
        <f>IF(ISERROR((AN494/AF494-1)*100),"NA",IF(((AN494/AF494-1)*100)&gt;100,"NM",IF(((AN494/AF494-1)*100)&lt;-50,"NM",(AN494/AF494-1)*100)))</f>
        <v>-24.381110377373695</v>
      </c>
      <c r="AP494" s="409">
        <f t="shared" si="3078"/>
        <v>4.7231270358306192</v>
      </c>
      <c r="AQ494" s="23">
        <f t="shared" si="3057"/>
        <v>3.0500444181225994</v>
      </c>
      <c r="AR494" s="409">
        <f t="shared" ref="AR494:AT494" si="3079">AR488/AR473*100</f>
        <v>5.3793657165796871</v>
      </c>
      <c r="AS494" s="23">
        <f t="shared" si="3059"/>
        <v>-0.22475817401242937</v>
      </c>
      <c r="AT494" s="409">
        <f t="shared" si="3079"/>
        <v>1.5055467511885894</v>
      </c>
      <c r="AU494" s="23" t="str">
        <f t="shared" si="3060"/>
        <v>NM</v>
      </c>
      <c r="AV494" s="409">
        <f t="shared" ref="AV494:AX494" si="3080">AV488/AV473*100</f>
        <v>41.380718954248366</v>
      </c>
      <c r="AW494" s="23" t="str">
        <f t="shared" si="3062"/>
        <v>NM</v>
      </c>
      <c r="AX494" s="409">
        <f t="shared" si="3080"/>
        <v>-0.83752093802345051</v>
      </c>
      <c r="AY494" s="23" t="str">
        <f t="shared" si="3063"/>
        <v>NM</v>
      </c>
      <c r="AZ494" s="409">
        <f t="shared" ref="AZ494" si="3081">AZ488/AZ473*100</f>
        <v>3.9022096850023518</v>
      </c>
      <c r="BA494" s="23">
        <f t="shared" si="3065"/>
        <v>-27.459669213874193</v>
      </c>
      <c r="BB494" s="409">
        <f t="shared" ref="BB494:BD494" si="3082">BB488/BB473*100</f>
        <v>3.4769833496571994</v>
      </c>
      <c r="BC494" s="23" t="str">
        <f t="shared" si="3067"/>
        <v>NM</v>
      </c>
      <c r="BD494" s="409" t="e">
        <f t="shared" si="3082"/>
        <v>#DIV/0!</v>
      </c>
      <c r="BE494" s="23" t="str">
        <f t="shared" si="3068"/>
        <v>NA</v>
      </c>
      <c r="BF494" s="47">
        <v>2.9</v>
      </c>
      <c r="BG494" s="23" t="str">
        <f t="shared" si="3069"/>
        <v>NM</v>
      </c>
      <c r="BH494" s="47">
        <f t="shared" si="3077"/>
        <v>2.9</v>
      </c>
      <c r="BI494" s="23">
        <f t="shared" si="3070"/>
        <v>-25.683132530120499</v>
      </c>
      <c r="BJ494" s="47"/>
      <c r="BK494" s="23"/>
      <c r="BL494" s="47"/>
      <c r="BM494" s="23" t="str">
        <f t="shared" si="3071"/>
        <v>NA</v>
      </c>
      <c r="BN494" s="35"/>
      <c r="BO494" s="138"/>
      <c r="BP494" s="35"/>
      <c r="BQ494" s="35">
        <f>BQ488/BQ473*100</f>
        <v>57.166813768755517</v>
      </c>
      <c r="BR494" s="35"/>
      <c r="BS494" s="35">
        <f>BS488/BS473*100</f>
        <v>19.646884965388502</v>
      </c>
      <c r="BT494" s="35"/>
      <c r="BU494" s="35">
        <f>BU488/BU473*100</f>
        <v>4.3179511204809868</v>
      </c>
      <c r="BV494" s="23" t="str">
        <f>IF(ISERROR((BU494/BS494-1)*100),"NA",IF(((BU494/BS494-1)*100)&gt;100,"NM",IF(((BU494/BS494-1)*100)&lt;-50,"NM",(BU494/BS494-1)*100)))</f>
        <v>NM</v>
      </c>
      <c r="BW494" s="35">
        <f>BW488/BW473*100</f>
        <v>4.7172101302694385</v>
      </c>
      <c r="BX494" s="23">
        <f>IF(ISERROR((BW494/BU494-1)*100),"NA",IF(((BW494/BU494-1)*100)&gt;100,"NM",IF(((BW494/BU494-1)*100)&lt;-50,"NM",(BW494/BU494-1)*100)))</f>
        <v>9.2464921127680011</v>
      </c>
      <c r="BY494" s="35">
        <f>BY488/BY473*100</f>
        <v>5.2365783544402156</v>
      </c>
      <c r="BZ494" s="23">
        <f>IF(ISERROR((BY494/BW494-1)*100),"NA",IF(((BY494/BW494-1)*100)&gt;100,"NM",IF(((BY494/BW494-1)*100)&lt;-50,"NM",(BY494/BW494-1)*100)))</f>
        <v>11.010071839668335</v>
      </c>
      <c r="CA494" s="35">
        <f>CA488/CA473*100</f>
        <v>2.6204362067588081</v>
      </c>
      <c r="CB494" s="23">
        <f>IF(ISERROR((CA494/BY494-1)*100),"NA",IF(((CA494/BY494-1)*100)&gt;100,"NM",IF(((CA494/BY494-1)*100)&lt;-50,"NM",(CA494/BY494-1)*100)))</f>
        <v>-49.958999381019865</v>
      </c>
      <c r="CC494" s="35">
        <f>CC488/CC473*100</f>
        <v>4.5068407404095501</v>
      </c>
      <c r="CD494" s="23">
        <f>IF(ISERROR((CC494/CA494-1)*100),"NA",IF(((CC494/CA494-1)*100)&gt;100,"NM",IF(((CC494/CA494-1)*100)&lt;-50,"NM",(CC494/CA494-1)*100)))</f>
        <v>71.988187645446146</v>
      </c>
      <c r="CE494" s="35">
        <f>CE488/CE473*100</f>
        <v>13.116241556608527</v>
      </c>
      <c r="CF494" s="23" t="str">
        <f>IF(ISERROR((CE494/CC494-1)*100),"NA",IF(((CE494/CC494-1)*100)&gt;100,"NM",IF(((CE494/CC494-1)*100)&lt;-50,"NM",(CE494/CC494-1)*100)))</f>
        <v>NM</v>
      </c>
      <c r="CG494" s="35">
        <f>CG488/CG473*100</f>
        <v>2.0436175080067103</v>
      </c>
      <c r="CH494" s="23" t="str">
        <f>IF(ISERROR((CG494/CE494-1)*100),"NA",IF(((CG494/CE494-1)*100)&gt;100,"NM",IF(((CG494/CE494-1)*100)&lt;-50,"NM",(CG494/CE494-1)*100)))</f>
        <v>NM</v>
      </c>
      <c r="CI494" s="35" t="e">
        <f>CI488/CI473*100</f>
        <v>#DIV/0!</v>
      </c>
      <c r="CJ494" s="23" t="str">
        <f>IF(ISERROR((CI494/CG494-1)*100),"NA",IF(((CI494/CG494-1)*100)&gt;100,"NM",IF(((CI494/CG494-1)*100)&lt;-50,"NM",(CI494/CG494-1)*100)))</f>
        <v>NA</v>
      </c>
      <c r="CK494" s="114"/>
      <c r="CL494" s="23"/>
      <c r="CM494" s="114"/>
      <c r="CN494" s="23"/>
      <c r="CO494" s="114"/>
      <c r="CP494" s="23"/>
      <c r="CQ494" s="114"/>
      <c r="CR494" s="23" t="str">
        <f>IF(ISERROR((CQ494/CO494-1)*100),"NA",IF(((CQ494/CO494-1)*100)&gt;100,"NM",IF(((CQ494/CO494-1)*100)&lt;-50,"NM",(CQ494/CO494-1)*100)))</f>
        <v>NA</v>
      </c>
      <c r="CS494" s="23" t="str">
        <f>IF(ISERROR(((CQ494/CG494)^0.2-1)*100),"NA",IF((((CQ494/CG494)^0.2-1)*100)&gt;100,"NM",IF((((CQ494/CG494)^0.2-1)*100)&lt;-50,"NM",((CQ494/CG494)^0.2-1)*100)))</f>
        <v>NM</v>
      </c>
    </row>
    <row r="495" spans="1:97" ht="12.75" hidden="1" customHeight="1" outlineLevel="1" x14ac:dyDescent="0.2">
      <c r="B495" s="35"/>
      <c r="C495" s="60"/>
      <c r="D495" s="35"/>
      <c r="E495" s="60"/>
      <c r="F495" s="35"/>
      <c r="G495" s="60"/>
      <c r="H495" s="35"/>
      <c r="I495" s="60"/>
      <c r="J495" s="35"/>
      <c r="L495" s="35"/>
      <c r="N495" s="35"/>
      <c r="P495" s="35"/>
      <c r="R495" s="35"/>
      <c r="T495" s="35"/>
      <c r="V495" s="35"/>
      <c r="X495" s="35"/>
      <c r="Z495" s="35"/>
      <c r="AB495" s="35"/>
      <c r="AD495" s="35"/>
      <c r="AF495" s="35"/>
      <c r="AH495" s="35"/>
      <c r="AJ495" s="35"/>
      <c r="AL495" s="35"/>
      <c r="AN495" s="409"/>
      <c r="AP495" s="409"/>
      <c r="AR495" s="409"/>
      <c r="AT495" s="409"/>
      <c r="AV495" s="409"/>
      <c r="AX495" s="409"/>
      <c r="AZ495" s="409"/>
      <c r="BB495" s="409"/>
      <c r="BD495" s="409"/>
      <c r="BF495" s="35"/>
      <c r="BH495" s="35"/>
      <c r="BJ495" s="35"/>
      <c r="BL495" s="35"/>
      <c r="BN495" s="35"/>
      <c r="BO495" s="138"/>
      <c r="BP495" s="35"/>
      <c r="BQ495" s="35"/>
      <c r="BR495" s="35"/>
      <c r="BS495" s="35"/>
      <c r="BT495" s="35"/>
      <c r="BU495" s="37"/>
      <c r="BW495" s="37"/>
      <c r="BY495" s="37"/>
      <c r="CA495" s="37"/>
      <c r="CC495" s="37"/>
      <c r="CE495" s="37"/>
      <c r="CG495" s="37"/>
      <c r="CI495" s="37"/>
      <c r="CK495" s="37"/>
      <c r="CM495" s="37"/>
      <c r="CO495" s="37"/>
      <c r="CQ495" s="37"/>
    </row>
    <row r="496" spans="1:97" ht="12.75" hidden="1" customHeight="1" outlineLevel="1" x14ac:dyDescent="0.2">
      <c r="A496" s="3" t="s">
        <v>128</v>
      </c>
      <c r="B496" s="72">
        <f>B476-B489</f>
        <v>-64.7</v>
      </c>
      <c r="C496" s="44"/>
      <c r="D496" s="72">
        <f t="shared" ref="D496:P496" si="3083">D476-D489</f>
        <v>196.3</v>
      </c>
      <c r="E496" s="44"/>
      <c r="F496" s="72">
        <f t="shared" si="3083"/>
        <v>813.00000000000011</v>
      </c>
      <c r="G496" s="44"/>
      <c r="H496" s="72">
        <f t="shared" si="3083"/>
        <v>-1509.1000000000001</v>
      </c>
      <c r="I496" s="44"/>
      <c r="J496" s="72">
        <f t="shared" si="3083"/>
        <v>-907.8</v>
      </c>
      <c r="K496" s="23" t="str">
        <f t="shared" ref="K496:Y496" si="3084">IF(ISERROR((J496/B496-1)*100),"NA",IF(((J496/B496-1)*100)&gt;100,"NM",IF(((J496/B496-1)*100)&lt;-50,"NM",(J496/B496-1)*100)))</f>
        <v>NM</v>
      </c>
      <c r="L496" s="72">
        <f t="shared" si="3083"/>
        <v>382.00000000000006</v>
      </c>
      <c r="M496" s="23">
        <f t="shared" si="3084"/>
        <v>94.600101884870114</v>
      </c>
      <c r="N496" s="72">
        <f t="shared" si="3083"/>
        <v>0.79999999999996163</v>
      </c>
      <c r="O496" s="23" t="str">
        <f t="shared" si="3084"/>
        <v>NM</v>
      </c>
      <c r="P496" s="72">
        <f t="shared" si="3083"/>
        <v>-167.3</v>
      </c>
      <c r="Q496" s="23" t="str">
        <f t="shared" si="3084"/>
        <v>NM</v>
      </c>
      <c r="R496" s="72">
        <f>R476-R489</f>
        <v>-477.1</v>
      </c>
      <c r="S496" s="23">
        <f t="shared" si="3084"/>
        <v>-47.444371006829691</v>
      </c>
      <c r="T496" s="72">
        <f>T476-T489</f>
        <v>-338.40000000000003</v>
      </c>
      <c r="U496" s="23" t="str">
        <f t="shared" si="3084"/>
        <v>NM</v>
      </c>
      <c r="V496" s="72">
        <f>V476-V489</f>
        <v>-167.39999999999998</v>
      </c>
      <c r="W496" s="23" t="str">
        <f t="shared" si="3084"/>
        <v>NM</v>
      </c>
      <c r="X496" s="72">
        <f>X476-X489</f>
        <v>-226.39999999999995</v>
      </c>
      <c r="Y496" s="23">
        <f t="shared" si="3084"/>
        <v>35.325762104004731</v>
      </c>
      <c r="Z496" s="72">
        <f>Z476-Z489</f>
        <v>20.200000000000045</v>
      </c>
      <c r="AA496" s="23" t="str">
        <f>IF(ISERROR((Z496/R496-1)*100),"NA",IF(((Z496/R496-1)*100)&gt;100,"NM",IF(((Z496/R496-1)*100)&lt;-50,"NM",(Z496/R496-1)*100)))</f>
        <v>NM</v>
      </c>
      <c r="AB496" s="72">
        <f>AB476-AB489</f>
        <v>-82.09999999999998</v>
      </c>
      <c r="AC496" s="23" t="str">
        <f>IF(ISERROR((AB496/T496-1)*100),"NA",IF(((AB496/T496-1)*100)&gt;100,"NM",IF(((AB496/T496-1)*100)&lt;-50,"NM",(AB496/T496-1)*100)))</f>
        <v>NM</v>
      </c>
      <c r="AD496" s="72">
        <f>AD476-AD489</f>
        <v>135.99999999999989</v>
      </c>
      <c r="AE496" s="23" t="str">
        <f>IF(ISERROR((AD496/V496-1)*100),"NA",IF(((AD496/V496-1)*100)&gt;100,"NM",IF(((AD496/V496-1)*100)&lt;-50,"NM",(AD496/V496-1)*100)))</f>
        <v>NM</v>
      </c>
      <c r="AF496" s="72">
        <f>AF476-AF489</f>
        <v>-317.3</v>
      </c>
      <c r="AG496" s="23">
        <f>IF(ISERROR((AF496/X496-1)*100),"NA",IF(((AF496/X496-1)*100)&gt;100,"NM",IF(((AF496/X496-1)*100)&lt;-50,"NM",(AF496/X496-1)*100)))</f>
        <v>40.15017667844527</v>
      </c>
      <c r="AH496" s="72">
        <f>AH476-AH489</f>
        <v>-29.400000000000034</v>
      </c>
      <c r="AI496" s="23" t="str">
        <f>IF(ISERROR((AH496/Z496-1)*100),"NA",IF(((AH496/Z496-1)*100)&gt;100,"NM",IF(((AH496/Z496-1)*100)&lt;-50,"NM",(AH496/Z496-1)*100)))</f>
        <v>NM</v>
      </c>
      <c r="AJ496" s="72">
        <f>AJ476-AJ489</f>
        <v>180.5</v>
      </c>
      <c r="AK496" s="23" t="str">
        <f>IF(ISERROR((AJ496/AB496-1)*100),"NA",IF(((AJ496/AB496-1)*100)&gt;100,"NM",IF(((AJ496/AB496-1)*100)&lt;-50,"NM",(AJ496/AB496-1)*100)))</f>
        <v>NM</v>
      </c>
      <c r="AL496" s="72">
        <f>AL476-AL489</f>
        <v>-7.1000000000000227</v>
      </c>
      <c r="AM496" s="23" t="str">
        <f>IF(ISERROR((AL496/AD496-1)*100),"NA",IF(((AL496/AD496-1)*100)&gt;100,"NM",IF(((AL496/AD496-1)*100)&lt;-50,"NM",(AL496/AD496-1)*100)))</f>
        <v>NM</v>
      </c>
      <c r="AN496" s="72">
        <f t="shared" ref="AN496:AP496" si="3085">AN476-AN489</f>
        <v>-317.3</v>
      </c>
      <c r="AO496" s="23">
        <f>IF(ISERROR((AN496/AF496-1)*100),"NA",IF(((AN496/AF496-1)*100)&gt;100,"NM",IF(((AN496/AF496-1)*100)&lt;-50,"NM",(AN496/AF496-1)*100)))</f>
        <v>0</v>
      </c>
      <c r="AP496" s="72">
        <f t="shared" si="3085"/>
        <v>46</v>
      </c>
      <c r="AQ496" s="23" t="str">
        <f t="shared" ref="AQ496" si="3086">IF(ISERROR((AP496/AH496-1)*100),"NA",IF(((AP496/AH496-1)*100)&gt;100,"NM",IF(((AP496/AH496-1)*100)&lt;-50,"NM",(AP496/AH496-1)*100)))</f>
        <v>NM</v>
      </c>
      <c r="AR496" s="72">
        <f t="shared" ref="AR496:AT496" si="3087">AR476-AR489</f>
        <v>56.5</v>
      </c>
      <c r="AS496" s="23" t="str">
        <f t="shared" ref="AS496" si="3088">IF(ISERROR((AR496/AJ496-1)*100),"NA",IF(((AR496/AJ496-1)*100)&gt;100,"NM",IF(((AR496/AJ496-1)*100)&lt;-50,"NM",(AR496/AJ496-1)*100)))</f>
        <v>NM</v>
      </c>
      <c r="AT496" s="72">
        <f t="shared" si="3087"/>
        <v>-328</v>
      </c>
      <c r="AU496" s="23" t="str">
        <f t="shared" ref="AU496" si="3089">IF(ISERROR((AT496/AL496-1)*100),"NA",IF(((AT496/AL496-1)*100)&gt;100,"NM",IF(((AT496/AL496-1)*100)&lt;-50,"NM",(AT496/AL496-1)*100)))</f>
        <v>NM</v>
      </c>
      <c r="AV496" s="72">
        <f t="shared" ref="AV496:AX496" si="3090">AV476-AV489</f>
        <v>-729.5</v>
      </c>
      <c r="AW496" s="23" t="str">
        <f t="shared" ref="AW496" si="3091">IF(ISERROR((AV496/AN496-1)*100),"NA",IF(((AV496/AN496-1)*100)&gt;100,"NM",IF(((AV496/AN496-1)*100)&lt;-50,"NM",(AV496/AN496-1)*100)))</f>
        <v>NM</v>
      </c>
      <c r="AX496" s="72">
        <f t="shared" si="3090"/>
        <v>-387.09999999999997</v>
      </c>
      <c r="AY496" s="23" t="str">
        <f t="shared" ref="AY496" si="3092">IF(ISERROR((AX496/AP496-1)*100),"NA",IF(((AX496/AP496-1)*100)&gt;100,"NM",IF(((AX496/AP496-1)*100)&lt;-50,"NM",(AX496/AP496-1)*100)))</f>
        <v>NM</v>
      </c>
      <c r="AZ496" s="72">
        <f t="shared" ref="AZ496" si="3093">AZ476-AZ489</f>
        <v>-28</v>
      </c>
      <c r="BA496" s="23" t="str">
        <f t="shared" ref="BA496" si="3094">IF(ISERROR((AZ496/AR496-1)*100),"NA",IF(((AZ496/AR496-1)*100)&gt;100,"NM",IF(((AZ496/AR496-1)*100)&lt;-50,"NM",(AZ496/AR496-1)*100)))</f>
        <v>NM</v>
      </c>
      <c r="BB496" s="72">
        <f>BB476-BB489</f>
        <v>141.79999999999998</v>
      </c>
      <c r="BC496" s="23" t="str">
        <f t="shared" ref="BC496" si="3095">IF(ISERROR((BB496/AT496-1)*100),"NA",IF(((BB496/AT496-1)*100)&gt;100,"NM",IF(((BB496/AT496-1)*100)&lt;-50,"NM",(BB496/AT496-1)*100)))</f>
        <v>NM</v>
      </c>
      <c r="BD496" s="72">
        <f>BD476-BD489</f>
        <v>0</v>
      </c>
      <c r="BE496" s="23" t="str">
        <f t="shared" ref="BE496" si="3096">IF(ISERROR((BD496/AV496-1)*100),"NA",IF(((BD496/AV496-1)*100)&gt;100,"NM",IF(((BD496/AV496-1)*100)&lt;-50,"NM",(BD496/AV496-1)*100)))</f>
        <v>NM</v>
      </c>
      <c r="BF496" s="72">
        <f>BF476-BF489</f>
        <v>52.2</v>
      </c>
      <c r="BG496" s="23" t="str">
        <f t="shared" ref="BG496" si="3097">IF(ISERROR((BF496/AX496-1)*100),"NA",IF(((BF496/AX496-1)*100)&gt;100,"NM",IF(((BF496/AX496-1)*100)&lt;-50,"NM",(BF496/AX496-1)*100)))</f>
        <v>NM</v>
      </c>
      <c r="BH496" s="72">
        <f t="shared" ref="BH496" si="3098">BH476-BH489</f>
        <v>47.2</v>
      </c>
      <c r="BI496" s="23" t="str">
        <f t="shared" ref="BI496" si="3099">IF(ISERROR((BH496/AZ496-1)*100),"NA",IF(((BH496/AZ496-1)*100)&gt;100,"NM",IF(((BH496/AZ496-1)*100)&lt;-50,"NM",(BH496/AZ496-1)*100)))</f>
        <v>NM</v>
      </c>
      <c r="BJ496" s="72"/>
      <c r="BK496" s="23"/>
      <c r="BL496" s="72"/>
      <c r="BM496" s="23" t="str">
        <f t="shared" ref="BM496" si="3100">IF(ISERROR((BL496/BD496-1)*100),"NA",IF(((BL496/BD496-1)*100)&gt;100,"NM",IF(((BL496/BD496-1)*100)&lt;-50,"NM",(BL496/BD496-1)*100)))</f>
        <v>NA</v>
      </c>
      <c r="BN496" s="37"/>
      <c r="BO496" s="137"/>
      <c r="BP496" s="37"/>
      <c r="BQ496" s="73">
        <f>BQ476-BQ489</f>
        <v>-1864.8</v>
      </c>
      <c r="BR496" s="37"/>
      <c r="BS496" s="73">
        <f>BS476-BS489</f>
        <v>-220.19999999999993</v>
      </c>
      <c r="BT496" s="37"/>
      <c r="BU496" s="73">
        <f>BU476-BU489</f>
        <v>-564.50000000000023</v>
      </c>
      <c r="BV496" s="23" t="str">
        <f>IF(ISERROR((BU496/BS496-1)*100),"NA",IF(((BU496/BS496-1)*100)&gt;100,"NM",IF(((BU496/BS496-1)*100)&lt;-50,"NM",(BU496/BS496-1)*100)))</f>
        <v>NM</v>
      </c>
      <c r="BW496" s="73">
        <f>BW476-BW489</f>
        <v>-692.29999999999973</v>
      </c>
      <c r="BX496" s="23">
        <f>IF(ISERROR((BW496/BU496-1)*100),"NA",IF(((BW496/BU496-1)*100)&gt;100,"NM",IF(((BW496/BU496-1)*100)&lt;-50,"NM",(BW496/BU496-1)*100)))</f>
        <v>22.639503985828057</v>
      </c>
      <c r="BY496" s="73">
        <f>BY476-BY489</f>
        <v>-1209.3000000000002</v>
      </c>
      <c r="BZ496" s="23">
        <f>IF(ISERROR((BY496/BW496-1)*100),"NA",IF(((BY496/BW496-1)*100)&gt;100,"NM",IF(((BY496/BW496-1)*100)&lt;-50,"NM",(BY496/BW496-1)*100)))</f>
        <v>74.67860754008386</v>
      </c>
      <c r="CA496" s="73">
        <f>CA476-CA489</f>
        <v>-243.20000000000027</v>
      </c>
      <c r="CB496" s="23" t="str">
        <f>IF(ISERROR((CA496/BY496-1)*100),"NA",IF(((CA496/BY496-1)*100)&gt;100,"NM",IF(((CA496/BY496-1)*100)&lt;-50,"NM",(CA496/BY496-1)*100)))</f>
        <v>NM</v>
      </c>
      <c r="CC496" s="73">
        <f>CC476-CC489</f>
        <v>-173.30000000000018</v>
      </c>
      <c r="CD496" s="23">
        <f>IF(ISERROR((CC496/CA496-1)*100),"NA",IF(((CC496/CA496-1)*100)&gt;100,"NM",IF(((CC496/CA496-1)*100)&lt;-50,"NM",(CC496/CA496-1)*100)))</f>
        <v>-28.74177631578948</v>
      </c>
      <c r="CE496" s="73">
        <f>CE476-CE489</f>
        <v>-954.99999999999977</v>
      </c>
      <c r="CF496" s="23" t="str">
        <f>IF(ISERROR((CE496/CC496-1)*100),"NA",IF(((CE496/CC496-1)*100)&gt;100,"NM",IF(((CE496/CC496-1)*100)&lt;-50,"NM",(CE496/CC496-1)*100)))</f>
        <v>NM</v>
      </c>
      <c r="CG496" s="73">
        <f>CG476-CG489</f>
        <v>-273.2999999999999</v>
      </c>
      <c r="CH496" s="23" t="str">
        <f>IF(ISERROR((CG496/CE496-1)*100),"NA",IF(((CG496/CE496-1)*100)&gt;100,"NM",IF(((CG496/CE496-1)*100)&lt;-50,"NM",(CG496/CE496-1)*100)))</f>
        <v>NM</v>
      </c>
      <c r="CI496" s="73">
        <f>CI476-CI489</f>
        <v>99.4</v>
      </c>
      <c r="CJ496" s="23" t="str">
        <f>IF(ISERROR((CI496/CG496-1)*100),"NA",IF(((CI496/CG496-1)*100)&gt;100,"NM",IF(((CI496/CG496-1)*100)&lt;-50,"NM",(CI496/CG496-1)*100)))</f>
        <v>NM</v>
      </c>
      <c r="CK496" s="72"/>
      <c r="CL496" s="23"/>
      <c r="CM496" s="72"/>
      <c r="CN496" s="23"/>
      <c r="CO496" s="72"/>
      <c r="CP496" s="23"/>
      <c r="CQ496" s="72"/>
      <c r="CR496" s="23" t="str">
        <f>IF(ISERROR((CQ496/CO496-1)*100),"NA",IF(((CQ496/CO496-1)*100)&gt;100,"NM",IF(((CQ496/CO496-1)*100)&lt;-50,"NM",(CQ496/CO496-1)*100)))</f>
        <v>NA</v>
      </c>
      <c r="CS496" s="23" t="str">
        <f>IF(ISERROR(((CQ496/CG496)^0.2-1)*100),"NA",IF((((CQ496/CG496)^0.2-1)*100)&gt;100,"NM",IF((((CQ496/CG496)^0.2-1)*100)&lt;-50,"NM",((CQ496/CG496)^0.2-1)*100)))</f>
        <v>NM</v>
      </c>
    </row>
    <row r="497" spans="1:105" ht="12.75" hidden="1" customHeight="1" outlineLevel="1" x14ac:dyDescent="0.2">
      <c r="A497" s="4" t="s">
        <v>360</v>
      </c>
      <c r="B497" s="36">
        <f>B496*0.65</f>
        <v>-42.055000000000007</v>
      </c>
      <c r="C497" s="63"/>
      <c r="D497" s="36">
        <f>D496*0.65</f>
        <v>127.59500000000001</v>
      </c>
      <c r="E497" s="63"/>
      <c r="F497" s="36">
        <f>F496*0.65</f>
        <v>528.45000000000005</v>
      </c>
      <c r="G497" s="63"/>
      <c r="H497" s="36">
        <f>H496*0.65</f>
        <v>-980.91500000000008</v>
      </c>
      <c r="I497" s="63"/>
      <c r="J497" s="36">
        <f>J496*0.65</f>
        <v>-590.06999999999994</v>
      </c>
      <c r="L497" s="36">
        <f>L496*0.65</f>
        <v>248.30000000000004</v>
      </c>
      <c r="N497" s="36">
        <f>N496*0.65</f>
        <v>0.51999999999997504</v>
      </c>
      <c r="P497" s="36">
        <f>P496*0.65</f>
        <v>-108.745</v>
      </c>
      <c r="R497" s="36">
        <f>R496*0.65</f>
        <v>-310.11500000000001</v>
      </c>
      <c r="T497" s="36">
        <f>T496*0.65</f>
        <v>-219.96000000000004</v>
      </c>
      <c r="V497" s="36">
        <f>V496*0.65</f>
        <v>-108.80999999999999</v>
      </c>
      <c r="X497" s="36">
        <f>X496*0.65</f>
        <v>-147.15999999999997</v>
      </c>
      <c r="Z497" s="36">
        <f>Z496*0.65</f>
        <v>13.130000000000029</v>
      </c>
      <c r="AB497" s="36">
        <f>AB496*0.65</f>
        <v>-53.364999999999988</v>
      </c>
      <c r="AD497" s="36">
        <f>AD496*0.65</f>
        <v>88.399999999999935</v>
      </c>
      <c r="AF497" s="36">
        <f>AF496*0.65</f>
        <v>-206.245</v>
      </c>
      <c r="AH497" s="36">
        <f>AH496*0.65</f>
        <v>-19.110000000000024</v>
      </c>
      <c r="AJ497" s="36">
        <f>AJ496*0.65</f>
        <v>117.325</v>
      </c>
      <c r="AL497" s="36">
        <f>AL496*0.65</f>
        <v>-4.6150000000000153</v>
      </c>
      <c r="AN497" s="410">
        <f t="shared" ref="AN497:AP497" si="3101">AN496*0.65</f>
        <v>-206.245</v>
      </c>
      <c r="AP497" s="410">
        <f t="shared" si="3101"/>
        <v>29.900000000000002</v>
      </c>
      <c r="AR497" s="410">
        <f t="shared" ref="AR497:AT497" si="3102">AR496*0.65</f>
        <v>36.725000000000001</v>
      </c>
      <c r="AT497" s="410">
        <f t="shared" si="3102"/>
        <v>-213.20000000000002</v>
      </c>
      <c r="AV497" s="410">
        <f t="shared" ref="AV497:AX497" si="3103">AV496*0.65</f>
        <v>-474.17500000000001</v>
      </c>
      <c r="AX497" s="410">
        <f t="shared" si="3103"/>
        <v>-251.61499999999998</v>
      </c>
      <c r="AZ497" s="410">
        <f t="shared" ref="AZ497" si="3104">AZ496*0.65</f>
        <v>-18.2</v>
      </c>
      <c r="BB497" s="410">
        <f t="shared" ref="BB497:BD497" si="3105">BB496*0.65</f>
        <v>92.169999999999987</v>
      </c>
      <c r="BD497" s="410">
        <f t="shared" si="3105"/>
        <v>0</v>
      </c>
      <c r="BF497" s="36">
        <f t="shared" ref="BF497" si="3106">BF496*0.65</f>
        <v>33.93</v>
      </c>
      <c r="BH497" s="36">
        <f t="shared" ref="BH497" si="3107">BH496*0.65</f>
        <v>30.680000000000003</v>
      </c>
      <c r="BJ497" s="36"/>
      <c r="BL497" s="36"/>
      <c r="BN497" s="37"/>
      <c r="BO497" s="138"/>
      <c r="BP497" s="37"/>
      <c r="BQ497" s="37"/>
      <c r="BR497" s="35"/>
      <c r="BS497" s="36">
        <f>BS496*0.65</f>
        <v>-143.12999999999997</v>
      </c>
      <c r="BT497" s="35"/>
      <c r="BU497" s="36">
        <f>BU496*0.65</f>
        <v>-366.92500000000018</v>
      </c>
      <c r="BW497" s="36">
        <f>BW496*0.65</f>
        <v>-449.99499999999983</v>
      </c>
      <c r="BY497" s="36">
        <f>BY496*0.65</f>
        <v>-786.04500000000019</v>
      </c>
      <c r="CA497" s="36">
        <f>CA496*0.65</f>
        <v>-158.08000000000018</v>
      </c>
      <c r="CC497" s="36">
        <f>CC496*0.65</f>
        <v>-112.64500000000012</v>
      </c>
      <c r="CE497" s="36">
        <f>CE496*0.65</f>
        <v>-620.74999999999989</v>
      </c>
      <c r="CG497" s="36">
        <f>CG496*0.65</f>
        <v>-177.64499999999995</v>
      </c>
      <c r="CI497" s="36">
        <f>CI496*0.65</f>
        <v>64.61</v>
      </c>
      <c r="CK497" s="36"/>
      <c r="CM497" s="36"/>
      <c r="CO497" s="36"/>
      <c r="CQ497" s="36"/>
      <c r="CS497" s="207" t="str">
        <f>IF(ISERROR(((CQ497/CG497)^0.2-1)*100),"NA",IF((((CQ497/CG497)^0.2-1)*100)&gt;100,"NM",IF((((CQ497/CG497)^0.2-1)*100)&lt;-50,"NM",((CQ497/CG497)^0.2-1)*100)))</f>
        <v>NM</v>
      </c>
    </row>
    <row r="498" spans="1:105" ht="12.75" hidden="1" customHeight="1" outlineLevel="1" x14ac:dyDescent="0.2">
      <c r="B498" s="35"/>
      <c r="C498" s="63"/>
      <c r="D498" s="35"/>
      <c r="E498" s="63"/>
      <c r="F498" s="35"/>
      <c r="G498" s="63"/>
      <c r="H498" s="35"/>
      <c r="I498" s="63"/>
      <c r="J498" s="35"/>
      <c r="L498" s="35"/>
      <c r="N498" s="35"/>
      <c r="P498" s="35"/>
      <c r="R498" s="35"/>
      <c r="T498" s="35"/>
      <c r="V498" s="35"/>
      <c r="X498" s="35"/>
      <c r="Z498" s="35"/>
      <c r="AB498" s="35"/>
      <c r="AD498" s="35"/>
      <c r="AF498" s="35"/>
      <c r="AH498" s="35"/>
      <c r="AJ498" s="35"/>
      <c r="AL498" s="35"/>
      <c r="AN498" s="409"/>
      <c r="AP498" s="409"/>
      <c r="AR498" s="409"/>
      <c r="AT498" s="409"/>
      <c r="AV498" s="409"/>
      <c r="AX498" s="409"/>
      <c r="AZ498" s="409"/>
      <c r="BB498" s="409"/>
      <c r="BD498" s="409"/>
      <c r="BF498" s="35"/>
      <c r="BH498" s="35"/>
      <c r="BJ498" s="35"/>
      <c r="BL498" s="35"/>
      <c r="BN498" s="37"/>
      <c r="BO498" s="138"/>
      <c r="BP498" s="37"/>
      <c r="BQ498" s="37"/>
      <c r="BR498" s="35"/>
      <c r="BS498" s="35"/>
      <c r="BT498" s="35"/>
      <c r="BU498" s="35"/>
      <c r="BW498" s="35"/>
      <c r="BY498" s="35"/>
      <c r="CA498" s="35"/>
      <c r="CC498" s="35"/>
      <c r="CE498" s="35"/>
      <c r="CG498" s="35"/>
      <c r="CI498" s="35"/>
      <c r="CK498" s="35"/>
      <c r="CM498" s="35"/>
      <c r="CO498" s="35"/>
      <c r="CQ498" s="35"/>
    </row>
    <row r="499" spans="1:105" ht="12.75" hidden="1" customHeight="1" outlineLevel="1" x14ac:dyDescent="0.2">
      <c r="A499" s="4" t="s">
        <v>12</v>
      </c>
      <c r="B499" s="48">
        <v>0</v>
      </c>
      <c r="C499" s="44"/>
      <c r="D499" s="48">
        <v>0</v>
      </c>
      <c r="E499" s="44"/>
      <c r="F499" s="48">
        <v>0</v>
      </c>
      <c r="G499" s="44"/>
      <c r="H499" s="48">
        <v>0</v>
      </c>
      <c r="I499" s="44"/>
      <c r="J499" s="48">
        <v>0</v>
      </c>
      <c r="K499" s="23" t="str">
        <f t="shared" ref="K499:Y500" si="3108">IF(ISERROR((J499/B499-1)*100),"NA",IF(((J499/B499-1)*100)&gt;100,"NM",IF(((J499/B499-1)*100)&lt;-50,"NM",(J499/B499-1)*100)))</f>
        <v>NA</v>
      </c>
      <c r="L499" s="48">
        <v>0</v>
      </c>
      <c r="M499" s="23" t="str">
        <f t="shared" si="3108"/>
        <v>NA</v>
      </c>
      <c r="N499" s="48">
        <v>0</v>
      </c>
      <c r="O499" s="23" t="str">
        <f t="shared" si="3108"/>
        <v>NA</v>
      </c>
      <c r="P499" s="48">
        <v>0</v>
      </c>
      <c r="Q499" s="23" t="str">
        <f t="shared" si="3108"/>
        <v>NA</v>
      </c>
      <c r="R499" s="48">
        <v>0</v>
      </c>
      <c r="S499" s="23" t="str">
        <f t="shared" si="3108"/>
        <v>NA</v>
      </c>
      <c r="T499" s="48">
        <v>0</v>
      </c>
      <c r="U499" s="23" t="str">
        <f t="shared" si="3108"/>
        <v>NA</v>
      </c>
      <c r="V499" s="48">
        <v>0</v>
      </c>
      <c r="W499" s="23" t="str">
        <f t="shared" si="3108"/>
        <v>NA</v>
      </c>
      <c r="X499" s="48">
        <v>0</v>
      </c>
      <c r="Y499" s="23" t="str">
        <f t="shared" si="3108"/>
        <v>NA</v>
      </c>
      <c r="Z499" s="48">
        <v>0</v>
      </c>
      <c r="AA499" s="23" t="str">
        <f>IF(ISERROR((Z499/R499-1)*100),"NA",IF(((Z499/R499-1)*100)&gt;100,"NM",IF(((Z499/R499-1)*100)&lt;-50,"NM",(Z499/R499-1)*100)))</f>
        <v>NA</v>
      </c>
      <c r="AB499" s="48">
        <v>0</v>
      </c>
      <c r="AC499" s="23" t="str">
        <f>IF(ISERROR((AB499/T499-1)*100),"NA",IF(((AB499/T499-1)*100)&gt;100,"NM",IF(((AB499/T499-1)*100)&lt;-50,"NM",(AB499/T499-1)*100)))</f>
        <v>NA</v>
      </c>
      <c r="AD499" s="48">
        <v>0</v>
      </c>
      <c r="AE499" s="23" t="str">
        <f>IF(ISERROR((AD499/V499-1)*100),"NA",IF(((AD499/V499-1)*100)&gt;100,"NM",IF(((AD499/V499-1)*100)&lt;-50,"NM",(AD499/V499-1)*100)))</f>
        <v>NA</v>
      </c>
      <c r="AF499" s="48">
        <v>0</v>
      </c>
      <c r="AG499" s="23" t="str">
        <f>IF(ISERROR((AF499/X499-1)*100),"NA",IF(((AF499/X499-1)*100)&gt;100,"NM",IF(((AF499/X499-1)*100)&lt;-50,"NM",(AF499/X499-1)*100)))</f>
        <v>NA</v>
      </c>
      <c r="AH499" s="48">
        <v>0</v>
      </c>
      <c r="AI499" s="23" t="str">
        <f>IF(ISERROR((AH499/Z499-1)*100),"NA",IF(((AH499/Z499-1)*100)&gt;100,"NM",IF(((AH499/Z499-1)*100)&lt;-50,"NM",(AH499/Z499-1)*100)))</f>
        <v>NA</v>
      </c>
      <c r="AJ499" s="48">
        <v>0</v>
      </c>
      <c r="AK499" s="23" t="str">
        <f>IF(ISERROR((AJ499/AB499-1)*100),"NA",IF(((AJ499/AB499-1)*100)&gt;100,"NM",IF(((AJ499/AB499-1)*100)&lt;-50,"NM",(AJ499/AB499-1)*100)))</f>
        <v>NA</v>
      </c>
      <c r="AL499" s="48">
        <v>0</v>
      </c>
      <c r="AM499" s="23" t="str">
        <f>IF(ISERROR((AL499/AD499-1)*100),"NA",IF(((AL499/AD499-1)*100)&gt;100,"NM",IF(((AL499/AD499-1)*100)&lt;-50,"NM",(AL499/AD499-1)*100)))</f>
        <v>NA</v>
      </c>
      <c r="AN499" s="287">
        <v>0</v>
      </c>
      <c r="AO499" s="23" t="str">
        <f>IF(ISERROR((AN499/AF499-1)*100),"NA",IF(((AN499/AF499-1)*100)&gt;100,"NM",IF(((AN499/AF499-1)*100)&lt;-50,"NM",(AN499/AF499-1)*100)))</f>
        <v>NA</v>
      </c>
      <c r="AP499" s="287">
        <v>0</v>
      </c>
      <c r="AQ499" s="23" t="str">
        <f t="shared" ref="AQ499:AQ500" si="3109">IF(ISERROR((AP499/AH499-1)*100),"NA",IF(((AP499/AH499-1)*100)&gt;100,"NM",IF(((AP499/AH499-1)*100)&lt;-50,"NM",(AP499/AH499-1)*100)))</f>
        <v>NA</v>
      </c>
      <c r="AR499" s="287">
        <v>0</v>
      </c>
      <c r="AS499" s="23" t="str">
        <f t="shared" ref="AS499:AS500" si="3110">IF(ISERROR((AR499/AJ499-1)*100),"NA",IF(((AR499/AJ499-1)*100)&gt;100,"NM",IF(((AR499/AJ499-1)*100)&lt;-50,"NM",(AR499/AJ499-1)*100)))</f>
        <v>NA</v>
      </c>
      <c r="AT499" s="287">
        <v>0</v>
      </c>
      <c r="AU499" s="23" t="str">
        <f t="shared" ref="AU499:AU500" si="3111">IF(ISERROR((AT499/AL499-1)*100),"NA",IF(((AT499/AL499-1)*100)&gt;100,"NM",IF(((AT499/AL499-1)*100)&lt;-50,"NM",(AT499/AL499-1)*100)))</f>
        <v>NA</v>
      </c>
      <c r="AV499" s="287">
        <v>0</v>
      </c>
      <c r="AW499" s="23" t="str">
        <f t="shared" ref="AW499:AW500" si="3112">IF(ISERROR((AV499/AN499-1)*100),"NA",IF(((AV499/AN499-1)*100)&gt;100,"NM",IF(((AV499/AN499-1)*100)&lt;-50,"NM",(AV499/AN499-1)*100)))</f>
        <v>NA</v>
      </c>
      <c r="AX499" s="287">
        <v>0</v>
      </c>
      <c r="AY499" s="23" t="str">
        <f t="shared" ref="AY499:AY500" si="3113">IF(ISERROR((AX499/AP499-1)*100),"NA",IF(((AX499/AP499-1)*100)&gt;100,"NM",IF(((AX499/AP499-1)*100)&lt;-50,"NM",(AX499/AP499-1)*100)))</f>
        <v>NA</v>
      </c>
      <c r="AZ499" s="287">
        <v>0</v>
      </c>
      <c r="BA499" s="23" t="str">
        <f t="shared" ref="BA499:BA500" si="3114">IF(ISERROR((AZ499/AR499-1)*100),"NA",IF(((AZ499/AR499-1)*100)&gt;100,"NM",IF(((AZ499/AR499-1)*100)&lt;-50,"NM",(AZ499/AR499-1)*100)))</f>
        <v>NA</v>
      </c>
      <c r="BB499" s="287">
        <v>0</v>
      </c>
      <c r="BC499" s="23" t="str">
        <f t="shared" ref="BC499:BC500" si="3115">IF(ISERROR((BB499/AT499-1)*100),"NA",IF(((BB499/AT499-1)*100)&gt;100,"NM",IF(((BB499/AT499-1)*100)&lt;-50,"NM",(BB499/AT499-1)*100)))</f>
        <v>NA</v>
      </c>
      <c r="BD499" s="287">
        <v>0</v>
      </c>
      <c r="BE499" s="23" t="str">
        <f t="shared" ref="BE499:BE500" si="3116">IF(ISERROR((BD499/AV499-1)*100),"NA",IF(((BD499/AV499-1)*100)&gt;100,"NM",IF(((BD499/AV499-1)*100)&lt;-50,"NM",(BD499/AV499-1)*100)))</f>
        <v>NA</v>
      </c>
      <c r="BF499" s="48">
        <v>0</v>
      </c>
      <c r="BG499" s="23" t="str">
        <f t="shared" ref="BG499:BG500" si="3117">IF(ISERROR((BF499/AX499-1)*100),"NA",IF(((BF499/AX499-1)*100)&gt;100,"NM",IF(((BF499/AX499-1)*100)&lt;-50,"NM",(BF499/AX499-1)*100)))</f>
        <v>NA</v>
      </c>
      <c r="BH499" s="48">
        <v>0</v>
      </c>
      <c r="BI499" s="23" t="str">
        <f t="shared" ref="BI499:BI500" si="3118">IF(ISERROR((BH499/AZ499-1)*100),"NA",IF(((BH499/AZ499-1)*100)&gt;100,"NM",IF(((BH499/AZ499-1)*100)&lt;-50,"NM",(BH499/AZ499-1)*100)))</f>
        <v>NA</v>
      </c>
      <c r="BJ499" s="48"/>
      <c r="BK499" s="23"/>
      <c r="BL499" s="48"/>
      <c r="BM499" s="23" t="str">
        <f t="shared" ref="BM499:BM500" si="3119">IF(ISERROR((BL499/BD499-1)*100),"NA",IF(((BL499/BD499-1)*100)&gt;100,"NM",IF(((BL499/BD499-1)*100)&lt;-50,"NM",(BL499/BD499-1)*100)))</f>
        <v>NA</v>
      </c>
      <c r="BN499" s="37"/>
      <c r="BO499" s="137"/>
      <c r="BP499" s="37"/>
      <c r="BQ499" s="48">
        <v>0</v>
      </c>
      <c r="BR499" s="37"/>
      <c r="BS499" s="48">
        <v>0</v>
      </c>
      <c r="BT499" s="37"/>
      <c r="BU499" s="56">
        <f>B499+D499+F499+H499</f>
        <v>0</v>
      </c>
      <c r="BV499" s="23" t="str">
        <f>IF(ISERROR((BU499/BS499-1)*100),"NA",IF(((BU499/BS499-1)*100)&gt;100,"NM",IF(((BU499/BS499-1)*100)&lt;-50,"NM",(BU499/BS499-1)*100)))</f>
        <v>NA</v>
      </c>
      <c r="BW499" s="56">
        <f>J499+L499+N499+P499</f>
        <v>0</v>
      </c>
      <c r="BX499" s="23" t="str">
        <f>IF(ISERROR((BW499/BU499-1)*100),"NA",IF(((BW499/BU499-1)*100)&gt;100,"NM",IF(((BW499/BU499-1)*100)&lt;-50,"NM",(BW499/BU499-1)*100)))</f>
        <v>NA</v>
      </c>
      <c r="BY499" s="48">
        <f>R499+T499+V499+X499</f>
        <v>0</v>
      </c>
      <c r="BZ499" s="23" t="str">
        <f>IF(ISERROR((BY499/BW499-1)*100),"NA",IF(((BY499/BW499-1)*100)&gt;100,"NM",IF(((BY499/BW499-1)*100)&lt;-50,"NM",(BY499/BW499-1)*100)))</f>
        <v>NA</v>
      </c>
      <c r="CA499" s="48">
        <f>Z499+AB499+AD499+AF499</f>
        <v>0</v>
      </c>
      <c r="CB499" s="23" t="str">
        <f>IF(ISERROR((CA499/BY499-1)*100),"NA",IF(((CA499/BY499-1)*100)&gt;100,"NM",IF(((CA499/BY499-1)*100)&lt;-50,"NM",(CA499/BY499-1)*100)))</f>
        <v>NA</v>
      </c>
      <c r="CC499" s="48">
        <f>AH499+AJ499+AL499+AN499</f>
        <v>0</v>
      </c>
      <c r="CD499" s="23" t="str">
        <f>IF(ISERROR((CC499/CA499-1)*100),"NA",IF(((CC499/CA499-1)*100)&gt;100,"NM",IF(((CC499/CA499-1)*100)&lt;-50,"NM",(CC499/CA499-1)*100)))</f>
        <v>NA</v>
      </c>
      <c r="CE499" s="48">
        <f>AP499+AR499+AT499+AV499</f>
        <v>0</v>
      </c>
      <c r="CF499" s="23" t="str">
        <f>IF(ISERROR((CE499/CC499-1)*100),"NA",IF(((CE499/CC499-1)*100)&gt;100,"NM",IF(((CE499/CC499-1)*100)&lt;-50,"NM",(CE499/CC499-1)*100)))</f>
        <v>NA</v>
      </c>
      <c r="CG499" s="48">
        <f>AX499+AZ499+BB499+BD499</f>
        <v>0</v>
      </c>
      <c r="CH499" s="23" t="str">
        <f>IF(ISERROR((CG499/CE499-1)*100),"NA",IF(((CG499/CE499-1)*100)&gt;100,"NM",IF(((CG499/CE499-1)*100)&lt;-50,"NM",(CG499/CE499-1)*100)))</f>
        <v>NA</v>
      </c>
      <c r="CI499" s="48">
        <f>BF499+BH499+BJ499+BL499</f>
        <v>0</v>
      </c>
      <c r="CJ499" s="23" t="str">
        <f>IF(ISERROR((CI499/CG499-1)*100),"NA",IF(((CI499/CG499-1)*100)&gt;100,"NM",IF(((CI499/CG499-1)*100)&lt;-50,"NM",(CI499/CG499-1)*100)))</f>
        <v>NA</v>
      </c>
      <c r="CK499" s="48"/>
      <c r="CL499" s="23"/>
      <c r="CM499" s="48"/>
      <c r="CN499" s="23"/>
      <c r="CO499" s="48"/>
      <c r="CP499" s="23"/>
      <c r="CQ499" s="48"/>
      <c r="CR499" s="23" t="str">
        <f>IF(ISERROR((CQ499/CO499-1)*100),"NA",IF(((CQ499/CO499-1)*100)&gt;100,"NM",IF(((CQ499/CO499-1)*100)&lt;-50,"NM",(CQ499/CO499-1)*100)))</f>
        <v>NA</v>
      </c>
      <c r="CS499" s="23" t="str">
        <f>IF(ISERROR(((CQ499/CG499)^0.2-1)*100),"NA",IF((((CQ499/CG499)^0.2-1)*100)&gt;100,"NM",IF((((CQ499/CG499)^0.2-1)*100)&lt;-50,"NM",((CQ499/CG499)^0.2-1)*100)))</f>
        <v>NA</v>
      </c>
    </row>
    <row r="500" spans="1:105" ht="12.75" hidden="1" customHeight="1" outlineLevel="1" x14ac:dyDescent="0.2">
      <c r="A500" s="3" t="s">
        <v>130</v>
      </c>
      <c r="B500" s="72">
        <f>B496-B499</f>
        <v>-64.7</v>
      </c>
      <c r="C500" s="44"/>
      <c r="D500" s="72">
        <f>D496-D499</f>
        <v>196.3</v>
      </c>
      <c r="E500" s="44"/>
      <c r="F500" s="72">
        <f>F496-F499</f>
        <v>813.00000000000011</v>
      </c>
      <c r="G500" s="44"/>
      <c r="H500" s="72">
        <f>H496-H499</f>
        <v>-1509.1000000000001</v>
      </c>
      <c r="I500" s="44"/>
      <c r="J500" s="72">
        <f>J496-J499</f>
        <v>-907.8</v>
      </c>
      <c r="K500" s="23" t="str">
        <f t="shared" si="3108"/>
        <v>NM</v>
      </c>
      <c r="L500" s="72">
        <f>L496-L499</f>
        <v>382.00000000000006</v>
      </c>
      <c r="M500" s="23">
        <f t="shared" si="3108"/>
        <v>94.600101884870114</v>
      </c>
      <c r="N500" s="72">
        <f>N496-N499</f>
        <v>0.79999999999996163</v>
      </c>
      <c r="O500" s="23" t="str">
        <f t="shared" si="3108"/>
        <v>NM</v>
      </c>
      <c r="P500" s="72">
        <f>P496-P499</f>
        <v>-167.3</v>
      </c>
      <c r="Q500" s="23" t="str">
        <f t="shared" si="3108"/>
        <v>NM</v>
      </c>
      <c r="R500" s="72">
        <f>R496-R499</f>
        <v>-477.1</v>
      </c>
      <c r="S500" s="23">
        <f t="shared" si="3108"/>
        <v>-47.444371006829691</v>
      </c>
      <c r="T500" s="72">
        <f>T496-T499</f>
        <v>-338.40000000000003</v>
      </c>
      <c r="U500" s="23" t="str">
        <f t="shared" si="3108"/>
        <v>NM</v>
      </c>
      <c r="V500" s="72">
        <f>V496-V499</f>
        <v>-167.39999999999998</v>
      </c>
      <c r="W500" s="23" t="str">
        <f t="shared" si="3108"/>
        <v>NM</v>
      </c>
      <c r="X500" s="72">
        <f>X496-X499</f>
        <v>-226.39999999999995</v>
      </c>
      <c r="Y500" s="23">
        <f t="shared" si="3108"/>
        <v>35.325762104004731</v>
      </c>
      <c r="Z500" s="72">
        <f>Z496-Z499</f>
        <v>20.200000000000045</v>
      </c>
      <c r="AA500" s="23" t="str">
        <f>IF(ISERROR((Z500/R500-1)*100),"NA",IF(((Z500/R500-1)*100)&gt;100,"NM",IF(((Z500/R500-1)*100)&lt;-50,"NM",(Z500/R500-1)*100)))</f>
        <v>NM</v>
      </c>
      <c r="AB500" s="72">
        <f>AB496-AB499</f>
        <v>-82.09999999999998</v>
      </c>
      <c r="AC500" s="23" t="str">
        <f>IF(ISERROR((AB500/T500-1)*100),"NA",IF(((AB500/T500-1)*100)&gt;100,"NM",IF(((AB500/T500-1)*100)&lt;-50,"NM",(AB500/T500-1)*100)))</f>
        <v>NM</v>
      </c>
      <c r="AD500" s="72">
        <f>AD496-AD499</f>
        <v>135.99999999999989</v>
      </c>
      <c r="AE500" s="23" t="str">
        <f>IF(ISERROR((AD500/V500-1)*100),"NA",IF(((AD500/V500-1)*100)&gt;100,"NM",IF(((AD500/V500-1)*100)&lt;-50,"NM",(AD500/V500-1)*100)))</f>
        <v>NM</v>
      </c>
      <c r="AF500" s="72">
        <f>AF496-AF499</f>
        <v>-317.3</v>
      </c>
      <c r="AG500" s="23">
        <f>IF(ISERROR((AF500/X500-1)*100),"NA",IF(((AF500/X500-1)*100)&gt;100,"NM",IF(((AF500/X500-1)*100)&lt;-50,"NM",(AF500/X500-1)*100)))</f>
        <v>40.15017667844527</v>
      </c>
      <c r="AH500" s="72">
        <f>AH496-AH499</f>
        <v>-29.400000000000034</v>
      </c>
      <c r="AI500" s="23" t="str">
        <f>IF(ISERROR((AH500/Z500-1)*100),"NA",IF(((AH500/Z500-1)*100)&gt;100,"NM",IF(((AH500/Z500-1)*100)&lt;-50,"NM",(AH500/Z500-1)*100)))</f>
        <v>NM</v>
      </c>
      <c r="AJ500" s="72">
        <f>AJ496-AJ499</f>
        <v>180.5</v>
      </c>
      <c r="AK500" s="23" t="str">
        <f>IF(ISERROR((AJ500/AB500-1)*100),"NA",IF(((AJ500/AB500-1)*100)&gt;100,"NM",IF(((AJ500/AB500-1)*100)&lt;-50,"NM",(AJ500/AB500-1)*100)))</f>
        <v>NM</v>
      </c>
      <c r="AL500" s="72">
        <f>AL496-AL499</f>
        <v>-7.1000000000000227</v>
      </c>
      <c r="AM500" s="23" t="str">
        <f>IF(ISERROR((AL500/AD500-1)*100),"NA",IF(((AL500/AD500-1)*100)&gt;100,"NM",IF(((AL500/AD500-1)*100)&lt;-50,"NM",(AL500/AD500-1)*100)))</f>
        <v>NM</v>
      </c>
      <c r="AN500" s="72">
        <f t="shared" ref="AN500:AP500" si="3120">AN496-AN499</f>
        <v>-317.3</v>
      </c>
      <c r="AO500" s="23">
        <f>IF(ISERROR((AN500/AF500-1)*100),"NA",IF(((AN500/AF500-1)*100)&gt;100,"NM",IF(((AN500/AF500-1)*100)&lt;-50,"NM",(AN500/AF500-1)*100)))</f>
        <v>0</v>
      </c>
      <c r="AP500" s="72">
        <f t="shared" si="3120"/>
        <v>46</v>
      </c>
      <c r="AQ500" s="23" t="str">
        <f t="shared" si="3109"/>
        <v>NM</v>
      </c>
      <c r="AR500" s="72">
        <f t="shared" ref="AR500:AT500" si="3121">AR496-AR499</f>
        <v>56.5</v>
      </c>
      <c r="AS500" s="23" t="str">
        <f t="shared" si="3110"/>
        <v>NM</v>
      </c>
      <c r="AT500" s="72">
        <f t="shared" si="3121"/>
        <v>-328</v>
      </c>
      <c r="AU500" s="23" t="str">
        <f t="shared" si="3111"/>
        <v>NM</v>
      </c>
      <c r="AV500" s="72">
        <f t="shared" ref="AV500:AX500" si="3122">AV496-AV499</f>
        <v>-729.5</v>
      </c>
      <c r="AW500" s="23" t="str">
        <f t="shared" si="3112"/>
        <v>NM</v>
      </c>
      <c r="AX500" s="72">
        <f t="shared" si="3122"/>
        <v>-387.09999999999997</v>
      </c>
      <c r="AY500" s="23" t="str">
        <f t="shared" si="3113"/>
        <v>NM</v>
      </c>
      <c r="AZ500" s="72">
        <f t="shared" ref="AZ500" si="3123">AZ496-AZ499</f>
        <v>-28</v>
      </c>
      <c r="BA500" s="23" t="str">
        <f t="shared" si="3114"/>
        <v>NM</v>
      </c>
      <c r="BB500" s="72">
        <f t="shared" ref="BB500:BD500" si="3124">BB496-BB499</f>
        <v>141.79999999999998</v>
      </c>
      <c r="BC500" s="23" t="str">
        <f t="shared" si="3115"/>
        <v>NM</v>
      </c>
      <c r="BD500" s="72">
        <f t="shared" si="3124"/>
        <v>0</v>
      </c>
      <c r="BE500" s="23" t="str">
        <f t="shared" si="3116"/>
        <v>NM</v>
      </c>
      <c r="BF500" s="72">
        <f t="shared" ref="BF500" si="3125">BF496-BF499</f>
        <v>52.2</v>
      </c>
      <c r="BG500" s="23" t="str">
        <f t="shared" si="3117"/>
        <v>NM</v>
      </c>
      <c r="BH500" s="72">
        <f t="shared" ref="BH500" si="3126">BH496-BH499</f>
        <v>47.2</v>
      </c>
      <c r="BI500" s="23" t="str">
        <f t="shared" si="3118"/>
        <v>NM</v>
      </c>
      <c r="BJ500" s="72"/>
      <c r="BK500" s="23"/>
      <c r="BL500" s="72"/>
      <c r="BM500" s="23" t="str">
        <f t="shared" si="3119"/>
        <v>NA</v>
      </c>
      <c r="BN500" s="37"/>
      <c r="BO500" s="137"/>
      <c r="BP500" s="37"/>
      <c r="BQ500" s="72">
        <f>BQ496-BQ499</f>
        <v>-1864.8</v>
      </c>
      <c r="BR500" s="37"/>
      <c r="BS500" s="72">
        <f>BS496-BS499</f>
        <v>-220.19999999999993</v>
      </c>
      <c r="BT500" s="37"/>
      <c r="BU500" s="72">
        <f>BU496-BU499</f>
        <v>-564.50000000000023</v>
      </c>
      <c r="BV500" s="23" t="str">
        <f>IF(ISERROR((BU500/BS500-1)*100),"NA",IF(((BU500/BS500-1)*100)&gt;100,"NM",IF(((BU500/BS500-1)*100)&lt;-50,"NM",(BU500/BS500-1)*100)))</f>
        <v>NM</v>
      </c>
      <c r="BW500" s="72">
        <f>BW496-BW499</f>
        <v>-692.29999999999973</v>
      </c>
      <c r="BX500" s="23">
        <f>IF(ISERROR((BW500/BU500-1)*100),"NA",IF(((BW500/BU500-1)*100)&gt;100,"NM",IF(((BW500/BU500-1)*100)&lt;-50,"NM",(BW500/BU500-1)*100)))</f>
        <v>22.639503985828057</v>
      </c>
      <c r="BY500" s="72">
        <f>BY496-BY499</f>
        <v>-1209.3000000000002</v>
      </c>
      <c r="BZ500" s="23">
        <f>IF(ISERROR((BY500/BW500-1)*100),"NA",IF(((BY500/BW500-1)*100)&gt;100,"NM",IF(((BY500/BW500-1)*100)&lt;-50,"NM",(BY500/BW500-1)*100)))</f>
        <v>74.67860754008386</v>
      </c>
      <c r="CA500" s="72">
        <f>CA496-CA499</f>
        <v>-243.20000000000027</v>
      </c>
      <c r="CB500" s="23" t="str">
        <f>IF(ISERROR((CA500/BY500-1)*100),"NA",IF(((CA500/BY500-1)*100)&gt;100,"NM",IF(((CA500/BY500-1)*100)&lt;-50,"NM",(CA500/BY500-1)*100)))</f>
        <v>NM</v>
      </c>
      <c r="CC500" s="72">
        <f>CC496-CC499</f>
        <v>-173.30000000000018</v>
      </c>
      <c r="CD500" s="23">
        <f>IF(ISERROR((CC500/CA500-1)*100),"NA",IF(((CC500/CA500-1)*100)&gt;100,"NM",IF(((CC500/CA500-1)*100)&lt;-50,"NM",(CC500/CA500-1)*100)))</f>
        <v>-28.74177631578948</v>
      </c>
      <c r="CE500" s="72">
        <f>CE496-CE499</f>
        <v>-954.99999999999977</v>
      </c>
      <c r="CF500" s="23" t="str">
        <f>IF(ISERROR((CE500/CC500-1)*100),"NA",IF(((CE500/CC500-1)*100)&gt;100,"NM",IF(((CE500/CC500-1)*100)&lt;-50,"NM",(CE500/CC500-1)*100)))</f>
        <v>NM</v>
      </c>
      <c r="CG500" s="72">
        <f>CG496-CG499</f>
        <v>-273.2999999999999</v>
      </c>
      <c r="CH500" s="23" t="str">
        <f>IF(ISERROR((CG500/CE500-1)*100),"NA",IF(((CG500/CE500-1)*100)&gt;100,"NM",IF(((CG500/CE500-1)*100)&lt;-50,"NM",(CG500/CE500-1)*100)))</f>
        <v>NM</v>
      </c>
      <c r="CI500" s="72">
        <f>CI496-CI499</f>
        <v>99.4</v>
      </c>
      <c r="CJ500" s="23" t="str">
        <f>IF(ISERROR((CI500/CG500-1)*100),"NA",IF(((CI500/CG500-1)*100)&gt;100,"NM",IF(((CI500/CG500-1)*100)&lt;-50,"NM",(CI500/CG500-1)*100)))</f>
        <v>NM</v>
      </c>
      <c r="CK500" s="72"/>
      <c r="CL500" s="23"/>
      <c r="CM500" s="72"/>
      <c r="CN500" s="23"/>
      <c r="CO500" s="72"/>
      <c r="CP500" s="23"/>
      <c r="CQ500" s="72"/>
      <c r="CR500" s="23" t="str">
        <f>IF(ISERROR((CQ500/CO500-1)*100),"NA",IF(((CQ500/CO500-1)*100)&gt;100,"NM",IF(((CQ500/CO500-1)*100)&lt;-50,"NM",(CQ500/CO500-1)*100)))</f>
        <v>NA</v>
      </c>
      <c r="CS500" s="23" t="str">
        <f>IF(ISERROR(((CQ500/CG500)^0.2-1)*100),"NA",IF((((CQ500/CG500)^0.2-1)*100)&gt;100,"NM",IF((((CQ500/CG500)^0.2-1)*100)&lt;-50,"NM",((CQ500/CG500)^0.2-1)*100)))</f>
        <v>NM</v>
      </c>
    </row>
    <row r="501" spans="1:105" ht="12.75" hidden="1" customHeight="1" outlineLevel="1" x14ac:dyDescent="0.2">
      <c r="A501" s="3"/>
      <c r="B501" s="72"/>
      <c r="C501" s="44"/>
      <c r="D501" s="72"/>
      <c r="E501" s="44"/>
      <c r="F501" s="72"/>
      <c r="G501" s="44"/>
      <c r="H501" s="72"/>
      <c r="I501" s="44"/>
      <c r="J501" s="72"/>
      <c r="K501" s="23"/>
      <c r="L501" s="72"/>
      <c r="M501" s="23"/>
      <c r="N501" s="72"/>
      <c r="O501" s="23"/>
      <c r="P501" s="72"/>
      <c r="Q501" s="23"/>
      <c r="R501" s="72"/>
      <c r="S501" s="23"/>
      <c r="T501" s="72"/>
      <c r="U501" s="23"/>
      <c r="V501" s="72"/>
      <c r="W501" s="23"/>
      <c r="X501" s="72"/>
      <c r="Y501" s="23"/>
      <c r="Z501" s="72"/>
      <c r="AA501" s="23"/>
      <c r="AB501" s="72"/>
      <c r="AC501" s="23"/>
      <c r="AD501" s="72"/>
      <c r="AE501" s="23"/>
      <c r="AF501" s="72"/>
      <c r="AG501" s="23"/>
      <c r="AH501" s="72"/>
      <c r="AI501" s="23"/>
      <c r="AJ501" s="72"/>
      <c r="AK501" s="23"/>
      <c r="AL501" s="72"/>
      <c r="AM501" s="23"/>
      <c r="AN501" s="72"/>
      <c r="AO501" s="23"/>
      <c r="AP501" s="72"/>
      <c r="AQ501" s="23"/>
      <c r="AR501" s="72"/>
      <c r="AS501" s="23"/>
      <c r="AT501" s="72"/>
      <c r="AU501" s="23"/>
      <c r="AV501" s="72"/>
      <c r="AW501" s="23"/>
      <c r="AX501" s="72"/>
      <c r="AY501" s="23"/>
      <c r="AZ501" s="72"/>
      <c r="BA501" s="23"/>
      <c r="BB501" s="72"/>
      <c r="BC501" s="23"/>
      <c r="BD501" s="72"/>
      <c r="BE501" s="23"/>
      <c r="BF501" s="72"/>
      <c r="BG501" s="23"/>
      <c r="BH501" s="72"/>
      <c r="BI501" s="23"/>
      <c r="BJ501" s="72"/>
      <c r="BK501" s="23"/>
      <c r="BL501" s="72"/>
      <c r="BM501" s="23"/>
      <c r="BN501" s="37"/>
      <c r="BO501" s="137"/>
      <c r="BP501" s="37"/>
      <c r="BQ501" s="72"/>
      <c r="BR501" s="37"/>
      <c r="BS501" s="72"/>
      <c r="BT501" s="37"/>
      <c r="BU501" s="72"/>
      <c r="BV501" s="23"/>
      <c r="BW501" s="72"/>
      <c r="BX501" s="23"/>
      <c r="BY501" s="72"/>
      <c r="BZ501" s="23"/>
      <c r="CA501" s="72"/>
      <c r="CB501" s="23"/>
      <c r="CC501" s="72"/>
      <c r="CD501" s="23"/>
      <c r="CE501" s="72"/>
      <c r="CF501" s="23"/>
      <c r="CG501" s="72"/>
      <c r="CH501" s="23"/>
      <c r="CI501" s="72"/>
      <c r="CJ501" s="23"/>
      <c r="CK501" s="72"/>
      <c r="CL501" s="23"/>
      <c r="CM501" s="72"/>
      <c r="CN501" s="23"/>
      <c r="CO501" s="72"/>
      <c r="CP501" s="23"/>
      <c r="CQ501" s="72"/>
      <c r="CR501" s="23"/>
      <c r="CS501" s="23"/>
    </row>
    <row r="502" spans="1:105" ht="12.75" hidden="1" customHeight="1" outlineLevel="1" x14ac:dyDescent="0.2">
      <c r="A502" s="3" t="s">
        <v>506</v>
      </c>
      <c r="B502" s="115"/>
      <c r="C502" s="59"/>
      <c r="D502" s="115"/>
      <c r="E502" s="59"/>
      <c r="F502" s="115"/>
      <c r="G502" s="59"/>
      <c r="H502" s="115"/>
      <c r="I502" s="59"/>
      <c r="J502" s="115"/>
      <c r="K502" s="23"/>
      <c r="L502" s="115"/>
      <c r="M502" s="23"/>
      <c r="N502" s="115"/>
      <c r="O502" s="23"/>
      <c r="P502" s="115"/>
      <c r="Q502" s="23"/>
      <c r="R502" s="48"/>
      <c r="S502" s="48"/>
      <c r="T502" s="48"/>
      <c r="U502" s="48"/>
      <c r="V502" s="48"/>
      <c r="W502" s="48"/>
      <c r="X502" s="48">
        <v>0</v>
      </c>
      <c r="Y502" s="23" t="str">
        <f t="shared" ref="Y502:AA505" si="3127">IF(ISERROR((X502/P502-1)*100),"NA",IF(((X502/P502-1)*100)&gt;100,"NM",IF(((X502/P502-1)*100)&lt;-50,"NM",(X502/P502-1)*100)))</f>
        <v>NA</v>
      </c>
      <c r="Z502" s="48">
        <v>0</v>
      </c>
      <c r="AA502" s="23" t="str">
        <f t="shared" si="3127"/>
        <v>NA</v>
      </c>
      <c r="AB502" s="48">
        <v>0</v>
      </c>
      <c r="AC502" s="23" t="str">
        <f t="shared" ref="AC502:AC505" si="3128">IF(ISERROR((AB502/T502-1)*100),"NA",IF(((AB502/T502-1)*100)&gt;100,"NM",IF(((AB502/T502-1)*100)&lt;-50,"NM",(AB502/T502-1)*100)))</f>
        <v>NA</v>
      </c>
      <c r="AD502" s="48">
        <v>0</v>
      </c>
      <c r="AE502" s="23" t="str">
        <f t="shared" ref="AE502:AE505" si="3129">IF(ISERROR((AD502/V502-1)*100),"NA",IF(((AD502/V502-1)*100)&gt;100,"NM",IF(((AD502/V502-1)*100)&lt;-50,"NM",(AD502/V502-1)*100)))</f>
        <v>NA</v>
      </c>
      <c r="AF502" s="48">
        <v>0</v>
      </c>
      <c r="AG502" s="23" t="str">
        <f t="shared" ref="AG502:AG505" si="3130">IF(ISERROR((AF502/X502-1)*100),"NA",IF(((AF502/X502-1)*100)&gt;100,"NM",IF(((AF502/X502-1)*100)&lt;-50,"NM",(AF502/X502-1)*100)))</f>
        <v>NA</v>
      </c>
      <c r="AH502" s="48">
        <v>0</v>
      </c>
      <c r="AI502" s="23" t="str">
        <f t="shared" ref="AI502:AI505" si="3131">IF(ISERROR((AH502/Z502-1)*100),"NA",IF(((AH502/Z502-1)*100)&gt;100,"NM",IF(((AH502/Z502-1)*100)&lt;-50,"NM",(AH502/Z502-1)*100)))</f>
        <v>NA</v>
      </c>
      <c r="AJ502" s="48">
        <v>0</v>
      </c>
      <c r="AK502" s="23" t="str">
        <f t="shared" ref="AK502:AK505" si="3132">IF(ISERROR((AJ502/AB502-1)*100),"NA",IF(((AJ502/AB502-1)*100)&gt;100,"NM",IF(((AJ502/AB502-1)*100)&lt;-50,"NM",(AJ502/AB502-1)*100)))</f>
        <v>NA</v>
      </c>
      <c r="AL502" s="48">
        <v>0</v>
      </c>
      <c r="AM502" s="23" t="str">
        <f t="shared" ref="AM502:AM505" si="3133">IF(ISERROR((AL502/AD502-1)*100),"NA",IF(((AL502/AD502-1)*100)&gt;100,"NM",IF(((AL502/AD502-1)*100)&lt;-50,"NM",(AL502/AD502-1)*100)))</f>
        <v>NA</v>
      </c>
      <c r="AN502" s="48">
        <v>0</v>
      </c>
      <c r="AO502" s="23" t="str">
        <f t="shared" ref="AO502:AO505" si="3134">IF(ISERROR((AN502/AF502-1)*100),"NA",IF(((AN502/AF502-1)*100)&gt;100,"NM",IF(((AN502/AF502-1)*100)&lt;-50,"NM",(AN502/AF502-1)*100)))</f>
        <v>NA</v>
      </c>
      <c r="AP502" s="48">
        <v>0</v>
      </c>
      <c r="AQ502" s="23" t="str">
        <f t="shared" ref="AQ502:AQ505" si="3135">IF(ISERROR((AP502/AH502-1)*100),"NA",IF(((AP502/AH502-1)*100)&gt;100,"NM",IF(((AP502/AH502-1)*100)&lt;-50,"NM",(AP502/AH502-1)*100)))</f>
        <v>NA</v>
      </c>
      <c r="AR502" s="287">
        <v>0</v>
      </c>
      <c r="AS502" s="23" t="str">
        <f t="shared" ref="AS502" si="3136">IF(ISERROR((AR502/AJ502-1)*100),"NA",IF(((AR502/AJ502-1)*100)&gt;100,"NM",IF(((AR502/AJ502-1)*100)&lt;-50,"NM",(AR502/AJ502-1)*100)))</f>
        <v>NA</v>
      </c>
      <c r="AT502" s="287">
        <v>0</v>
      </c>
      <c r="AU502" s="23" t="str">
        <f t="shared" ref="AU502" si="3137">IF(ISERROR((AT502/AL502-1)*100),"NA",IF(((AT502/AL502-1)*100)&gt;100,"NM",IF(((AT502/AL502-1)*100)&lt;-50,"NM",(AT502/AL502-1)*100)))</f>
        <v>NA</v>
      </c>
      <c r="AV502" s="287">
        <v>0</v>
      </c>
      <c r="AW502" s="23"/>
      <c r="AX502" s="287">
        <v>0</v>
      </c>
      <c r="AY502" s="23"/>
      <c r="AZ502" s="287">
        <v>0</v>
      </c>
      <c r="BA502" s="23"/>
      <c r="BB502" s="287">
        <v>0</v>
      </c>
      <c r="BC502" s="23"/>
      <c r="BD502" s="287">
        <v>0</v>
      </c>
      <c r="BE502" s="23"/>
      <c r="BF502" s="48">
        <v>0</v>
      </c>
      <c r="BG502" s="23"/>
      <c r="BH502" s="48">
        <v>0</v>
      </c>
      <c r="BI502" s="23"/>
      <c r="BJ502" s="48"/>
      <c r="BK502" s="23"/>
      <c r="BL502" s="48"/>
      <c r="BM502" s="23"/>
      <c r="BN502" s="35"/>
      <c r="BO502" s="138"/>
      <c r="BP502" s="35"/>
      <c r="BQ502" s="113"/>
      <c r="BR502" s="113"/>
      <c r="BS502" s="113"/>
      <c r="BT502" s="35"/>
      <c r="BU502" s="115"/>
      <c r="BV502" s="23"/>
      <c r="BW502" s="115"/>
      <c r="BX502" s="23"/>
      <c r="BY502" s="410">
        <f>X502</f>
        <v>0</v>
      </c>
      <c r="BZ502" s="23" t="str">
        <f t="shared" ref="BZ502:BZ505" si="3138">IF(ISERROR((BY502/BW502-1)*100),"NA",IF(((BY502/BW502-1)*100)&gt;100,"NM",IF(((BY502/BW502-1)*100)&lt;-50,"NM",(BY502/BW502-1)*100)))</f>
        <v>NA</v>
      </c>
      <c r="CA502" s="410">
        <f>AF502</f>
        <v>0</v>
      </c>
      <c r="CB502" s="23" t="str">
        <f t="shared" ref="CB502:CB505" si="3139">IF(ISERROR((CA502/BY502-1)*100),"NA",IF(((CA502/BY502-1)*100)&gt;100,"NM",IF(((CA502/BY502-1)*100)&lt;-50,"NM",(CA502/BY502-1)*100)))</f>
        <v>NA</v>
      </c>
      <c r="CC502" s="410">
        <f>AN502</f>
        <v>0</v>
      </c>
      <c r="CD502" s="23" t="str">
        <f>IF(ISERROR((CC502/CA502-1)*100),"NA",IF(((CC502/CA502-1)*100)&gt;100,"NM",IF(((CC502/CA502-1)*100)&lt;-50,"NM",(CC502/CA502-1)*100)))</f>
        <v>NA</v>
      </c>
      <c r="CE502" s="115">
        <f>AV502</f>
        <v>0</v>
      </c>
      <c r="CF502" s="23" t="str">
        <f t="shared" ref="CF502:CH505" si="3140">IF(ISERROR((CE502/BW502-1)*100),"NA",IF(((CE502/BW502-1)*100)&gt;100,"NM",IF(((CE502/BW502-1)*100)&lt;-50,"NM",(CE502/BW502-1)*100)))</f>
        <v>NA</v>
      </c>
      <c r="CG502" s="115">
        <f>BD502</f>
        <v>0</v>
      </c>
      <c r="CH502" s="23" t="str">
        <f t="shared" si="3140"/>
        <v>NA</v>
      </c>
      <c r="CI502" s="115">
        <f>BL502</f>
        <v>0</v>
      </c>
      <c r="CJ502" s="23"/>
      <c r="CK502" s="457"/>
      <c r="CL502" s="23"/>
      <c r="CM502" s="457"/>
      <c r="CN502" s="23"/>
      <c r="CO502" s="457"/>
      <c r="CP502" s="23"/>
      <c r="CQ502" s="457"/>
      <c r="CR502" s="23" t="str">
        <f>IF(ISERROR((CQ502/CI502-1)*100),"NA",IF(((CQ502/CI502-1)*100)&gt;100,"NM",IF(((CQ502/CI502-1)*100)&lt;-50,"NM",(CQ502/CI502-1)*100)))</f>
        <v>NA</v>
      </c>
      <c r="CS502" s="23" t="str">
        <f>IF(ISERROR(((CQ502/CG502)^0.2-1)*100),"NA",IF((((CQ502/CG502)^0.2-1)*100)&gt;100,"NM",IF((((CQ502/CG502)^0.2-1)*100)&lt;-50,"NM",((CQ502/CG502)^0.2-1)*100)))</f>
        <v>NA</v>
      </c>
    </row>
    <row r="503" spans="1:105" ht="12.75" hidden="1" customHeight="1" outlineLevel="1" x14ac:dyDescent="0.2">
      <c r="A503" s="408" t="s">
        <v>503</v>
      </c>
      <c r="B503" s="115"/>
      <c r="C503" s="59"/>
      <c r="D503" s="115"/>
      <c r="E503" s="59"/>
      <c r="F503" s="115"/>
      <c r="G503" s="59"/>
      <c r="H503" s="115"/>
      <c r="I503" s="59"/>
      <c r="J503" s="115"/>
      <c r="K503" s="23"/>
      <c r="L503" s="115"/>
      <c r="M503" s="23"/>
      <c r="N503" s="115"/>
      <c r="O503" s="23"/>
      <c r="P503" s="115"/>
      <c r="Q503" s="23"/>
      <c r="R503" s="115"/>
      <c r="S503" s="23"/>
      <c r="T503" s="529"/>
      <c r="U503" s="23"/>
      <c r="V503" s="529"/>
      <c r="W503" s="23"/>
      <c r="X503" s="48">
        <v>5066</v>
      </c>
      <c r="Y503" s="23" t="str">
        <f t="shared" si="3127"/>
        <v>NA</v>
      </c>
      <c r="Z503" s="529">
        <f t="shared" ref="Z503" si="3141">X504</f>
        <v>3119</v>
      </c>
      <c r="AA503" s="23" t="str">
        <f t="shared" si="3127"/>
        <v>NA</v>
      </c>
      <c r="AB503" s="529">
        <f t="shared" ref="AB503" si="3142">Z504</f>
        <v>3140</v>
      </c>
      <c r="AC503" s="23" t="str">
        <f t="shared" si="3128"/>
        <v>NA</v>
      </c>
      <c r="AD503" s="529">
        <f t="shared" ref="AD503" si="3143">AB504</f>
        <v>3293</v>
      </c>
      <c r="AE503" s="23" t="str">
        <f t="shared" si="3129"/>
        <v>NA</v>
      </c>
      <c r="AF503" s="529">
        <f t="shared" ref="AF503" si="3144">AD504</f>
        <v>3983</v>
      </c>
      <c r="AG503" s="23">
        <f t="shared" si="3130"/>
        <v>-21.377812870114489</v>
      </c>
      <c r="AH503" s="529">
        <f t="shared" ref="AH503" si="3145">AF504</f>
        <v>2544</v>
      </c>
      <c r="AI503" s="23">
        <f t="shared" si="3131"/>
        <v>-18.435395960243671</v>
      </c>
      <c r="AJ503" s="529">
        <f t="shared" ref="AJ503" si="3146">AH504</f>
        <v>2616</v>
      </c>
      <c r="AK503" s="23">
        <f t="shared" si="3132"/>
        <v>-16.68789808917197</v>
      </c>
      <c r="AL503" s="529">
        <f t="shared" ref="AL503" si="3147">AJ504</f>
        <v>2650</v>
      </c>
      <c r="AM503" s="23">
        <f t="shared" si="3133"/>
        <v>-19.526267840874578</v>
      </c>
      <c r="AN503" s="529">
        <f t="shared" ref="AN503" si="3148">AL504</f>
        <v>3195</v>
      </c>
      <c r="AO503" s="23">
        <f t="shared" si="3134"/>
        <v>-19.784082349987443</v>
      </c>
      <c r="AP503" s="529">
        <f t="shared" ref="AP503" si="3149">AN504</f>
        <v>2836</v>
      </c>
      <c r="AQ503" s="23">
        <f t="shared" si="3135"/>
        <v>11.47798742138364</v>
      </c>
      <c r="AR503" s="527">
        <f t="shared" ref="AR503:AT503" si="3150">AP504</f>
        <v>3331</v>
      </c>
      <c r="AS503" s="529">
        <f t="shared" ref="AS503:AU503" si="3151">AQ504*1.02</f>
        <v>27.878440366972473</v>
      </c>
      <c r="AT503" s="527">
        <f t="shared" si="3150"/>
        <v>3272</v>
      </c>
      <c r="AU503" s="529">
        <f t="shared" si="3151"/>
        <v>28.436009174311923</v>
      </c>
      <c r="AV503" s="527">
        <f t="shared" ref="AV503:AX503" si="3152">AT504</f>
        <v>2880</v>
      </c>
      <c r="AW503" s="23"/>
      <c r="AX503" s="527">
        <f t="shared" si="3152"/>
        <v>2246</v>
      </c>
      <c r="AY503" s="23"/>
      <c r="AZ503" s="527">
        <f t="shared" ref="AZ503" si="3153">AX504</f>
        <v>1832</v>
      </c>
      <c r="BA503" s="23"/>
      <c r="BB503" s="527">
        <f t="shared" ref="BB503:BD503" si="3154">AZ504</f>
        <v>1838</v>
      </c>
      <c r="BC503" s="23"/>
      <c r="BD503" s="527">
        <f t="shared" si="3154"/>
        <v>1897</v>
      </c>
      <c r="BE503" s="23"/>
      <c r="BF503" s="529">
        <f t="shared" ref="BF503:BH503" si="3155">BD504</f>
        <v>0</v>
      </c>
      <c r="BG503" s="23"/>
      <c r="BH503" s="529">
        <f t="shared" si="3155"/>
        <v>0</v>
      </c>
      <c r="BI503" s="23"/>
      <c r="BJ503" s="529"/>
      <c r="BK503" s="23"/>
      <c r="BL503" s="529"/>
      <c r="BM503" s="23"/>
      <c r="BN503" s="35"/>
      <c r="BO503" s="138"/>
      <c r="BP503" s="35"/>
      <c r="BQ503" s="113"/>
      <c r="BR503" s="113"/>
      <c r="BS503" s="113"/>
      <c r="BT503" s="35"/>
      <c r="BU503" s="115"/>
      <c r="BV503" s="23"/>
      <c r="BW503" s="115"/>
      <c r="BX503" s="23"/>
      <c r="BY503" s="410">
        <f>X503</f>
        <v>5066</v>
      </c>
      <c r="BZ503" s="23" t="str">
        <f t="shared" si="3138"/>
        <v>NA</v>
      </c>
      <c r="CA503" s="410">
        <f>AF503</f>
        <v>3983</v>
      </c>
      <c r="CB503" s="23">
        <f t="shared" si="3139"/>
        <v>-21.377812870114489</v>
      </c>
      <c r="CC503" s="410">
        <f>AN503</f>
        <v>3195</v>
      </c>
      <c r="CD503" s="23">
        <f>IF(ISERROR((CC503/CA503-1)*100),"NA",IF(((CC503/CA503-1)*100)&gt;100,"NM",IF(((CC503/CA503-1)*100)&lt;-50,"NM",(CC503/CA503-1)*100)))</f>
        <v>-19.784082349987443</v>
      </c>
      <c r="CE503" s="410">
        <f>AV503</f>
        <v>2880</v>
      </c>
      <c r="CF503" s="23" t="str">
        <f t="shared" si="3140"/>
        <v>NA</v>
      </c>
      <c r="CG503" s="410">
        <f>BD503</f>
        <v>1897</v>
      </c>
      <c r="CH503" s="23" t="str">
        <f t="shared" si="3140"/>
        <v>NM</v>
      </c>
      <c r="CI503" s="410">
        <f>BL503</f>
        <v>0</v>
      </c>
      <c r="CJ503" s="23" t="str">
        <f t="shared" ref="CJ503:CJ505" si="3156">IF(ISERROR((CI503/CG503-1)*100),"NA",IF(((CI503/CG503-1)*100)&gt;100,"NM",IF(((CI503/CG503-1)*100)&lt;-50,"NM",(CI503/CG503-1)*100)))</f>
        <v>NM</v>
      </c>
      <c r="CK503" s="527"/>
      <c r="CL503" s="23"/>
      <c r="CM503" s="527"/>
      <c r="CN503" s="23"/>
      <c r="CO503" s="527"/>
      <c r="CP503" s="23"/>
      <c r="CQ503" s="527"/>
      <c r="CR503" s="23" t="str">
        <f>IF(ISERROR((CQ503/CI503-1)*100),"NA",IF(((CQ503/CI503-1)*100)&gt;100,"NM",IF(((CQ503/CI503-1)*100)&lt;-50,"NM",(CQ503/CI503-1)*100)))</f>
        <v>NA</v>
      </c>
      <c r="CS503" s="23" t="str">
        <f>IF(ISERROR(((CQ503/CG503)^0.2-1)*100),"NA",IF((((CQ503/CG503)^0.2-1)*100)&gt;100,"NM",IF((((CQ503/CG503)^0.2-1)*100)&lt;-50,"NM",((CQ503/CG503)^0.2-1)*100)))</f>
        <v>NM</v>
      </c>
    </row>
    <row r="504" spans="1:105" ht="12.75" hidden="1" customHeight="1" outlineLevel="1" x14ac:dyDescent="0.2">
      <c r="A504" s="408" t="s">
        <v>504</v>
      </c>
      <c r="B504" s="115"/>
      <c r="C504" s="59"/>
      <c r="D504" s="115"/>
      <c r="E504" s="59"/>
      <c r="F504" s="115"/>
      <c r="G504" s="59"/>
      <c r="H504" s="115"/>
      <c r="I504" s="59"/>
      <c r="J504" s="115"/>
      <c r="K504" s="23"/>
      <c r="L504" s="115"/>
      <c r="M504" s="23"/>
      <c r="N504" s="115"/>
      <c r="O504" s="23"/>
      <c r="P504" s="115"/>
      <c r="Q504" s="23"/>
      <c r="R504" s="528"/>
      <c r="S504" s="23"/>
      <c r="T504" s="528"/>
      <c r="U504" s="23"/>
      <c r="V504" s="528"/>
      <c r="W504" s="23"/>
      <c r="X504" s="528">
        <v>3119</v>
      </c>
      <c r="Y504" s="23" t="str">
        <f t="shared" si="3127"/>
        <v>NA</v>
      </c>
      <c r="Z504" s="528">
        <v>3140</v>
      </c>
      <c r="AA504" s="23" t="str">
        <f t="shared" si="3127"/>
        <v>NA</v>
      </c>
      <c r="AB504" s="528">
        <v>3293</v>
      </c>
      <c r="AC504" s="23" t="str">
        <f t="shared" si="3128"/>
        <v>NA</v>
      </c>
      <c r="AD504" s="528">
        <v>3983</v>
      </c>
      <c r="AE504" s="23" t="str">
        <f t="shared" si="3129"/>
        <v>NA</v>
      </c>
      <c r="AF504" s="528">
        <v>2544</v>
      </c>
      <c r="AG504" s="23">
        <f t="shared" si="3130"/>
        <v>-18.435395960243671</v>
      </c>
      <c r="AH504" s="528">
        <v>2616</v>
      </c>
      <c r="AI504" s="23">
        <f t="shared" si="3131"/>
        <v>-16.68789808917197</v>
      </c>
      <c r="AJ504" s="528">
        <v>2650</v>
      </c>
      <c r="AK504" s="23">
        <f t="shared" si="3132"/>
        <v>-19.526267840874578</v>
      </c>
      <c r="AL504" s="528">
        <v>3195</v>
      </c>
      <c r="AM504" s="23">
        <f t="shared" si="3133"/>
        <v>-19.784082349987443</v>
      </c>
      <c r="AN504" s="528">
        <v>2836</v>
      </c>
      <c r="AO504" s="23">
        <f t="shared" si="3134"/>
        <v>11.47798742138364</v>
      </c>
      <c r="AP504" s="528">
        <v>3331</v>
      </c>
      <c r="AQ504" s="23">
        <f t="shared" si="3135"/>
        <v>27.331804281345562</v>
      </c>
      <c r="AR504" s="528">
        <v>3272</v>
      </c>
      <c r="AS504" s="528">
        <f t="shared" ref="AS504:AU505" si="3157">AQ504*1.02</f>
        <v>27.878440366972473</v>
      </c>
      <c r="AT504" s="528">
        <v>2880</v>
      </c>
      <c r="AU504" s="528">
        <f t="shared" si="3157"/>
        <v>28.436009174311923</v>
      </c>
      <c r="AV504" s="528">
        <v>2246</v>
      </c>
      <c r="AW504" s="23"/>
      <c r="AX504" s="528">
        <v>1832</v>
      </c>
      <c r="AY504" s="23"/>
      <c r="AZ504" s="528">
        <v>1838</v>
      </c>
      <c r="BA504" s="23"/>
      <c r="BB504" s="528">
        <v>1897</v>
      </c>
      <c r="BC504" s="23"/>
      <c r="BD504" s="528"/>
      <c r="BE504" s="23"/>
      <c r="BF504" s="528">
        <f>BD504*(1+0.02/4)</f>
        <v>0</v>
      </c>
      <c r="BG504" s="23"/>
      <c r="BH504" s="528">
        <f>BF504*(1+0.02/4)</f>
        <v>0</v>
      </c>
      <c r="BI504" s="23"/>
      <c r="BJ504" s="528"/>
      <c r="BK504" s="23"/>
      <c r="BL504" s="528"/>
      <c r="BM504" s="23"/>
      <c r="BN504" s="35"/>
      <c r="BO504" s="138"/>
      <c r="BP504" s="35"/>
      <c r="BQ504" s="113"/>
      <c r="BR504" s="113"/>
      <c r="BS504" s="113"/>
      <c r="BT504" s="35"/>
      <c r="BU504" s="115"/>
      <c r="BV504" s="23"/>
      <c r="BW504" s="115"/>
      <c r="BX504" s="23"/>
      <c r="BY504" s="410">
        <f>X504</f>
        <v>3119</v>
      </c>
      <c r="BZ504" s="23" t="str">
        <f t="shared" si="3138"/>
        <v>NA</v>
      </c>
      <c r="CA504" s="410">
        <f>AF504</f>
        <v>2544</v>
      </c>
      <c r="CB504" s="23">
        <f t="shared" si="3139"/>
        <v>-18.435395960243671</v>
      </c>
      <c r="CC504" s="410">
        <f>AN504</f>
        <v>2836</v>
      </c>
      <c r="CD504" s="23">
        <f>IF(ISERROR((CC504/CA504-1)*100),"NA",IF(((CC504/CA504-1)*100)&gt;100,"NM",IF(((CC504/CA504-1)*100)&lt;-50,"NM",(CC504/CA504-1)*100)))</f>
        <v>11.47798742138364</v>
      </c>
      <c r="CE504" s="410">
        <f>AV504</f>
        <v>2246</v>
      </c>
      <c r="CF504" s="23" t="str">
        <f t="shared" si="3140"/>
        <v>NA</v>
      </c>
      <c r="CG504" s="410">
        <f>BD504</f>
        <v>0</v>
      </c>
      <c r="CH504" s="23" t="str">
        <f t="shared" si="3140"/>
        <v>NM</v>
      </c>
      <c r="CI504" s="410">
        <f>BL504</f>
        <v>0</v>
      </c>
      <c r="CJ504" s="23" t="str">
        <f t="shared" si="3156"/>
        <v>NA</v>
      </c>
      <c r="CK504" s="527"/>
      <c r="CL504" s="23"/>
      <c r="CM504" s="527"/>
      <c r="CN504" s="23"/>
      <c r="CO504" s="527"/>
      <c r="CP504" s="23"/>
      <c r="CQ504" s="527"/>
      <c r="CR504" s="23" t="str">
        <f>IF(ISERROR((CQ504/CI504-1)*100),"NA",IF(((CQ504/CI504-1)*100)&gt;100,"NM",IF(((CQ504/CI504-1)*100)&lt;-50,"NM",(CQ504/CI504-1)*100)))</f>
        <v>NA</v>
      </c>
      <c r="CS504" s="23" t="str">
        <f>IF(ISERROR(((CQ504/CG504)^0.2-1)*100),"NA",IF((((CQ504/CG504)^0.2-1)*100)&gt;100,"NM",IF((((CQ504/CG504)^0.2-1)*100)&lt;-50,"NM",((CQ504/CG504)^0.2-1)*100)))</f>
        <v>NA</v>
      </c>
    </row>
    <row r="505" spans="1:105" ht="12.75" hidden="1" customHeight="1" outlineLevel="1" x14ac:dyDescent="0.2">
      <c r="A505" s="408" t="s">
        <v>505</v>
      </c>
      <c r="B505" s="115"/>
      <c r="C505" s="59"/>
      <c r="D505" s="115"/>
      <c r="E505" s="59"/>
      <c r="F505" s="115"/>
      <c r="G505" s="59"/>
      <c r="H505" s="115"/>
      <c r="I505" s="59"/>
      <c r="J505" s="115"/>
      <c r="K505" s="23"/>
      <c r="L505" s="115"/>
      <c r="M505" s="23"/>
      <c r="N505" s="115"/>
      <c r="O505" s="23"/>
      <c r="P505" s="115"/>
      <c r="Q505" s="23"/>
      <c r="R505" s="528"/>
      <c r="S505" s="23"/>
      <c r="T505" s="528"/>
      <c r="U505" s="23"/>
      <c r="V505" s="528"/>
      <c r="W505" s="23"/>
      <c r="X505" s="528">
        <v>4092</v>
      </c>
      <c r="Y505" s="23" t="str">
        <f t="shared" si="3127"/>
        <v>NA</v>
      </c>
      <c r="Z505" s="528">
        <v>3603</v>
      </c>
      <c r="AA505" s="23" t="str">
        <f t="shared" si="3127"/>
        <v>NA</v>
      </c>
      <c r="AB505" s="528">
        <v>3335</v>
      </c>
      <c r="AC505" s="23" t="str">
        <f t="shared" si="3128"/>
        <v>NA</v>
      </c>
      <c r="AD505" s="528">
        <v>3966</v>
      </c>
      <c r="AE505" s="23" t="str">
        <f t="shared" si="3129"/>
        <v>NA</v>
      </c>
      <c r="AF505" s="528">
        <v>3185</v>
      </c>
      <c r="AG505" s="23">
        <f t="shared" si="3130"/>
        <v>-22.165200391006845</v>
      </c>
      <c r="AH505" s="528">
        <v>3047</v>
      </c>
      <c r="AI505" s="23">
        <f t="shared" si="3131"/>
        <v>-15.431584790452401</v>
      </c>
      <c r="AJ505" s="528">
        <v>2943</v>
      </c>
      <c r="AK505" s="23">
        <f t="shared" si="3132"/>
        <v>-11.754122938530731</v>
      </c>
      <c r="AL505" s="528">
        <v>2776</v>
      </c>
      <c r="AM505" s="23">
        <f t="shared" si="3133"/>
        <v>-30.005042864346954</v>
      </c>
      <c r="AN505" s="528">
        <v>2803</v>
      </c>
      <c r="AO505" s="23">
        <f t="shared" si="3134"/>
        <v>-11.993720565149136</v>
      </c>
      <c r="AP505" s="528">
        <v>2919</v>
      </c>
      <c r="AQ505" s="23">
        <f t="shared" si="3135"/>
        <v>-4.2008532983262237</v>
      </c>
      <c r="AR505" s="528">
        <v>3088</v>
      </c>
      <c r="AS505" s="528">
        <f t="shared" si="3157"/>
        <v>-4.2848703642927486</v>
      </c>
      <c r="AT505" s="528">
        <v>3119</v>
      </c>
      <c r="AU505" s="528">
        <f t="shared" si="3157"/>
        <v>-4.370567771578604</v>
      </c>
      <c r="AV505" s="528">
        <v>3006</v>
      </c>
      <c r="AW505" s="23"/>
      <c r="AX505" s="528">
        <v>2745</v>
      </c>
      <c r="AY505" s="23"/>
      <c r="AZ505" s="528">
        <v>2378</v>
      </c>
      <c r="BA505" s="23"/>
      <c r="BB505" s="528">
        <v>2076</v>
      </c>
      <c r="BC505" s="23"/>
      <c r="BD505" s="528"/>
      <c r="BE505" s="23"/>
      <c r="BF505" s="528">
        <f>BD505*(1+0.02/4)</f>
        <v>0</v>
      </c>
      <c r="BG505" s="23"/>
      <c r="BH505" s="528">
        <f>BF505*(1+0.02/4)</f>
        <v>0</v>
      </c>
      <c r="BI505" s="23"/>
      <c r="BJ505" s="528"/>
      <c r="BK505" s="23"/>
      <c r="BL505" s="528"/>
      <c r="BM505" s="23"/>
      <c r="BN505" s="35"/>
      <c r="BO505" s="138"/>
      <c r="BP505" s="35"/>
      <c r="BQ505" s="113"/>
      <c r="BR505" s="113"/>
      <c r="BS505" s="113"/>
      <c r="BT505" s="35"/>
      <c r="BU505" s="115"/>
      <c r="BV505" s="23"/>
      <c r="BW505" s="115"/>
      <c r="BX505" s="23"/>
      <c r="BY505" s="410">
        <f>X505</f>
        <v>4092</v>
      </c>
      <c r="BZ505" s="23" t="str">
        <f t="shared" si="3138"/>
        <v>NA</v>
      </c>
      <c r="CA505" s="410">
        <f>AF505</f>
        <v>3185</v>
      </c>
      <c r="CB505" s="23">
        <f t="shared" si="3139"/>
        <v>-22.165200391006845</v>
      </c>
      <c r="CC505" s="410">
        <f>AN505</f>
        <v>2803</v>
      </c>
      <c r="CD505" s="23">
        <f>IF(ISERROR((CC505/CA505-1)*100),"NA",IF(((CC505/CA505-1)*100)&gt;100,"NM",IF(((CC505/CA505-1)*100)&lt;-50,"NM",(CC505/CA505-1)*100)))</f>
        <v>-11.993720565149136</v>
      </c>
      <c r="CE505" s="410">
        <f>AV505</f>
        <v>3006</v>
      </c>
      <c r="CF505" s="23" t="str">
        <f t="shared" si="3140"/>
        <v>NA</v>
      </c>
      <c r="CG505" s="410">
        <f>BD505</f>
        <v>0</v>
      </c>
      <c r="CH505" s="23" t="str">
        <f t="shared" si="3140"/>
        <v>NM</v>
      </c>
      <c r="CI505" s="410">
        <f>BL505</f>
        <v>0</v>
      </c>
      <c r="CJ505" s="23" t="str">
        <f t="shared" si="3156"/>
        <v>NA</v>
      </c>
      <c r="CK505" s="527"/>
      <c r="CL505" s="23"/>
      <c r="CM505" s="527"/>
      <c r="CN505" s="23"/>
      <c r="CO505" s="527"/>
      <c r="CP505" s="23"/>
      <c r="CQ505" s="527"/>
      <c r="CR505" s="23" t="str">
        <f>IF(ISERROR((CQ505/CI505-1)*100),"NA",IF(((CQ505/CI505-1)*100)&gt;100,"NM",IF(((CQ505/CI505-1)*100)&lt;-50,"NM",(CQ505/CI505-1)*100)))</f>
        <v>NA</v>
      </c>
      <c r="CS505" s="23" t="str">
        <f>IF(ISERROR(((CQ505/CG505)^0.2-1)*100),"NA",IF((((CQ505/CG505)^0.2-1)*100)&gt;100,"NM",IF((((CQ505/CG505)^0.2-1)*100)&lt;-50,"NM",((CQ505/CG505)^0.2-1)*100)))</f>
        <v>NA</v>
      </c>
    </row>
    <row r="506" spans="1:105" ht="12.75" hidden="1" customHeight="1" outlineLevel="1" x14ac:dyDescent="0.2">
      <c r="A506" s="408"/>
      <c r="B506" s="115"/>
      <c r="C506" s="59"/>
      <c r="D506" s="115"/>
      <c r="E506" s="59"/>
      <c r="F506" s="115"/>
      <c r="G506" s="59"/>
      <c r="H506" s="115"/>
      <c r="I506" s="59"/>
      <c r="J506" s="115"/>
      <c r="K506" s="23"/>
      <c r="L506" s="115"/>
      <c r="M506" s="23"/>
      <c r="N506" s="115"/>
      <c r="O506" s="23"/>
      <c r="P506" s="115"/>
      <c r="Q506" s="23"/>
      <c r="R506" s="528"/>
      <c r="S506" s="23"/>
      <c r="T506" s="528"/>
      <c r="U506" s="23"/>
      <c r="V506" s="528"/>
      <c r="W506" s="23"/>
      <c r="X506" s="528"/>
      <c r="Y506" s="23"/>
      <c r="Z506" s="528"/>
      <c r="AA506" s="23"/>
      <c r="AB506" s="528"/>
      <c r="AC506" s="23"/>
      <c r="AD506" s="528"/>
      <c r="AE506" s="23"/>
      <c r="AF506" s="528"/>
      <c r="AG506" s="23"/>
      <c r="AH506" s="528"/>
      <c r="AI506" s="23"/>
      <c r="AJ506" s="528"/>
      <c r="AK506" s="23"/>
      <c r="AL506" s="528"/>
      <c r="AM506" s="23"/>
      <c r="AN506" s="528"/>
      <c r="AO506" s="23"/>
      <c r="AP506" s="528"/>
      <c r="AQ506" s="23"/>
      <c r="AR506" s="528"/>
      <c r="AS506" s="528"/>
      <c r="AT506" s="528"/>
      <c r="AU506" s="528"/>
      <c r="AV506" s="528"/>
      <c r="AW506" s="23"/>
      <c r="AX506" s="528"/>
      <c r="AY506" s="23"/>
      <c r="AZ506" s="528"/>
      <c r="BA506" s="23"/>
      <c r="BB506" s="528"/>
      <c r="BC506" s="23"/>
      <c r="BD506" s="528"/>
      <c r="BE506" s="23"/>
      <c r="BF506" s="528"/>
      <c r="BG506" s="23"/>
      <c r="BH506" s="528"/>
      <c r="BI506" s="23"/>
      <c r="BJ506" s="528"/>
      <c r="BK506" s="23"/>
      <c r="BL506" s="528"/>
      <c r="BM506" s="23"/>
      <c r="BN506" s="35"/>
      <c r="BO506" s="138"/>
      <c r="BP506" s="35"/>
      <c r="BQ506" s="113"/>
      <c r="BR506" s="113"/>
      <c r="BS506" s="113"/>
      <c r="BT506" s="35"/>
      <c r="BU506" s="115"/>
      <c r="BV506" s="23"/>
      <c r="BW506" s="115"/>
      <c r="BX506" s="23"/>
      <c r="BY506" s="410"/>
      <c r="BZ506" s="23"/>
      <c r="CA506" s="410"/>
      <c r="CB506" s="23"/>
      <c r="CC506" s="410"/>
      <c r="CD506" s="23"/>
      <c r="CE506" s="410"/>
      <c r="CF506" s="23"/>
      <c r="CG506" s="410"/>
      <c r="CH506" s="23"/>
      <c r="CI506" s="410"/>
      <c r="CJ506" s="23"/>
      <c r="CK506" s="527"/>
      <c r="CL506" s="23"/>
      <c r="CM506" s="527"/>
      <c r="CN506" s="23"/>
      <c r="CO506" s="527"/>
      <c r="CP506" s="23"/>
      <c r="CQ506" s="527"/>
      <c r="CR506" s="23"/>
      <c r="CS506" s="23"/>
    </row>
    <row r="507" spans="1:105" s="129" customFormat="1" ht="12.75" hidden="1" customHeight="1" outlineLevel="1" x14ac:dyDescent="0.2">
      <c r="A507" s="126" t="s">
        <v>534</v>
      </c>
      <c r="B507" s="127"/>
      <c r="C507" s="128"/>
      <c r="D507" s="127"/>
      <c r="E507" s="128"/>
      <c r="F507" s="127"/>
      <c r="G507" s="128"/>
      <c r="H507" s="127"/>
      <c r="I507" s="128"/>
      <c r="K507" s="130"/>
      <c r="M507" s="130"/>
      <c r="O507" s="130"/>
      <c r="Q507" s="130"/>
      <c r="S507" s="130"/>
      <c r="U507" s="130"/>
      <c r="W507" s="130"/>
      <c r="Y507" s="130"/>
      <c r="AA507" s="130"/>
      <c r="AC507" s="130"/>
      <c r="AE507" s="130"/>
      <c r="AG507" s="130"/>
      <c r="AI507" s="130"/>
      <c r="AK507" s="130"/>
      <c r="AM507" s="130"/>
      <c r="AO507" s="130"/>
      <c r="AQ507" s="130"/>
      <c r="AS507" s="130"/>
      <c r="AU507" s="130"/>
      <c r="AW507" s="130"/>
      <c r="AY507" s="130"/>
      <c r="BA507" s="130"/>
      <c r="BC507" s="130"/>
      <c r="BE507" s="130"/>
      <c r="BG507" s="130"/>
      <c r="BI507" s="130"/>
      <c r="BK507" s="130"/>
      <c r="BM507" s="130"/>
      <c r="BO507" s="135"/>
      <c r="BV507" s="130"/>
      <c r="BX507" s="130"/>
      <c r="BZ507" s="130"/>
      <c r="CB507" s="130"/>
      <c r="CD507" s="130"/>
      <c r="CF507" s="130"/>
      <c r="CH507" s="130"/>
      <c r="CJ507" s="130"/>
      <c r="CL507" s="130"/>
      <c r="CN507" s="130"/>
      <c r="CP507" s="130"/>
      <c r="CR507" s="130"/>
      <c r="CS507" s="130"/>
      <c r="CV507"/>
      <c r="CW507"/>
      <c r="CX507"/>
      <c r="CY507"/>
      <c r="CZ507"/>
      <c r="DA507"/>
    </row>
    <row r="508" spans="1:105" ht="12.75" hidden="1" customHeight="1" outlineLevel="1" x14ac:dyDescent="0.2">
      <c r="J508" s="5"/>
      <c r="L508" s="5"/>
      <c r="N508" s="5"/>
      <c r="P508" s="5"/>
      <c r="R508" s="5"/>
      <c r="T508" s="5"/>
      <c r="V508" s="5"/>
      <c r="X508" s="5"/>
      <c r="Z508" s="5"/>
      <c r="AB508" s="5"/>
      <c r="AD508" s="5"/>
      <c r="AF508" s="5"/>
      <c r="AH508" s="5"/>
      <c r="AJ508" s="5"/>
      <c r="AL508" s="5"/>
      <c r="AN508" s="475"/>
      <c r="AP508" s="475"/>
      <c r="AR508" s="475"/>
      <c r="AT508" s="475"/>
      <c r="AV508" s="475"/>
      <c r="AX508" s="475"/>
      <c r="AZ508" s="475"/>
      <c r="BB508" s="475"/>
      <c r="BD508" s="475"/>
      <c r="BF508" s="5"/>
      <c r="BH508" s="5"/>
      <c r="BJ508" s="5"/>
      <c r="BL508" s="5"/>
      <c r="BN508" s="5"/>
      <c r="BO508" s="136"/>
      <c r="BP508" s="5"/>
      <c r="BQ508" s="5"/>
      <c r="BR508" s="5"/>
      <c r="BS508" s="5"/>
      <c r="BT508" s="5"/>
      <c r="BU508" s="5"/>
      <c r="BW508" s="5"/>
    </row>
    <row r="509" spans="1:105" ht="12.75" hidden="1" customHeight="1" outlineLevel="1" x14ac:dyDescent="0.2">
      <c r="A509" s="3" t="s">
        <v>487</v>
      </c>
      <c r="J509" s="5"/>
      <c r="L509" s="5"/>
      <c r="N509" s="5"/>
      <c r="P509" s="5"/>
      <c r="R509" s="5"/>
      <c r="T509" s="5"/>
      <c r="V509" s="5"/>
      <c r="X509" s="5"/>
      <c r="Z509" s="5"/>
      <c r="AB509" s="5"/>
      <c r="AD509" s="5"/>
      <c r="AF509" s="5"/>
      <c r="AH509" s="5"/>
      <c r="AJ509" s="5"/>
      <c r="AL509" s="5"/>
      <c r="AN509" s="475"/>
      <c r="AP509" s="475"/>
      <c r="AR509" s="475"/>
      <c r="AT509" s="475"/>
      <c r="AV509" s="475"/>
      <c r="AX509" s="475"/>
      <c r="AZ509" s="475"/>
      <c r="BB509" s="475"/>
      <c r="BD509" s="475"/>
      <c r="BF509" s="5"/>
      <c r="BH509" s="5"/>
      <c r="BJ509" s="5"/>
      <c r="BL509" s="5"/>
      <c r="BN509" s="5"/>
      <c r="BO509" s="136"/>
      <c r="BP509" s="5"/>
      <c r="BQ509" s="5"/>
      <c r="BR509" s="5"/>
      <c r="BS509" s="5"/>
      <c r="BT509" s="5"/>
      <c r="BU509" s="5"/>
      <c r="BW509" s="5"/>
    </row>
    <row r="510" spans="1:105" ht="12.75" hidden="1" customHeight="1" outlineLevel="1" x14ac:dyDescent="0.2">
      <c r="A510" s="4" t="s">
        <v>184</v>
      </c>
      <c r="B510" s="49"/>
      <c r="C510" s="59"/>
      <c r="D510" s="56"/>
      <c r="E510" s="59"/>
      <c r="F510" s="56"/>
      <c r="G510" s="59"/>
      <c r="H510" s="56"/>
      <c r="I510" s="59"/>
      <c r="J510" s="486">
        <v>27690.2</v>
      </c>
      <c r="K510" s="23" t="str">
        <f t="shared" ref="K510:K515" si="3158">IF(ISERROR((J510/B510-1)*100),"NA",IF(((J510/B510-1)*100)&gt;100,"NM",IF(((J510/B510-1)*100)&lt;-50,"NM",(J510/B510-1)*100)))</f>
        <v>NA</v>
      </c>
      <c r="L510" s="56">
        <f>J514</f>
        <v>27592.6</v>
      </c>
      <c r="M510" s="23" t="str">
        <f t="shared" ref="M510:M515" si="3159">IF(ISERROR((L510/D510-1)*100),"NA",IF(((L510/D510-1)*100)&gt;100,"NM",IF(((L510/D510-1)*100)&lt;-50,"NM",(L510/D510-1)*100)))</f>
        <v>NA</v>
      </c>
      <c r="N510" s="56">
        <f>L514</f>
        <v>26496.600000000002</v>
      </c>
      <c r="O510" s="23" t="str">
        <f t="shared" ref="O510:O515" si="3160">IF(ISERROR((N510/F510-1)*100),"NA",IF(((N510/F510-1)*100)&gt;100,"NM",IF(((N510/F510-1)*100)&lt;-50,"NM",(N510/F510-1)*100)))</f>
        <v>NA</v>
      </c>
      <c r="P510" s="56">
        <f>N514</f>
        <v>26251.700000000004</v>
      </c>
      <c r="Q510" s="23" t="str">
        <f t="shared" ref="Q510:Q515" si="3161">IF(ISERROR((P510/H510-1)*100),"NA",IF(((P510/H510-1)*100)&gt;100,"NM",IF(((P510/H510-1)*100)&lt;-50,"NM",(P510/H510-1)*100)))</f>
        <v>NA</v>
      </c>
      <c r="R510" s="56">
        <f>P514</f>
        <v>26100.800000000007</v>
      </c>
      <c r="S510" s="23">
        <f t="shared" ref="S510:S515" si="3162">IF(ISERROR((R510/J510-1)*100),"NA",IF(((R510/J510-1)*100)&gt;100,"NM",IF(((R510/J510-1)*100)&lt;-50,"NM",(R510/J510-1)*100)))</f>
        <v>-5.7399368729730842</v>
      </c>
      <c r="T510" s="56">
        <f>R514</f>
        <v>26227.800000000007</v>
      </c>
      <c r="U510" s="23">
        <f t="shared" ref="U510:U515" si="3163">IF(ISERROR((T510/L510-1)*100),"NA",IF(((T510/L510-1)*100)&gt;100,"NM",IF(((T510/L510-1)*100)&lt;-50,"NM",(T510/L510-1)*100)))</f>
        <v>-4.9462537057036737</v>
      </c>
      <c r="V510" s="56">
        <f>T514</f>
        <v>26233.300000000007</v>
      </c>
      <c r="W510" s="23">
        <f t="shared" ref="W510:W515" si="3164">IF(ISERROR((V510/N510-1)*100),"NA",IF(((V510/N510-1)*100)&gt;100,"NM",IF(((V510/N510-1)*100)&lt;-50,"NM",(V510/N510-1)*100)))</f>
        <v>-0.99371240083632184</v>
      </c>
      <c r="X510" s="56">
        <f>V514</f>
        <v>26379.000000000007</v>
      </c>
      <c r="Y510" s="23">
        <f t="shared" ref="Y510:Y515" si="3165">IF(ISERROR((X510/P510-1)*100),"NA",IF(((X510/P510-1)*100)&gt;100,"NM",IF(((X510/P510-1)*100)&lt;-50,"NM",(X510/P510-1)*100)))</f>
        <v>0.48492097654628807</v>
      </c>
      <c r="Z510" s="56">
        <f>X514</f>
        <v>26646.500000000011</v>
      </c>
      <c r="AA510" s="23">
        <f t="shared" ref="AA510:AA515" si="3166">IF(ISERROR((Z510/R510-1)*100),"NA",IF(((Z510/R510-1)*100)&gt;100,"NM",IF(((Z510/R510-1)*100)&lt;-50,"NM",(Z510/R510-1)*100)))</f>
        <v>2.0907405137007506</v>
      </c>
      <c r="AB510" s="56">
        <f>Z514</f>
        <v>26967.500000000011</v>
      </c>
      <c r="AC510" s="23">
        <f t="shared" ref="AC510:AC515" si="3167">IF(ISERROR((AB510/T510-1)*100),"NA",IF(((AB510/T510-1)*100)&gt;100,"NM",IF(((AB510/T510-1)*100)&lt;-50,"NM",(AB510/T510-1)*100)))</f>
        <v>2.8202899213811472</v>
      </c>
      <c r="AD510" s="56">
        <f>AB514</f>
        <v>27264.80000000001</v>
      </c>
      <c r="AE510" s="23">
        <f t="shared" ref="AE510:AE515" si="3168">IF(ISERROR((AD510/V510-1)*100),"NA",IF(((AD510/V510-1)*100)&gt;100,"NM",IF(((AD510/V510-1)*100)&lt;-50,"NM",(AD510/V510-1)*100)))</f>
        <v>3.9320253265887395</v>
      </c>
      <c r="AF510" s="56">
        <f>AD514</f>
        <v>26790.000000000007</v>
      </c>
      <c r="AG510" s="23">
        <f t="shared" ref="AG510:AG515" si="3169">IF(ISERROR((AF510/X510-1)*100),"NA",IF(((AF510/X510-1)*100)&gt;100,"NM",IF(((AF510/X510-1)*100)&lt;-50,"NM",(AF510/X510-1)*100)))</f>
        <v>1.558057545775049</v>
      </c>
      <c r="AH510" s="56">
        <f>AF514</f>
        <v>26649.80000000001</v>
      </c>
      <c r="AI510" s="23">
        <f t="shared" ref="AI510:AI515" si="3170">IF(ISERROR((AH510/Z510-1)*100),"NA",IF(((AH510/Z510-1)*100)&gt;100,"NM",IF(((AH510/Z510-1)*100)&lt;-50,"NM",(AH510/Z510-1)*100)))</f>
        <v>1.2384365676543219E-2</v>
      </c>
      <c r="AJ510" s="56">
        <f>AH514</f>
        <v>26818.000000000007</v>
      </c>
      <c r="AK510" s="23"/>
      <c r="AL510" s="56">
        <f>AJ514</f>
        <v>26889.500000000007</v>
      </c>
      <c r="AM510" s="23"/>
      <c r="AN510" s="413">
        <f t="shared" ref="AN510" si="3171">AL514</f>
        <v>26700.900000000009</v>
      </c>
      <c r="AO510" s="23"/>
      <c r="AP510" s="413">
        <f t="shared" ref="AP510" si="3172">AN514</f>
        <v>27035.800000000007</v>
      </c>
      <c r="AQ510" s="23"/>
      <c r="AR510" s="413">
        <f t="shared" ref="AR510" si="3173">AP514</f>
        <v>27181.700000000004</v>
      </c>
      <c r="AS510" s="23"/>
      <c r="AT510" s="413">
        <f t="shared" ref="AT510" si="3174">AR514</f>
        <v>27337.600000000006</v>
      </c>
      <c r="AU510" s="23"/>
      <c r="AV510" s="413">
        <f t="shared" ref="AV510" si="3175">AT514</f>
        <v>27517.100000000009</v>
      </c>
      <c r="AW510" s="23"/>
      <c r="AX510" s="413">
        <f t="shared" ref="AX510" si="3176">AV514</f>
        <v>27725.900000000012</v>
      </c>
      <c r="AY510" s="23"/>
      <c r="AZ510" s="413">
        <f t="shared" ref="AZ510" si="3177">AX514</f>
        <v>28140.200000000012</v>
      </c>
      <c r="BA510" s="23"/>
      <c r="BB510" s="413">
        <f t="shared" ref="BB510:BD510" si="3178">AZ514</f>
        <v>28429.600000000009</v>
      </c>
      <c r="BC510" s="23"/>
      <c r="BD510" s="413">
        <f t="shared" si="3178"/>
        <v>28634.000000000011</v>
      </c>
      <c r="BE510" s="23"/>
      <c r="BF510" s="36"/>
      <c r="BG510" s="23"/>
      <c r="BH510" s="36"/>
      <c r="BI510" s="23"/>
      <c r="BJ510" s="36"/>
      <c r="BK510" s="23"/>
      <c r="BL510" s="36"/>
      <c r="BM510" s="23"/>
      <c r="BN510" s="36"/>
      <c r="BO510" s="137"/>
      <c r="BP510" s="36"/>
      <c r="BQ510" s="112"/>
      <c r="BR510" s="112"/>
      <c r="BS510" s="112"/>
      <c r="BT510" s="36"/>
      <c r="BU510" s="56"/>
      <c r="BV510" s="23"/>
      <c r="BW510" s="56"/>
      <c r="BX510" s="23"/>
      <c r="BY510" s="56">
        <f>R510</f>
        <v>26100.800000000007</v>
      </c>
      <c r="BZ510" s="23" t="str">
        <f t="shared" ref="BZ510:BZ515" si="3179">IF(ISERROR((BY510/BW510-1)*100),"NA",IF(((BY510/BW510-1)*100)&gt;100,"NM",IF(((BY510/BW510-1)*100)&lt;-50,"NM",(BY510/BW510-1)*100)))</f>
        <v>NA</v>
      </c>
      <c r="CA510" s="56">
        <f>BY514</f>
        <v>26646.500000000004</v>
      </c>
      <c r="CB510" s="23">
        <f t="shared" ref="CB510:CB515" si="3180">IF(ISERROR((CA510/BY510-1)*100),"NA",IF(((CA510/BY510-1)*100)&gt;100,"NM",IF(((CA510/BY510-1)*100)&lt;-50,"NM",(CA510/BY510-1)*100)))</f>
        <v>2.0907405137007284</v>
      </c>
      <c r="CC510" s="56"/>
      <c r="CD510" s="23"/>
      <c r="CE510" s="56"/>
      <c r="CF510" s="23"/>
      <c r="CG510" s="56"/>
      <c r="CH510" s="23"/>
      <c r="CI510" s="56"/>
      <c r="CJ510" s="23"/>
      <c r="CK510" s="56"/>
      <c r="CL510" s="23"/>
      <c r="CM510" s="56"/>
      <c r="CN510" s="23"/>
      <c r="CO510" s="56"/>
      <c r="CP510" s="23"/>
      <c r="CQ510" s="56"/>
      <c r="CR510" s="23"/>
      <c r="CS510" s="23"/>
    </row>
    <row r="511" spans="1:105" ht="12.75" hidden="1" customHeight="1" outlineLevel="1" x14ac:dyDescent="0.2">
      <c r="A511" s="4" t="s">
        <v>13</v>
      </c>
      <c r="B511" s="49"/>
      <c r="C511" s="59"/>
      <c r="D511" s="49"/>
      <c r="E511" s="59"/>
      <c r="F511" s="49"/>
      <c r="G511" s="59"/>
      <c r="H511" s="49"/>
      <c r="I511" s="59"/>
      <c r="J511" s="49">
        <v>596.1</v>
      </c>
      <c r="K511" s="23" t="str">
        <f t="shared" si="3158"/>
        <v>NA</v>
      </c>
      <c r="L511" s="49">
        <v>633.9</v>
      </c>
      <c r="M511" s="23" t="str">
        <f t="shared" si="3159"/>
        <v>NA</v>
      </c>
      <c r="N511" s="49">
        <v>567.9</v>
      </c>
      <c r="O511" s="23" t="str">
        <f t="shared" si="3160"/>
        <v>NA</v>
      </c>
      <c r="P511" s="48">
        <v>555.70000000000005</v>
      </c>
      <c r="Q511" s="23" t="str">
        <f t="shared" si="3161"/>
        <v>NA</v>
      </c>
      <c r="R511" s="48">
        <v>554.79999999999995</v>
      </c>
      <c r="S511" s="23">
        <f t="shared" si="3162"/>
        <v>-6.9283677235363328</v>
      </c>
      <c r="T511" s="48">
        <v>624.6</v>
      </c>
      <c r="U511" s="23">
        <f t="shared" si="3163"/>
        <v>-1.4671083767155646</v>
      </c>
      <c r="V511" s="48">
        <v>671.7</v>
      </c>
      <c r="W511" s="23">
        <f t="shared" si="3164"/>
        <v>18.27786582144746</v>
      </c>
      <c r="X511" s="48">
        <v>780.9</v>
      </c>
      <c r="Y511" s="23">
        <f t="shared" si="3165"/>
        <v>40.525463379521298</v>
      </c>
      <c r="Z511" s="48">
        <v>861.7</v>
      </c>
      <c r="AA511" s="23">
        <f t="shared" si="3166"/>
        <v>55.317231434751292</v>
      </c>
      <c r="AB511" s="48">
        <v>796.9</v>
      </c>
      <c r="AC511" s="23">
        <f t="shared" si="3167"/>
        <v>27.585654819084215</v>
      </c>
      <c r="AD511" s="48">
        <v>687.1</v>
      </c>
      <c r="AE511" s="23">
        <f t="shared" si="3168"/>
        <v>2.2926901890724993</v>
      </c>
      <c r="AF511" s="48">
        <v>699</v>
      </c>
      <c r="AG511" s="23">
        <f t="shared" si="3169"/>
        <v>-10.487898578563193</v>
      </c>
      <c r="AH511" s="48">
        <v>688.8</v>
      </c>
      <c r="AI511" s="23">
        <f t="shared" si="3170"/>
        <v>-20.06498781478474</v>
      </c>
      <c r="AJ511" s="48">
        <v>738.4</v>
      </c>
      <c r="AK511" s="23"/>
      <c r="AL511" s="48">
        <v>875.5</v>
      </c>
      <c r="AM511" s="23"/>
      <c r="AN511" s="287">
        <v>922</v>
      </c>
      <c r="AO511" s="23"/>
      <c r="AP511" s="287">
        <v>856.6</v>
      </c>
      <c r="AQ511" s="23"/>
      <c r="AR511" s="287">
        <v>800.7</v>
      </c>
      <c r="AS511" s="23"/>
      <c r="AT511" s="287">
        <v>692.9</v>
      </c>
      <c r="AU511" s="23"/>
      <c r="AV511" s="287">
        <v>811.7</v>
      </c>
      <c r="AW511" s="23"/>
      <c r="AX511" s="287">
        <v>808</v>
      </c>
      <c r="AY511" s="23"/>
      <c r="AZ511" s="287">
        <v>790.8</v>
      </c>
      <c r="BA511" s="23"/>
      <c r="BB511" s="287">
        <v>618.1</v>
      </c>
      <c r="BC511" s="23"/>
      <c r="BD511" s="287"/>
      <c r="BE511" s="23"/>
      <c r="BF511" s="36"/>
      <c r="BG511" s="23"/>
      <c r="BH511" s="36"/>
      <c r="BI511" s="23"/>
      <c r="BJ511" s="36"/>
      <c r="BK511" s="23"/>
      <c r="BL511" s="36"/>
      <c r="BM511" s="23"/>
      <c r="BN511" s="36"/>
      <c r="BO511" s="137"/>
      <c r="BP511" s="36"/>
      <c r="BQ511" s="112"/>
      <c r="BR511" s="112"/>
      <c r="BS511" s="112"/>
      <c r="BT511" s="36"/>
      <c r="BU511" s="56"/>
      <c r="BV511" s="23"/>
      <c r="BW511" s="56"/>
      <c r="BX511" s="23"/>
      <c r="BY511" s="56">
        <f>R511+T511+V511+X511</f>
        <v>2632</v>
      </c>
      <c r="BZ511" s="23" t="str">
        <f t="shared" si="3179"/>
        <v>NA</v>
      </c>
      <c r="CA511" s="56">
        <f>Z511+AB511+AD511+AF511</f>
        <v>3044.7</v>
      </c>
      <c r="CB511" s="23">
        <f t="shared" si="3180"/>
        <v>15.680091185410316</v>
      </c>
      <c r="CC511" s="56"/>
      <c r="CD511" s="23"/>
      <c r="CE511" s="56"/>
      <c r="CF511" s="23"/>
      <c r="CG511" s="56"/>
      <c r="CH511" s="23"/>
      <c r="CI511" s="56"/>
      <c r="CJ511" s="23"/>
      <c r="CK511" s="56"/>
      <c r="CL511" s="23"/>
      <c r="CM511" s="56"/>
      <c r="CN511" s="23"/>
      <c r="CO511" s="56"/>
      <c r="CP511" s="23"/>
      <c r="CQ511" s="56"/>
      <c r="CR511" s="23"/>
      <c r="CS511" s="23"/>
    </row>
    <row r="512" spans="1:105" ht="12.75" hidden="1" customHeight="1" outlineLevel="1" x14ac:dyDescent="0.2">
      <c r="A512" s="4" t="s">
        <v>96</v>
      </c>
      <c r="B512" s="49"/>
      <c r="C512" s="59"/>
      <c r="D512" s="49"/>
      <c r="E512" s="59"/>
      <c r="F512" s="49"/>
      <c r="G512" s="59"/>
      <c r="H512" s="49"/>
      <c r="I512" s="59"/>
      <c r="J512" s="49">
        <v>-1107.7</v>
      </c>
      <c r="K512" s="23" t="str">
        <f t="shared" si="3158"/>
        <v>NA</v>
      </c>
      <c r="L512" s="49">
        <v>-1850.8</v>
      </c>
      <c r="M512" s="23" t="str">
        <f t="shared" si="3159"/>
        <v>NA</v>
      </c>
      <c r="N512" s="49">
        <v>-1175</v>
      </c>
      <c r="O512" s="23" t="str">
        <f t="shared" si="3160"/>
        <v>NA</v>
      </c>
      <c r="P512" s="48">
        <v>-951.8</v>
      </c>
      <c r="Q512" s="23" t="str">
        <f t="shared" si="3161"/>
        <v>NA</v>
      </c>
      <c r="R512" s="48">
        <v>-775.1</v>
      </c>
      <c r="S512" s="23">
        <f t="shared" si="3162"/>
        <v>-30.026180373747401</v>
      </c>
      <c r="T512" s="48">
        <v>-868.3</v>
      </c>
      <c r="U512" s="23" t="str">
        <f t="shared" si="3163"/>
        <v>NM</v>
      </c>
      <c r="V512" s="48">
        <v>-932.7</v>
      </c>
      <c r="W512" s="23">
        <f t="shared" si="3164"/>
        <v>-20.621276595744675</v>
      </c>
      <c r="X512" s="48">
        <v>-952.8</v>
      </c>
      <c r="Y512" s="23">
        <f t="shared" si="3165"/>
        <v>0.10506408909434217</v>
      </c>
      <c r="Z512" s="48">
        <v>-806.8</v>
      </c>
      <c r="AA512" s="23">
        <f t="shared" si="3166"/>
        <v>4.0897948651786864</v>
      </c>
      <c r="AB512" s="48">
        <v>-888.7</v>
      </c>
      <c r="AC512" s="23">
        <f t="shared" si="3167"/>
        <v>2.3494184037775145</v>
      </c>
      <c r="AD512" s="48">
        <v>-1310</v>
      </c>
      <c r="AE512" s="23">
        <f t="shared" si="3168"/>
        <v>40.452449876702048</v>
      </c>
      <c r="AF512" s="48">
        <v>-1109.5999999999999</v>
      </c>
      <c r="AG512" s="23">
        <f t="shared" si="3169"/>
        <v>16.456759026028543</v>
      </c>
      <c r="AH512" s="48">
        <v>-797.7</v>
      </c>
      <c r="AI512" s="23">
        <f t="shared" si="3170"/>
        <v>-1.1279127416955803</v>
      </c>
      <c r="AJ512" s="48">
        <v>-842</v>
      </c>
      <c r="AK512" s="23"/>
      <c r="AL512" s="48">
        <v>-841.5</v>
      </c>
      <c r="AM512" s="23"/>
      <c r="AN512" s="287">
        <v>-869.4</v>
      </c>
      <c r="AO512" s="23"/>
      <c r="AP512" s="287">
        <v>-806.4</v>
      </c>
      <c r="AQ512" s="23"/>
      <c r="AR512" s="287">
        <v>-846.1</v>
      </c>
      <c r="AS512" s="23"/>
      <c r="AT512" s="287">
        <v>-828.3</v>
      </c>
      <c r="AU512" s="23"/>
      <c r="AV512" s="287">
        <v>-787.6</v>
      </c>
      <c r="AW512" s="23"/>
      <c r="AX512" s="287">
        <v>-853.4</v>
      </c>
      <c r="AY512" s="23"/>
      <c r="AZ512" s="287">
        <v>-857.5</v>
      </c>
      <c r="BA512" s="23"/>
      <c r="BB512" s="287">
        <v>-783.1</v>
      </c>
      <c r="BC512" s="23"/>
      <c r="BD512" s="287"/>
      <c r="BE512" s="23"/>
      <c r="BF512" s="36"/>
      <c r="BG512" s="23"/>
      <c r="BH512" s="36"/>
      <c r="BI512" s="23"/>
      <c r="BJ512" s="36"/>
      <c r="BK512" s="23"/>
      <c r="BL512" s="36"/>
      <c r="BM512" s="23"/>
      <c r="BN512" s="36"/>
      <c r="BO512" s="137"/>
      <c r="BP512" s="36"/>
      <c r="BQ512" s="112"/>
      <c r="BR512" s="112"/>
      <c r="BS512" s="112"/>
      <c r="BT512" s="36"/>
      <c r="BU512" s="56"/>
      <c r="BV512" s="23"/>
      <c r="BW512" s="56"/>
      <c r="BX512" s="23"/>
      <c r="BY512" s="56">
        <f>R512+T512+V512+X512</f>
        <v>-3528.9000000000005</v>
      </c>
      <c r="BZ512" s="23" t="str">
        <f t="shared" si="3179"/>
        <v>NA</v>
      </c>
      <c r="CA512" s="56">
        <f>Z512+AB512+AD512+AF512</f>
        <v>-4115.1000000000004</v>
      </c>
      <c r="CB512" s="23">
        <f t="shared" si="3180"/>
        <v>16.611408654254856</v>
      </c>
      <c r="CC512" s="56"/>
      <c r="CD512" s="23"/>
      <c r="CE512" s="56"/>
      <c r="CF512" s="23"/>
      <c r="CG512" s="56"/>
      <c r="CH512" s="23"/>
      <c r="CI512" s="56"/>
      <c r="CJ512" s="23"/>
      <c r="CK512" s="56"/>
      <c r="CL512" s="23"/>
      <c r="CM512" s="56"/>
      <c r="CN512" s="23"/>
      <c r="CO512" s="56"/>
      <c r="CP512" s="23"/>
      <c r="CQ512" s="56"/>
      <c r="CR512" s="23"/>
      <c r="CS512" s="23"/>
    </row>
    <row r="513" spans="1:97" ht="12.75" hidden="1" customHeight="1" outlineLevel="1" x14ac:dyDescent="0.2">
      <c r="A513" s="4" t="s">
        <v>97</v>
      </c>
      <c r="B513" s="49"/>
      <c r="C513" s="59"/>
      <c r="D513" s="49"/>
      <c r="E513" s="59"/>
      <c r="F513" s="49"/>
      <c r="G513" s="59"/>
      <c r="H513" s="49"/>
      <c r="I513" s="59"/>
      <c r="J513" s="49">
        <v>414</v>
      </c>
      <c r="K513" s="23" t="str">
        <f t="shared" si="3158"/>
        <v>NA</v>
      </c>
      <c r="L513" s="49">
        <v>120.9</v>
      </c>
      <c r="M513" s="23" t="str">
        <f t="shared" si="3159"/>
        <v>NA</v>
      </c>
      <c r="N513" s="49">
        <v>362.2</v>
      </c>
      <c r="O513" s="23" t="str">
        <f t="shared" si="3160"/>
        <v>NA</v>
      </c>
      <c r="P513" s="48">
        <v>245.2</v>
      </c>
      <c r="Q513" s="23" t="str">
        <f t="shared" si="3161"/>
        <v>NA</v>
      </c>
      <c r="R513" s="48">
        <v>347.3</v>
      </c>
      <c r="S513" s="23">
        <f t="shared" si="3162"/>
        <v>-16.111111111111111</v>
      </c>
      <c r="T513" s="48">
        <v>249.2</v>
      </c>
      <c r="U513" s="23" t="str">
        <f t="shared" si="3163"/>
        <v>NM</v>
      </c>
      <c r="V513" s="48">
        <v>406.7</v>
      </c>
      <c r="W513" s="23">
        <f t="shared" si="3164"/>
        <v>12.286029817780243</v>
      </c>
      <c r="X513" s="48">
        <v>439.4</v>
      </c>
      <c r="Y513" s="23">
        <f t="shared" si="3165"/>
        <v>79.200652528548133</v>
      </c>
      <c r="Z513" s="48">
        <v>266.10000000000002</v>
      </c>
      <c r="AA513" s="23">
        <f t="shared" si="3166"/>
        <v>-23.380362798733078</v>
      </c>
      <c r="AB513" s="48">
        <v>389.1</v>
      </c>
      <c r="AC513" s="23">
        <f t="shared" si="3167"/>
        <v>56.139646869983963</v>
      </c>
      <c r="AD513" s="48">
        <v>148.1</v>
      </c>
      <c r="AE513" s="23" t="str">
        <f t="shared" si="3168"/>
        <v>NM</v>
      </c>
      <c r="AF513" s="48">
        <v>270.39999999999998</v>
      </c>
      <c r="AG513" s="23">
        <f t="shared" si="3169"/>
        <v>-38.46153846153846</v>
      </c>
      <c r="AH513" s="48">
        <v>277.10000000000002</v>
      </c>
      <c r="AI513" s="23">
        <f t="shared" si="3170"/>
        <v>4.1337842916197021</v>
      </c>
      <c r="AJ513" s="48">
        <v>175.1</v>
      </c>
      <c r="AK513" s="23"/>
      <c r="AL513" s="48">
        <v>-222.6</v>
      </c>
      <c r="AM513" s="23"/>
      <c r="AN513" s="287">
        <v>282.3</v>
      </c>
      <c r="AO513" s="23"/>
      <c r="AP513" s="287">
        <v>95.7</v>
      </c>
      <c r="AQ513" s="23"/>
      <c r="AR513" s="287">
        <v>201.3</v>
      </c>
      <c r="AS513" s="23"/>
      <c r="AT513" s="287">
        <v>314.89999999999998</v>
      </c>
      <c r="AU513" s="23"/>
      <c r="AV513" s="287">
        <v>184.7</v>
      </c>
      <c r="AW513" s="23"/>
      <c r="AX513" s="287">
        <v>459.7</v>
      </c>
      <c r="AY513" s="23"/>
      <c r="AZ513" s="287">
        <v>356.1</v>
      </c>
      <c r="BA513" s="23"/>
      <c r="BB513" s="287">
        <v>369.4</v>
      </c>
      <c r="BC513" s="23"/>
      <c r="BD513" s="287"/>
      <c r="BE513" s="23"/>
      <c r="BF513" s="36"/>
      <c r="BG513" s="23"/>
      <c r="BH513" s="36"/>
      <c r="BI513" s="23"/>
      <c r="BJ513" s="36"/>
      <c r="BK513" s="23"/>
      <c r="BL513" s="36"/>
      <c r="BM513" s="23"/>
      <c r="BN513" s="36"/>
      <c r="BO513" s="137"/>
      <c r="BP513" s="36"/>
      <c r="BQ513" s="112"/>
      <c r="BR513" s="112"/>
      <c r="BS513" s="112"/>
      <c r="BT513" s="36"/>
      <c r="BU513" s="56"/>
      <c r="BV513" s="23"/>
      <c r="BW513" s="56"/>
      <c r="BX513" s="23"/>
      <c r="BY513" s="56">
        <f>R513+T513+V513+X513</f>
        <v>1442.6</v>
      </c>
      <c r="BZ513" s="23" t="str">
        <f t="shared" si="3179"/>
        <v>NA</v>
      </c>
      <c r="CA513" s="56">
        <f>Z513+AB513+AD513+AF513</f>
        <v>1073.7</v>
      </c>
      <c r="CB513" s="23">
        <f t="shared" si="3180"/>
        <v>-25.571884098156094</v>
      </c>
      <c r="CC513" s="56"/>
      <c r="CD513" s="23"/>
      <c r="CE513" s="56"/>
      <c r="CF513" s="23"/>
      <c r="CG513" s="56"/>
      <c r="CH513" s="23"/>
      <c r="CI513" s="56"/>
      <c r="CJ513" s="23"/>
      <c r="CK513" s="56"/>
      <c r="CL513" s="23"/>
      <c r="CM513" s="56"/>
      <c r="CN513" s="23"/>
      <c r="CO513" s="56"/>
      <c r="CP513" s="23"/>
      <c r="CQ513" s="56"/>
      <c r="CR513" s="23"/>
      <c r="CS513" s="23"/>
    </row>
    <row r="514" spans="1:97" ht="12.75" hidden="1" customHeight="1" outlineLevel="1" x14ac:dyDescent="0.2">
      <c r="A514" s="4" t="s">
        <v>183</v>
      </c>
      <c r="B514" s="36"/>
      <c r="C514" s="59"/>
      <c r="D514" s="56"/>
      <c r="E514" s="59"/>
      <c r="F514" s="36"/>
      <c r="G514" s="59"/>
      <c r="H514" s="36"/>
      <c r="I514" s="59"/>
      <c r="J514" s="36">
        <f t="shared" ref="J514" si="3181">SUM(J510:J513)</f>
        <v>27592.6</v>
      </c>
      <c r="K514" s="23" t="str">
        <f t="shared" si="3158"/>
        <v>NA</v>
      </c>
      <c r="L514" s="36">
        <f t="shared" ref="L514" si="3182">SUM(L510:L513)</f>
        <v>26496.600000000002</v>
      </c>
      <c r="M514" s="23" t="str">
        <f t="shared" si="3159"/>
        <v>NA</v>
      </c>
      <c r="N514" s="36">
        <f t="shared" ref="N514" si="3183">SUM(N510:N513)</f>
        <v>26251.700000000004</v>
      </c>
      <c r="O514" s="23" t="str">
        <f t="shared" si="3160"/>
        <v>NA</v>
      </c>
      <c r="P514" s="36">
        <f t="shared" ref="P514" si="3184">SUM(P510:P513)</f>
        <v>26100.800000000007</v>
      </c>
      <c r="Q514" s="23" t="str">
        <f t="shared" si="3161"/>
        <v>NA</v>
      </c>
      <c r="R514" s="36">
        <f t="shared" ref="R514" si="3185">SUM(R510:R513)</f>
        <v>26227.800000000007</v>
      </c>
      <c r="S514" s="23">
        <f t="shared" si="3162"/>
        <v>-4.9462537057036737</v>
      </c>
      <c r="T514" s="36">
        <f t="shared" ref="T514" si="3186">SUM(T510:T513)</f>
        <v>26233.300000000007</v>
      </c>
      <c r="U514" s="23">
        <f t="shared" si="3163"/>
        <v>-0.99371240083632184</v>
      </c>
      <c r="V514" s="36">
        <f t="shared" ref="V514" si="3187">SUM(V510:V513)</f>
        <v>26379.000000000007</v>
      </c>
      <c r="W514" s="23">
        <f t="shared" si="3164"/>
        <v>0.48492097654628807</v>
      </c>
      <c r="X514" s="36">
        <f t="shared" ref="X514" si="3188">SUM(X510:X513)</f>
        <v>26646.500000000011</v>
      </c>
      <c r="Y514" s="23">
        <f t="shared" si="3165"/>
        <v>2.0907405137007506</v>
      </c>
      <c r="Z514" s="36">
        <f t="shared" ref="Z514" si="3189">SUM(Z510:Z513)</f>
        <v>26967.500000000011</v>
      </c>
      <c r="AA514" s="23">
        <f t="shared" si="3166"/>
        <v>2.8202899213811472</v>
      </c>
      <c r="AB514" s="36">
        <f t="shared" ref="AB514" si="3190">SUM(AB510:AB513)</f>
        <v>27264.80000000001</v>
      </c>
      <c r="AC514" s="23">
        <f t="shared" si="3167"/>
        <v>3.9320253265887395</v>
      </c>
      <c r="AD514" s="36">
        <f t="shared" ref="AD514" si="3191">SUM(AD510:AD513)</f>
        <v>26790.000000000007</v>
      </c>
      <c r="AE514" s="23">
        <f t="shared" si="3168"/>
        <v>1.558057545775049</v>
      </c>
      <c r="AF514" s="36">
        <f t="shared" ref="AF514" si="3192">SUM(AF510:AF513)</f>
        <v>26649.80000000001</v>
      </c>
      <c r="AG514" s="23">
        <f t="shared" si="3169"/>
        <v>1.2384365676543219E-2</v>
      </c>
      <c r="AH514" s="36">
        <f t="shared" ref="AH514" si="3193">SUM(AH510:AH513)</f>
        <v>26818.000000000007</v>
      </c>
      <c r="AI514" s="23">
        <f t="shared" si="3170"/>
        <v>-0.55437100213221457</v>
      </c>
      <c r="AJ514" s="36">
        <f t="shared" ref="AJ514" si="3194">SUM(AJ510:AJ513)</f>
        <v>26889.500000000007</v>
      </c>
      <c r="AK514" s="23"/>
      <c r="AL514" s="36">
        <f t="shared" ref="AL514" si="3195">SUM(AL510:AL513)</f>
        <v>26700.900000000009</v>
      </c>
      <c r="AM514" s="23"/>
      <c r="AN514" s="410">
        <f t="shared" ref="AN514" si="3196">SUM(AN510:AN513)</f>
        <v>27035.800000000007</v>
      </c>
      <c r="AO514" s="23"/>
      <c r="AP514" s="410">
        <f t="shared" ref="AP514" si="3197">SUM(AP510:AP513)</f>
        <v>27181.700000000004</v>
      </c>
      <c r="AQ514" s="23"/>
      <c r="AR514" s="409">
        <f t="shared" ref="AR514" si="3198">SUM(AR510:AR513)</f>
        <v>27337.600000000006</v>
      </c>
      <c r="AS514" s="23"/>
      <c r="AT514" s="410">
        <f t="shared" ref="AT514" si="3199">SUM(AT510:AT513)</f>
        <v>27517.100000000009</v>
      </c>
      <c r="AU514" s="23"/>
      <c r="AV514" s="409">
        <f t="shared" ref="AV514" si="3200">SUM(AV510:AV513)</f>
        <v>27725.900000000012</v>
      </c>
      <c r="AW514" s="23"/>
      <c r="AX514" s="409">
        <f t="shared" ref="AX514" si="3201">SUM(AX510:AX513)</f>
        <v>28140.200000000012</v>
      </c>
      <c r="AY514" s="23"/>
      <c r="AZ514" s="409">
        <f t="shared" ref="AZ514" si="3202">SUM(AZ510:AZ513)</f>
        <v>28429.600000000009</v>
      </c>
      <c r="BA514" s="23"/>
      <c r="BB514" s="409">
        <f t="shared" ref="BB514:BD514" si="3203">SUM(BB510:BB513)</f>
        <v>28634.000000000011</v>
      </c>
      <c r="BC514" s="23"/>
      <c r="BD514" s="409">
        <f t="shared" si="3203"/>
        <v>28634.000000000011</v>
      </c>
      <c r="BE514" s="23"/>
      <c r="BF514" s="36"/>
      <c r="BG514" s="23"/>
      <c r="BH514" s="36"/>
      <c r="BI514" s="23"/>
      <c r="BJ514" s="36"/>
      <c r="BK514" s="23"/>
      <c r="BL514" s="36"/>
      <c r="BM514" s="23"/>
      <c r="BN514" s="36"/>
      <c r="BO514" s="137"/>
      <c r="BP514" s="36"/>
      <c r="BQ514" s="112"/>
      <c r="BR514" s="112"/>
      <c r="BS514" s="112"/>
      <c r="BT514" s="36"/>
      <c r="BU514" s="56"/>
      <c r="BV514" s="23"/>
      <c r="BW514" s="56"/>
      <c r="BX514" s="23"/>
      <c r="BY514" s="56">
        <f t="shared" ref="BY514" si="3204">SUM(BY510:BY513)</f>
        <v>26646.500000000004</v>
      </c>
      <c r="BZ514" s="23" t="str">
        <f t="shared" si="3179"/>
        <v>NA</v>
      </c>
      <c r="CA514" s="56">
        <f t="shared" ref="CA514" si="3205">SUM(CA510:CA513)</f>
        <v>26649.800000000007</v>
      </c>
      <c r="CB514" s="23">
        <f t="shared" si="3180"/>
        <v>1.2384365676543219E-2</v>
      </c>
      <c r="CC514" s="56"/>
      <c r="CD514" s="23"/>
      <c r="CE514" s="56"/>
      <c r="CF514" s="23"/>
      <c r="CG514" s="56"/>
      <c r="CH514" s="23"/>
      <c r="CI514" s="56"/>
      <c r="CJ514" s="23"/>
      <c r="CK514" s="56"/>
      <c r="CL514" s="23"/>
      <c r="CM514" s="56"/>
      <c r="CN514" s="23"/>
      <c r="CO514" s="56"/>
      <c r="CP514" s="23"/>
      <c r="CQ514" s="56"/>
      <c r="CR514" s="23"/>
      <c r="CS514" s="23"/>
    </row>
    <row r="515" spans="1:97" ht="12.75" hidden="1" customHeight="1" outlineLevel="1" x14ac:dyDescent="0.2">
      <c r="A515" s="4" t="s">
        <v>98</v>
      </c>
      <c r="B515" s="36"/>
      <c r="C515" s="59"/>
      <c r="D515" s="36"/>
      <c r="E515" s="59"/>
      <c r="F515" s="36"/>
      <c r="G515" s="59"/>
      <c r="H515" s="36"/>
      <c r="I515" s="59"/>
      <c r="J515" s="36">
        <f t="shared" ref="J515" si="3206">AVERAGE(J514,J510)</f>
        <v>27641.4</v>
      </c>
      <c r="K515" s="23" t="str">
        <f t="shared" si="3158"/>
        <v>NA</v>
      </c>
      <c r="L515" s="36">
        <f t="shared" ref="L515" si="3207">AVERAGE(L514,L510)</f>
        <v>27044.6</v>
      </c>
      <c r="M515" s="23" t="str">
        <f t="shared" si="3159"/>
        <v>NA</v>
      </c>
      <c r="N515" s="36">
        <f t="shared" ref="N515" si="3208">AVERAGE(N514,N510)</f>
        <v>26374.15</v>
      </c>
      <c r="O515" s="23" t="str">
        <f t="shared" si="3160"/>
        <v>NA</v>
      </c>
      <c r="P515" s="36">
        <f t="shared" ref="P515" si="3209">AVERAGE(P514,P510)</f>
        <v>26176.250000000007</v>
      </c>
      <c r="Q515" s="23" t="str">
        <f t="shared" si="3161"/>
        <v>NA</v>
      </c>
      <c r="R515" s="36">
        <f t="shared" ref="R515" si="3210">AVERAGE(R514,R510)</f>
        <v>26164.300000000007</v>
      </c>
      <c r="S515" s="23">
        <f t="shared" si="3162"/>
        <v>-5.3437959003523545</v>
      </c>
      <c r="T515" s="36">
        <f t="shared" ref="T515" si="3211">AVERAGE(T514,T510)</f>
        <v>26230.550000000007</v>
      </c>
      <c r="U515" s="23">
        <f t="shared" si="3163"/>
        <v>-3.0100278798724789</v>
      </c>
      <c r="V515" s="36">
        <f t="shared" ref="V515" si="3212">AVERAGE(V514,V510)</f>
        <v>26306.150000000009</v>
      </c>
      <c r="W515" s="23">
        <f t="shared" si="3164"/>
        <v>-0.25782821436897141</v>
      </c>
      <c r="X515" s="36">
        <f t="shared" ref="X515" si="3213">AVERAGE(X514,X510)</f>
        <v>26512.750000000007</v>
      </c>
      <c r="Y515" s="23">
        <f t="shared" si="3165"/>
        <v>1.2855164509813388</v>
      </c>
      <c r="Z515" s="36">
        <f t="shared" ref="Z515" si="3214">AVERAGE(Z514,Z510)</f>
        <v>26807.000000000011</v>
      </c>
      <c r="AA515" s="23">
        <f t="shared" si="3166"/>
        <v>2.4564005152058588</v>
      </c>
      <c r="AB515" s="36">
        <f t="shared" ref="AB515" si="3215">AVERAGE(AB514,AB510)</f>
        <v>27116.150000000009</v>
      </c>
      <c r="AC515" s="23">
        <f t="shared" si="3167"/>
        <v>3.376215900924695</v>
      </c>
      <c r="AD515" s="36">
        <f t="shared" ref="AD515" si="3216">AVERAGE(AD514,AD510)</f>
        <v>27027.400000000009</v>
      </c>
      <c r="AE515" s="23">
        <f t="shared" si="3168"/>
        <v>2.7417543046017734</v>
      </c>
      <c r="AF515" s="36">
        <f t="shared" ref="AF515" si="3217">AVERAGE(AF514,AF510)</f>
        <v>26719.900000000009</v>
      </c>
      <c r="AG515" s="23">
        <f t="shared" si="3169"/>
        <v>0.78132219403872494</v>
      </c>
      <c r="AH515" s="36">
        <f t="shared" ref="AH515" si="3218">AVERAGE(AH514,AH510)</f>
        <v>26733.900000000009</v>
      </c>
      <c r="AI515" s="23">
        <f t="shared" si="3170"/>
        <v>-0.27268996903794251</v>
      </c>
      <c r="AJ515" s="36">
        <f t="shared" ref="AJ515" si="3219">AVERAGE(AJ514,AJ510)</f>
        <v>26853.750000000007</v>
      </c>
      <c r="AK515" s="23"/>
      <c r="AL515" s="36">
        <f t="shared" ref="AL515" si="3220">AVERAGE(AL514,AL510)</f>
        <v>26795.200000000008</v>
      </c>
      <c r="AM515" s="23"/>
      <c r="AN515" s="410">
        <f t="shared" ref="AN515" si="3221">AVERAGE(AN514,AN510)</f>
        <v>26868.350000000006</v>
      </c>
      <c r="AO515" s="23"/>
      <c r="AP515" s="410">
        <f t="shared" ref="AP515" si="3222">AVERAGE(AP514,AP510)</f>
        <v>27108.750000000007</v>
      </c>
      <c r="AQ515" s="23"/>
      <c r="AR515" s="410">
        <f t="shared" ref="AR515" si="3223">AVERAGE(AR514,AR510)</f>
        <v>27259.650000000005</v>
      </c>
      <c r="AS515" s="23"/>
      <c r="AT515" s="410">
        <f t="shared" ref="AT515" si="3224">AVERAGE(AT514,AT510)</f>
        <v>27427.350000000006</v>
      </c>
      <c r="AU515" s="23"/>
      <c r="AV515" s="410">
        <f t="shared" ref="AV515" si="3225">AVERAGE(AV514,AV510)</f>
        <v>27621.500000000011</v>
      </c>
      <c r="AW515" s="23"/>
      <c r="AX515" s="410">
        <f t="shared" ref="AX515" si="3226">AVERAGE(AX514,AX510)</f>
        <v>27933.05000000001</v>
      </c>
      <c r="AY515" s="23"/>
      <c r="AZ515" s="410">
        <f t="shared" ref="AZ515" si="3227">AVERAGE(AZ514,AZ510)</f>
        <v>28284.900000000009</v>
      </c>
      <c r="BA515" s="23"/>
      <c r="BB515" s="410">
        <f t="shared" ref="BB515:BD515" si="3228">AVERAGE(BB514,BB510)</f>
        <v>28531.80000000001</v>
      </c>
      <c r="BC515" s="23"/>
      <c r="BD515" s="410">
        <f t="shared" si="3228"/>
        <v>28634.000000000011</v>
      </c>
      <c r="BE515" s="23"/>
      <c r="BF515" s="36"/>
      <c r="BG515" s="23"/>
      <c r="BH515" s="36"/>
      <c r="BI515" s="23"/>
      <c r="BJ515" s="36"/>
      <c r="BK515" s="23"/>
      <c r="BL515" s="36"/>
      <c r="BM515" s="23"/>
      <c r="BN515" s="36"/>
      <c r="BO515" s="137"/>
      <c r="BP515" s="36"/>
      <c r="BQ515" s="112"/>
      <c r="BR515" s="112"/>
      <c r="BS515" s="112"/>
      <c r="BT515" s="36"/>
      <c r="BU515" s="56"/>
      <c r="BV515" s="23"/>
      <c r="BW515" s="56"/>
      <c r="BX515" s="23"/>
      <c r="BY515" s="56">
        <f t="shared" ref="BY515" si="3229">AVERAGE(BY514,BY510)</f>
        <v>26373.650000000005</v>
      </c>
      <c r="BZ515" s="23" t="str">
        <f t="shared" si="3179"/>
        <v>NA</v>
      </c>
      <c r="CA515" s="56">
        <f t="shared" ref="CA515" si="3230">AVERAGE(CA514,CA510)</f>
        <v>26648.150000000005</v>
      </c>
      <c r="CB515" s="23">
        <f t="shared" si="3180"/>
        <v>1.0408115676063145</v>
      </c>
      <c r="CC515" s="56"/>
      <c r="CD515" s="23"/>
      <c r="CE515" s="56"/>
      <c r="CF515" s="23"/>
      <c r="CG515" s="56"/>
      <c r="CH515" s="23"/>
      <c r="CI515" s="56"/>
      <c r="CJ515" s="23"/>
      <c r="CK515" s="56"/>
      <c r="CL515" s="23"/>
      <c r="CM515" s="56"/>
      <c r="CN515" s="23"/>
      <c r="CO515" s="56"/>
      <c r="CP515" s="23"/>
      <c r="CQ515" s="56"/>
      <c r="CR515" s="23"/>
      <c r="CS515" s="23"/>
    </row>
    <row r="516" spans="1:97" ht="12.75" hidden="1" customHeight="1" outlineLevel="1" x14ac:dyDescent="0.2">
      <c r="B516" s="36"/>
      <c r="C516" s="60"/>
      <c r="D516" s="36"/>
      <c r="E516" s="60"/>
      <c r="F516" s="36"/>
      <c r="G516" s="60"/>
      <c r="H516" s="36"/>
      <c r="I516" s="60"/>
      <c r="J516" s="36"/>
      <c r="L516" s="36"/>
      <c r="N516" s="36"/>
      <c r="P516" s="36"/>
      <c r="R516" s="36"/>
      <c r="T516" s="36"/>
      <c r="V516" s="36"/>
      <c r="X516" s="36"/>
      <c r="Z516" s="36"/>
      <c r="AB516" s="36"/>
      <c r="AD516" s="36"/>
      <c r="AF516" s="36"/>
      <c r="AH516" s="36"/>
      <c r="AJ516" s="36"/>
      <c r="AL516" s="36"/>
      <c r="AN516" s="410"/>
      <c r="AP516" s="410"/>
      <c r="AR516" s="410"/>
      <c r="AT516" s="410"/>
      <c r="AV516" s="410"/>
      <c r="AX516" s="410"/>
      <c r="AZ516" s="410"/>
      <c r="BB516" s="410"/>
      <c r="BD516" s="410"/>
      <c r="BF516" s="36"/>
      <c r="BH516" s="36"/>
      <c r="BJ516" s="36"/>
      <c r="BL516" s="36"/>
      <c r="BN516" s="36"/>
      <c r="BO516" s="137"/>
      <c r="BP516" s="36"/>
      <c r="BQ516" s="36"/>
      <c r="BR516" s="36"/>
      <c r="BS516" s="36"/>
      <c r="BT516" s="36"/>
      <c r="BU516" s="56"/>
      <c r="BW516" s="56"/>
      <c r="BY516" s="56"/>
      <c r="CA516" s="56"/>
      <c r="CC516" s="56"/>
      <c r="CE516" s="56"/>
      <c r="CG516" s="56"/>
      <c r="CI516" s="56"/>
      <c r="CK516" s="56"/>
      <c r="CM516" s="56"/>
      <c r="CO516" s="56"/>
      <c r="CQ516" s="56"/>
    </row>
    <row r="517" spans="1:97" ht="12.75" hidden="1" customHeight="1" outlineLevel="1" x14ac:dyDescent="0.2">
      <c r="A517" s="3" t="s">
        <v>486</v>
      </c>
      <c r="J517" s="5"/>
      <c r="L517" s="5"/>
      <c r="N517" s="5"/>
      <c r="P517" s="5"/>
      <c r="R517" s="5"/>
      <c r="T517" s="5"/>
      <c r="V517" s="5"/>
      <c r="X517" s="5"/>
      <c r="Z517" s="5"/>
      <c r="AB517" s="5"/>
      <c r="AD517" s="5"/>
      <c r="AF517" s="5"/>
      <c r="AH517" s="5"/>
      <c r="AJ517" s="5"/>
      <c r="AL517" s="5"/>
      <c r="AN517" s="475"/>
      <c r="AP517" s="475"/>
      <c r="AR517" s="475"/>
      <c r="AT517" s="475"/>
      <c r="AV517" s="475"/>
      <c r="AX517" s="475"/>
      <c r="AZ517" s="475"/>
      <c r="BB517" s="475"/>
      <c r="BD517" s="475"/>
      <c r="BF517" s="5"/>
      <c r="BH517" s="5"/>
      <c r="BJ517" s="5"/>
      <c r="BL517" s="5"/>
      <c r="BN517" s="5"/>
      <c r="BO517" s="136"/>
      <c r="BP517" s="5"/>
      <c r="BQ517" s="5"/>
      <c r="BR517" s="5"/>
      <c r="BS517" s="5"/>
      <c r="BT517" s="5"/>
      <c r="BU517" s="5"/>
      <c r="BW517" s="5"/>
    </row>
    <row r="518" spans="1:97" ht="12.75" hidden="1" customHeight="1" outlineLevel="1" x14ac:dyDescent="0.2">
      <c r="A518" s="4" t="s">
        <v>184</v>
      </c>
      <c r="B518" s="49"/>
      <c r="C518" s="59"/>
      <c r="D518" s="56"/>
      <c r="E518" s="59"/>
      <c r="F518" s="56"/>
      <c r="G518" s="59"/>
      <c r="H518" s="56"/>
      <c r="I518" s="59"/>
      <c r="J518" s="486">
        <v>2831</v>
      </c>
      <c r="K518" s="23" t="str">
        <f t="shared" ref="K518:K523" si="3231">IF(ISERROR((J518/B518-1)*100),"NA",IF(((J518/B518-1)*100)&gt;100,"NM",IF(((J518/B518-1)*100)&lt;-50,"NM",(J518/B518-1)*100)))</f>
        <v>NA</v>
      </c>
      <c r="L518" s="56">
        <f>J522</f>
        <v>2850.3</v>
      </c>
      <c r="M518" s="23" t="str">
        <f t="shared" ref="M518:M523" si="3232">IF(ISERROR((L518/D518-1)*100),"NA",IF(((L518/D518-1)*100)&gt;100,"NM",IF(((L518/D518-1)*100)&lt;-50,"NM",(L518/D518-1)*100)))</f>
        <v>NA</v>
      </c>
      <c r="N518" s="56">
        <f>L522</f>
        <v>2847.5</v>
      </c>
      <c r="O518" s="23" t="str">
        <f t="shared" ref="O518:O523" si="3233">IF(ISERROR((N518/F518-1)*100),"NA",IF(((N518/F518-1)*100)&gt;100,"NM",IF(((N518/F518-1)*100)&lt;-50,"NM",(N518/F518-1)*100)))</f>
        <v>NA</v>
      </c>
      <c r="P518" s="56">
        <f>N522</f>
        <v>2851</v>
      </c>
      <c r="Q518" s="23" t="str">
        <f t="shared" ref="Q518:Q523" si="3234">IF(ISERROR((P518/H518-1)*100),"NA",IF(((P518/H518-1)*100)&gt;100,"NM",IF(((P518/H518-1)*100)&lt;-50,"NM",(P518/H518-1)*100)))</f>
        <v>NA</v>
      </c>
      <c r="R518" s="56">
        <f>P522</f>
        <v>2806.6</v>
      </c>
      <c r="S518" s="23">
        <f t="shared" ref="S518:S523" si="3235">IF(ISERROR((R518/J518-1)*100),"NA",IF(((R518/J518-1)*100)&gt;100,"NM",IF(((R518/J518-1)*100)&lt;-50,"NM",(R518/J518-1)*100)))</f>
        <v>-0.86188625927234863</v>
      </c>
      <c r="T518" s="56">
        <f>R522</f>
        <v>2794.9</v>
      </c>
      <c r="U518" s="23">
        <f t="shared" ref="U518:U523" si="3236">IF(ISERROR((T518/L518-1)*100),"NA",IF(((T518/L518-1)*100)&gt;100,"NM",IF(((T518/L518-1)*100)&lt;-50,"NM",(T518/L518-1)*100)))</f>
        <v>-1.9436550538539876</v>
      </c>
      <c r="V518" s="56">
        <f>T522</f>
        <v>2762.9</v>
      </c>
      <c r="W518" s="23">
        <f t="shared" ref="W518:W523" si="3237">IF(ISERROR((V518/N518-1)*100),"NA",IF(((V518/N518-1)*100)&gt;100,"NM",IF(((V518/N518-1)*100)&lt;-50,"NM",(V518/N518-1)*100)))</f>
        <v>-2.9710272168568919</v>
      </c>
      <c r="X518" s="56">
        <f>V522</f>
        <v>2760.4</v>
      </c>
      <c r="Y518" s="23">
        <f t="shared" ref="Y518:Y523" si="3238">IF(ISERROR((X518/P518-1)*100),"NA",IF(((X518/P518-1)*100)&gt;100,"NM",IF(((X518/P518-1)*100)&lt;-50,"NM",(X518/P518-1)*100)))</f>
        <v>-3.1778323395299846</v>
      </c>
      <c r="Z518" s="56">
        <f>X522</f>
        <v>2803.5000000000005</v>
      </c>
      <c r="AA518" s="23">
        <f t="shared" ref="AA518:AA523" si="3239">IF(ISERROR((Z518/R518-1)*100),"NA",IF(((Z518/R518-1)*100)&gt;100,"NM",IF(((Z518/R518-1)*100)&lt;-50,"NM",(Z518/R518-1)*100)))</f>
        <v>-0.11045393002206971</v>
      </c>
      <c r="AB518" s="56">
        <f>Z522</f>
        <v>2871.1000000000004</v>
      </c>
      <c r="AC518" s="23">
        <f t="shared" ref="AC518:AC523" si="3240">IF(ISERROR((AB518/T518-1)*100),"NA",IF(((AB518/T518-1)*100)&gt;100,"NM",IF(((AB518/T518-1)*100)&lt;-50,"NM",(AB518/T518-1)*100)))</f>
        <v>2.7263945042756532</v>
      </c>
      <c r="AD518" s="56">
        <f>AB522</f>
        <v>2886.1000000000004</v>
      </c>
      <c r="AE518" s="23">
        <f t="shared" ref="AE518:AE523" si="3241">IF(ISERROR((AD518/V518-1)*100),"NA",IF(((AD518/V518-1)*100)&gt;100,"NM",IF(((AD518/V518-1)*100)&lt;-50,"NM",(AD518/V518-1)*100)))</f>
        <v>4.4590828477324651</v>
      </c>
      <c r="AF518" s="56">
        <f>AD522</f>
        <v>2892.1000000000004</v>
      </c>
      <c r="AG518" s="23">
        <f t="shared" ref="AG518:AG523" si="3242">IF(ISERROR((AF518/X518-1)*100),"NA",IF(((AF518/X518-1)*100)&gt;100,"NM",IF(((AF518/X518-1)*100)&lt;-50,"NM",(AF518/X518-1)*100)))</f>
        <v>4.7710476742501173</v>
      </c>
      <c r="AH518" s="56">
        <f>AF522</f>
        <v>2878.5000000000005</v>
      </c>
      <c r="AI518" s="23">
        <f t="shared" ref="AI518:AI523" si="3243">IF(ISERROR((AH518/Z518-1)*100),"NA",IF(((AH518/Z518-1)*100)&gt;100,"NM",IF(((AH518/Z518-1)*100)&lt;-50,"NM",(AH518/Z518-1)*100)))</f>
        <v>2.6752273943285276</v>
      </c>
      <c r="AJ518" s="56">
        <f>AH522</f>
        <v>2874</v>
      </c>
      <c r="AK518" s="23"/>
      <c r="AL518" s="56">
        <f>AJ522</f>
        <v>2856.7000000000003</v>
      </c>
      <c r="AM518" s="23"/>
      <c r="AN518" s="413">
        <f t="shared" ref="AN518" si="3244">AL522</f>
        <v>2819.6000000000004</v>
      </c>
      <c r="AO518" s="23"/>
      <c r="AP518" s="413">
        <f t="shared" ref="AP518" si="3245">AN522</f>
        <v>2822.8</v>
      </c>
      <c r="AQ518" s="23"/>
      <c r="AR518" s="413">
        <f t="shared" ref="AR518" si="3246">AP522</f>
        <v>2825.7000000000003</v>
      </c>
      <c r="AS518" s="23"/>
      <c r="AT518" s="413">
        <f t="shared" ref="AT518" si="3247">AR522</f>
        <v>2832.3</v>
      </c>
      <c r="AU518" s="23"/>
      <c r="AV518" s="413">
        <f t="shared" ref="AV518" si="3248">AT522</f>
        <v>2832.9</v>
      </c>
      <c r="AW518" s="23"/>
      <c r="AX518" s="413">
        <f t="shared" ref="AX518" si="3249">AV522</f>
        <v>2822.8</v>
      </c>
      <c r="AY518" s="23"/>
      <c r="AZ518" s="413">
        <f t="shared" ref="AZ518" si="3250">AX522</f>
        <v>2818</v>
      </c>
      <c r="BA518" s="23"/>
      <c r="BB518" s="413">
        <f t="shared" ref="BB518:BD518" si="3251">AZ522</f>
        <v>2808.5</v>
      </c>
      <c r="BC518" s="23"/>
      <c r="BD518" s="413">
        <f t="shared" si="3251"/>
        <v>2794.8</v>
      </c>
      <c r="BE518" s="23"/>
      <c r="BF518" s="36"/>
      <c r="BG518" s="23"/>
      <c r="BH518" s="36"/>
      <c r="BI518" s="23"/>
      <c r="BJ518" s="36"/>
      <c r="BK518" s="23"/>
      <c r="BL518" s="36"/>
      <c r="BM518" s="23"/>
      <c r="BN518" s="36"/>
      <c r="BO518" s="137"/>
      <c r="BP518" s="36"/>
      <c r="BQ518" s="112"/>
      <c r="BR518" s="112"/>
      <c r="BS518" s="112"/>
      <c r="BT518" s="36"/>
      <c r="BU518" s="56"/>
      <c r="BV518" s="23"/>
      <c r="BW518" s="56"/>
      <c r="BX518" s="23"/>
      <c r="BY518" s="56">
        <f>R518</f>
        <v>2806.6</v>
      </c>
      <c r="BZ518" s="23" t="str">
        <f t="shared" ref="BZ518:BZ523" si="3252">IF(ISERROR((BY518/BW518-1)*100),"NA",IF(((BY518/BW518-1)*100)&gt;100,"NM",IF(((BY518/BW518-1)*100)&lt;-50,"NM",(BY518/BW518-1)*100)))</f>
        <v>NA</v>
      </c>
      <c r="CA518" s="56">
        <f>BY522</f>
        <v>2803.5</v>
      </c>
      <c r="CB518" s="23">
        <f t="shared" ref="CB518:CB523" si="3253">IF(ISERROR((CA518/BY518-1)*100),"NA",IF(((CA518/BY518-1)*100)&gt;100,"NM",IF(((CA518/BY518-1)*100)&lt;-50,"NM",(CA518/BY518-1)*100)))</f>
        <v>-0.11045393002209192</v>
      </c>
      <c r="CC518" s="56"/>
      <c r="CD518" s="23"/>
      <c r="CE518" s="56"/>
      <c r="CF518" s="23"/>
      <c r="CG518" s="56"/>
      <c r="CH518" s="23"/>
      <c r="CI518" s="56"/>
      <c r="CJ518" s="23"/>
      <c r="CK518" s="56"/>
      <c r="CL518" s="23"/>
      <c r="CM518" s="56"/>
      <c r="CN518" s="23"/>
      <c r="CO518" s="56"/>
      <c r="CP518" s="23"/>
      <c r="CQ518" s="56"/>
      <c r="CR518" s="23"/>
      <c r="CS518" s="23"/>
    </row>
    <row r="519" spans="1:97" ht="12.75" hidden="1" customHeight="1" outlineLevel="1" x14ac:dyDescent="0.2">
      <c r="A519" s="4" t="s">
        <v>13</v>
      </c>
      <c r="B519" s="49"/>
      <c r="C519" s="59"/>
      <c r="D519" s="49"/>
      <c r="E519" s="59"/>
      <c r="F519" s="49"/>
      <c r="G519" s="59"/>
      <c r="H519" s="49"/>
      <c r="I519" s="59"/>
      <c r="J519" s="49">
        <v>61.8</v>
      </c>
      <c r="K519" s="23" t="str">
        <f t="shared" si="3231"/>
        <v>NA</v>
      </c>
      <c r="L519" s="49">
        <v>85.1</v>
      </c>
      <c r="M519" s="23" t="str">
        <f t="shared" si="3232"/>
        <v>NA</v>
      </c>
      <c r="N519" s="49">
        <v>57.4</v>
      </c>
      <c r="O519" s="23" t="str">
        <f t="shared" si="3233"/>
        <v>NA</v>
      </c>
      <c r="P519" s="48">
        <v>38.700000000000003</v>
      </c>
      <c r="Q519" s="23" t="str">
        <f t="shared" si="3234"/>
        <v>NA</v>
      </c>
      <c r="R519" s="48">
        <v>39.799999999999997</v>
      </c>
      <c r="S519" s="23">
        <f t="shared" si="3235"/>
        <v>-35.59870550161812</v>
      </c>
      <c r="T519" s="48">
        <v>37.200000000000003</v>
      </c>
      <c r="U519" s="23" t="str">
        <f t="shared" si="3236"/>
        <v>NM</v>
      </c>
      <c r="V519" s="48">
        <v>51.1</v>
      </c>
      <c r="W519" s="23">
        <f t="shared" si="3237"/>
        <v>-10.97560975609756</v>
      </c>
      <c r="X519" s="48">
        <v>94.5</v>
      </c>
      <c r="Y519" s="23" t="str">
        <f t="shared" si="3238"/>
        <v>NM</v>
      </c>
      <c r="Z519" s="48">
        <v>119.6</v>
      </c>
      <c r="AA519" s="23" t="str">
        <f t="shared" si="3239"/>
        <v>NM</v>
      </c>
      <c r="AB519" s="48">
        <v>81.400000000000006</v>
      </c>
      <c r="AC519" s="23" t="str">
        <f t="shared" si="3240"/>
        <v>NM</v>
      </c>
      <c r="AD519" s="48">
        <v>76.599999999999994</v>
      </c>
      <c r="AE519" s="23">
        <f t="shared" si="3241"/>
        <v>49.902152641878651</v>
      </c>
      <c r="AF519" s="48">
        <v>63.1</v>
      </c>
      <c r="AG519" s="23">
        <f t="shared" si="3242"/>
        <v>-33.227513227513228</v>
      </c>
      <c r="AH519" s="48">
        <v>64.599999999999994</v>
      </c>
      <c r="AI519" s="23">
        <f t="shared" si="3243"/>
        <v>-45.986622073578602</v>
      </c>
      <c r="AJ519" s="48">
        <v>62.3</v>
      </c>
      <c r="AK519" s="23"/>
      <c r="AL519" s="48">
        <v>76.3</v>
      </c>
      <c r="AM519" s="23"/>
      <c r="AN519" s="287">
        <v>59.5</v>
      </c>
      <c r="AO519" s="23"/>
      <c r="AP519" s="287">
        <v>71.3</v>
      </c>
      <c r="AQ519" s="23"/>
      <c r="AR519" s="287">
        <v>65.7</v>
      </c>
      <c r="AS519" s="23"/>
      <c r="AT519" s="287">
        <v>55</v>
      </c>
      <c r="AU519" s="23"/>
      <c r="AV519" s="287">
        <v>54.5</v>
      </c>
      <c r="AW519" s="23"/>
      <c r="AX519" s="287">
        <v>52</v>
      </c>
      <c r="AY519" s="23"/>
      <c r="AZ519" s="287">
        <v>45.1</v>
      </c>
      <c r="BA519" s="23"/>
      <c r="BB519" s="287">
        <v>38.799999999999997</v>
      </c>
      <c r="BC519" s="23"/>
      <c r="BD519" s="287"/>
      <c r="BE519" s="23"/>
      <c r="BF519" s="36"/>
      <c r="BG519" s="23"/>
      <c r="BH519" s="36"/>
      <c r="BI519" s="23"/>
      <c r="BJ519" s="36"/>
      <c r="BK519" s="23"/>
      <c r="BL519" s="36"/>
      <c r="BM519" s="23"/>
      <c r="BN519" s="36"/>
      <c r="BO519" s="137"/>
      <c r="BP519" s="36"/>
      <c r="BQ519" s="112"/>
      <c r="BR519" s="112"/>
      <c r="BS519" s="112"/>
      <c r="BT519" s="36"/>
      <c r="BU519" s="56"/>
      <c r="BV519" s="23"/>
      <c r="BW519" s="56"/>
      <c r="BX519" s="23"/>
      <c r="BY519" s="56">
        <f>R519+T519+V519+X519</f>
        <v>222.6</v>
      </c>
      <c r="BZ519" s="23" t="str">
        <f t="shared" si="3252"/>
        <v>NA</v>
      </c>
      <c r="CA519" s="56">
        <f>Z519+AB519+AD519+AF519</f>
        <v>340.70000000000005</v>
      </c>
      <c r="CB519" s="23">
        <f t="shared" si="3253"/>
        <v>53.054806828391762</v>
      </c>
      <c r="CC519" s="56"/>
      <c r="CD519" s="23"/>
      <c r="CE519" s="56"/>
      <c r="CF519" s="23"/>
      <c r="CG519" s="56"/>
      <c r="CH519" s="23"/>
      <c r="CI519" s="56"/>
      <c r="CJ519" s="23"/>
      <c r="CK519" s="56"/>
      <c r="CL519" s="23"/>
      <c r="CM519" s="56"/>
      <c r="CN519" s="23"/>
      <c r="CO519" s="56"/>
      <c r="CP519" s="23"/>
      <c r="CQ519" s="56"/>
      <c r="CR519" s="23"/>
      <c r="CS519" s="23"/>
    </row>
    <row r="520" spans="1:97" ht="12.75" hidden="1" customHeight="1" outlineLevel="1" x14ac:dyDescent="0.2">
      <c r="A520" s="4" t="s">
        <v>96</v>
      </c>
      <c r="B520" s="49"/>
      <c r="C520" s="59"/>
      <c r="D520" s="49"/>
      <c r="E520" s="59"/>
      <c r="F520" s="49"/>
      <c r="G520" s="59"/>
      <c r="H520" s="49"/>
      <c r="I520" s="59"/>
      <c r="J520" s="49">
        <v>-109.3</v>
      </c>
      <c r="K520" s="23" t="str">
        <f t="shared" si="3231"/>
        <v>NA</v>
      </c>
      <c r="L520" s="49">
        <v>-109.4</v>
      </c>
      <c r="M520" s="23" t="str">
        <f t="shared" si="3232"/>
        <v>NA</v>
      </c>
      <c r="N520" s="49">
        <v>-109.5</v>
      </c>
      <c r="O520" s="23" t="str">
        <f t="shared" si="3233"/>
        <v>NA</v>
      </c>
      <c r="P520" s="48">
        <v>-112.7</v>
      </c>
      <c r="Q520" s="23" t="str">
        <f t="shared" si="3234"/>
        <v>NA</v>
      </c>
      <c r="R520" s="48">
        <v>-101</v>
      </c>
      <c r="S520" s="23">
        <f t="shared" si="3235"/>
        <v>-7.5937785910338507</v>
      </c>
      <c r="T520" s="48">
        <v>-107.7</v>
      </c>
      <c r="U520" s="23">
        <f t="shared" si="3236"/>
        <v>-1.5539305301645379</v>
      </c>
      <c r="V520" s="48">
        <v>-110.6</v>
      </c>
      <c r="W520" s="23">
        <f t="shared" si="3237"/>
        <v>1.0045662100456543</v>
      </c>
      <c r="X520" s="48">
        <v>-108.7</v>
      </c>
      <c r="Y520" s="23">
        <f t="shared" si="3238"/>
        <v>-3.5492457852706272</v>
      </c>
      <c r="Z520" s="48">
        <v>-86.4</v>
      </c>
      <c r="AA520" s="23">
        <f t="shared" si="3239"/>
        <v>-14.455445544554447</v>
      </c>
      <c r="AB520" s="48">
        <v>-107.6</v>
      </c>
      <c r="AC520" s="23">
        <f t="shared" si="3240"/>
        <v>-9.2850510677822129E-2</v>
      </c>
      <c r="AD520" s="48">
        <v>-103.2</v>
      </c>
      <c r="AE520" s="23">
        <f t="shared" si="3241"/>
        <v>-6.6907775768535238</v>
      </c>
      <c r="AF520" s="48">
        <v>-111.2</v>
      </c>
      <c r="AG520" s="23">
        <f t="shared" si="3242"/>
        <v>2.2999080036798514</v>
      </c>
      <c r="AH520" s="48">
        <v>-106.3</v>
      </c>
      <c r="AI520" s="23">
        <f t="shared" si="3243"/>
        <v>23.032407407407398</v>
      </c>
      <c r="AJ520" s="48">
        <v>-108.9</v>
      </c>
      <c r="AK520" s="23"/>
      <c r="AL520" s="48">
        <v>-100.5</v>
      </c>
      <c r="AM520" s="23"/>
      <c r="AN520" s="287">
        <v>-99.8</v>
      </c>
      <c r="AO520" s="23"/>
      <c r="AP520" s="287">
        <v>-98.5</v>
      </c>
      <c r="AQ520" s="23"/>
      <c r="AR520" s="287">
        <v>-99</v>
      </c>
      <c r="AS520" s="23"/>
      <c r="AT520" s="287">
        <v>-101.6</v>
      </c>
      <c r="AU520" s="23"/>
      <c r="AV520" s="287">
        <v>-100.1</v>
      </c>
      <c r="AW520" s="23"/>
      <c r="AX520" s="287">
        <v>-101.3</v>
      </c>
      <c r="AY520" s="23"/>
      <c r="AZ520" s="287">
        <v>-99.1</v>
      </c>
      <c r="BA520" s="23"/>
      <c r="BB520" s="287">
        <v>-91.7</v>
      </c>
      <c r="BC520" s="23"/>
      <c r="BD520" s="287"/>
      <c r="BE520" s="23"/>
      <c r="BF520" s="36"/>
      <c r="BG520" s="23"/>
      <c r="BH520" s="36"/>
      <c r="BI520" s="23"/>
      <c r="BJ520" s="36"/>
      <c r="BK520" s="23"/>
      <c r="BL520" s="36"/>
      <c r="BM520" s="23"/>
      <c r="BN520" s="36"/>
      <c r="BO520" s="137"/>
      <c r="BP520" s="36"/>
      <c r="BQ520" s="112"/>
      <c r="BR520" s="112"/>
      <c r="BS520" s="112"/>
      <c r="BT520" s="36"/>
      <c r="BU520" s="56"/>
      <c r="BV520" s="23"/>
      <c r="BW520" s="56"/>
      <c r="BX520" s="23"/>
      <c r="BY520" s="56">
        <f>R520+T520+V520+X520</f>
        <v>-427.99999999999994</v>
      </c>
      <c r="BZ520" s="23" t="str">
        <f t="shared" si="3252"/>
        <v>NA</v>
      </c>
      <c r="CA520" s="56">
        <f>Z520+AB520+AD520+AF520</f>
        <v>-408.4</v>
      </c>
      <c r="CB520" s="23">
        <f t="shared" si="3253"/>
        <v>-4.5794392523364369</v>
      </c>
      <c r="CC520" s="56"/>
      <c r="CD520" s="23"/>
      <c r="CE520" s="56"/>
      <c r="CF520" s="23"/>
      <c r="CG520" s="56"/>
      <c r="CH520" s="23"/>
      <c r="CI520" s="56"/>
      <c r="CJ520" s="23"/>
      <c r="CK520" s="56"/>
      <c r="CL520" s="23"/>
      <c r="CM520" s="56"/>
      <c r="CN520" s="23"/>
      <c r="CO520" s="56"/>
      <c r="CP520" s="23"/>
      <c r="CQ520" s="56"/>
      <c r="CR520" s="23"/>
      <c r="CS520" s="23"/>
    </row>
    <row r="521" spans="1:97" ht="12.75" hidden="1" customHeight="1" outlineLevel="1" x14ac:dyDescent="0.2">
      <c r="A521" s="4" t="s">
        <v>97</v>
      </c>
      <c r="B521" s="49"/>
      <c r="C521" s="59"/>
      <c r="D521" s="49"/>
      <c r="E521" s="59"/>
      <c r="F521" s="49"/>
      <c r="G521" s="59"/>
      <c r="H521" s="49"/>
      <c r="I521" s="59"/>
      <c r="J521" s="49">
        <v>66.8</v>
      </c>
      <c r="K521" s="23" t="str">
        <f t="shared" si="3231"/>
        <v>NA</v>
      </c>
      <c r="L521" s="49">
        <v>21.5</v>
      </c>
      <c r="M521" s="23" t="str">
        <f t="shared" si="3232"/>
        <v>NA</v>
      </c>
      <c r="N521" s="49">
        <v>55.6</v>
      </c>
      <c r="O521" s="23" t="str">
        <f t="shared" si="3233"/>
        <v>NA</v>
      </c>
      <c r="P521" s="48">
        <v>29.6</v>
      </c>
      <c r="Q521" s="23" t="str">
        <f t="shared" si="3234"/>
        <v>NA</v>
      </c>
      <c r="R521" s="48">
        <v>49.5</v>
      </c>
      <c r="S521" s="23">
        <f t="shared" si="3235"/>
        <v>-25.898203592814372</v>
      </c>
      <c r="T521" s="48">
        <v>38.5</v>
      </c>
      <c r="U521" s="23">
        <f t="shared" si="3236"/>
        <v>79.069767441860478</v>
      </c>
      <c r="V521" s="48">
        <v>57</v>
      </c>
      <c r="W521" s="23">
        <f t="shared" si="3237"/>
        <v>2.5179856115107979</v>
      </c>
      <c r="X521" s="48">
        <v>57.3</v>
      </c>
      <c r="Y521" s="23">
        <f t="shared" si="3238"/>
        <v>93.581081081081052</v>
      </c>
      <c r="Z521" s="48">
        <v>34.4</v>
      </c>
      <c r="AA521" s="23">
        <f t="shared" si="3239"/>
        <v>-30.505050505050512</v>
      </c>
      <c r="AB521" s="48">
        <v>41.2</v>
      </c>
      <c r="AC521" s="23">
        <f t="shared" si="3240"/>
        <v>7.0129870129870264</v>
      </c>
      <c r="AD521" s="48">
        <v>32.6</v>
      </c>
      <c r="AE521" s="23">
        <f t="shared" si="3241"/>
        <v>-42.807017543859651</v>
      </c>
      <c r="AF521" s="48">
        <v>34.5</v>
      </c>
      <c r="AG521" s="23">
        <f t="shared" si="3242"/>
        <v>-39.790575916230367</v>
      </c>
      <c r="AH521" s="48">
        <v>37.200000000000003</v>
      </c>
      <c r="AI521" s="23">
        <f t="shared" si="3243"/>
        <v>8.1395348837209447</v>
      </c>
      <c r="AJ521" s="48">
        <v>29.3</v>
      </c>
      <c r="AK521" s="23"/>
      <c r="AL521" s="48">
        <v>-12.9</v>
      </c>
      <c r="AM521" s="23"/>
      <c r="AN521" s="287">
        <v>43.5</v>
      </c>
      <c r="AO521" s="23"/>
      <c r="AP521" s="287">
        <v>30.1</v>
      </c>
      <c r="AQ521" s="23"/>
      <c r="AR521" s="287">
        <v>39.9</v>
      </c>
      <c r="AS521" s="23"/>
      <c r="AT521" s="287">
        <v>47.2</v>
      </c>
      <c r="AU521" s="23"/>
      <c r="AV521" s="287">
        <v>35.5</v>
      </c>
      <c r="AW521" s="23"/>
      <c r="AX521" s="287">
        <v>44.5</v>
      </c>
      <c r="AY521" s="23"/>
      <c r="AZ521" s="287">
        <v>44.5</v>
      </c>
      <c r="BA521" s="23"/>
      <c r="BB521" s="287">
        <v>39.200000000000003</v>
      </c>
      <c r="BC521" s="23"/>
      <c r="BD521" s="287"/>
      <c r="BE521" s="23"/>
      <c r="BF521" s="36"/>
      <c r="BG521" s="23"/>
      <c r="BH521" s="36"/>
      <c r="BI521" s="23"/>
      <c r="BJ521" s="36"/>
      <c r="BK521" s="23"/>
      <c r="BL521" s="36"/>
      <c r="BM521" s="23"/>
      <c r="BN521" s="36"/>
      <c r="BO521" s="137"/>
      <c r="BP521" s="36"/>
      <c r="BQ521" s="112"/>
      <c r="BR521" s="112"/>
      <c r="BS521" s="112"/>
      <c r="BT521" s="36"/>
      <c r="BU521" s="56"/>
      <c r="BV521" s="23"/>
      <c r="BW521" s="56"/>
      <c r="BX521" s="23"/>
      <c r="BY521" s="56">
        <f>R521+T521+V521+X521</f>
        <v>202.3</v>
      </c>
      <c r="BZ521" s="23" t="str">
        <f t="shared" si="3252"/>
        <v>NA</v>
      </c>
      <c r="CA521" s="56">
        <f>Z521+AB521+AD521+AF521</f>
        <v>142.69999999999999</v>
      </c>
      <c r="CB521" s="23">
        <f t="shared" si="3253"/>
        <v>-29.461196243203169</v>
      </c>
      <c r="CC521" s="56"/>
      <c r="CD521" s="23"/>
      <c r="CE521" s="56"/>
      <c r="CF521" s="23"/>
      <c r="CG521" s="56"/>
      <c r="CH521" s="23"/>
      <c r="CI521" s="56"/>
      <c r="CJ521" s="23"/>
      <c r="CK521" s="56"/>
      <c r="CL521" s="23"/>
      <c r="CM521" s="56"/>
      <c r="CN521" s="23"/>
      <c r="CO521" s="56"/>
      <c r="CP521" s="23"/>
      <c r="CQ521" s="56"/>
      <c r="CR521" s="23"/>
      <c r="CS521" s="23"/>
    </row>
    <row r="522" spans="1:97" ht="12.75" hidden="1" customHeight="1" outlineLevel="1" x14ac:dyDescent="0.2">
      <c r="A522" s="4" t="s">
        <v>183</v>
      </c>
      <c r="B522" s="36"/>
      <c r="C522" s="59"/>
      <c r="D522" s="56"/>
      <c r="E522" s="59"/>
      <c r="F522" s="36"/>
      <c r="G522" s="59"/>
      <c r="H522" s="36"/>
      <c r="I522" s="59"/>
      <c r="J522" s="36">
        <f t="shared" ref="J522" si="3254">SUM(J518:J521)</f>
        <v>2850.3</v>
      </c>
      <c r="K522" s="23" t="str">
        <f t="shared" si="3231"/>
        <v>NA</v>
      </c>
      <c r="L522" s="36">
        <f t="shared" ref="L522" si="3255">SUM(L518:L521)</f>
        <v>2847.5</v>
      </c>
      <c r="M522" s="23" t="str">
        <f t="shared" si="3232"/>
        <v>NA</v>
      </c>
      <c r="N522" s="36">
        <f t="shared" ref="N522" si="3256">SUM(N518:N521)</f>
        <v>2851</v>
      </c>
      <c r="O522" s="23" t="str">
        <f t="shared" si="3233"/>
        <v>NA</v>
      </c>
      <c r="P522" s="36">
        <f t="shared" ref="P522" si="3257">SUM(P518:P521)</f>
        <v>2806.6</v>
      </c>
      <c r="Q522" s="23" t="str">
        <f t="shared" si="3234"/>
        <v>NA</v>
      </c>
      <c r="R522" s="36">
        <f t="shared" ref="R522" si="3258">SUM(R518:R521)</f>
        <v>2794.9</v>
      </c>
      <c r="S522" s="23">
        <f t="shared" si="3235"/>
        <v>-1.9436550538539876</v>
      </c>
      <c r="T522" s="36">
        <f t="shared" ref="T522" si="3259">SUM(T518:T521)</f>
        <v>2762.9</v>
      </c>
      <c r="U522" s="23">
        <f t="shared" si="3236"/>
        <v>-2.9710272168568919</v>
      </c>
      <c r="V522" s="36">
        <f t="shared" ref="V522" si="3260">SUM(V518:V521)</f>
        <v>2760.4</v>
      </c>
      <c r="W522" s="23">
        <f t="shared" si="3237"/>
        <v>-3.1778323395299846</v>
      </c>
      <c r="X522" s="36">
        <f t="shared" ref="X522" si="3261">SUM(X518:X521)</f>
        <v>2803.5000000000005</v>
      </c>
      <c r="Y522" s="23">
        <f t="shared" si="3238"/>
        <v>-0.11045393002206971</v>
      </c>
      <c r="Z522" s="36">
        <f t="shared" ref="Z522" si="3262">SUM(Z518:Z521)</f>
        <v>2871.1000000000004</v>
      </c>
      <c r="AA522" s="23">
        <f t="shared" si="3239"/>
        <v>2.7263945042756532</v>
      </c>
      <c r="AB522" s="36">
        <f t="shared" ref="AB522" si="3263">SUM(AB518:AB521)</f>
        <v>2886.1000000000004</v>
      </c>
      <c r="AC522" s="23">
        <f t="shared" si="3240"/>
        <v>4.4590828477324651</v>
      </c>
      <c r="AD522" s="36">
        <f t="shared" ref="AD522" si="3264">SUM(AD518:AD521)</f>
        <v>2892.1000000000004</v>
      </c>
      <c r="AE522" s="23">
        <f t="shared" si="3241"/>
        <v>4.7710476742501173</v>
      </c>
      <c r="AF522" s="36">
        <f t="shared" ref="AF522" si="3265">SUM(AF518:AF521)</f>
        <v>2878.5000000000005</v>
      </c>
      <c r="AG522" s="23">
        <f t="shared" si="3242"/>
        <v>2.6752273943285276</v>
      </c>
      <c r="AH522" s="36">
        <f t="shared" ref="AH522" si="3266">SUM(AH518:AH521)</f>
        <v>2874</v>
      </c>
      <c r="AI522" s="23">
        <f t="shared" si="3243"/>
        <v>0.10100658284279973</v>
      </c>
      <c r="AJ522" s="36">
        <f t="shared" ref="AJ522" si="3267">SUM(AJ518:AJ521)</f>
        <v>2856.7000000000003</v>
      </c>
      <c r="AK522" s="23"/>
      <c r="AL522" s="36">
        <f t="shared" ref="AL522" si="3268">SUM(AL518:AL521)</f>
        <v>2819.6000000000004</v>
      </c>
      <c r="AM522" s="23"/>
      <c r="AN522" s="410">
        <f t="shared" ref="AN522" si="3269">SUM(AN518:AN521)</f>
        <v>2822.8</v>
      </c>
      <c r="AO522" s="23"/>
      <c r="AP522" s="410">
        <f t="shared" ref="AP522" si="3270">SUM(AP518:AP521)</f>
        <v>2825.7000000000003</v>
      </c>
      <c r="AQ522" s="23"/>
      <c r="AR522" s="410">
        <f t="shared" ref="AR522" si="3271">SUM(AR518:AR521)</f>
        <v>2832.3</v>
      </c>
      <c r="AS522" s="23"/>
      <c r="AT522" s="410">
        <f t="shared" ref="AT522" si="3272">SUM(AT518:AT521)</f>
        <v>2832.9</v>
      </c>
      <c r="AU522" s="23"/>
      <c r="AV522" s="410">
        <f t="shared" ref="AV522" si="3273">SUM(AV518:AV521)</f>
        <v>2822.8</v>
      </c>
      <c r="AW522" s="23"/>
      <c r="AX522" s="410">
        <f t="shared" ref="AX522" si="3274">SUM(AX518:AX521)</f>
        <v>2818</v>
      </c>
      <c r="AY522" s="23"/>
      <c r="AZ522" s="410">
        <f t="shared" ref="AZ522" si="3275">SUM(AZ518:AZ521)</f>
        <v>2808.5</v>
      </c>
      <c r="BA522" s="23"/>
      <c r="BB522" s="410">
        <f t="shared" ref="BB522:BD522" si="3276">SUM(BB518:BB521)</f>
        <v>2794.8</v>
      </c>
      <c r="BC522" s="23"/>
      <c r="BD522" s="410">
        <f t="shared" si="3276"/>
        <v>2794.8</v>
      </c>
      <c r="BE522" s="23"/>
      <c r="BF522" s="36"/>
      <c r="BG522" s="23"/>
      <c r="BH522" s="36"/>
      <c r="BI522" s="23"/>
      <c r="BJ522" s="36"/>
      <c r="BK522" s="23"/>
      <c r="BL522" s="36"/>
      <c r="BM522" s="23"/>
      <c r="BN522" s="36"/>
      <c r="BO522" s="137"/>
      <c r="BP522" s="36"/>
      <c r="BQ522" s="112"/>
      <c r="BR522" s="112"/>
      <c r="BS522" s="112"/>
      <c r="BT522" s="36"/>
      <c r="BU522" s="56"/>
      <c r="BV522" s="23"/>
      <c r="BW522" s="56"/>
      <c r="BX522" s="23"/>
      <c r="BY522" s="56">
        <f t="shared" ref="BY522" si="3277">SUM(BY518:BY521)</f>
        <v>2803.5</v>
      </c>
      <c r="BZ522" s="23" t="str">
        <f t="shared" si="3252"/>
        <v>NA</v>
      </c>
      <c r="CA522" s="56">
        <f t="shared" ref="CA522" si="3278">SUM(CA518:CA521)</f>
        <v>2878.4999999999995</v>
      </c>
      <c r="CB522" s="23">
        <f t="shared" si="3253"/>
        <v>2.6752273943285054</v>
      </c>
      <c r="CC522" s="56"/>
      <c r="CD522" s="23"/>
      <c r="CE522" s="56"/>
      <c r="CF522" s="23"/>
      <c r="CG522" s="56"/>
      <c r="CH522" s="23"/>
      <c r="CI522" s="56"/>
      <c r="CJ522" s="23"/>
      <c r="CK522" s="56"/>
      <c r="CL522" s="23"/>
      <c r="CM522" s="56"/>
      <c r="CN522" s="23"/>
      <c r="CO522" s="56"/>
      <c r="CP522" s="23"/>
      <c r="CQ522" s="56"/>
      <c r="CR522" s="23"/>
      <c r="CS522" s="23"/>
    </row>
    <row r="523" spans="1:97" ht="12.75" hidden="1" customHeight="1" outlineLevel="1" x14ac:dyDescent="0.2">
      <c r="A523" s="4" t="s">
        <v>98</v>
      </c>
      <c r="B523" s="36"/>
      <c r="C523" s="59"/>
      <c r="D523" s="36"/>
      <c r="E523" s="59"/>
      <c r="F523" s="36"/>
      <c r="G523" s="59"/>
      <c r="H523" s="36"/>
      <c r="I523" s="59"/>
      <c r="J523" s="36">
        <f t="shared" ref="J523" si="3279">AVERAGE(J522,J518)</f>
        <v>2840.65</v>
      </c>
      <c r="K523" s="23" t="str">
        <f t="shared" si="3231"/>
        <v>NA</v>
      </c>
      <c r="L523" s="36">
        <f t="shared" ref="L523" si="3280">AVERAGE(L522,L518)</f>
        <v>2848.9</v>
      </c>
      <c r="M523" s="23" t="str">
        <f t="shared" si="3232"/>
        <v>NA</v>
      </c>
      <c r="N523" s="36">
        <f t="shared" ref="N523" si="3281">AVERAGE(N522,N518)</f>
        <v>2849.25</v>
      </c>
      <c r="O523" s="23" t="str">
        <f t="shared" si="3233"/>
        <v>NA</v>
      </c>
      <c r="P523" s="36">
        <f t="shared" ref="P523" si="3282">AVERAGE(P522,P518)</f>
        <v>2828.8</v>
      </c>
      <c r="Q523" s="23" t="str">
        <f t="shared" si="3234"/>
        <v>NA</v>
      </c>
      <c r="R523" s="36">
        <f t="shared" ref="R523" si="3283">AVERAGE(R522,R518)</f>
        <v>2800.75</v>
      </c>
      <c r="S523" s="23">
        <f t="shared" si="3235"/>
        <v>-1.4046081002587418</v>
      </c>
      <c r="T523" s="36">
        <f t="shared" ref="T523" si="3284">AVERAGE(T522,T518)</f>
        <v>2778.9</v>
      </c>
      <c r="U523" s="23">
        <f t="shared" si="3236"/>
        <v>-2.4570887009020992</v>
      </c>
      <c r="V523" s="36">
        <f t="shared" ref="V523" si="3285">AVERAGE(V522,V518)</f>
        <v>2761.65</v>
      </c>
      <c r="W523" s="23">
        <f t="shared" si="3237"/>
        <v>-3.0744932877072917</v>
      </c>
      <c r="X523" s="36">
        <f t="shared" ref="X523" si="3286">AVERAGE(X522,X518)</f>
        <v>2781.9500000000003</v>
      </c>
      <c r="Y523" s="23">
        <f t="shared" si="3238"/>
        <v>-1.656179298642535</v>
      </c>
      <c r="Z523" s="36">
        <f t="shared" ref="Z523" si="3287">AVERAGE(Z522,Z518)</f>
        <v>2837.3</v>
      </c>
      <c r="AA523" s="23">
        <f t="shared" si="3239"/>
        <v>1.3050075872534261</v>
      </c>
      <c r="AB523" s="36">
        <f t="shared" ref="AB523" si="3288">AVERAGE(AB522,AB518)</f>
        <v>2878.6000000000004</v>
      </c>
      <c r="AC523" s="23">
        <f t="shared" si="3240"/>
        <v>3.5877505487783123</v>
      </c>
      <c r="AD523" s="36">
        <f t="shared" ref="AD523" si="3289">AVERAGE(AD522,AD518)</f>
        <v>2889.1000000000004</v>
      </c>
      <c r="AE523" s="23">
        <f t="shared" si="3241"/>
        <v>4.6149946589901125</v>
      </c>
      <c r="AF523" s="36">
        <f t="shared" ref="AF523" si="3290">AVERAGE(AF522,AF518)</f>
        <v>2885.3</v>
      </c>
      <c r="AG523" s="23">
        <f t="shared" si="3242"/>
        <v>3.7150200399000743</v>
      </c>
      <c r="AH523" s="36">
        <f t="shared" ref="AH523" si="3291">AVERAGE(AH522,AH518)</f>
        <v>2876.25</v>
      </c>
      <c r="AI523" s="23">
        <f t="shared" si="3243"/>
        <v>1.3727839847742507</v>
      </c>
      <c r="AJ523" s="36">
        <f t="shared" ref="AJ523" si="3292">AVERAGE(AJ522,AJ518)</f>
        <v>2865.3500000000004</v>
      </c>
      <c r="AK523" s="23"/>
      <c r="AL523" s="36">
        <f t="shared" ref="AL523" si="3293">AVERAGE(AL522,AL518)</f>
        <v>2838.1500000000005</v>
      </c>
      <c r="AM523" s="23"/>
      <c r="AN523" s="410">
        <f t="shared" ref="AN523" si="3294">AVERAGE(AN522,AN518)</f>
        <v>2821.2000000000003</v>
      </c>
      <c r="AO523" s="23"/>
      <c r="AP523" s="410">
        <f t="shared" ref="AP523" si="3295">AVERAGE(AP522,AP518)</f>
        <v>2824.25</v>
      </c>
      <c r="AQ523" s="23"/>
      <c r="AR523" s="410">
        <f t="shared" ref="AR523" si="3296">AVERAGE(AR522,AR518)</f>
        <v>2829</v>
      </c>
      <c r="AS523" s="23"/>
      <c r="AT523" s="410">
        <f t="shared" ref="AT523" si="3297">AVERAGE(AT522,AT518)</f>
        <v>2832.6000000000004</v>
      </c>
      <c r="AU523" s="23"/>
      <c r="AV523" s="410">
        <f t="shared" ref="AV523" si="3298">AVERAGE(AV522,AV518)</f>
        <v>2827.8500000000004</v>
      </c>
      <c r="AW523" s="23"/>
      <c r="AX523" s="410">
        <f t="shared" ref="AX523" si="3299">AVERAGE(AX522,AX518)</f>
        <v>2820.4</v>
      </c>
      <c r="AY523" s="23"/>
      <c r="AZ523" s="410">
        <f t="shared" ref="AZ523" si="3300">AVERAGE(AZ522,AZ518)</f>
        <v>2813.25</v>
      </c>
      <c r="BA523" s="23"/>
      <c r="BB523" s="410">
        <f t="shared" ref="BB523:BD523" si="3301">AVERAGE(BB522,BB518)</f>
        <v>2801.65</v>
      </c>
      <c r="BC523" s="23"/>
      <c r="BD523" s="410">
        <f t="shared" si="3301"/>
        <v>2794.8</v>
      </c>
      <c r="BE523" s="23"/>
      <c r="BF523" s="36"/>
      <c r="BG523" s="23"/>
      <c r="BH523" s="36"/>
      <c r="BI523" s="23"/>
      <c r="BJ523" s="36"/>
      <c r="BK523" s="23"/>
      <c r="BL523" s="36"/>
      <c r="BM523" s="23"/>
      <c r="BN523" s="36"/>
      <c r="BO523" s="137"/>
      <c r="BP523" s="36"/>
      <c r="BQ523" s="112"/>
      <c r="BR523" s="112"/>
      <c r="BS523" s="112"/>
      <c r="BT523" s="36"/>
      <c r="BU523" s="56"/>
      <c r="BV523" s="23"/>
      <c r="BW523" s="56"/>
      <c r="BX523" s="23"/>
      <c r="BY523" s="56">
        <f t="shared" ref="BY523" si="3302">AVERAGE(BY522,BY518)</f>
        <v>2805.05</v>
      </c>
      <c r="BZ523" s="23" t="str">
        <f t="shared" si="3252"/>
        <v>NA</v>
      </c>
      <c r="CA523" s="56">
        <f t="shared" ref="CA523" si="3303">AVERAGE(CA522,CA518)</f>
        <v>2841</v>
      </c>
      <c r="CB523" s="23">
        <f t="shared" si="3253"/>
        <v>1.2816170834744511</v>
      </c>
      <c r="CC523" s="56"/>
      <c r="CD523" s="23"/>
      <c r="CE523" s="56"/>
      <c r="CF523" s="23"/>
      <c r="CG523" s="56"/>
      <c r="CH523" s="23"/>
      <c r="CI523" s="56"/>
      <c r="CJ523" s="23"/>
      <c r="CK523" s="56"/>
      <c r="CL523" s="23"/>
      <c r="CM523" s="56"/>
      <c r="CN523" s="23"/>
      <c r="CO523" s="56"/>
      <c r="CP523" s="23"/>
      <c r="CQ523" s="56"/>
      <c r="CR523" s="23"/>
      <c r="CS523" s="23"/>
    </row>
    <row r="524" spans="1:97" ht="12.75" hidden="1" customHeight="1" outlineLevel="1" x14ac:dyDescent="0.2">
      <c r="B524" s="36"/>
      <c r="C524" s="60"/>
      <c r="D524" s="36"/>
      <c r="E524" s="60"/>
      <c r="F524" s="36"/>
      <c r="G524" s="60"/>
      <c r="H524" s="36"/>
      <c r="I524" s="60"/>
      <c r="J524" s="36"/>
      <c r="L524" s="36"/>
      <c r="N524" s="36"/>
      <c r="P524" s="36"/>
      <c r="R524" s="36"/>
      <c r="T524" s="36"/>
      <c r="V524" s="36"/>
      <c r="X524" s="36"/>
      <c r="Z524" s="36"/>
      <c r="AB524" s="36"/>
      <c r="AD524" s="36"/>
      <c r="AF524" s="36"/>
      <c r="AH524" s="36"/>
      <c r="AJ524" s="36"/>
      <c r="AL524" s="36"/>
      <c r="AN524" s="410"/>
      <c r="AP524" s="410"/>
      <c r="AR524" s="410"/>
      <c r="AT524" s="410"/>
      <c r="AV524" s="410"/>
      <c r="AX524" s="410"/>
      <c r="AZ524" s="410"/>
      <c r="BB524" s="410"/>
      <c r="BD524" s="410"/>
      <c r="BF524" s="36"/>
      <c r="BH524" s="36"/>
      <c r="BJ524" s="36"/>
      <c r="BL524" s="36"/>
      <c r="BN524" s="36"/>
      <c r="BO524" s="137"/>
      <c r="BP524" s="36"/>
      <c r="BQ524" s="36"/>
      <c r="BR524" s="36"/>
      <c r="BS524" s="36"/>
      <c r="BT524" s="36"/>
      <c r="BU524" s="56"/>
      <c r="BW524" s="56"/>
      <c r="BY524" s="56"/>
      <c r="CA524" s="56"/>
      <c r="CC524" s="56"/>
      <c r="CE524" s="56"/>
      <c r="CG524" s="56"/>
      <c r="CI524" s="56"/>
      <c r="CK524" s="56"/>
      <c r="CM524" s="56"/>
      <c r="CO524" s="56"/>
      <c r="CQ524" s="56"/>
    </row>
    <row r="525" spans="1:97" ht="12.75" hidden="1" customHeight="1" outlineLevel="1" x14ac:dyDescent="0.2">
      <c r="A525" s="3" t="s">
        <v>5</v>
      </c>
      <c r="J525" s="5"/>
      <c r="L525" s="5"/>
      <c r="N525" s="5"/>
      <c r="P525" s="5"/>
      <c r="R525" s="5"/>
      <c r="T525" s="5"/>
      <c r="V525" s="5"/>
      <c r="X525" s="5"/>
      <c r="Z525" s="5"/>
      <c r="AB525" s="5"/>
      <c r="AD525" s="5"/>
      <c r="AF525" s="5"/>
      <c r="AH525" s="5"/>
      <c r="AJ525" s="5"/>
      <c r="AL525" s="5"/>
      <c r="AN525" s="475"/>
      <c r="AP525" s="475"/>
      <c r="AR525" s="475"/>
      <c r="AT525" s="475"/>
      <c r="AV525" s="475"/>
      <c r="AX525" s="475"/>
      <c r="AZ525" s="475"/>
      <c r="BB525" s="475"/>
      <c r="BD525" s="475"/>
      <c r="BF525" s="5"/>
      <c r="BH525" s="5"/>
      <c r="BJ525" s="5"/>
      <c r="BL525" s="5"/>
      <c r="BN525" s="5"/>
      <c r="BO525" s="136"/>
      <c r="BP525" s="5"/>
      <c r="BQ525" s="5"/>
      <c r="BR525" s="5"/>
      <c r="BS525" s="5"/>
      <c r="BT525" s="5"/>
      <c r="BU525" s="5"/>
      <c r="BW525" s="5"/>
    </row>
    <row r="526" spans="1:97" ht="12.75" hidden="1" customHeight="1" outlineLevel="1" x14ac:dyDescent="0.2">
      <c r="A526" s="4" t="s">
        <v>184</v>
      </c>
      <c r="B526" s="49">
        <v>24886.3</v>
      </c>
      <c r="C526" s="59"/>
      <c r="D526" s="56">
        <f>B530</f>
        <v>25071.1</v>
      </c>
      <c r="E526" s="59"/>
      <c r="F526" s="56">
        <f>D530</f>
        <v>25335.5</v>
      </c>
      <c r="G526" s="59"/>
      <c r="H526" s="56">
        <f>F530</f>
        <v>25145.4</v>
      </c>
      <c r="I526" s="59"/>
      <c r="J526" s="56">
        <f>J510-J518</f>
        <v>24859.200000000001</v>
      </c>
      <c r="K526" s="23">
        <f t="shared" ref="K526:K531" si="3304">IF(ISERROR((J526/B526-1)*100),"NA",IF(((J526/B526-1)*100)&gt;100,"NM",IF(((J526/B526-1)*100)&lt;-50,"NM",(J526/B526-1)*100)))</f>
        <v>-0.1088952556225653</v>
      </c>
      <c r="L526" s="56">
        <f>L510-L518</f>
        <v>24742.3</v>
      </c>
      <c r="M526" s="23">
        <f t="shared" ref="M526:M531" si="3305">IF(ISERROR((L526/D526-1)*100),"NA",IF(((L526/D526-1)*100)&gt;100,"NM",IF(((L526/D526-1)*100)&lt;-50,"NM",(L526/D526-1)*100)))</f>
        <v>-1.311470178811458</v>
      </c>
      <c r="N526" s="56">
        <f>N510-N518</f>
        <v>23649.100000000002</v>
      </c>
      <c r="O526" s="23">
        <f t="shared" ref="O526:O531" si="3306">IF(ISERROR((N526/F526-1)*100),"NA",IF(((N526/F526-1)*100)&gt;100,"NM",IF(((N526/F526-1)*100)&lt;-50,"NM",(N526/F526-1)*100)))</f>
        <v>-6.6562728187720683</v>
      </c>
      <c r="P526" s="56">
        <f>P510-P518</f>
        <v>23400.700000000004</v>
      </c>
      <c r="Q526" s="23">
        <f t="shared" ref="Q526:Q531" si="3307">IF(ISERROR((P526/H526-1)*100),"NA",IF(((P526/H526-1)*100)&gt;100,"NM",IF(((P526/H526-1)*100)&lt;-50,"NM",(P526/H526-1)*100)))</f>
        <v>-6.9384459980751823</v>
      </c>
      <c r="R526" s="56">
        <f>R510-R518</f>
        <v>23294.200000000008</v>
      </c>
      <c r="S526" s="23">
        <f t="shared" ref="S526:S531" si="3308">IF(ISERROR((R526/J526-1)*100),"NA",IF(((R526/J526-1)*100)&gt;100,"NM",IF(((R526/J526-1)*100)&lt;-50,"NM",(R526/J526-1)*100)))</f>
        <v>-6.2954560082383644</v>
      </c>
      <c r="T526" s="56">
        <f>T510-T518</f>
        <v>23432.900000000005</v>
      </c>
      <c r="U526" s="23">
        <f t="shared" ref="U526:U531" si="3309">IF(ISERROR((T526/L526-1)*100),"NA",IF(((T526/L526-1)*100)&gt;100,"NM",IF(((T526/L526-1)*100)&lt;-50,"NM",(T526/L526-1)*100)))</f>
        <v>-5.2921514976376205</v>
      </c>
      <c r="V526" s="56">
        <f>V510-V518</f>
        <v>23470.400000000005</v>
      </c>
      <c r="W526" s="23">
        <f t="shared" ref="W526:W531" si="3310">IF(ISERROR((V526/N526-1)*100),"NA",IF(((V526/N526-1)*100)&gt;100,"NM",IF(((V526/N526-1)*100)&lt;-50,"NM",(V526/N526-1)*100)))</f>
        <v>-0.75563129252275152</v>
      </c>
      <c r="X526" s="56">
        <f>X510-X518</f>
        <v>23618.600000000006</v>
      </c>
      <c r="Y526" s="23">
        <f t="shared" ref="Y526:Y531" si="3311">IF(ISERROR((X526/P526-1)*100),"NA",IF(((X526/P526-1)*100)&gt;100,"NM",IF(((X526/P526-1)*100)&lt;-50,"NM",(X526/P526-1)*100)))</f>
        <v>0.93116872572187592</v>
      </c>
      <c r="Z526" s="56">
        <f>Z510-Z518</f>
        <v>23843.000000000011</v>
      </c>
      <c r="AA526" s="23">
        <f t="shared" ref="AA526:AA531" si="3312">IF(ISERROR((Z526/R526-1)*100),"NA",IF(((Z526/R526-1)*100)&gt;100,"NM",IF(((Z526/R526-1)*100)&lt;-50,"NM",(Z526/R526-1)*100)))</f>
        <v>2.3559512668389626</v>
      </c>
      <c r="AB526" s="56">
        <f>AB510-AB518</f>
        <v>24096.400000000009</v>
      </c>
      <c r="AC526" s="23">
        <f t="shared" ref="AC526:AC531" si="3313">IF(ISERROR((AB526/T526-1)*100),"NA",IF(((AB526/T526-1)*100)&gt;100,"NM",IF(((AB526/T526-1)*100)&lt;-50,"NM",(AB526/T526-1)*100)))</f>
        <v>2.8314890602529008</v>
      </c>
      <c r="AD526" s="56">
        <f>AD510-AD518</f>
        <v>24378.700000000012</v>
      </c>
      <c r="AE526" s="23">
        <f t="shared" ref="AE526:AE531" si="3314">IF(ISERROR((AD526/V526-1)*100),"NA",IF(((AD526/V526-1)*100)&gt;100,"NM",IF(((AD526/V526-1)*100)&lt;-50,"NM",(AD526/V526-1)*100)))</f>
        <v>3.8699809121276463</v>
      </c>
      <c r="AF526" s="56">
        <f>AF510-AF518</f>
        <v>23897.900000000009</v>
      </c>
      <c r="AG526" s="23">
        <f t="shared" ref="AG526:AG531" si="3315">IF(ISERROR((AF526/X526-1)*100),"NA",IF(((AF526/X526-1)*100)&gt;100,"NM",IF(((AF526/X526-1)*100)&lt;-50,"NM",(AF526/X526-1)*100)))</f>
        <v>1.182542572379397</v>
      </c>
      <c r="AH526" s="56">
        <f>AH510-AH518</f>
        <v>23771.30000000001</v>
      </c>
      <c r="AI526" s="23">
        <f t="shared" ref="AI526:AI531" si="3316">IF(ISERROR((AH526/Z526-1)*100),"NA",IF(((AH526/Z526-1)*100)&gt;100,"NM",IF(((AH526/Z526-1)*100)&lt;-50,"NM",(AH526/Z526-1)*100)))</f>
        <v>-0.30071719162857447</v>
      </c>
      <c r="AJ526" s="56">
        <f>AJ510-AJ518</f>
        <v>23944.000000000007</v>
      </c>
      <c r="AK526" s="23">
        <f t="shared" ref="AK526:AK531" si="3317">IF(ISERROR((AJ526/AB526-1)*100),"NA",IF(((AJ526/AB526-1)*100)&gt;100,"NM",IF(((AJ526/AB526-1)*100)&lt;-50,"NM",(AJ526/AB526-1)*100)))</f>
        <v>-0.63245962052422833</v>
      </c>
      <c r="AL526" s="56">
        <f>AL510-AL518</f>
        <v>24032.800000000007</v>
      </c>
      <c r="AM526" s="23">
        <f t="shared" ref="AM526:AM531" si="3318">IF(ISERROR((AL526/AD526-1)*100),"NA",IF(((AL526/AD526-1)*100)&gt;100,"NM",IF(((AL526/AD526-1)*100)&lt;-50,"NM",(AL526/AD526-1)*100)))</f>
        <v>-1.4188615471702914</v>
      </c>
      <c r="AN526" s="413">
        <f t="shared" ref="AN526" si="3319">AN510-AN518</f>
        <v>23881.30000000001</v>
      </c>
      <c r="AO526" s="23">
        <f t="shared" ref="AO526:AO531" si="3320">IF(ISERROR((AN526/AF526-1)*100),"NA",IF(((AN526/AF526-1)*100)&gt;100,"NM",IF(((AN526/AF526-1)*100)&lt;-50,"NM",(AN526/AF526-1)*100)))</f>
        <v>-6.94621703162146E-2</v>
      </c>
      <c r="AP526" s="413">
        <f t="shared" ref="AP526" si="3321">AP510-AP518</f>
        <v>24213.000000000007</v>
      </c>
      <c r="AQ526" s="23">
        <f t="shared" ref="AQ526:AQ531" si="3322">IF(ISERROR((AP526/AH526-1)*100),"NA",IF(((AP526/AH526-1)*100)&gt;100,"NM",IF(((AP526/AH526-1)*100)&lt;-50,"NM",(AP526/AH526-1)*100)))</f>
        <v>1.8581230307134877</v>
      </c>
      <c r="AR526" s="413">
        <f t="shared" ref="AR526" si="3323">AR510-AR518</f>
        <v>24356.000000000004</v>
      </c>
      <c r="AS526" s="23">
        <f t="shared" ref="AS526:AS531" si="3324">IF(ISERROR((AR526/AJ526-1)*100),"NA",IF(((AR526/AJ526-1)*100)&gt;100,"NM",IF(((AR526/AJ526-1)*100)&lt;-50,"NM",(AR526/AJ526-1)*100)))</f>
        <v>1.7206815903775263</v>
      </c>
      <c r="AT526" s="413">
        <f t="shared" ref="AT526" si="3325">AT510-AT518</f>
        <v>24505.300000000007</v>
      </c>
      <c r="AU526" s="23">
        <f t="shared" ref="AU526:AU531" si="3326">IF(ISERROR((AT526/AL526-1)*100),"NA",IF(((AT526/AL526-1)*100)&gt;100,"NM",IF(((AT526/AL526-1)*100)&lt;-50,"NM",(AT526/AL526-1)*100)))</f>
        <v>1.9660630471688645</v>
      </c>
      <c r="AV526" s="413">
        <f t="shared" ref="AV526" si="3327">AV510-AV518</f>
        <v>24684.200000000008</v>
      </c>
      <c r="AW526" s="23">
        <f t="shared" ref="AW526:AW531" si="3328">IF(ISERROR((AV526/AN526-1)*100),"NA",IF(((AV526/AN526-1)*100)&gt;100,"NM",IF(((AV526/AN526-1)*100)&lt;-50,"NM",(AV526/AN526-1)*100)))</f>
        <v>3.3620447798067943</v>
      </c>
      <c r="AX526" s="413">
        <f t="shared" ref="AX526" si="3329">AX510-AX518</f>
        <v>24903.100000000013</v>
      </c>
      <c r="AY526" s="23">
        <f t="shared" ref="AY526:AY531" si="3330">IF(ISERROR((AX526/AP526-1)*100),"NA",IF(((AX526/AP526-1)*100)&gt;100,"NM",IF(((AX526/AP526-1)*100)&lt;-50,"NM",(AX526/AP526-1)*100)))</f>
        <v>2.8501218353777169</v>
      </c>
      <c r="AZ526" s="413">
        <f t="shared" ref="AZ526:AZ529" si="3331">AZ510-AZ518</f>
        <v>25322.200000000012</v>
      </c>
      <c r="BA526" s="23">
        <f t="shared" ref="BA526:BA531" si="3332">IF(ISERROR((AZ526/AR526-1)*100),"NA",IF(((AZ526/AR526-1)*100)&gt;100,"NM",IF(((AZ526/AR526-1)*100)&lt;-50,"NM",(AZ526/AR526-1)*100)))</f>
        <v>3.9669896534735072</v>
      </c>
      <c r="BB526" s="413">
        <f t="shared" ref="BB526:BD529" si="3333">BB510-BB518</f>
        <v>25621.100000000009</v>
      </c>
      <c r="BC526" s="23">
        <f t="shared" ref="BC526:BC531" si="3334">IF(ISERROR((BB526/AT526-1)*100),"NA",IF(((BB526/AT526-1)*100)&gt;100,"NM",IF(((BB526/AT526-1)*100)&lt;-50,"NM",(BB526/AT526-1)*100)))</f>
        <v>4.5533007145393212</v>
      </c>
      <c r="BD526" s="413">
        <f t="shared" si="3333"/>
        <v>25839.200000000012</v>
      </c>
      <c r="BE526" s="23">
        <f t="shared" ref="BE526:BE531" si="3335">IF(ISERROR((BD526/AV526-1)*100),"NA",IF(((BD526/AV526-1)*100)&gt;100,"NM",IF(((BD526/AV526-1)*100)&lt;-50,"NM",(BD526/AV526-1)*100)))</f>
        <v>4.679106472966521</v>
      </c>
      <c r="BF526" s="410">
        <f t="shared" ref="BF526:BH526" si="3336">BD530</f>
        <v>25839.200000000012</v>
      </c>
      <c r="BG526" s="23">
        <f t="shared" ref="BG526:BG531" si="3337">IF(ISERROR((BF526/AX526-1)*100),"NA",IF(((BF526/AX526-1)*100)&gt;100,"NM",IF(((BF526/AX526-1)*100)&lt;-50,"NM",(BF526/AX526-1)*100)))</f>
        <v>3.7589697668161781</v>
      </c>
      <c r="BH526" s="410">
        <f t="shared" si="3336"/>
        <v>26540.346692000014</v>
      </c>
      <c r="BI526" s="23"/>
      <c r="BJ526" s="36"/>
      <c r="BK526" s="23"/>
      <c r="BL526" s="36"/>
      <c r="BM526" s="23" t="str">
        <f t="shared" ref="BM526:BM531" si="3338">IF(ISERROR((BL526/BD526-1)*100),"NA",IF(((BL526/BD526-1)*100)&gt;100,"NM",IF(((BL526/BD526-1)*100)&lt;-50,"NM",(BL526/BD526-1)*100)))</f>
        <v>NM</v>
      </c>
      <c r="BN526" s="36"/>
      <c r="BO526" s="137"/>
      <c r="BP526" s="36"/>
      <c r="BQ526" s="112"/>
      <c r="BR526" s="112"/>
      <c r="BS526" s="112"/>
      <c r="BT526" s="36"/>
      <c r="BU526" s="56">
        <f>B526</f>
        <v>24886.3</v>
      </c>
      <c r="BV526" s="23" t="str">
        <f t="shared" ref="BV526:BV531" si="3339">IF(ISERROR((BU526/BS526-1)*100),"NA",IF(((BU526/BS526-1)*100)&gt;100,"NM",IF(((BU526/BS526-1)*100)&lt;-50,"NM",(BU526/BS526-1)*100)))</f>
        <v>NA</v>
      </c>
      <c r="BW526" s="56">
        <f>BU530</f>
        <v>24859.200000000001</v>
      </c>
      <c r="BX526" s="23">
        <f t="shared" ref="BX526:BX531" si="3340">IF(ISERROR((BW526/BU526-1)*100),"NA",IF(((BW526/BU526-1)*100)&gt;100,"NM",IF(((BW526/BU526-1)*100)&lt;-50,"NM",(BW526/BU526-1)*100)))</f>
        <v>-0.1088952556225653</v>
      </c>
      <c r="BY526" s="56">
        <f>BY510-BY518</f>
        <v>23294.200000000008</v>
      </c>
      <c r="BZ526" s="23">
        <f t="shared" ref="BZ526:BZ531" si="3341">IF(ISERROR((BY526/BW526-1)*100),"NA",IF(((BY526/BW526-1)*100)&gt;100,"NM",IF(((BY526/BW526-1)*100)&lt;-50,"NM",(BY526/BW526-1)*100)))</f>
        <v>-6.2954560082383644</v>
      </c>
      <c r="CA526" s="56">
        <f>CA510-CA518</f>
        <v>23843.000000000004</v>
      </c>
      <c r="CB526" s="23">
        <f t="shared" ref="CB526:CB531" si="3342">IF(ISERROR((CA526/BY526-1)*100),"NA",IF(((CA526/BY526-1)*100)&gt;100,"NM",IF(((CA526/BY526-1)*100)&lt;-50,"NM",(CA526/BY526-1)*100)))</f>
        <v>2.3559512668389404</v>
      </c>
      <c r="CC526" s="56">
        <f>CA530</f>
        <v>23771.300000000003</v>
      </c>
      <c r="CD526" s="23">
        <f t="shared" ref="CD526:CD531" si="3343">IF(ISERROR((CC526/CA526-1)*100),"NA",IF(((CC526/CA526-1)*100)&gt;100,"NM",IF(((CC526/CA526-1)*100)&lt;-50,"NM",(CC526/CA526-1)*100)))</f>
        <v>-0.30071719162857447</v>
      </c>
      <c r="CE526" s="56">
        <f>CC530</f>
        <v>24213.000000000004</v>
      </c>
      <c r="CF526" s="23">
        <f t="shared" ref="CF526:CF531" si="3344">IF(ISERROR((CE526/CC526-1)*100),"NA",IF(((CE526/CC526-1)*100)&gt;100,"NM",IF(((CE526/CC526-1)*100)&lt;-50,"NM",(CE526/CC526-1)*100)))</f>
        <v>1.8581230307135099</v>
      </c>
      <c r="CG526" s="56">
        <f>CE530</f>
        <v>24903.100000000006</v>
      </c>
      <c r="CH526" s="23">
        <f t="shared" ref="CH526:CH531" si="3345">IF(ISERROR((CG526/CE526-1)*100),"NA",IF(((CG526/CE526-1)*100)&gt;100,"NM",IF(((CG526/CE526-1)*100)&lt;-50,"NM",(CG526/CE526-1)*100)))</f>
        <v>2.8501218353776947</v>
      </c>
      <c r="CI526" s="413">
        <f>CG530</f>
        <v>25839.200000000004</v>
      </c>
      <c r="CJ526" s="23"/>
      <c r="CK526" s="56"/>
      <c r="CL526" s="23"/>
      <c r="CM526" s="56"/>
      <c r="CN526" s="23"/>
      <c r="CO526" s="56"/>
      <c r="CP526" s="23"/>
      <c r="CQ526" s="56"/>
      <c r="CR526" s="23" t="str">
        <f t="shared" ref="CR526:CR531" si="3346">IF(ISERROR((CQ526/CO526-1)*100),"NA",IF(((CQ526/CO526-1)*100)&gt;100,"NM",IF(((CQ526/CO526-1)*100)&lt;-50,"NM",(CQ526/CO526-1)*100)))</f>
        <v>NA</v>
      </c>
      <c r="CS526" s="23" t="str">
        <f t="shared" ref="CS526:CS531" si="3347">IF(ISERROR(((CQ526/CG526)^0.2-1)*100),"NA",IF((((CQ526/CG526)^0.2-1)*100)&gt;100,"NM",IF((((CQ526/CG526)^0.2-1)*100)&lt;-50,"NM",((CQ526/CG526)^0.2-1)*100)))</f>
        <v>NM</v>
      </c>
    </row>
    <row r="527" spans="1:97" ht="12.75" hidden="1" customHeight="1" outlineLevel="1" x14ac:dyDescent="0.2">
      <c r="A527" s="4" t="s">
        <v>13</v>
      </c>
      <c r="B527" s="49">
        <v>712.3</v>
      </c>
      <c r="C527" s="59"/>
      <c r="D527" s="49">
        <v>742.2</v>
      </c>
      <c r="E527" s="59"/>
      <c r="F527" s="49">
        <v>590.5</v>
      </c>
      <c r="G527" s="59"/>
      <c r="H527" s="49">
        <v>473.7</v>
      </c>
      <c r="I527" s="59"/>
      <c r="J527" s="56">
        <f t="shared" ref="J527" si="3348">J511-J519</f>
        <v>534.30000000000007</v>
      </c>
      <c r="K527" s="23">
        <f t="shared" si="3304"/>
        <v>-24.989470728625562</v>
      </c>
      <c r="L527" s="56">
        <f t="shared" ref="L527" si="3349">L511-L519</f>
        <v>548.79999999999995</v>
      </c>
      <c r="M527" s="23">
        <f t="shared" si="3305"/>
        <v>-26.057666397197533</v>
      </c>
      <c r="N527" s="56">
        <f t="shared" ref="N527:N529" si="3350">N511-N519</f>
        <v>510.5</v>
      </c>
      <c r="O527" s="23">
        <f t="shared" si="3306"/>
        <v>-13.547840812870449</v>
      </c>
      <c r="P527" s="56">
        <f t="shared" ref="P527:P529" si="3351">P511-P519</f>
        <v>517</v>
      </c>
      <c r="Q527" s="23">
        <f t="shared" si="3307"/>
        <v>9.1408064175638515</v>
      </c>
      <c r="R527" s="56">
        <f t="shared" ref="R527" si="3352">R511-R519</f>
        <v>515</v>
      </c>
      <c r="S527" s="23">
        <f t="shared" si="3308"/>
        <v>-3.6122028822758834</v>
      </c>
      <c r="T527" s="56">
        <f t="shared" ref="T527" si="3353">T511-T519</f>
        <v>587.4</v>
      </c>
      <c r="U527" s="23">
        <f t="shared" si="3309"/>
        <v>7.0335276967930183</v>
      </c>
      <c r="V527" s="56">
        <f t="shared" ref="V527:V529" si="3354">V511-V519</f>
        <v>620.6</v>
      </c>
      <c r="W527" s="23">
        <f t="shared" si="3310"/>
        <v>21.567091087169455</v>
      </c>
      <c r="X527" s="56">
        <f t="shared" ref="X527:X529" si="3355">X511-X519</f>
        <v>686.4</v>
      </c>
      <c r="Y527" s="23">
        <f t="shared" si="3311"/>
        <v>32.7659574468085</v>
      </c>
      <c r="Z527" s="56">
        <f t="shared" ref="Z527" si="3356">Z511-Z519</f>
        <v>742.1</v>
      </c>
      <c r="AA527" s="23">
        <f t="shared" si="3312"/>
        <v>44.097087378640779</v>
      </c>
      <c r="AB527" s="56">
        <f t="shared" ref="AB527" si="3357">AB511-AB519</f>
        <v>715.5</v>
      </c>
      <c r="AC527" s="23">
        <f t="shared" si="3313"/>
        <v>21.807967313585298</v>
      </c>
      <c r="AD527" s="56">
        <f t="shared" ref="AD527:AD529" si="3358">AD511-AD519</f>
        <v>610.5</v>
      </c>
      <c r="AE527" s="23">
        <f t="shared" si="3314"/>
        <v>-1.6274572993876912</v>
      </c>
      <c r="AF527" s="56">
        <f t="shared" ref="AF527:AF529" si="3359">AF511-AF519</f>
        <v>635.9</v>
      </c>
      <c r="AG527" s="23">
        <f t="shared" si="3315"/>
        <v>-7.3572261072261114</v>
      </c>
      <c r="AH527" s="56">
        <f t="shared" ref="AH527" si="3360">AH511-AH519</f>
        <v>624.19999999999993</v>
      </c>
      <c r="AI527" s="23">
        <f t="shared" si="3316"/>
        <v>-15.887346718771067</v>
      </c>
      <c r="AJ527" s="56">
        <f t="shared" ref="AJ527" si="3361">AJ511-AJ519</f>
        <v>676.1</v>
      </c>
      <c r="AK527" s="23">
        <f t="shared" si="3317"/>
        <v>-5.5066387141858852</v>
      </c>
      <c r="AL527" s="56">
        <f t="shared" ref="AL527:AL529" si="3362">AL511-AL519</f>
        <v>799.2</v>
      </c>
      <c r="AM527" s="23">
        <f t="shared" si="3318"/>
        <v>30.909090909090907</v>
      </c>
      <c r="AN527" s="413">
        <f t="shared" ref="AN527" si="3363">AN511-AN519</f>
        <v>862.5</v>
      </c>
      <c r="AO527" s="23">
        <f t="shared" si="3320"/>
        <v>35.634533731718832</v>
      </c>
      <c r="AP527" s="413">
        <f t="shared" ref="AP527" si="3364">AP511-AP519</f>
        <v>785.30000000000007</v>
      </c>
      <c r="AQ527" s="23">
        <f t="shared" si="3322"/>
        <v>25.809035565523896</v>
      </c>
      <c r="AR527" s="413">
        <f t="shared" ref="AR527" si="3365">AR511-AR519</f>
        <v>735</v>
      </c>
      <c r="AS527" s="23">
        <f t="shared" si="3324"/>
        <v>8.7117290341665488</v>
      </c>
      <c r="AT527" s="413">
        <f t="shared" ref="AT527" si="3366">AT511-AT519</f>
        <v>637.9</v>
      </c>
      <c r="AU527" s="23">
        <f t="shared" si="3326"/>
        <v>-20.182682682682696</v>
      </c>
      <c r="AV527" s="413">
        <f t="shared" ref="AV527" si="3367">AV511-AV519</f>
        <v>757.2</v>
      </c>
      <c r="AW527" s="23">
        <f t="shared" si="3328"/>
        <v>-12.208695652173907</v>
      </c>
      <c r="AX527" s="413">
        <f t="shared" ref="AX527" si="3368">AX511-AX519</f>
        <v>756</v>
      </c>
      <c r="AY527" s="23">
        <f t="shared" si="3330"/>
        <v>-3.7310581943206467</v>
      </c>
      <c r="AZ527" s="413">
        <f t="shared" si="3331"/>
        <v>745.69999999999993</v>
      </c>
      <c r="BA527" s="23">
        <f t="shared" si="3332"/>
        <v>1.4557823129251579</v>
      </c>
      <c r="BB527" s="413">
        <f t="shared" si="3333"/>
        <v>579.30000000000007</v>
      </c>
      <c r="BC527" s="23">
        <f t="shared" si="3334"/>
        <v>-9.1863928515441113</v>
      </c>
      <c r="BD527" s="413">
        <f t="shared" si="3333"/>
        <v>0</v>
      </c>
      <c r="BE527" s="23" t="str">
        <f t="shared" si="3335"/>
        <v>NM</v>
      </c>
      <c r="BF527" s="410">
        <f>BF$526*BF535/400</f>
        <v>826.85440000000051</v>
      </c>
      <c r="BG527" s="23">
        <f t="shared" si="3337"/>
        <v>9.3722751322752096</v>
      </c>
      <c r="BH527" s="410">
        <f>BH$526*BH535/400</f>
        <v>849.29109414400057</v>
      </c>
      <c r="BI527" s="23"/>
      <c r="BJ527" s="36"/>
      <c r="BK527" s="23"/>
      <c r="BL527" s="36"/>
      <c r="BM527" s="23" t="str">
        <f t="shared" si="3338"/>
        <v>NA</v>
      </c>
      <c r="BN527" s="36"/>
      <c r="BO527" s="137"/>
      <c r="BP527" s="36"/>
      <c r="BQ527" s="112"/>
      <c r="BR527" s="112"/>
      <c r="BS527" s="112"/>
      <c r="BT527" s="36"/>
      <c r="BU527" s="56">
        <f>B527+D527+F527+H527</f>
        <v>2518.6999999999998</v>
      </c>
      <c r="BV527" s="23" t="str">
        <f t="shared" si="3339"/>
        <v>NA</v>
      </c>
      <c r="BW527" s="56">
        <f>J527+L527+N527+P527</f>
        <v>2110.6</v>
      </c>
      <c r="BX527" s="23">
        <f t="shared" si="3340"/>
        <v>-16.202803033310829</v>
      </c>
      <c r="BY527" s="56">
        <f t="shared" ref="BY527:BY529" si="3369">BY511-BY519</f>
        <v>2409.4</v>
      </c>
      <c r="BZ527" s="23">
        <f t="shared" si="3341"/>
        <v>14.157111721785288</v>
      </c>
      <c r="CA527" s="56">
        <f t="shared" ref="CA527:CA529" si="3370">CA511-CA519</f>
        <v>2704</v>
      </c>
      <c r="CB527" s="23">
        <f t="shared" si="3342"/>
        <v>12.227110483937897</v>
      </c>
      <c r="CC527" s="56">
        <f>AH527+AJ527+AL527+AN527</f>
        <v>2962</v>
      </c>
      <c r="CD527" s="23">
        <f t="shared" si="3343"/>
        <v>9.5414201183432024</v>
      </c>
      <c r="CE527" s="56">
        <f>AP527+AR527+AT527+AV527</f>
        <v>2915.4000000000005</v>
      </c>
      <c r="CF527" s="23">
        <f t="shared" si="3344"/>
        <v>-1.5732613099257109</v>
      </c>
      <c r="CG527" s="56">
        <f>AX527+AZ527+BB527+BD527</f>
        <v>2081</v>
      </c>
      <c r="CH527" s="23">
        <f t="shared" si="3345"/>
        <v>-28.620429443644113</v>
      </c>
      <c r="CI527" s="413">
        <f>BF527+BH527+BJ527+BL527</f>
        <v>1676.1454941440011</v>
      </c>
      <c r="CJ527" s="23"/>
      <c r="CK527" s="56"/>
      <c r="CL527" s="23"/>
      <c r="CM527" s="56"/>
      <c r="CN527" s="23"/>
      <c r="CO527" s="56"/>
      <c r="CP527" s="23"/>
      <c r="CQ527" s="56"/>
      <c r="CR527" s="23" t="str">
        <f t="shared" si="3346"/>
        <v>NA</v>
      </c>
      <c r="CS527" s="23" t="str">
        <f t="shared" si="3347"/>
        <v>NM</v>
      </c>
    </row>
    <row r="528" spans="1:97" ht="12.75" hidden="1" customHeight="1" outlineLevel="1" x14ac:dyDescent="0.2">
      <c r="A528" s="4" t="s">
        <v>96</v>
      </c>
      <c r="B528" s="49">
        <v>-831.4</v>
      </c>
      <c r="C528" s="59"/>
      <c r="D528" s="49">
        <v>-787.8</v>
      </c>
      <c r="E528" s="59"/>
      <c r="F528" s="49">
        <v>-785</v>
      </c>
      <c r="G528" s="59"/>
      <c r="H528" s="49">
        <v>-1097.4000000000001</v>
      </c>
      <c r="I528" s="59"/>
      <c r="J528" s="56">
        <f t="shared" ref="J528" si="3371">J512-J520</f>
        <v>-998.40000000000009</v>
      </c>
      <c r="K528" s="23">
        <f t="shared" si="3304"/>
        <v>20.08660091412078</v>
      </c>
      <c r="L528" s="56">
        <f t="shared" ref="L528" si="3372">L512-L520</f>
        <v>-1741.3999999999999</v>
      </c>
      <c r="M528" s="23" t="str">
        <f t="shared" si="3305"/>
        <v>NM</v>
      </c>
      <c r="N528" s="56">
        <f t="shared" si="3350"/>
        <v>-1065.5</v>
      </c>
      <c r="O528" s="23">
        <f t="shared" si="3306"/>
        <v>35.732484076433124</v>
      </c>
      <c r="P528" s="56">
        <f t="shared" si="3351"/>
        <v>-839.09999999999991</v>
      </c>
      <c r="Q528" s="23">
        <f t="shared" si="3307"/>
        <v>-23.537452159650098</v>
      </c>
      <c r="R528" s="56">
        <f t="shared" ref="R528" si="3373">R512-R520</f>
        <v>-674.1</v>
      </c>
      <c r="S528" s="23">
        <f t="shared" si="3308"/>
        <v>-32.481971153846153</v>
      </c>
      <c r="T528" s="56">
        <f t="shared" ref="T528" si="3374">T512-T520</f>
        <v>-760.59999999999991</v>
      </c>
      <c r="U528" s="23" t="str">
        <f t="shared" si="3309"/>
        <v>NM</v>
      </c>
      <c r="V528" s="56">
        <f t="shared" si="3354"/>
        <v>-822.1</v>
      </c>
      <c r="W528" s="23">
        <f t="shared" si="3310"/>
        <v>-22.843735335523231</v>
      </c>
      <c r="X528" s="56">
        <f t="shared" si="3355"/>
        <v>-844.09999999999991</v>
      </c>
      <c r="Y528" s="23">
        <f t="shared" si="3311"/>
        <v>0.59587653438206711</v>
      </c>
      <c r="Z528" s="56">
        <f t="shared" ref="Z528" si="3375">Z512-Z520</f>
        <v>-720.4</v>
      </c>
      <c r="AA528" s="23">
        <f t="shared" si="3312"/>
        <v>6.868417148790984</v>
      </c>
      <c r="AB528" s="56">
        <f t="shared" ref="AB528" si="3376">AB512-AB520</f>
        <v>-781.1</v>
      </c>
      <c r="AC528" s="23">
        <f t="shared" si="3313"/>
        <v>2.6952405995267048</v>
      </c>
      <c r="AD528" s="56">
        <f t="shared" si="3358"/>
        <v>-1206.8</v>
      </c>
      <c r="AE528" s="23">
        <f t="shared" si="3314"/>
        <v>46.794793820703063</v>
      </c>
      <c r="AF528" s="56">
        <f t="shared" si="3359"/>
        <v>-998.39999999999986</v>
      </c>
      <c r="AG528" s="23">
        <f t="shared" si="3315"/>
        <v>18.279824665324007</v>
      </c>
      <c r="AH528" s="56">
        <f t="shared" ref="AH528" si="3377">AH512-AH520</f>
        <v>-691.40000000000009</v>
      </c>
      <c r="AI528" s="23">
        <f t="shared" si="3316"/>
        <v>-4.0255413659078148</v>
      </c>
      <c r="AJ528" s="56">
        <f t="shared" ref="AJ528" si="3378">AJ512-AJ520</f>
        <v>-733.1</v>
      </c>
      <c r="AK528" s="23">
        <f t="shared" si="3317"/>
        <v>-6.145179874535911</v>
      </c>
      <c r="AL528" s="56">
        <f t="shared" si="3362"/>
        <v>-741</v>
      </c>
      <c r="AM528" s="23">
        <f t="shared" si="3318"/>
        <v>-38.597944978455409</v>
      </c>
      <c r="AN528" s="413">
        <f t="shared" ref="AN528" si="3379">AN512-AN520</f>
        <v>-769.6</v>
      </c>
      <c r="AO528" s="23">
        <f t="shared" si="3320"/>
        <v>-22.91666666666665</v>
      </c>
      <c r="AP528" s="413">
        <f t="shared" ref="AP528" si="3380">AP512-AP520</f>
        <v>-707.9</v>
      </c>
      <c r="AQ528" s="23">
        <f t="shared" si="3322"/>
        <v>2.386462250506205</v>
      </c>
      <c r="AR528" s="413">
        <f t="shared" ref="AR528" si="3381">AR512-AR520</f>
        <v>-747.1</v>
      </c>
      <c r="AS528" s="23">
        <f t="shared" si="3324"/>
        <v>1.9096985404446931</v>
      </c>
      <c r="AT528" s="413">
        <f t="shared" ref="AT528" si="3382">AT512-AT520</f>
        <v>-726.69999999999993</v>
      </c>
      <c r="AU528" s="23">
        <f t="shared" si="3326"/>
        <v>-1.9298245614035148</v>
      </c>
      <c r="AV528" s="413">
        <f t="shared" ref="AV528" si="3383">AV512-AV520</f>
        <v>-687.5</v>
      </c>
      <c r="AW528" s="23">
        <f t="shared" si="3328"/>
        <v>-10.667879417879423</v>
      </c>
      <c r="AX528" s="413">
        <f t="shared" ref="AX528" si="3384">AX512-AX520</f>
        <v>-752.1</v>
      </c>
      <c r="AY528" s="23">
        <f t="shared" si="3330"/>
        <v>6.2438197485520597</v>
      </c>
      <c r="AZ528" s="413">
        <f t="shared" si="3331"/>
        <v>-758.4</v>
      </c>
      <c r="BA528" s="23">
        <f t="shared" si="3332"/>
        <v>1.512515058225139</v>
      </c>
      <c r="BB528" s="413">
        <f t="shared" si="3333"/>
        <v>-691.4</v>
      </c>
      <c r="BC528" s="23">
        <f t="shared" si="3334"/>
        <v>-4.8575753405807003</v>
      </c>
      <c r="BD528" s="413">
        <f t="shared" si="3333"/>
        <v>0</v>
      </c>
      <c r="BE528" s="23" t="str">
        <f t="shared" si="3335"/>
        <v>NM</v>
      </c>
      <c r="BF528" s="410">
        <f>BF$526*BF536/400</f>
        <v>-3.229900000000002</v>
      </c>
      <c r="BG528" s="23" t="str">
        <f t="shared" si="3337"/>
        <v>NM</v>
      </c>
      <c r="BH528" s="410">
        <f>BH$526*BH536/400</f>
        <v>-6.6350866730000044</v>
      </c>
      <c r="BI528" s="23"/>
      <c r="BJ528" s="36"/>
      <c r="BK528" s="23"/>
      <c r="BL528" s="36"/>
      <c r="BM528" s="23" t="str">
        <f t="shared" si="3338"/>
        <v>NA</v>
      </c>
      <c r="BN528" s="36"/>
      <c r="BO528" s="137"/>
      <c r="BP528" s="36"/>
      <c r="BQ528" s="112"/>
      <c r="BR528" s="112"/>
      <c r="BS528" s="112"/>
      <c r="BT528" s="36"/>
      <c r="BU528" s="56">
        <f>B528+D528+F528+H528</f>
        <v>-3501.6</v>
      </c>
      <c r="BV528" s="23" t="str">
        <f t="shared" si="3339"/>
        <v>NA</v>
      </c>
      <c r="BW528" s="56">
        <f>J528+L528+N528+P528</f>
        <v>-4644.3999999999996</v>
      </c>
      <c r="BX528" s="23">
        <f t="shared" si="3340"/>
        <v>32.636509024445971</v>
      </c>
      <c r="BY528" s="56">
        <f t="shared" si="3369"/>
        <v>-3100.9000000000005</v>
      </c>
      <c r="BZ528" s="23">
        <f t="shared" si="3341"/>
        <v>-33.23357161312547</v>
      </c>
      <c r="CA528" s="56">
        <f t="shared" si="3370"/>
        <v>-3706.7000000000003</v>
      </c>
      <c r="CB528" s="23">
        <f t="shared" si="3342"/>
        <v>19.536263665387455</v>
      </c>
      <c r="CC528" s="56">
        <f>AH528+AJ528+AL528+AN528</f>
        <v>-2935.1</v>
      </c>
      <c r="CD528" s="23">
        <f t="shared" si="3343"/>
        <v>-20.816359565111831</v>
      </c>
      <c r="CE528" s="56">
        <f>AP528+AR528+AT528+AV528</f>
        <v>-2869.2</v>
      </c>
      <c r="CF528" s="23">
        <f t="shared" si="3344"/>
        <v>-2.2452386630779197</v>
      </c>
      <c r="CG528" s="56">
        <f>AX528+AZ528+BB528+BD528</f>
        <v>-2201.9</v>
      </c>
      <c r="CH528" s="23">
        <f t="shared" si="3345"/>
        <v>-23.257353966262361</v>
      </c>
      <c r="CI528" s="413">
        <f>BF528+BH528+BJ528+BL528</f>
        <v>-9.864986673000006</v>
      </c>
      <c r="CJ528" s="23"/>
      <c r="CK528" s="56"/>
      <c r="CL528" s="23"/>
      <c r="CM528" s="56"/>
      <c r="CN528" s="23"/>
      <c r="CO528" s="56"/>
      <c r="CP528" s="23"/>
      <c r="CQ528" s="56"/>
      <c r="CR528" s="23" t="str">
        <f t="shared" si="3346"/>
        <v>NA</v>
      </c>
      <c r="CS528" s="23" t="str">
        <f t="shared" si="3347"/>
        <v>NM</v>
      </c>
    </row>
    <row r="529" spans="1:97" ht="12.75" hidden="1" customHeight="1" outlineLevel="1" x14ac:dyDescent="0.2">
      <c r="A529" s="4" t="s">
        <v>97</v>
      </c>
      <c r="B529" s="49">
        <v>303.89999999999998</v>
      </c>
      <c r="C529" s="59"/>
      <c r="D529" s="49">
        <v>310</v>
      </c>
      <c r="E529" s="59"/>
      <c r="F529" s="49">
        <v>4.4000000000000004</v>
      </c>
      <c r="G529" s="59"/>
      <c r="H529" s="49">
        <v>337.5</v>
      </c>
      <c r="I529" s="59"/>
      <c r="J529" s="56">
        <f t="shared" ref="J529" si="3385">J513-J521</f>
        <v>347.2</v>
      </c>
      <c r="K529" s="23">
        <f t="shared" si="3304"/>
        <v>14.248107930240206</v>
      </c>
      <c r="L529" s="56">
        <f t="shared" ref="L529" si="3386">L513-L521</f>
        <v>99.4</v>
      </c>
      <c r="M529" s="23" t="str">
        <f t="shared" si="3305"/>
        <v>NM</v>
      </c>
      <c r="N529" s="56">
        <f t="shared" si="3350"/>
        <v>306.59999999999997</v>
      </c>
      <c r="O529" s="23" t="str">
        <f t="shared" si="3306"/>
        <v>NM</v>
      </c>
      <c r="P529" s="56">
        <f t="shared" si="3351"/>
        <v>215.6</v>
      </c>
      <c r="Q529" s="23">
        <f t="shared" si="3307"/>
        <v>-36.118518518518513</v>
      </c>
      <c r="R529" s="56">
        <f t="shared" ref="R529" si="3387">R513-R521</f>
        <v>297.8</v>
      </c>
      <c r="S529" s="23">
        <f t="shared" si="3308"/>
        <v>-14.228110599078336</v>
      </c>
      <c r="T529" s="56">
        <f t="shared" ref="T529" si="3388">T513-T521</f>
        <v>210.7</v>
      </c>
      <c r="U529" s="23" t="str">
        <f t="shared" si="3309"/>
        <v>NM</v>
      </c>
      <c r="V529" s="56">
        <f t="shared" si="3354"/>
        <v>349.7</v>
      </c>
      <c r="W529" s="23">
        <f t="shared" si="3310"/>
        <v>14.057403783431187</v>
      </c>
      <c r="X529" s="56">
        <f t="shared" si="3355"/>
        <v>382.09999999999997</v>
      </c>
      <c r="Y529" s="23">
        <f t="shared" si="3311"/>
        <v>77.226345083487928</v>
      </c>
      <c r="Z529" s="56">
        <f t="shared" ref="Z529" si="3389">Z513-Z521</f>
        <v>231.70000000000002</v>
      </c>
      <c r="AA529" s="23">
        <f t="shared" si="3312"/>
        <v>-22.196104768300874</v>
      </c>
      <c r="AB529" s="56">
        <f t="shared" ref="AB529" si="3390">AB513-AB521</f>
        <v>347.90000000000003</v>
      </c>
      <c r="AC529" s="23">
        <f t="shared" si="3313"/>
        <v>65.116279069767472</v>
      </c>
      <c r="AD529" s="56">
        <f t="shared" si="3358"/>
        <v>115.5</v>
      </c>
      <c r="AE529" s="23" t="str">
        <f t="shared" si="3314"/>
        <v>NM</v>
      </c>
      <c r="AF529" s="56">
        <f t="shared" si="3359"/>
        <v>235.89999999999998</v>
      </c>
      <c r="AG529" s="23">
        <f t="shared" si="3315"/>
        <v>-38.262235017011257</v>
      </c>
      <c r="AH529" s="56">
        <f t="shared" ref="AH529" si="3391">AH513-AH521</f>
        <v>239.90000000000003</v>
      </c>
      <c r="AI529" s="23">
        <f t="shared" si="3316"/>
        <v>3.5390591281829975</v>
      </c>
      <c r="AJ529" s="56">
        <f t="shared" ref="AJ529" si="3392">AJ513-AJ521</f>
        <v>145.79999999999998</v>
      </c>
      <c r="AK529" s="23" t="str">
        <f t="shared" si="3317"/>
        <v>NM</v>
      </c>
      <c r="AL529" s="56">
        <f t="shared" si="3362"/>
        <v>-209.7</v>
      </c>
      <c r="AM529" s="23" t="str">
        <f t="shared" si="3318"/>
        <v>NM</v>
      </c>
      <c r="AN529" s="413">
        <f t="shared" ref="AN529" si="3393">AN513-AN521</f>
        <v>238.8</v>
      </c>
      <c r="AO529" s="23">
        <f t="shared" si="3320"/>
        <v>1.2293344637558379</v>
      </c>
      <c r="AP529" s="413">
        <f t="shared" ref="AP529" si="3394">AP513-AP521</f>
        <v>65.599999999999994</v>
      </c>
      <c r="AQ529" s="23" t="str">
        <f t="shared" si="3322"/>
        <v>NM</v>
      </c>
      <c r="AR529" s="413">
        <f t="shared" ref="AR529" si="3395">AR513-AR521</f>
        <v>161.4</v>
      </c>
      <c r="AS529" s="23">
        <f t="shared" si="3324"/>
        <v>10.699588477366273</v>
      </c>
      <c r="AT529" s="413">
        <f t="shared" ref="AT529" si="3396">AT513-AT521</f>
        <v>267.7</v>
      </c>
      <c r="AU529" s="23" t="str">
        <f t="shared" si="3326"/>
        <v>NM</v>
      </c>
      <c r="AV529" s="413">
        <f t="shared" ref="AV529" si="3397">AV513-AV521</f>
        <v>149.19999999999999</v>
      </c>
      <c r="AW529" s="23">
        <f t="shared" si="3328"/>
        <v>-37.52093802345059</v>
      </c>
      <c r="AX529" s="413">
        <f t="shared" ref="AX529" si="3398">AX513-AX521</f>
        <v>415.2</v>
      </c>
      <c r="AY529" s="23" t="str">
        <f t="shared" si="3330"/>
        <v>NM</v>
      </c>
      <c r="AZ529" s="413">
        <f t="shared" si="3331"/>
        <v>311.60000000000002</v>
      </c>
      <c r="BA529" s="23">
        <f t="shared" si="3332"/>
        <v>93.060718711276351</v>
      </c>
      <c r="BB529" s="413">
        <f t="shared" si="3333"/>
        <v>330.2</v>
      </c>
      <c r="BC529" s="23">
        <f t="shared" si="3334"/>
        <v>23.347030257751221</v>
      </c>
      <c r="BD529" s="413">
        <f t="shared" si="3333"/>
        <v>0</v>
      </c>
      <c r="BE529" s="23" t="str">
        <f t="shared" si="3335"/>
        <v>NM</v>
      </c>
      <c r="BF529" s="410">
        <f>BF526*(BF538/100*BF24/100)</f>
        <v>-122.47780800000004</v>
      </c>
      <c r="BG529" s="23" t="str">
        <f t="shared" si="3337"/>
        <v>NM</v>
      </c>
      <c r="BH529" s="410">
        <f>BH526*(BH538/100*BH24/100)</f>
        <v>209.66873886680014</v>
      </c>
      <c r="BI529" s="23"/>
      <c r="BJ529" s="36"/>
      <c r="BK529" s="23"/>
      <c r="BL529" s="36"/>
      <c r="BM529" s="23" t="str">
        <f t="shared" si="3338"/>
        <v>NA</v>
      </c>
      <c r="BN529" s="36"/>
      <c r="BO529" s="137"/>
      <c r="BP529" s="36"/>
      <c r="BQ529" s="112"/>
      <c r="BR529" s="112"/>
      <c r="BS529" s="112"/>
      <c r="BT529" s="36"/>
      <c r="BU529" s="56">
        <f>B529+D529+F529+H529</f>
        <v>955.8</v>
      </c>
      <c r="BV529" s="23" t="str">
        <f t="shared" si="3339"/>
        <v>NA</v>
      </c>
      <c r="BW529" s="56">
        <f>J529+L529+N529+P529</f>
        <v>968.80000000000007</v>
      </c>
      <c r="BX529" s="23">
        <f t="shared" si="3340"/>
        <v>1.3601171793262257</v>
      </c>
      <c r="BY529" s="56">
        <f t="shared" si="3369"/>
        <v>1240.3</v>
      </c>
      <c r="BZ529" s="23">
        <f t="shared" si="3341"/>
        <v>28.024360033030547</v>
      </c>
      <c r="CA529" s="56">
        <f t="shared" si="3370"/>
        <v>931</v>
      </c>
      <c r="CB529" s="23">
        <f t="shared" si="3342"/>
        <v>-24.937515117310326</v>
      </c>
      <c r="CC529" s="56">
        <f>AH529+AJ529+AL529+AN529</f>
        <v>414.80000000000007</v>
      </c>
      <c r="CD529" s="23" t="str">
        <f t="shared" si="3343"/>
        <v>NM</v>
      </c>
      <c r="CE529" s="56">
        <f>AP529+AR529+AT529+AV529</f>
        <v>643.9</v>
      </c>
      <c r="CF529" s="23">
        <f t="shared" si="3344"/>
        <v>55.231436837029868</v>
      </c>
      <c r="CG529" s="56">
        <f>AX529+AZ529+BB529+BD529</f>
        <v>1057</v>
      </c>
      <c r="CH529" s="23">
        <f t="shared" si="3345"/>
        <v>64.155924833048616</v>
      </c>
      <c r="CI529" s="413">
        <f>BF529+BH529+BJ529+BL529</f>
        <v>87.190930866800102</v>
      </c>
      <c r="CJ529" s="23"/>
      <c r="CK529" s="56"/>
      <c r="CL529" s="23"/>
      <c r="CM529" s="56"/>
      <c r="CN529" s="23"/>
      <c r="CO529" s="56"/>
      <c r="CP529" s="23"/>
      <c r="CQ529" s="56"/>
      <c r="CR529" s="23" t="str">
        <f t="shared" si="3346"/>
        <v>NA</v>
      </c>
      <c r="CS529" s="23" t="str">
        <f t="shared" si="3347"/>
        <v>NM</v>
      </c>
    </row>
    <row r="530" spans="1:97" ht="12.75" hidden="1" customHeight="1" outlineLevel="1" x14ac:dyDescent="0.2">
      <c r="A530" s="4" t="s">
        <v>183</v>
      </c>
      <c r="B530" s="36">
        <f t="shared" ref="B530" si="3399">SUM(B526:B529)</f>
        <v>25071.1</v>
      </c>
      <c r="C530" s="59"/>
      <c r="D530" s="56">
        <f t="shared" ref="D530" si="3400">SUM(D526:D529)</f>
        <v>25335.5</v>
      </c>
      <c r="E530" s="59"/>
      <c r="F530" s="36">
        <f t="shared" ref="F530" si="3401">SUM(F526:F529)</f>
        <v>25145.4</v>
      </c>
      <c r="G530" s="59"/>
      <c r="H530" s="36">
        <f t="shared" ref="H530" si="3402">SUM(H526:H529)</f>
        <v>24859.200000000001</v>
      </c>
      <c r="I530" s="59"/>
      <c r="J530" s="36">
        <f t="shared" ref="J530" si="3403">SUM(J526:J529)</f>
        <v>24742.3</v>
      </c>
      <c r="K530" s="23">
        <f t="shared" si="3304"/>
        <v>-1.311470178811458</v>
      </c>
      <c r="L530" s="36">
        <f t="shared" ref="L530" si="3404">SUM(L526:L529)</f>
        <v>23649.1</v>
      </c>
      <c r="M530" s="23">
        <f t="shared" si="3305"/>
        <v>-6.6562728187720799</v>
      </c>
      <c r="N530" s="36">
        <f t="shared" ref="N530" si="3405">SUM(N526:N529)</f>
        <v>23400.7</v>
      </c>
      <c r="O530" s="23">
        <f t="shared" si="3306"/>
        <v>-6.9384459980751938</v>
      </c>
      <c r="P530" s="36">
        <f t="shared" ref="P530" si="3406">SUM(P526:P529)</f>
        <v>23294.200000000004</v>
      </c>
      <c r="Q530" s="23">
        <f t="shared" si="3307"/>
        <v>-6.2954560082383875</v>
      </c>
      <c r="R530" s="36">
        <f t="shared" ref="R530" si="3407">SUM(R526:R529)</f>
        <v>23432.900000000009</v>
      </c>
      <c r="S530" s="23">
        <f t="shared" si="3308"/>
        <v>-5.2921514976376098</v>
      </c>
      <c r="T530" s="36">
        <f t="shared" ref="T530" si="3408">SUM(T526:T529)</f>
        <v>23470.400000000009</v>
      </c>
      <c r="U530" s="23">
        <f t="shared" si="3309"/>
        <v>-0.75563129252271821</v>
      </c>
      <c r="V530" s="36">
        <f t="shared" ref="V530" si="3409">SUM(V526:V529)</f>
        <v>23618.600000000006</v>
      </c>
      <c r="W530" s="23">
        <f t="shared" si="3310"/>
        <v>0.93116872572189813</v>
      </c>
      <c r="X530" s="36">
        <f t="shared" ref="X530" si="3410">SUM(X526:X529)</f>
        <v>23843.000000000007</v>
      </c>
      <c r="Y530" s="23">
        <f t="shared" si="3311"/>
        <v>2.3559512668389626</v>
      </c>
      <c r="Z530" s="36">
        <f t="shared" ref="Z530" si="3411">SUM(Z526:Z529)</f>
        <v>24096.400000000009</v>
      </c>
      <c r="AA530" s="23">
        <f t="shared" si="3312"/>
        <v>2.8314890602529008</v>
      </c>
      <c r="AB530" s="36">
        <f t="shared" ref="AB530" si="3412">SUM(AB526:AB529)</f>
        <v>24378.700000000012</v>
      </c>
      <c r="AC530" s="23">
        <f t="shared" si="3313"/>
        <v>3.8699809121276241</v>
      </c>
      <c r="AD530" s="36">
        <f t="shared" ref="AD530" si="3413">SUM(AD526:AD529)</f>
        <v>23897.900000000012</v>
      </c>
      <c r="AE530" s="23">
        <f t="shared" si="3314"/>
        <v>1.1825425723794192</v>
      </c>
      <c r="AF530" s="36">
        <f t="shared" ref="AF530" si="3414">SUM(AF526:AF529)</f>
        <v>23771.30000000001</v>
      </c>
      <c r="AG530" s="23">
        <f t="shared" si="3315"/>
        <v>-0.30071719162856336</v>
      </c>
      <c r="AH530" s="36">
        <f t="shared" ref="AH530" si="3415">SUM(AH526:AH529)</f>
        <v>23944.000000000011</v>
      </c>
      <c r="AI530" s="23">
        <f t="shared" si="3316"/>
        <v>-0.63245962052421723</v>
      </c>
      <c r="AJ530" s="36">
        <f t="shared" ref="AJ530" si="3416">SUM(AJ526:AJ529)</f>
        <v>24032.800000000007</v>
      </c>
      <c r="AK530" s="23">
        <f t="shared" si="3317"/>
        <v>-1.4188615471702914</v>
      </c>
      <c r="AL530" s="36">
        <f t="shared" ref="AL530" si="3417">SUM(AL526:AL529)</f>
        <v>23881.300000000007</v>
      </c>
      <c r="AM530" s="23">
        <f t="shared" si="3318"/>
        <v>-6.9462170316247906E-2</v>
      </c>
      <c r="AN530" s="410">
        <f t="shared" ref="AN530" si="3418">SUM(AN526:AN529)</f>
        <v>24213.000000000011</v>
      </c>
      <c r="AO530" s="23">
        <f t="shared" si="3320"/>
        <v>1.8581230307135099</v>
      </c>
      <c r="AP530" s="410">
        <f t="shared" ref="AP530" si="3419">SUM(AP526:AP529)</f>
        <v>24356.000000000004</v>
      </c>
      <c r="AQ530" s="23">
        <f t="shared" si="3322"/>
        <v>1.7206815903775263</v>
      </c>
      <c r="AR530" s="410">
        <f t="shared" ref="AR530" si="3420">SUM(AR526:AR529)</f>
        <v>24505.300000000007</v>
      </c>
      <c r="AS530" s="23">
        <f t="shared" si="3324"/>
        <v>1.9660630471688645</v>
      </c>
      <c r="AT530" s="410">
        <f t="shared" ref="AT530" si="3421">SUM(AT526:AT529)</f>
        <v>24684.200000000008</v>
      </c>
      <c r="AU530" s="23">
        <f t="shared" si="3326"/>
        <v>3.3620447798067943</v>
      </c>
      <c r="AV530" s="410">
        <f t="shared" ref="AV530" si="3422">SUM(AV526:AV529)</f>
        <v>24903.100000000009</v>
      </c>
      <c r="AW530" s="23">
        <f t="shared" si="3328"/>
        <v>2.8501218353776725</v>
      </c>
      <c r="AX530" s="410">
        <f t="shared" ref="AX530" si="3423">SUM(AX526:AX529)</f>
        <v>25322.200000000015</v>
      </c>
      <c r="AY530" s="23">
        <f t="shared" si="3330"/>
        <v>3.9669896534735294</v>
      </c>
      <c r="AZ530" s="410">
        <f t="shared" ref="AZ530" si="3424">SUM(AZ526:AZ529)</f>
        <v>25621.100000000009</v>
      </c>
      <c r="BA530" s="23">
        <f t="shared" si="3332"/>
        <v>4.5533007145393212</v>
      </c>
      <c r="BB530" s="410">
        <f t="shared" ref="BB530:BD530" si="3425">SUM(BB526:BB529)</f>
        <v>25839.200000000008</v>
      </c>
      <c r="BC530" s="23">
        <f t="shared" si="3334"/>
        <v>4.679106472966521</v>
      </c>
      <c r="BD530" s="410">
        <f t="shared" si="3425"/>
        <v>25839.200000000012</v>
      </c>
      <c r="BE530" s="23">
        <f t="shared" si="3335"/>
        <v>3.7589697668161781</v>
      </c>
      <c r="BF530" s="410">
        <f t="shared" ref="BF530" si="3426">SUM(BF526:BF529)</f>
        <v>26540.346692000014</v>
      </c>
      <c r="BG530" s="23">
        <f t="shared" si="3337"/>
        <v>4.8105879110029948</v>
      </c>
      <c r="BH530" s="410">
        <f t="shared" ref="BH530" si="3427">SUM(BH526:BH529)</f>
        <v>27592.671438337817</v>
      </c>
      <c r="BI530" s="23"/>
      <c r="BJ530" s="36"/>
      <c r="BK530" s="23"/>
      <c r="BL530" s="36"/>
      <c r="BM530" s="23" t="str">
        <f t="shared" si="3338"/>
        <v>NM</v>
      </c>
      <c r="BN530" s="36"/>
      <c r="BO530" s="137"/>
      <c r="BP530" s="36"/>
      <c r="BQ530" s="112"/>
      <c r="BR530" s="112"/>
      <c r="BS530" s="112"/>
      <c r="BT530" s="36"/>
      <c r="BU530" s="56">
        <f>SUM(BU526:BU529)</f>
        <v>24859.200000000001</v>
      </c>
      <c r="BV530" s="23" t="str">
        <f t="shared" si="3339"/>
        <v>NA</v>
      </c>
      <c r="BW530" s="56">
        <f t="shared" ref="BW530" si="3428">SUM(BW526:BW529)</f>
        <v>23294.2</v>
      </c>
      <c r="BX530" s="23">
        <f t="shared" si="3340"/>
        <v>-6.2954560082383981</v>
      </c>
      <c r="BY530" s="56">
        <f t="shared" ref="BY530" si="3429">SUM(BY526:BY529)</f>
        <v>23843.000000000007</v>
      </c>
      <c r="BZ530" s="23">
        <f t="shared" si="3341"/>
        <v>2.3559512668389848</v>
      </c>
      <c r="CA530" s="56">
        <f t="shared" ref="CA530" si="3430">SUM(CA526:CA529)</f>
        <v>23771.300000000003</v>
      </c>
      <c r="CB530" s="23">
        <f t="shared" si="3342"/>
        <v>-0.30071719162858557</v>
      </c>
      <c r="CC530" s="56">
        <f t="shared" ref="CC530" si="3431">SUM(CC526:CC529)</f>
        <v>24213.000000000004</v>
      </c>
      <c r="CD530" s="23">
        <f t="shared" si="3343"/>
        <v>1.8581230307135099</v>
      </c>
      <c r="CE530" s="56">
        <f t="shared" ref="CE530" si="3432">SUM(CE526:CE529)</f>
        <v>24903.100000000006</v>
      </c>
      <c r="CF530" s="23">
        <f t="shared" si="3344"/>
        <v>2.8501218353776947</v>
      </c>
      <c r="CG530" s="56">
        <f t="shared" ref="CG530" si="3433">SUM(CG526:CG529)</f>
        <v>25839.200000000004</v>
      </c>
      <c r="CH530" s="23">
        <f t="shared" si="3345"/>
        <v>3.7589697668161781</v>
      </c>
      <c r="CI530" s="413">
        <f t="shared" ref="CI530" si="3434">SUM(CI526:CI529)</f>
        <v>27592.671438337806</v>
      </c>
      <c r="CJ530" s="23"/>
      <c r="CK530" s="56"/>
      <c r="CL530" s="23"/>
      <c r="CM530" s="56"/>
      <c r="CN530" s="23"/>
      <c r="CO530" s="56"/>
      <c r="CP530" s="23"/>
      <c r="CQ530" s="56"/>
      <c r="CR530" s="23" t="str">
        <f t="shared" si="3346"/>
        <v>NA</v>
      </c>
      <c r="CS530" s="23" t="str">
        <f t="shared" si="3347"/>
        <v>NM</v>
      </c>
    </row>
    <row r="531" spans="1:97" ht="12.75" hidden="1" customHeight="1" outlineLevel="1" x14ac:dyDescent="0.2">
      <c r="A531" s="4" t="s">
        <v>98</v>
      </c>
      <c r="B531" s="36">
        <f t="shared" ref="B531" si="3435">AVERAGE(B530,B526)</f>
        <v>24978.699999999997</v>
      </c>
      <c r="C531" s="59"/>
      <c r="D531" s="36">
        <f t="shared" ref="D531" si="3436">AVERAGE(D530,D526)</f>
        <v>25203.3</v>
      </c>
      <c r="E531" s="59"/>
      <c r="F531" s="36">
        <f t="shared" ref="F531" si="3437">AVERAGE(F530,F526)</f>
        <v>25240.45</v>
      </c>
      <c r="G531" s="59"/>
      <c r="H531" s="36">
        <f t="shared" ref="H531" si="3438">AVERAGE(H530,H526)</f>
        <v>25002.300000000003</v>
      </c>
      <c r="I531" s="59"/>
      <c r="J531" s="36">
        <f t="shared" ref="J531" si="3439">AVERAGE(J530,J526)</f>
        <v>24800.75</v>
      </c>
      <c r="K531" s="23">
        <f t="shared" si="3304"/>
        <v>-0.71240697073905457</v>
      </c>
      <c r="L531" s="36">
        <f t="shared" ref="L531" si="3440">AVERAGE(L530,L526)</f>
        <v>24195.699999999997</v>
      </c>
      <c r="M531" s="23">
        <f t="shared" si="3305"/>
        <v>-3.997889165307722</v>
      </c>
      <c r="N531" s="36">
        <f t="shared" ref="N531" si="3441">AVERAGE(N530,N526)</f>
        <v>23524.9</v>
      </c>
      <c r="O531" s="23">
        <f t="shared" si="3306"/>
        <v>-6.7968281072643304</v>
      </c>
      <c r="P531" s="36">
        <f t="shared" ref="P531" si="3442">AVERAGE(P530,P526)</f>
        <v>23347.450000000004</v>
      </c>
      <c r="Q531" s="23">
        <f t="shared" si="3307"/>
        <v>-6.6187910712214411</v>
      </c>
      <c r="R531" s="36">
        <f t="shared" ref="R531" si="3443">AVERAGE(R530,R526)</f>
        <v>23363.55000000001</v>
      </c>
      <c r="S531" s="23">
        <f t="shared" si="3308"/>
        <v>-5.7949860387286218</v>
      </c>
      <c r="T531" s="36">
        <f t="shared" ref="T531" si="3444">AVERAGE(T530,T526)</f>
        <v>23451.650000000009</v>
      </c>
      <c r="U531" s="23">
        <f t="shared" si="3309"/>
        <v>-3.0751331848220542</v>
      </c>
      <c r="V531" s="36">
        <f t="shared" ref="V531" si="3445">AVERAGE(V530,V526)</f>
        <v>23544.500000000007</v>
      </c>
      <c r="W531" s="23">
        <f t="shared" si="3310"/>
        <v>8.3315975838393896E-2</v>
      </c>
      <c r="X531" s="36">
        <f t="shared" ref="X531" si="3446">AVERAGE(X530,X526)</f>
        <v>23730.800000000007</v>
      </c>
      <c r="Y531" s="23">
        <f t="shared" si="3311"/>
        <v>1.6419352006322052</v>
      </c>
      <c r="Z531" s="36">
        <f t="shared" ref="Z531" si="3447">AVERAGE(Z530,Z526)</f>
        <v>23969.700000000012</v>
      </c>
      <c r="AA531" s="23">
        <f t="shared" si="3312"/>
        <v>2.5944259327028707</v>
      </c>
      <c r="AB531" s="36">
        <f t="shared" ref="AB531" si="3448">AVERAGE(AB530,AB526)</f>
        <v>24237.55000000001</v>
      </c>
      <c r="AC531" s="23">
        <f t="shared" si="3313"/>
        <v>3.3511501322934789</v>
      </c>
      <c r="AD531" s="36">
        <f t="shared" ref="AD531" si="3449">AVERAGE(AD530,AD526)</f>
        <v>24138.30000000001</v>
      </c>
      <c r="AE531" s="23">
        <f t="shared" si="3314"/>
        <v>2.5220327465013126</v>
      </c>
      <c r="AF531" s="36">
        <f t="shared" ref="AF531" si="3450">AVERAGE(AF530,AF526)</f>
        <v>23834.600000000009</v>
      </c>
      <c r="AG531" s="23">
        <f t="shared" si="3315"/>
        <v>0.43740623999191097</v>
      </c>
      <c r="AH531" s="36">
        <f t="shared" ref="AH531" si="3451">AVERAGE(AH530,AH526)</f>
        <v>23857.650000000009</v>
      </c>
      <c r="AI531" s="23">
        <f t="shared" si="3316"/>
        <v>-0.46746517478317706</v>
      </c>
      <c r="AJ531" s="36">
        <f t="shared" ref="AJ531" si="3452">AVERAGE(AJ530,AJ526)</f>
        <v>23988.400000000009</v>
      </c>
      <c r="AK531" s="23">
        <f t="shared" si="3317"/>
        <v>-1.0279504322837973</v>
      </c>
      <c r="AL531" s="36">
        <f t="shared" ref="AL531" si="3453">AVERAGE(AL530,AL526)</f>
        <v>23957.050000000007</v>
      </c>
      <c r="AM531" s="23">
        <f t="shared" si="3318"/>
        <v>-0.75088137938464916</v>
      </c>
      <c r="AN531" s="410">
        <f t="shared" ref="AN531" si="3454">AVERAGE(AN530,AN526)</f>
        <v>24047.150000000009</v>
      </c>
      <c r="AO531" s="23">
        <f t="shared" si="3320"/>
        <v>0.89177078700712897</v>
      </c>
      <c r="AP531" s="410">
        <f t="shared" ref="AP531" si="3455">AVERAGE(AP530,AP526)</f>
        <v>24284.500000000007</v>
      </c>
      <c r="AQ531" s="23">
        <f t="shared" si="3322"/>
        <v>1.7891535838609363</v>
      </c>
      <c r="AR531" s="410">
        <f t="shared" ref="AR531" si="3456">AVERAGE(AR530,AR526)</f>
        <v>24430.650000000005</v>
      </c>
      <c r="AS531" s="23">
        <f t="shared" si="3324"/>
        <v>1.8435994063797256</v>
      </c>
      <c r="AT531" s="410">
        <f t="shared" ref="AT531" si="3457">AVERAGE(AT530,AT526)</f>
        <v>24594.750000000007</v>
      </c>
      <c r="AU531" s="23">
        <f t="shared" si="3326"/>
        <v>2.6618469302355674</v>
      </c>
      <c r="AV531" s="410">
        <f t="shared" ref="AV531" si="3458">AVERAGE(AV530,AV526)</f>
        <v>24793.650000000009</v>
      </c>
      <c r="AW531" s="23">
        <f t="shared" si="3328"/>
        <v>3.1043179753110106</v>
      </c>
      <c r="AX531" s="410">
        <f t="shared" ref="AX531" si="3459">AVERAGE(AX530,AX526)</f>
        <v>25112.650000000016</v>
      </c>
      <c r="AY531" s="23">
        <f t="shared" si="3330"/>
        <v>3.410199921760837</v>
      </c>
      <c r="AZ531" s="410">
        <f t="shared" ref="AZ531" si="3460">AVERAGE(AZ530,AZ526)</f>
        <v>25471.650000000009</v>
      </c>
      <c r="BA531" s="23">
        <f t="shared" si="3332"/>
        <v>4.2610409465159593</v>
      </c>
      <c r="BB531" s="410">
        <f t="shared" ref="BB531:BD531" si="3461">AVERAGE(BB530,BB526)</f>
        <v>25730.150000000009</v>
      </c>
      <c r="BC531" s="23">
        <f t="shared" si="3334"/>
        <v>4.6164323686965769</v>
      </c>
      <c r="BD531" s="410">
        <f t="shared" si="3461"/>
        <v>25839.200000000012</v>
      </c>
      <c r="BE531" s="23">
        <f t="shared" si="3335"/>
        <v>4.2170071772409612</v>
      </c>
      <c r="BF531" s="410">
        <f t="shared" ref="BF531" si="3462">AVERAGE(BF530,BF526)</f>
        <v>26189.773346000013</v>
      </c>
      <c r="BG531" s="23">
        <f t="shared" si="3337"/>
        <v>4.2891664002006724</v>
      </c>
      <c r="BH531" s="410">
        <f t="shared" ref="BH531" si="3463">AVERAGE(BH530,BH526)</f>
        <v>27066.509065168917</v>
      </c>
      <c r="BI531" s="23"/>
      <c r="BJ531" s="36"/>
      <c r="BK531" s="23"/>
      <c r="BL531" s="36"/>
      <c r="BM531" s="23" t="str">
        <f t="shared" si="3338"/>
        <v>NM</v>
      </c>
      <c r="BN531" s="36"/>
      <c r="BO531" s="137"/>
      <c r="BP531" s="36"/>
      <c r="BQ531" s="112"/>
      <c r="BR531" s="112"/>
      <c r="BS531" s="112"/>
      <c r="BT531" s="36"/>
      <c r="BU531" s="56">
        <f>AVERAGE(BU530,BU526)</f>
        <v>24872.75</v>
      </c>
      <c r="BV531" s="23" t="str">
        <f t="shared" si="3339"/>
        <v>NA</v>
      </c>
      <c r="BW531" s="56">
        <f t="shared" ref="BW531" si="3464">AVERAGE(BW530,BW526)</f>
        <v>24076.7</v>
      </c>
      <c r="BX531" s="23">
        <f t="shared" si="3340"/>
        <v>-3.200490496627828</v>
      </c>
      <c r="BY531" s="56">
        <f t="shared" ref="BY531" si="3465">AVERAGE(BY530,BY526)</f>
        <v>23568.600000000006</v>
      </c>
      <c r="BZ531" s="23">
        <f t="shared" si="3341"/>
        <v>-2.1103390414799139</v>
      </c>
      <c r="CA531" s="56">
        <f t="shared" ref="CA531" si="3466">AVERAGE(CA530,CA526)</f>
        <v>23807.15</v>
      </c>
      <c r="CB531" s="23">
        <f t="shared" si="3342"/>
        <v>1.0121517612416309</v>
      </c>
      <c r="CC531" s="56">
        <f t="shared" ref="CC531" si="3467">AVERAGE(CC530,CC526)</f>
        <v>23992.15</v>
      </c>
      <c r="CD531" s="23">
        <f t="shared" si="3343"/>
        <v>0.7770774746242104</v>
      </c>
      <c r="CE531" s="56">
        <f t="shared" ref="CE531" si="3468">AVERAGE(CE530,CE526)</f>
        <v>24558.050000000003</v>
      </c>
      <c r="CF531" s="23">
        <f t="shared" si="3344"/>
        <v>2.3586881542504656</v>
      </c>
      <c r="CG531" s="56">
        <f t="shared" ref="CG531" si="3469">AVERAGE(CG530,CG526)</f>
        <v>25371.150000000005</v>
      </c>
      <c r="CH531" s="23">
        <f t="shared" si="3345"/>
        <v>3.3109306317073317</v>
      </c>
      <c r="CI531" s="413">
        <f t="shared" ref="CI531" si="3470">AVERAGE(CI530,CI526)</f>
        <v>26715.935719168905</v>
      </c>
      <c r="CJ531" s="23"/>
      <c r="CK531" s="56"/>
      <c r="CL531" s="23"/>
      <c r="CM531" s="56"/>
      <c r="CN531" s="23"/>
      <c r="CO531" s="56"/>
      <c r="CP531" s="23"/>
      <c r="CQ531" s="56"/>
      <c r="CR531" s="23" t="str">
        <f t="shared" si="3346"/>
        <v>NA</v>
      </c>
      <c r="CS531" s="23" t="str">
        <f t="shared" si="3347"/>
        <v>NM</v>
      </c>
    </row>
    <row r="532" spans="1:97" ht="12.75" hidden="1" customHeight="1" outlineLevel="1" x14ac:dyDescent="0.2">
      <c r="B532" s="36"/>
      <c r="C532" s="60"/>
      <c r="D532" s="36"/>
      <c r="E532" s="60"/>
      <c r="F532" s="36"/>
      <c r="G532" s="60"/>
      <c r="H532" s="36"/>
      <c r="I532" s="60"/>
      <c r="J532" s="36"/>
      <c r="L532" s="36"/>
      <c r="N532" s="36"/>
      <c r="P532" s="36"/>
      <c r="R532" s="36"/>
      <c r="T532" s="36"/>
      <c r="V532" s="36"/>
      <c r="X532" s="36"/>
      <c r="Z532" s="36"/>
      <c r="AB532" s="36"/>
      <c r="AD532" s="36"/>
      <c r="AF532" s="36"/>
      <c r="AH532" s="36"/>
      <c r="AJ532" s="36"/>
      <c r="AL532" s="36"/>
      <c r="AN532" s="410"/>
      <c r="AP532" s="410"/>
      <c r="AR532" s="410"/>
      <c r="AT532" s="410"/>
      <c r="AV532" s="410"/>
      <c r="AX532" s="410"/>
      <c r="AZ532" s="410"/>
      <c r="BB532" s="410"/>
      <c r="BD532" s="410"/>
      <c r="BF532" s="410"/>
      <c r="BH532" s="410"/>
      <c r="BJ532" s="36"/>
      <c r="BL532" s="36"/>
      <c r="BN532" s="36"/>
      <c r="BO532" s="137"/>
      <c r="BP532" s="36"/>
      <c r="BQ532" s="36"/>
      <c r="BR532" s="36"/>
      <c r="BS532" s="36"/>
      <c r="BT532" s="36"/>
      <c r="BU532" s="56"/>
      <c r="BW532" s="56"/>
      <c r="BY532" s="56"/>
      <c r="CA532" s="56"/>
      <c r="CC532" s="56"/>
      <c r="CE532" s="56"/>
      <c r="CG532" s="56"/>
      <c r="CI532" s="413"/>
      <c r="CK532" s="56"/>
      <c r="CM532" s="56"/>
      <c r="CO532" s="56"/>
      <c r="CQ532" s="56"/>
    </row>
    <row r="533" spans="1:97" ht="12.75" hidden="1" customHeight="1" outlineLevel="1" x14ac:dyDescent="0.2">
      <c r="A533" s="4" t="s">
        <v>133</v>
      </c>
      <c r="B533" s="36">
        <f t="shared" ref="B533" si="3471">B527+B528</f>
        <v>-119.10000000000002</v>
      </c>
      <c r="C533" s="59"/>
      <c r="D533" s="36">
        <f t="shared" ref="D533" si="3472">D527+D528</f>
        <v>-45.599999999999909</v>
      </c>
      <c r="E533" s="59"/>
      <c r="F533" s="36">
        <f t="shared" ref="F533" si="3473">F527+F528</f>
        <v>-194.5</v>
      </c>
      <c r="G533" s="59"/>
      <c r="H533" s="36">
        <f t="shared" ref="H533" si="3474">H527+H528</f>
        <v>-623.70000000000005</v>
      </c>
      <c r="I533" s="59"/>
      <c r="J533" s="36">
        <f t="shared" ref="J533" si="3475">J527+J528</f>
        <v>-464.1</v>
      </c>
      <c r="K533" s="23" t="str">
        <f t="shared" ref="K533" si="3476">IF(ISERROR((J533/B533-1)*100),"NA",IF(((J533/B533-1)*100)&gt;100,"NM",IF(((J533/B533-1)*100)&lt;-50,"NM",(J533/B533-1)*100)))</f>
        <v>NM</v>
      </c>
      <c r="L533" s="36">
        <f t="shared" ref="L533" si="3477">L527+L528</f>
        <v>-1192.5999999999999</v>
      </c>
      <c r="M533" s="23" t="str">
        <f t="shared" ref="M533" si="3478">IF(ISERROR((L533/D533-1)*100),"NA",IF(((L533/D533-1)*100)&gt;100,"NM",IF(((L533/D533-1)*100)&lt;-50,"NM",(L533/D533-1)*100)))</f>
        <v>NM</v>
      </c>
      <c r="N533" s="36">
        <f t="shared" ref="N533" si="3479">N527+N528</f>
        <v>-555</v>
      </c>
      <c r="O533" s="23" t="str">
        <f t="shared" ref="O533" si="3480">IF(ISERROR((N533/F533-1)*100),"NA",IF(((N533/F533-1)*100)&gt;100,"NM",IF(((N533/F533-1)*100)&lt;-50,"NM",(N533/F533-1)*100)))</f>
        <v>NM</v>
      </c>
      <c r="P533" s="36">
        <f>P527+P528</f>
        <v>-322.09999999999991</v>
      </c>
      <c r="Q533" s="23">
        <f t="shared" ref="Q533" si="3481">IF(ISERROR((P533/H533-1)*100),"NA",IF(((P533/H533-1)*100)&gt;100,"NM",IF(((P533/H533-1)*100)&lt;-50,"NM",(P533/H533-1)*100)))</f>
        <v>-48.356581689915046</v>
      </c>
      <c r="R533" s="36">
        <f>R527+R528</f>
        <v>-159.10000000000002</v>
      </c>
      <c r="S533" s="23" t="str">
        <f t="shared" ref="S533" si="3482">IF(ISERROR((R533/J533-1)*100),"NA",IF(((R533/J533-1)*100)&gt;100,"NM",IF(((R533/J533-1)*100)&lt;-50,"NM",(R533/J533-1)*100)))</f>
        <v>NM</v>
      </c>
      <c r="T533" s="36">
        <f>T527+T528</f>
        <v>-173.19999999999993</v>
      </c>
      <c r="U533" s="23" t="str">
        <f t="shared" ref="U533" si="3483">IF(ISERROR((T533/L533-1)*100),"NA",IF(((T533/L533-1)*100)&gt;100,"NM",IF(((T533/L533-1)*100)&lt;-50,"NM",(T533/L533-1)*100)))</f>
        <v>NM</v>
      </c>
      <c r="V533" s="36">
        <f>V527+V528</f>
        <v>-201.5</v>
      </c>
      <c r="W533" s="23" t="str">
        <f t="shared" ref="W533" si="3484">IF(ISERROR((V533/N533-1)*100),"NA",IF(((V533/N533-1)*100)&gt;100,"NM",IF(((V533/N533-1)*100)&lt;-50,"NM",(V533/N533-1)*100)))</f>
        <v>NM</v>
      </c>
      <c r="X533" s="36">
        <f>X527+X528</f>
        <v>-157.69999999999993</v>
      </c>
      <c r="Y533" s="23" t="str">
        <f t="shared" ref="Y533" si="3485">IF(ISERROR((X533/P533-1)*100),"NA",IF(((X533/P533-1)*100)&gt;100,"NM",IF(((X533/P533-1)*100)&lt;-50,"NM",(X533/P533-1)*100)))</f>
        <v>NM</v>
      </c>
      <c r="Z533" s="36">
        <f>Z527+Z528</f>
        <v>21.700000000000045</v>
      </c>
      <c r="AA533" s="23" t="str">
        <f>IF(ISERROR((Z533/R533-1)*100),"NA",IF(((Z533/R533-1)*100)&gt;100,"NM",IF(((Z533/R533-1)*100)&lt;-50,"NM",(Z533/R533-1)*100)))</f>
        <v>NM</v>
      </c>
      <c r="AB533" s="36">
        <f>AB527+AB528</f>
        <v>-65.600000000000023</v>
      </c>
      <c r="AC533" s="23" t="str">
        <f>IF(ISERROR((AB533/T533-1)*100),"NA",IF(((AB533/T533-1)*100)&gt;100,"NM",IF(((AB533/T533-1)*100)&lt;-50,"NM",(AB533/T533-1)*100)))</f>
        <v>NM</v>
      </c>
      <c r="AD533" s="36">
        <f>AD527+AD528</f>
        <v>-596.29999999999995</v>
      </c>
      <c r="AE533" s="23" t="str">
        <f>IF(ISERROR((AD533/V533-1)*100),"NA",IF(((AD533/V533-1)*100)&gt;100,"NM",IF(((AD533/V533-1)*100)&lt;-50,"NM",(AD533/V533-1)*100)))</f>
        <v>NM</v>
      </c>
      <c r="AF533" s="36">
        <f>AF527+AF528</f>
        <v>-362.49999999999989</v>
      </c>
      <c r="AG533" s="23" t="str">
        <f>IF(ISERROR((AF533/X533-1)*100),"NA",IF(((AF533/X533-1)*100)&gt;100,"NM",IF(((AF533/X533-1)*100)&lt;-50,"NM",(AF533/X533-1)*100)))</f>
        <v>NM</v>
      </c>
      <c r="AH533" s="36">
        <f>AH527+AH528</f>
        <v>-67.200000000000159</v>
      </c>
      <c r="AI533" s="23" t="str">
        <f>IF(ISERROR((AH533/Z533-1)*100),"NA",IF(((AH533/Z533-1)*100)&gt;100,"NM",IF(((AH533/Z533-1)*100)&lt;-50,"NM",(AH533/Z533-1)*100)))</f>
        <v>NM</v>
      </c>
      <c r="AJ533" s="36">
        <f>AJ527+AJ528</f>
        <v>-57</v>
      </c>
      <c r="AK533" s="23">
        <f>IF(ISERROR((AJ533/AB533-1)*100),"NA",IF(((AJ533/AB533-1)*100)&gt;100,"NM",IF(((AJ533/AB533-1)*100)&lt;-50,"NM",(AJ533/AB533-1)*100)))</f>
        <v>-13.109756097561009</v>
      </c>
      <c r="AL533" s="36">
        <f>AL527+AL528</f>
        <v>58.200000000000045</v>
      </c>
      <c r="AM533" s="23" t="str">
        <f>IF(ISERROR((AL533/AD533-1)*100),"NA",IF(((AL533/AD533-1)*100)&gt;100,"NM",IF(((AL533/AD533-1)*100)&lt;-50,"NM",(AL533/AD533-1)*100)))</f>
        <v>NM</v>
      </c>
      <c r="AN533" s="410">
        <f t="shared" ref="AN533" si="3486">AN527+AN528</f>
        <v>92.899999999999977</v>
      </c>
      <c r="AO533" s="23" t="str">
        <f>IF(ISERROR((AN533/AF533-1)*100),"NA",IF(((AN533/AF533-1)*100)&gt;100,"NM",IF(((AN533/AF533-1)*100)&lt;-50,"NM",(AN533/AF533-1)*100)))</f>
        <v>NM</v>
      </c>
      <c r="AP533" s="410">
        <f t="shared" ref="AP533" si="3487">AP527+AP528</f>
        <v>77.400000000000091</v>
      </c>
      <c r="AQ533" s="23" t="str">
        <f t="shared" ref="AQ533" si="3488">IF(ISERROR((AP533/AH533-1)*100),"NA",IF(((AP533/AH533-1)*100)&gt;100,"NM",IF(((AP533/AH533-1)*100)&lt;-50,"NM",(AP533/AH533-1)*100)))</f>
        <v>NM</v>
      </c>
      <c r="AR533" s="410">
        <f t="shared" ref="AR533" si="3489">AR527+AR528</f>
        <v>-12.100000000000023</v>
      </c>
      <c r="AS533" s="23" t="str">
        <f t="shared" ref="AS533" si="3490">IF(ISERROR((AR533/AJ533-1)*100),"NA",IF(((AR533/AJ533-1)*100)&gt;100,"NM",IF(((AR533/AJ533-1)*100)&lt;-50,"NM",(AR533/AJ533-1)*100)))</f>
        <v>NM</v>
      </c>
      <c r="AT533" s="410">
        <f t="shared" ref="AT533" si="3491">AT527+AT528</f>
        <v>-88.799999999999955</v>
      </c>
      <c r="AU533" s="23" t="str">
        <f t="shared" ref="AU533" si="3492">IF(ISERROR((AT533/AL533-1)*100),"NA",IF(((AT533/AL533-1)*100)&gt;100,"NM",IF(((AT533/AL533-1)*100)&lt;-50,"NM",(AT533/AL533-1)*100)))</f>
        <v>NM</v>
      </c>
      <c r="AV533" s="410">
        <f t="shared" ref="AV533" si="3493">AV527+AV528</f>
        <v>69.700000000000045</v>
      </c>
      <c r="AW533" s="23">
        <f t="shared" ref="AW533" si="3494">IF(ISERROR((AV533/AN533-1)*100),"NA",IF(((AV533/AN533-1)*100)&gt;100,"NM",IF(((AV533/AN533-1)*100)&lt;-50,"NM",(AV533/AN533-1)*100)))</f>
        <v>-24.973089343379907</v>
      </c>
      <c r="AX533" s="410">
        <f t="shared" ref="AX533" si="3495">AX527+AX528</f>
        <v>3.8999999999999773</v>
      </c>
      <c r="AY533" s="23" t="str">
        <f t="shared" ref="AY533" si="3496">IF(ISERROR((AX533/AP533-1)*100),"NA",IF(((AX533/AP533-1)*100)&gt;100,"NM",IF(((AX533/AP533-1)*100)&lt;-50,"NM",(AX533/AP533-1)*100)))</f>
        <v>NM</v>
      </c>
      <c r="AZ533" s="410">
        <f t="shared" ref="AZ533" si="3497">AZ527+AZ528</f>
        <v>-12.700000000000045</v>
      </c>
      <c r="BA533" s="23">
        <f t="shared" ref="BA533" si="3498">IF(ISERROR((AZ533/AR533-1)*100),"NA",IF(((AZ533/AR533-1)*100)&gt;100,"NM",IF(((AZ533/AR533-1)*100)&lt;-50,"NM",(AZ533/AR533-1)*100)))</f>
        <v>4.9586776859505965</v>
      </c>
      <c r="BB533" s="410">
        <f t="shared" ref="BB533:BD533" si="3499">BB527+BB528</f>
        <v>-112.09999999999991</v>
      </c>
      <c r="BC533" s="23">
        <f t="shared" ref="BC533" si="3500">IF(ISERROR((BB533/AT533-1)*100),"NA",IF(((BB533/AT533-1)*100)&gt;100,"NM",IF(((BB533/AT533-1)*100)&lt;-50,"NM",(BB533/AT533-1)*100)))</f>
        <v>26.238738738738697</v>
      </c>
      <c r="BD533" s="410">
        <f t="shared" si="3499"/>
        <v>0</v>
      </c>
      <c r="BE533" s="23" t="str">
        <f t="shared" ref="BE533" si="3501">IF(ISERROR((BD533/AV533-1)*100),"NA",IF(((BD533/AV533-1)*100)&gt;100,"NM",IF(((BD533/AV533-1)*100)&lt;-50,"NM",(BD533/AV533-1)*100)))</f>
        <v>NM</v>
      </c>
      <c r="BF533" s="410">
        <f t="shared" ref="BF533" si="3502">BF527+BF528</f>
        <v>823.62450000000047</v>
      </c>
      <c r="BG533" s="23" t="str">
        <f t="shared" ref="BG533" si="3503">IF(ISERROR((BF533/AX533-1)*100),"NA",IF(((BF533/AX533-1)*100)&gt;100,"NM",IF(((BF533/AX533-1)*100)&lt;-50,"NM",(BF533/AX533-1)*100)))</f>
        <v>NM</v>
      </c>
      <c r="BH533" s="410">
        <f t="shared" ref="BH533" si="3504">BH527+BH528</f>
        <v>842.65600747100052</v>
      </c>
      <c r="BI533" s="23"/>
      <c r="BJ533" s="36"/>
      <c r="BK533" s="23"/>
      <c r="BL533" s="36"/>
      <c r="BM533" s="23" t="str">
        <f t="shared" ref="BM533" si="3505">IF(ISERROR((BL533/BD533-1)*100),"NA",IF(((BL533/BD533-1)*100)&gt;100,"NM",IF(((BL533/BD533-1)*100)&lt;-50,"NM",(BL533/BD533-1)*100)))</f>
        <v>NA</v>
      </c>
      <c r="BN533" s="36"/>
      <c r="BO533" s="137"/>
      <c r="BP533" s="36"/>
      <c r="BQ533" s="112"/>
      <c r="BR533" s="112"/>
      <c r="BS533" s="112"/>
      <c r="BT533" s="36"/>
      <c r="BU533" s="56">
        <f>BU527+BU528</f>
        <v>-982.90000000000009</v>
      </c>
      <c r="BV533" s="23" t="str">
        <f>IF(ISERROR((BU533/BS533-1)*100),"NA",IF(((BU533/BS533-1)*100)&gt;100,"NM",IF(((BU533/BS533-1)*100)&lt;-50,"NM",(BU533/BS533-1)*100)))</f>
        <v>NA</v>
      </c>
      <c r="BW533" s="56">
        <f t="shared" ref="BW533" si="3506">BW527+BW528</f>
        <v>-2533.7999999999997</v>
      </c>
      <c r="BX533" s="23" t="str">
        <f>IF(ISERROR((BW533/BU533-1)*100),"NA",IF(((BW533/BU533-1)*100)&gt;100,"NM",IF(((BW533/BU533-1)*100)&lt;-50,"NM",(BW533/BU533-1)*100)))</f>
        <v>NM</v>
      </c>
      <c r="BY533" s="56">
        <f t="shared" ref="BY533" si="3507">BY527+BY528</f>
        <v>-691.50000000000045</v>
      </c>
      <c r="BZ533" s="23" t="str">
        <f>IF(ISERROR((BY533/BW533-1)*100),"NA",IF(((BY533/BW533-1)*100)&gt;100,"NM",IF(((BY533/BW533-1)*100)&lt;-50,"NM",(BY533/BW533-1)*100)))</f>
        <v>NM</v>
      </c>
      <c r="CA533" s="56">
        <f>CA527+CA528</f>
        <v>-1002.7000000000003</v>
      </c>
      <c r="CB533" s="23">
        <f>IF(ISERROR((CA533/BY533-1)*100),"NA",IF(((CA533/BY533-1)*100)&gt;100,"NM",IF(((CA533/BY533-1)*100)&lt;-50,"NM",(CA533/BY533-1)*100)))</f>
        <v>45.003615328994883</v>
      </c>
      <c r="CC533" s="56">
        <f>CC527+CC528</f>
        <v>26.900000000000091</v>
      </c>
      <c r="CD533" s="23" t="str">
        <f>IF(ISERROR((CC533/CA533-1)*100),"NA",IF(((CC533/CA533-1)*100)&gt;100,"NM",IF(((CC533/CA533-1)*100)&lt;-50,"NM",(CC533/CA533-1)*100)))</f>
        <v>NM</v>
      </c>
      <c r="CE533" s="56">
        <f>CE527+CE528</f>
        <v>46.200000000000728</v>
      </c>
      <c r="CF533" s="23">
        <f>IF(ISERROR((CE533/CC533-1)*100),"NA",IF(((CE533/CC533-1)*100)&gt;100,"NM",IF(((CE533/CC533-1)*100)&lt;-50,"NM",(CE533/CC533-1)*100)))</f>
        <v>71.747211895912912</v>
      </c>
      <c r="CG533" s="56">
        <f>CG527+CG528</f>
        <v>-120.90000000000009</v>
      </c>
      <c r="CH533" s="23" t="str">
        <f>IF(ISERROR((CG533/CE533-1)*100),"NA",IF(((CG533/CE533-1)*100)&gt;100,"NM",IF(((CG533/CE533-1)*100)&lt;-50,"NM",(CG533/CE533-1)*100)))</f>
        <v>NM</v>
      </c>
      <c r="CI533" s="413">
        <f>CI527+CI528</f>
        <v>1666.2805074710011</v>
      </c>
      <c r="CJ533" s="23"/>
      <c r="CK533" s="56"/>
      <c r="CL533" s="23"/>
      <c r="CM533" s="56"/>
      <c r="CN533" s="23"/>
      <c r="CO533" s="56"/>
      <c r="CP533" s="23"/>
      <c r="CQ533" s="56"/>
      <c r="CR533" s="23" t="str">
        <f>IF(ISERROR((CQ533/CO533-1)*100),"NA",IF(((CQ533/CO533-1)*100)&gt;100,"NM",IF(((CQ533/CO533-1)*100)&lt;-50,"NM",(CQ533/CO533-1)*100)))</f>
        <v>NA</v>
      </c>
      <c r="CS533" s="23" t="str">
        <f>IF(ISERROR(((CQ533/CG533)^0.2-1)*100),"NA",IF((((CQ533/CG533)^0.2-1)*100)&gt;100,"NM",IF((((CQ533/CG533)^0.2-1)*100)&lt;-50,"NM",((CQ533/CG533)^0.2-1)*100)))</f>
        <v>NM</v>
      </c>
    </row>
    <row r="534" spans="1:97" ht="12.75" hidden="1" customHeight="1" outlineLevel="1" x14ac:dyDescent="0.2">
      <c r="B534" s="35"/>
      <c r="C534" s="60"/>
      <c r="D534" s="35"/>
      <c r="E534" s="60"/>
      <c r="F534" s="35"/>
      <c r="G534" s="60"/>
      <c r="H534" s="35"/>
      <c r="I534" s="60"/>
      <c r="J534" s="35"/>
      <c r="L534" s="35"/>
      <c r="N534" s="35"/>
      <c r="P534" s="35"/>
      <c r="R534" s="35"/>
      <c r="T534" s="35"/>
      <c r="V534" s="35"/>
      <c r="X534" s="35"/>
      <c r="Z534" s="35"/>
      <c r="AB534" s="35"/>
      <c r="AD534" s="35"/>
      <c r="AF534" s="35"/>
      <c r="AH534" s="35"/>
      <c r="AJ534" s="35"/>
      <c r="AL534" s="35"/>
      <c r="AN534" s="409"/>
      <c r="AP534" s="409"/>
      <c r="AR534" s="409"/>
      <c r="AT534" s="409"/>
      <c r="AV534" s="409"/>
      <c r="AX534" s="409"/>
      <c r="AZ534" s="409"/>
      <c r="BB534" s="409"/>
      <c r="BD534" s="409"/>
      <c r="BF534" s="409"/>
      <c r="BH534" s="409"/>
      <c r="BJ534" s="35"/>
      <c r="BL534" s="35"/>
      <c r="BN534" s="5"/>
      <c r="BO534" s="136"/>
      <c r="BP534" s="5"/>
      <c r="BQ534" s="32"/>
      <c r="BR534" s="32"/>
      <c r="BS534" s="32"/>
      <c r="BT534" s="32"/>
      <c r="BU534" s="37"/>
      <c r="BW534" s="37"/>
      <c r="BY534" s="37"/>
      <c r="CA534" s="37"/>
      <c r="CC534" s="37"/>
      <c r="CE534" s="37"/>
      <c r="CG534" s="37"/>
      <c r="CI534" s="411"/>
      <c r="CK534" s="37"/>
      <c r="CM534" s="37"/>
      <c r="CO534" s="37"/>
      <c r="CQ534" s="37"/>
    </row>
    <row r="535" spans="1:97" ht="12.75" hidden="1" customHeight="1" outlineLevel="1" x14ac:dyDescent="0.2">
      <c r="A535" s="4" t="s">
        <v>104</v>
      </c>
      <c r="B535" s="35">
        <f t="shared" ref="B535" si="3508">B527/B526*400</f>
        <v>11.448869458296333</v>
      </c>
      <c r="C535" s="59"/>
      <c r="D535" s="35">
        <f t="shared" ref="D535" si="3509">D527/D526*400</f>
        <v>11.841522709414427</v>
      </c>
      <c r="E535" s="59"/>
      <c r="F535" s="35">
        <f t="shared" ref="F535" si="3510">F527/F526*400</f>
        <v>9.322886858360798</v>
      </c>
      <c r="G535" s="59"/>
      <c r="H535" s="35">
        <f t="shared" ref="H535" si="3511">H527/H526*400</f>
        <v>7.5353742632847363</v>
      </c>
      <c r="I535" s="59"/>
      <c r="J535" s="35">
        <f t="shared" ref="J535" si="3512">J527/J526*400</f>
        <v>8.5972195404518246</v>
      </c>
      <c r="K535" s="23">
        <f t="shared" ref="K535:K538" si="3513">IF(ISERROR((J535/B535-1)*100),"NA",IF(((J535/B535-1)*100)&gt;100,"NM",IF(((J535/B535-1)*100)&lt;-50,"NM",(J535/B535-1)*100)))</f>
        <v>-24.907698775254026</v>
      </c>
      <c r="L535" s="35">
        <f t="shared" ref="L535" si="3514">L527/L526*400</f>
        <v>8.8722552066703564</v>
      </c>
      <c r="M535" s="23">
        <f t="shared" ref="M535:M538" si="3515">IF(ISERROR((L535/D535-1)*100),"NA",IF(((L535/D535-1)*100)&gt;100,"NM",IF(((L535/D535-1)*100)&lt;-50,"NM",(L535/D535-1)*100)))</f>
        <v>-25.075047995165345</v>
      </c>
      <c r="N535" s="35">
        <f t="shared" ref="N535" si="3516">N527/N526*400</f>
        <v>8.6345780600530251</v>
      </c>
      <c r="O535" s="23">
        <f t="shared" ref="O535:O538" si="3517">IF(ISERROR((N535/F535-1)*100),"NA",IF(((N535/F535-1)*100)&gt;100,"NM",IF(((N535/F535-1)*100)&lt;-50,"NM",(N535/F535-1)*100)))</f>
        <v>-7.383000660256811</v>
      </c>
      <c r="P535" s="35">
        <f>P527/P526*400</f>
        <v>8.8373424726610725</v>
      </c>
      <c r="Q535" s="23">
        <f t="shared" ref="Q535:Q538" si="3518">IF(ISERROR((P535/H535-1)*100),"NA",IF(((P535/H535-1)*100)&gt;100,"NM",IF(((P535/H535-1)*100)&lt;-50,"NM",(P535/H535-1)*100)))</f>
        <v>17.278082864709575</v>
      </c>
      <c r="R535" s="35">
        <f>R527/R526*400</f>
        <v>8.8434030788780014</v>
      </c>
      <c r="S535" s="23">
        <f t="shared" ref="S535:S538" si="3519">IF(ISERROR((R535/J535-1)*100),"NA",IF(((R535/J535-1)*100)&gt;100,"NM",IF(((R535/J535-1)*100)&lt;-50,"NM",(R535/J535-1)*100)))</f>
        <v>2.8635250881733132</v>
      </c>
      <c r="T535" s="35">
        <f>T527/T526*400</f>
        <v>10.026927951725989</v>
      </c>
      <c r="U535" s="23">
        <f t="shared" ref="U535:U538" si="3520">IF(ISERROR((T535/L535-1)*100),"NA",IF(((T535/L535-1)*100)&gt;100,"NM",IF(((T535/L535-1)*100)&lt;-50,"NM",(T535/L535-1)*100)))</f>
        <v>13.014422130097492</v>
      </c>
      <c r="V535" s="35">
        <f>V527/V526*400</f>
        <v>10.576726429886154</v>
      </c>
      <c r="W535" s="23">
        <f t="shared" ref="W535:W538" si="3521">IF(ISERROR((V535/N535-1)*100),"NA",IF(((V535/N535-1)*100)&gt;100,"NM",IF(((V535/N535-1)*100)&lt;-50,"NM",(V535/N535-1)*100)))</f>
        <v>22.492684139579168</v>
      </c>
      <c r="X535" s="35">
        <f>X527/X526*400</f>
        <v>11.624736436537301</v>
      </c>
      <c r="Y535" s="23">
        <f t="shared" ref="Y535:Y538" si="3522">IF(ISERROR((X535/P535-1)*100),"NA",IF(((X535/P535-1)*100)&gt;100,"NM",IF(((X535/P535-1)*100)&lt;-50,"NM",(X535/P535-1)*100)))</f>
        <v>31.541087974119186</v>
      </c>
      <c r="Z535" s="35">
        <f>Z527/Z526*400</f>
        <v>12.449775615484624</v>
      </c>
      <c r="AA535" s="23">
        <f>IF(ISERROR((Z535/R535-1)*100),"NA",IF(((Z535/R535-1)*100)&gt;100,"NM",IF(((Z535/R535-1)*100)&lt;-50,"NM",(Z535/R535-1)*100)))</f>
        <v>40.780370457389338</v>
      </c>
      <c r="AB535" s="35">
        <f>AB527/AB526*400</f>
        <v>11.877292873624272</v>
      </c>
      <c r="AC535" s="23">
        <f>IF(ISERROR((AB535/T535-1)*100),"NA",IF(((AB535/T535-1)*100)&gt;100,"NM",IF(((AB535/T535-1)*100)&lt;-50,"NM",(AB535/T535-1)*100)))</f>
        <v>18.453956494020375</v>
      </c>
      <c r="AD535" s="35">
        <f>AD527/AD526*400</f>
        <v>10.016941018183902</v>
      </c>
      <c r="AE535" s="23">
        <f>IF(ISERROR((AD535/V535-1)*100),"NA",IF(((AD535/V535-1)*100)&gt;100,"NM",IF(((AD535/V535-1)*100)&lt;-50,"NM",(AD535/V535-1)*100)))</f>
        <v>-5.2926150204707367</v>
      </c>
      <c r="AF535" s="35">
        <f>AF527/AF526*400</f>
        <v>10.64361303712878</v>
      </c>
      <c r="AG535" s="23">
        <f>IF(ISERROR((AF535/X535-1)*100),"NA",IF(((AF535/X535-1)*100)&gt;100,"NM",IF(((AF535/X535-1)*100)&lt;-50,"NM",(AF535/X535-1)*100)))</f>
        <v>-8.4399625296001197</v>
      </c>
      <c r="AH535" s="35">
        <f>AH527/AH526*400</f>
        <v>10.503422193990227</v>
      </c>
      <c r="AI535" s="23">
        <f>IF(ISERROR((AH535/Z535-1)*100),"NA",IF(((AH535/Z535-1)*100)&gt;100,"NM",IF(((AH535/Z535-1)*100)&lt;-50,"NM",(AH535/Z535-1)*100)))</f>
        <v>-15.633642578052465</v>
      </c>
      <c r="AJ535" s="35">
        <f>AJ527/AJ526*400</f>
        <v>11.294687604410287</v>
      </c>
      <c r="AK535" s="23">
        <f>IF(ISERROR((AJ535/AB535-1)*100),"NA",IF(((AJ535/AB535-1)*100)&gt;100,"NM",IF(((AJ535/AB535-1)*100)&lt;-50,"NM",(AJ535/AB535-1)*100)))</f>
        <v>-4.9052025188986326</v>
      </c>
      <c r="AL535" s="35">
        <f>AL527/AL526*400</f>
        <v>13.301820844845375</v>
      </c>
      <c r="AM535" s="23">
        <f>IF(ISERROR((AL535/AD535-1)*100),"NA",IF(((AL535/AD535-1)*100)&gt;100,"NM",IF(((AL535/AD535-1)*100)&lt;-50,"NM",(AL535/AD535-1)*100)))</f>
        <v>32.793243173723226</v>
      </c>
      <c r="AN535" s="409">
        <f t="shared" ref="AN535" si="3523">AN527/AN526*400</f>
        <v>14.446449732635989</v>
      </c>
      <c r="AO535" s="23">
        <f>IF(ISERROR((AN535/AF535-1)*100),"NA",IF(((AN535/AF535-1)*100)&gt;100,"NM",IF(((AN535/AF535-1)*100)&lt;-50,"NM",(AN535/AF535-1)*100)))</f>
        <v>35.728813911606295</v>
      </c>
      <c r="AP535" s="409">
        <f t="shared" ref="AP535" si="3524">AP527/AP526*400</f>
        <v>12.973196216908271</v>
      </c>
      <c r="AQ535" s="23">
        <f t="shared" ref="AQ535:AQ538" si="3525">IF(ISERROR((AP535/AH535-1)*100),"NA",IF(((AP535/AH535-1)*100)&gt;100,"NM",IF(((AP535/AH535-1)*100)&lt;-50,"NM",(AP535/AH535-1)*100)))</f>
        <v>23.513993604210071</v>
      </c>
      <c r="AR535" s="409">
        <f t="shared" ref="AR535" si="3526">AR527/AR526*400</f>
        <v>12.070947610445062</v>
      </c>
      <c r="AS535" s="23">
        <f t="shared" ref="AS535:AS538" si="3527">IF(ISERROR((AR535/AJ535-1)*100),"NA",IF(((AR535/AJ535-1)*100)&gt;100,"NM",IF(((AR535/AJ535-1)*100)&lt;-50,"NM",(AR535/AJ535-1)*100)))</f>
        <v>6.8727886350009815</v>
      </c>
      <c r="AT535" s="409">
        <f t="shared" ref="AT535" si="3528">AT527/AT526*400</f>
        <v>10.412441390229866</v>
      </c>
      <c r="AU535" s="23">
        <f t="shared" ref="AU535:AU538" si="3529">IF(ISERROR((AT535/AL535-1)*100),"NA",IF(((AT535/AL535-1)*100)&gt;100,"NM",IF(((AT535/AL535-1)*100)&lt;-50,"NM",(AT535/AL535-1)*100)))</f>
        <v>-21.721683732758891</v>
      </c>
      <c r="AV535" s="409">
        <f t="shared" ref="AV535" si="3530">AV527/AV526*400</f>
        <v>12.270197130148027</v>
      </c>
      <c r="AW535" s="23">
        <f t="shared" ref="AW535:AW538" si="3531">IF(ISERROR((AV535/AN535-1)*100),"NA",IF(((AV535/AN535-1)*100)&gt;100,"NM",IF(((AV535/AN535-1)*100)&lt;-50,"NM",(AV535/AN535-1)*100)))</f>
        <v>-15.064272833563997</v>
      </c>
      <c r="AX535" s="409">
        <f t="shared" ref="AX535" si="3532">AX527/AX526*400</f>
        <v>12.143066525854204</v>
      </c>
      <c r="AY535" s="23">
        <f t="shared" ref="AY535:AY538" si="3533">IF(ISERROR((AX535/AP535-1)*100),"NA",IF(((AX535/AP535-1)*100)&gt;100,"NM",IF(((AX535/AP535-1)*100)&lt;-50,"NM",(AX535/AP535-1)*100)))</f>
        <v>-6.3988062554094398</v>
      </c>
      <c r="AZ535" s="409">
        <f t="shared" ref="AZ535" si="3534">AZ527/AZ526*400</f>
        <v>11.779387257031374</v>
      </c>
      <c r="BA535" s="23">
        <f t="shared" ref="BA535:BA538" si="3535">IF(ISERROR((AZ535/AR535-1)*100),"NA",IF(((AZ535/AR535-1)*100)&gt;100,"NM",IF(((AZ535/AR535-1)*100)&lt;-50,"NM",(AZ535/AR535-1)*100)))</f>
        <v>-2.4153891046747589</v>
      </c>
      <c r="BB535" s="409">
        <f t="shared" ref="BB535:BD535" si="3536">BB527/BB526*400</f>
        <v>9.0441081764639275</v>
      </c>
      <c r="BC535" s="23">
        <f t="shared" ref="BC535:BC538" si="3537">IF(ISERROR((BB535/AT535-1)*100),"NA",IF(((BB535/AT535-1)*100)&gt;100,"NM",IF(((BB535/AT535-1)*100)&lt;-50,"NM",(BB535/AT535-1)*100)))</f>
        <v>-13.141329324070561</v>
      </c>
      <c r="BD535" s="409">
        <f t="shared" si="3536"/>
        <v>0</v>
      </c>
      <c r="BE535" s="23" t="str">
        <f t="shared" ref="BE535:BE538" si="3538">IF(ISERROR((BD535/AV535-1)*100),"NA",IF(((BD535/AV535-1)*100)&gt;100,"NM",IF(((BD535/AV535-1)*100)&lt;-50,"NM",(BD535/AV535-1)*100)))</f>
        <v>NM</v>
      </c>
      <c r="BF535" s="587">
        <v>12.8</v>
      </c>
      <c r="BG535" s="23">
        <f t="shared" ref="BG535:BG538" si="3539">IF(ISERROR((BF535/AX535-1)*100),"NA",IF(((BF535/AX535-1)*100)&gt;100,"NM",IF(((BF535/AX535-1)*100)&lt;-50,"NM",(BF535/AX535-1)*100)))</f>
        <v>5.4099470899471536</v>
      </c>
      <c r="BH535" s="587">
        <v>12.8</v>
      </c>
      <c r="BI535" s="23"/>
      <c r="BJ535" s="114"/>
      <c r="BK535" s="23"/>
      <c r="BL535" s="114"/>
      <c r="BM535" s="23" t="str">
        <f t="shared" ref="BM535:BM538" si="3540">IF(ISERROR((BL535/BD535-1)*100),"NA",IF(((BL535/BD535-1)*100)&gt;100,"NM",IF(((BL535/BD535-1)*100)&lt;-50,"NM",(BL535/BD535-1)*100)))</f>
        <v>NA</v>
      </c>
      <c r="BN535" s="35"/>
      <c r="BO535" s="138"/>
      <c r="BP535" s="35"/>
      <c r="BQ535" s="113"/>
      <c r="BR535" s="113"/>
      <c r="BS535" s="113"/>
      <c r="BT535" s="35"/>
      <c r="BU535" s="37">
        <f>BU527/BU526*100</f>
        <v>10.120829532714787</v>
      </c>
      <c r="BV535" s="23" t="str">
        <f>IF(ISERROR((BU535/BS535-1)*100),"NA",IF(((BU535/BS535-1)*100)&gt;100,"NM",IF(((BU535/BS535-1)*100)&lt;-50,"NM",(BU535/BS535-1)*100)))</f>
        <v>NA</v>
      </c>
      <c r="BW535" s="37">
        <f>BW527/BW526*100</f>
        <v>8.4902169015897542</v>
      </c>
      <c r="BX535" s="23">
        <f>IF(ISERROR((BW535/BU535-1)*100),"NA",IF(((BW535/BU535-1)*100)&gt;100,"NM",IF(((BW535/BU535-1)*100)&lt;-50,"NM",(BW535/BU535-1)*100)))</f>
        <v>-16.111452384947356</v>
      </c>
      <c r="BY535" s="37">
        <f>BY527/BY526*100</f>
        <v>10.343347270994494</v>
      </c>
      <c r="BZ535" s="23">
        <f>IF(ISERROR((BY535/BW535-1)*100),"NA",IF(((BY535/BW535-1)*100)&gt;100,"NM",IF(((BY535/BW535-1)*100)&lt;-50,"NM",(BY535/BW535-1)*100)))</f>
        <v>21.8266552066267</v>
      </c>
      <c r="CA535" s="37">
        <f>CA527/CA526*100</f>
        <v>11.340854758209955</v>
      </c>
      <c r="CB535" s="23">
        <f>IF(ISERROR((CA535/BY535-1)*100),"NA",IF(((CA535/BY535-1)*100)&gt;100,"NM",IF(((CA535/BY535-1)*100)&lt;-50,"NM",(CA535/BY535-1)*100)))</f>
        <v>9.6439523983956157</v>
      </c>
      <c r="CC535" s="37">
        <f>CC527/CC526*100</f>
        <v>12.460403932473191</v>
      </c>
      <c r="CD535" s="23">
        <f>IF(ISERROR((CC535/CA535-1)*100),"NA",IF(((CC535/CA535-1)*100)&gt;100,"NM",IF(((CC535/CA535-1)*100)&lt;-50,"NM",(CC535/CA535-1)*100)))</f>
        <v>9.8718235806058985</v>
      </c>
      <c r="CE535" s="37">
        <f>CE527/CE526*100</f>
        <v>12.04063932598191</v>
      </c>
      <c r="CF535" s="23">
        <f>IF(ISERROR((CE535/CC535-1)*100),"NA",IF(((CE535/CC535-1)*100)&gt;100,"NM",IF(((CE535/CC535-1)*100)&lt;-50,"NM",(CE535/CC535-1)*100)))</f>
        <v>-3.3687881128582675</v>
      </c>
      <c r="CG535" s="37">
        <f>CG527/CG526*100</f>
        <v>8.3563893651794334</v>
      </c>
      <c r="CH535" s="23">
        <f>IF(ISERROR((CG535/CE535-1)*100),"NA",IF(((CG535/CE535-1)*100)&gt;100,"NM",IF(((CG535/CE535-1)*100)&lt;-50,"NM",(CG535/CE535-1)*100)))</f>
        <v>-30.598457947763723</v>
      </c>
      <c r="CI535" s="411">
        <f>CI527/CI526*100</f>
        <v>6.4868320000000033</v>
      </c>
      <c r="CJ535" s="23"/>
      <c r="CK535" s="114"/>
      <c r="CL535" s="23"/>
      <c r="CM535" s="114"/>
      <c r="CN535" s="23"/>
      <c r="CO535" s="114"/>
      <c r="CP535" s="23"/>
      <c r="CQ535" s="114"/>
      <c r="CR535" s="23" t="str">
        <f>IF(ISERROR((CQ535/CO535-1)*100),"NA",IF(((CQ535/CO535-1)*100)&gt;100,"NM",IF(((CQ535/CO535-1)*100)&lt;-50,"NM",(CQ535/CO535-1)*100)))</f>
        <v>NA</v>
      </c>
      <c r="CS535" s="23" t="str">
        <f>IF(ISERROR(((CQ535/CG535)^0.2-1)*100),"NA",IF((((CQ535/CG535)^0.2-1)*100)&gt;100,"NM",IF((((CQ535/CG535)^0.2-1)*100)&lt;-50,"NM",((CQ535/CG535)^0.2-1)*100)))</f>
        <v>NM</v>
      </c>
    </row>
    <row r="536" spans="1:97" ht="12.75" hidden="1" customHeight="1" outlineLevel="1" x14ac:dyDescent="0.2">
      <c r="A536" s="4" t="s">
        <v>105</v>
      </c>
      <c r="B536" s="35">
        <f t="shared" ref="B536" si="3541">B528/B526*400</f>
        <v>-13.363175723189064</v>
      </c>
      <c r="C536" s="59"/>
      <c r="D536" s="35">
        <f t="shared" ref="D536" si="3542">D528/D526*400</f>
        <v>-12.569053611528814</v>
      </c>
      <c r="E536" s="59"/>
      <c r="F536" s="35">
        <f t="shared" ref="F536" si="3543">F528/F526*400</f>
        <v>-12.393676856584634</v>
      </c>
      <c r="G536" s="59"/>
      <c r="H536" s="35">
        <f t="shared" ref="H536" si="3544">H528/H526*400</f>
        <v>-17.456870839199219</v>
      </c>
      <c r="I536" s="59"/>
      <c r="J536" s="35">
        <f t="shared" ref="J536" si="3545">J528/J526*400</f>
        <v>-16.064877389457425</v>
      </c>
      <c r="K536" s="23">
        <f t="shared" si="3513"/>
        <v>20.217512081204681</v>
      </c>
      <c r="L536" s="35">
        <f t="shared" ref="L536" si="3546">L528/L526*400</f>
        <v>-28.152596969562243</v>
      </c>
      <c r="M536" s="23" t="str">
        <f t="shared" si="3515"/>
        <v>NM</v>
      </c>
      <c r="N536" s="35">
        <f t="shared" ref="N536" si="3547">N528/N526*400</f>
        <v>-18.021827469121448</v>
      </c>
      <c r="O536" s="23">
        <f t="shared" si="3517"/>
        <v>45.411468103161297</v>
      </c>
      <c r="P536" s="35">
        <f>P528/P526*400</f>
        <v>-14.34316067468067</v>
      </c>
      <c r="Q536" s="23">
        <f t="shared" si="3518"/>
        <v>-17.836588201860014</v>
      </c>
      <c r="R536" s="35">
        <f>R528/R526*400</f>
        <v>-11.575413622275068</v>
      </c>
      <c r="S536" s="23">
        <f t="shared" si="3519"/>
        <v>-27.945832752689213</v>
      </c>
      <c r="T536" s="35">
        <f>T528/T526*400</f>
        <v>-12.98345488607897</v>
      </c>
      <c r="U536" s="23" t="str">
        <f t="shared" si="3520"/>
        <v>NM</v>
      </c>
      <c r="V536" s="35">
        <f>V528/V526*400</f>
        <v>-14.010839184675165</v>
      </c>
      <c r="W536" s="23">
        <f t="shared" si="3521"/>
        <v>-22.256279455114637</v>
      </c>
      <c r="X536" s="35">
        <f>X528/X526*400</f>
        <v>-14.295512858509813</v>
      </c>
      <c r="Y536" s="23">
        <f t="shared" si="3522"/>
        <v>-0.332198859453392</v>
      </c>
      <c r="Z536" s="35">
        <f>Z528/Z526*400</f>
        <v>-12.085727467181137</v>
      </c>
      <c r="AA536" s="23">
        <f>IF(ISERROR((Z536/R536-1)*100),"NA",IF(((Z536/R536-1)*100)&gt;100,"NM",IF(((Z536/R536-1)*100)&lt;-50,"NM",(Z536/R536-1)*100)))</f>
        <v>4.4086013818465108</v>
      </c>
      <c r="AB536" s="35">
        <f>AB528/AB526*400</f>
        <v>-12.966252220248665</v>
      </c>
      <c r="AC536" s="23">
        <f>IF(ISERROR((AB536/T536-1)*100),"NA",IF(((AB536/T536-1)*100)&gt;100,"NM",IF(((AB536/T536-1)*100)&lt;-50,"NM",(AB536/T536-1)*100)))</f>
        <v>-0.13249682754896686</v>
      </c>
      <c r="AD536" s="35">
        <f>AD528/AD526*400</f>
        <v>-19.800891762070975</v>
      </c>
      <c r="AE536" s="23">
        <f>IF(ISERROR((AD536/V536-1)*100),"NA",IF(((AD536/V536-1)*100)&gt;100,"NM",IF(((AD536/V536-1)*100)&lt;-50,"NM",(AD536/V536-1)*100)))</f>
        <v>41.325523054528233</v>
      </c>
      <c r="AF536" s="35">
        <f>AF528/AF526*400</f>
        <v>-16.711091769569702</v>
      </c>
      <c r="AG536" s="23">
        <f>IF(ISERROR((AF536/X536-1)*100),"NA",IF(((AF536/X536-1)*100)&gt;100,"NM",IF(((AF536/X536-1)*100)&lt;-50,"NM",(AF536/X536-1)*100)))</f>
        <v>16.897462406337848</v>
      </c>
      <c r="AH536" s="35">
        <f>AH528/AH526*400</f>
        <v>-11.634197540731888</v>
      </c>
      <c r="AI536" s="23">
        <f>IF(ISERROR((AH536/Z536-1)*100),"NA",IF(((AH536/Z536-1)*100)&gt;100,"NM",IF(((AH536/Z536-1)*100)&lt;-50,"NM",(AH536/Z536-1)*100)))</f>
        <v>-3.7360591464219328</v>
      </c>
      <c r="AJ536" s="35">
        <f>AJ528/AJ526*400</f>
        <v>-12.246909455395921</v>
      </c>
      <c r="AK536" s="23">
        <f>IF(ISERROR((AJ536/AB536-1)*100),"NA",IF(((AJ536/AB536-1)*100)&gt;100,"NM",IF(((AJ536/AB536-1)*100)&lt;-50,"NM",(AJ536/AB536-1)*100)))</f>
        <v>-5.5478078987958206</v>
      </c>
      <c r="AL536" s="35">
        <f>AL528/AL526*400</f>
        <v>-12.333144702240268</v>
      </c>
      <c r="AM536" s="23">
        <f>IF(ISERROR((AL536/AD536-1)*100),"NA",IF(((AL536/AD536-1)*100)&gt;100,"NM",IF(((AL536/AD536-1)*100)&lt;-50,"NM",(AL536/AD536-1)*100)))</f>
        <v>-37.714195651204626</v>
      </c>
      <c r="AN536" s="409">
        <f t="shared" ref="AN536" si="3548">AN528/AN526*400</f>
        <v>-12.890420538245401</v>
      </c>
      <c r="AO536" s="23">
        <f>IF(ISERROR((AN536/AF536-1)*100),"NA",IF(((AN536/AF536-1)*100)&gt;100,"NM",IF(((AN536/AF536-1)*100)&lt;-50,"NM",(AN536/AF536-1)*100)))</f>
        <v>-22.863085691873263</v>
      </c>
      <c r="AP536" s="409">
        <f t="shared" ref="AP536" si="3549">AP528/AP526*400</f>
        <v>-11.69454425308718</v>
      </c>
      <c r="AQ536" s="23">
        <f t="shared" si="3525"/>
        <v>0.518701114915876</v>
      </c>
      <c r="AR536" s="409">
        <f t="shared" ref="AR536" si="3550">AR528/AR526*400</f>
        <v>-12.269666611923139</v>
      </c>
      <c r="AS536" s="23">
        <f t="shared" si="3527"/>
        <v>0.18581958664838361</v>
      </c>
      <c r="AT536" s="409">
        <f t="shared" ref="AT536" si="3551">AT528/AT526*400</f>
        <v>-11.861923747107763</v>
      </c>
      <c r="AU536" s="23">
        <f t="shared" si="3529"/>
        <v>-3.8207688834374087</v>
      </c>
      <c r="AV536" s="409">
        <f t="shared" ref="AV536" si="3552">AV528/AV526*400</f>
        <v>-11.140729697539314</v>
      </c>
      <c r="AW536" s="23">
        <f t="shared" si="3531"/>
        <v>-13.573574543319356</v>
      </c>
      <c r="AX536" s="409">
        <f t="shared" ref="AX536" si="3553">AX528/AX526*400</f>
        <v>-12.080423722347815</v>
      </c>
      <c r="AY536" s="23">
        <f t="shared" si="3533"/>
        <v>3.2996537608446674</v>
      </c>
      <c r="AZ536" s="409">
        <f t="shared" ref="AZ536" si="3554">AZ528/AZ526*400</f>
        <v>-11.980001737605733</v>
      </c>
      <c r="BA536" s="23">
        <f t="shared" si="3535"/>
        <v>-2.3608210677535602</v>
      </c>
      <c r="BB536" s="409">
        <f t="shared" ref="BB536:BD536" si="3555">BB528/BB526*400</f>
        <v>-10.79422819473012</v>
      </c>
      <c r="BC536" s="23">
        <f t="shared" si="3537"/>
        <v>-9.0010320007155151</v>
      </c>
      <c r="BD536" s="409">
        <f t="shared" si="3555"/>
        <v>0</v>
      </c>
      <c r="BE536" s="23" t="str">
        <f t="shared" si="3538"/>
        <v>NM</v>
      </c>
      <c r="BF536" s="587">
        <f>BD536-0.05</f>
        <v>-0.05</v>
      </c>
      <c r="BG536" s="23" t="str">
        <f t="shared" si="3539"/>
        <v>NM</v>
      </c>
      <c r="BH536" s="587">
        <f>BF536-0.05</f>
        <v>-0.1</v>
      </c>
      <c r="BI536" s="23"/>
      <c r="BJ536" s="114"/>
      <c r="BK536" s="23"/>
      <c r="BL536" s="114"/>
      <c r="BM536" s="23" t="str">
        <f t="shared" si="3540"/>
        <v>NA</v>
      </c>
      <c r="BN536" s="35"/>
      <c r="BO536" s="138"/>
      <c r="BP536" s="35"/>
      <c r="BQ536" s="113"/>
      <c r="BR536" s="113"/>
      <c r="BS536" s="113"/>
      <c r="BT536" s="35"/>
      <c r="BU536" s="37">
        <f>BU528/BU526*100</f>
        <v>-14.070392143468494</v>
      </c>
      <c r="BV536" s="23" t="str">
        <f>IF(ISERROR((BU536/BS536-1)*100),"NA",IF(((BU536/BS536-1)*100)&gt;100,"NM",IF(((BU536/BS536-1)*100)&lt;-50,"NM",(BU536/BS536-1)*100)))</f>
        <v>NA</v>
      </c>
      <c r="BW536" s="37">
        <f>BW528/BW526*100</f>
        <v>-18.682821651541477</v>
      </c>
      <c r="BX536" s="23">
        <f>IF(ISERROR((BW536/BU536-1)*100),"NA",IF(((BW536/BU536-1)*100)&gt;100,"NM",IF(((BW536/BU536-1)*100)&lt;-50,"NM",(BW536/BU536-1)*100)))</f>
        <v>32.781101344173159</v>
      </c>
      <c r="BY536" s="37">
        <f>BY528/BY526*100</f>
        <v>-13.31189738218097</v>
      </c>
      <c r="BZ536" s="23">
        <f>IF(ISERROR((BY536/BW536-1)*100),"NA",IF(((BY536/BW536-1)*100)&gt;100,"NM",IF(((BY536/BW536-1)*100)&lt;-50,"NM",(BY536/BW536-1)*100)))</f>
        <v>-28.747928816830324</v>
      </c>
      <c r="CA536" s="37">
        <f>CA528/CA526*100</f>
        <v>-15.546281927609778</v>
      </c>
      <c r="CB536" s="23">
        <f>IF(ISERROR((CA536/BY536-1)*100),"NA",IF(((CA536/BY536-1)*100)&gt;100,"NM",IF(((CA536/BY536-1)*100)&lt;-50,"NM",(CA536/BY536-1)*100)))</f>
        <v>16.784869063216412</v>
      </c>
      <c r="CC536" s="37">
        <f>CC528/CC526*100</f>
        <v>-12.347242262728582</v>
      </c>
      <c r="CD536" s="23">
        <f>IF(ISERROR((CC536/CA536-1)*100),"NA",IF(((CC536/CA536-1)*100)&gt;100,"NM",IF(((CC536/CA536-1)*100)&lt;-50,"NM",(CC536/CA536-1)*100)))</f>
        <v>-20.577522521316094</v>
      </c>
      <c r="CE536" s="37">
        <f>CE528/CE526*100</f>
        <v>-11.849832734481474</v>
      </c>
      <c r="CF536" s="23">
        <f>IF(ISERROR((CE536/CC536-1)*100),"NA",IF(((CE536/CC536-1)*100)&gt;100,"NM",IF(((CE536/CC536-1)*100)&lt;-50,"NM",(CE536/CC536-1)*100)))</f>
        <v>-4.0285070760180179</v>
      </c>
      <c r="CG536" s="37">
        <f>CG528/CG526*100</f>
        <v>-8.8418710923539621</v>
      </c>
      <c r="CH536" s="23">
        <f>IF(ISERROR((CG536/CE536-1)*100),"NA",IF(((CG536/CE536-1)*100)&gt;100,"NM",IF(((CG536/CE536-1)*100)&lt;-50,"NM",(CG536/CE536-1)*100)))</f>
        <v>-25.384000850701749</v>
      </c>
      <c r="CI536" s="411">
        <f>CI528/CI526*100</f>
        <v>-3.8178375000000014E-2</v>
      </c>
      <c r="CJ536" s="23"/>
      <c r="CK536" s="587"/>
      <c r="CL536" s="23"/>
      <c r="CM536" s="114"/>
      <c r="CN536" s="23"/>
      <c r="CO536" s="114"/>
      <c r="CP536" s="23"/>
      <c r="CQ536" s="114"/>
      <c r="CR536" s="23" t="str">
        <f>IF(ISERROR((CQ536/CO536-1)*100),"NA",IF(((CQ536/CO536-1)*100)&gt;100,"NM",IF(((CQ536/CO536-1)*100)&lt;-50,"NM",(CQ536/CO536-1)*100)))</f>
        <v>NA</v>
      </c>
      <c r="CS536" s="23" t="str">
        <f>IF(ISERROR(((CQ536/CG536)^0.2-1)*100),"NA",IF((((CQ536/CG536)^0.2-1)*100)&gt;100,"NM",IF((((CQ536/CG536)^0.2-1)*100)&lt;-50,"NM",((CQ536/CG536)^0.2-1)*100)))</f>
        <v>NM</v>
      </c>
    </row>
    <row r="537" spans="1:97" ht="12.75" hidden="1" customHeight="1" outlineLevel="1" x14ac:dyDescent="0.2">
      <c r="A537" s="4" t="s">
        <v>106</v>
      </c>
      <c r="B537" s="35">
        <f t="shared" ref="B537" si="3556">B529/B526*400</f>
        <v>4.8846152300663412</v>
      </c>
      <c r="C537" s="59"/>
      <c r="D537" s="35">
        <f t="shared" ref="D537" si="3557">D529/D526*400</f>
        <v>4.9459337643741206</v>
      </c>
      <c r="E537" s="59"/>
      <c r="F537" s="35">
        <f t="shared" ref="F537" si="3558">F529/F526*400</f>
        <v>6.9467742890410702E-2</v>
      </c>
      <c r="G537" s="59"/>
      <c r="H537" s="35">
        <f t="shared" ref="H537" si="3559">H529/H526*400</f>
        <v>5.3687752034169272</v>
      </c>
      <c r="I537" s="59"/>
      <c r="J537" s="35">
        <f t="shared" ref="J537" si="3560">J529/J526*400</f>
        <v>5.5866640921670845</v>
      </c>
      <c r="K537" s="23">
        <f t="shared" si="3513"/>
        <v>14.372654324529233</v>
      </c>
      <c r="L537" s="35">
        <f t="shared" ref="L537" si="3561">L529/L526*400</f>
        <v>1.60696459100407</v>
      </c>
      <c r="M537" s="23" t="str">
        <f t="shared" si="3515"/>
        <v>NM</v>
      </c>
      <c r="N537" s="35">
        <f t="shared" ref="N537" si="3562">N529/N526*400</f>
        <v>5.185821024901581</v>
      </c>
      <c r="O537" s="23" t="str">
        <f t="shared" si="3517"/>
        <v>NM</v>
      </c>
      <c r="P537" s="35">
        <f>P529/P526*400</f>
        <v>3.6853598396629152</v>
      </c>
      <c r="Q537" s="23">
        <f t="shared" si="3518"/>
        <v>-31.355668657585277</v>
      </c>
      <c r="R537" s="35">
        <f>R529/R526*400</f>
        <v>5.1137192949317836</v>
      </c>
      <c r="S537" s="23">
        <f t="shared" si="3519"/>
        <v>-8.4656028970563018</v>
      </c>
      <c r="T537" s="35">
        <f>T529/T526*400</f>
        <v>3.5966525696776745</v>
      </c>
      <c r="U537" s="23" t="str">
        <f t="shared" si="3520"/>
        <v>NM</v>
      </c>
      <c r="V537" s="35">
        <f>V529/V526*400</f>
        <v>5.9598472970209269</v>
      </c>
      <c r="W537" s="23">
        <f t="shared" si="3521"/>
        <v>14.925819236772364</v>
      </c>
      <c r="X537" s="35">
        <f>X529/X526*400</f>
        <v>6.4711710262250923</v>
      </c>
      <c r="Y537" s="23">
        <f t="shared" si="3522"/>
        <v>75.591293869881213</v>
      </c>
      <c r="Z537" s="35">
        <f>Z529/Z526*400</f>
        <v>3.8870947447888256</v>
      </c>
      <c r="AA537" s="23">
        <f>IF(ISERROR((Z537/R537-1)*100),"NA",IF(((Z537/R537-1)*100)&gt;100,"NM",IF(((Z537/R537-1)*100)&lt;-50,"NM",(Z537/R537-1)*100)))</f>
        <v>-23.986935523791221</v>
      </c>
      <c r="AB537" s="35">
        <f>AB529/AB526*400</f>
        <v>5.7751365349180777</v>
      </c>
      <c r="AC537" s="23">
        <f>IF(ISERROR((AB537/T537-1)*100),"NA",IF(((AB537/T537-1)*100)&gt;100,"NM",IF(((AB537/T537-1)*100)&lt;-50,"NM",(AB537/T537-1)*100)))</f>
        <v>60.569763774420807</v>
      </c>
      <c r="AD537" s="35">
        <f>AD529/AD526*400</f>
        <v>1.8950969493861436</v>
      </c>
      <c r="AE537" s="23" t="str">
        <f>IF(ISERROR((AD537/V537-1)*100),"NA",IF(((AD537/V537-1)*100)&gt;100,"NM",IF(((AD537/V537-1)*100)&lt;-50,"NM",(AD537/V537-1)*100)))</f>
        <v>NM</v>
      </c>
      <c r="AF537" s="35">
        <f>AF529/AF526*400</f>
        <v>3.9484640909870721</v>
      </c>
      <c r="AG537" s="23">
        <f>IF(ISERROR((AF537/X537-1)*100),"NA",IF(((AF537/X537-1)*100)&gt;100,"NM",IF(((AF537/X537-1)*100)&lt;-50,"NM",(AF537/X537-1)*100)))</f>
        <v>-38.983777820343313</v>
      </c>
      <c r="AH537" s="35">
        <f>AH529/AH526*400</f>
        <v>4.0368006798113676</v>
      </c>
      <c r="AI537" s="23">
        <f>IF(ISERROR((AH537/Z537-1)*100),"NA",IF(((AH537/Z537-1)*100)&gt;100,"NM",IF(((AH537/Z537-1)*100)&lt;-50,"NM",(AH537/Z537-1)*100)))</f>
        <v>3.8513580154752702</v>
      </c>
      <c r="AJ537" s="35">
        <f>AJ529/AJ526*400</f>
        <v>2.4356832609421972</v>
      </c>
      <c r="AK537" s="23" t="str">
        <f>IF(ISERROR((AJ537/AB537-1)*100),"NA",IF(((AJ537/AB537-1)*100)&gt;100,"NM",IF(((AJ537/AB537-1)*100)&lt;-50,"NM",(AJ537/AB537-1)*100)))</f>
        <v>NM</v>
      </c>
      <c r="AL537" s="35">
        <f>AL529/AL526*400</f>
        <v>-3.490230018974068</v>
      </c>
      <c r="AM537" s="23" t="str">
        <f>IF(ISERROR((AL537/AD537-1)*100),"NA",IF(((AL537/AD537-1)*100)&gt;100,"NM",IF(((AL537/AD537-1)*100)&lt;-50,"NM",(AL537/AD537-1)*100)))</f>
        <v>NM</v>
      </c>
      <c r="AN537" s="409">
        <f t="shared" ref="AN537" si="3563">AN529/AN526*400</f>
        <v>3.9997822564098255</v>
      </c>
      <c r="AO537" s="23">
        <f>IF(ISERROR((AN537/AF537-1)*100),"NA",IF(((AN537/AF537-1)*100)&gt;100,"NM",IF(((AN537/AF537-1)*100)&lt;-50,"NM",(AN537/AF537-1)*100)))</f>
        <v>1.2996994335061629</v>
      </c>
      <c r="AP537" s="409">
        <f t="shared" ref="AP537" si="3564">AP529/AP526*400</f>
        <v>1.0837153595176141</v>
      </c>
      <c r="AQ537" s="23" t="str">
        <f t="shared" si="3525"/>
        <v>NM</v>
      </c>
      <c r="AR537" s="409">
        <f t="shared" ref="AR537" si="3565">AR529/AR526*400</f>
        <v>2.6506815569058957</v>
      </c>
      <c r="AS537" s="23">
        <f t="shared" si="3527"/>
        <v>8.827021945395753</v>
      </c>
      <c r="AT537" s="409">
        <f t="shared" ref="AT537" si="3566">AT529/AT526*400</f>
        <v>4.369666970002406</v>
      </c>
      <c r="AU537" s="23" t="str">
        <f t="shared" si="3529"/>
        <v>NM</v>
      </c>
      <c r="AV537" s="409">
        <f t="shared" ref="AV537" si="3567">AV529/AV526*400</f>
        <v>2.4177409030878043</v>
      </c>
      <c r="AW537" s="23">
        <f t="shared" si="3531"/>
        <v>-39.553186946282658</v>
      </c>
      <c r="AX537" s="409">
        <f t="shared" ref="AX537" si="3568">AX529/AX526*400</f>
        <v>6.6690492348342136</v>
      </c>
      <c r="AY537" s="23" t="str">
        <f t="shared" si="3533"/>
        <v>NM</v>
      </c>
      <c r="AZ537" s="409">
        <f t="shared" ref="AZ537" si="3569">AZ529/AZ526*400</f>
        <v>4.9221631611787267</v>
      </c>
      <c r="BA537" s="23">
        <f t="shared" si="3535"/>
        <v>85.694247140131779</v>
      </c>
      <c r="BB537" s="409">
        <f t="shared" ref="BB537:BD537" si="3570">BB529/BB526*400</f>
        <v>5.1551260484522503</v>
      </c>
      <c r="BC537" s="23">
        <f t="shared" si="3537"/>
        <v>17.975261818394639</v>
      </c>
      <c r="BD537" s="409">
        <f t="shared" si="3570"/>
        <v>0</v>
      </c>
      <c r="BE537" s="23" t="str">
        <f t="shared" si="3538"/>
        <v>NM</v>
      </c>
      <c r="BF537" s="409">
        <f t="shared" ref="BF537" si="3571">BF529/BF526*400</f>
        <v>-1.8959999999999997</v>
      </c>
      <c r="BG537" s="23" t="str">
        <f t="shared" si="3539"/>
        <v>NM</v>
      </c>
      <c r="BH537" s="409">
        <f t="shared" ref="BH537" si="3572">BH529/BH526*400</f>
        <v>3.16</v>
      </c>
      <c r="BI537" s="23"/>
      <c r="BJ537" s="35"/>
      <c r="BK537" s="23"/>
      <c r="BL537" s="35"/>
      <c r="BM537" s="23" t="str">
        <f t="shared" si="3540"/>
        <v>NA</v>
      </c>
      <c r="BN537" s="35"/>
      <c r="BO537" s="138"/>
      <c r="BP537" s="35"/>
      <c r="BQ537" s="113"/>
      <c r="BR537" s="113"/>
      <c r="BS537" s="113"/>
      <c r="BT537" s="35"/>
      <c r="BU537" s="37">
        <f>BU529/BU526*100</f>
        <v>3.8406673551311359</v>
      </c>
      <c r="BV537" s="23" t="str">
        <f>IF(ISERROR((BU537/BS537-1)*100),"NA",IF(((BU537/BS537-1)*100)&gt;100,"NM",IF(((BU537/BS537-1)*100)&lt;-50,"NM",(BU537/BS537-1)*100)))</f>
        <v>NA</v>
      </c>
      <c r="BW537" s="37">
        <f>BW529/BW526*100</f>
        <v>3.8971487417133299</v>
      </c>
      <c r="BX537" s="23">
        <f>IF(ISERROR((BW537/BU537-1)*100),"NA",IF(((BW537/BU537-1)*100)&gt;100,"NM",IF(((BW537/BU537-1)*100)&lt;-50,"NM",(BW537/BU537-1)*100)))</f>
        <v>1.4706138636748856</v>
      </c>
      <c r="BY537" s="37">
        <f>BY529/BY526*100</f>
        <v>5.3245013780254293</v>
      </c>
      <c r="BZ537" s="23">
        <f>IF(ISERROR((BY537/BW537-1)*100),"NA",IF(((BY537/BW537-1)*100)&gt;100,"NM",IF(((BY537/BW537-1)*100)&lt;-50,"NM",(BY537/BW537-1)*100)))</f>
        <v>36.625562197161173</v>
      </c>
      <c r="CA537" s="37">
        <f>CA529/CA526*100</f>
        <v>3.9047099777712528</v>
      </c>
      <c r="CB537" s="23">
        <f>IF(ISERROR((CA537/BY537-1)*100),"NA",IF(((CA537/BY537-1)*100)&gt;100,"NM",IF(((CA537/BY537-1)*100)&lt;-50,"NM",(CA537/BY537-1)*100)))</f>
        <v>-26.665246178989644</v>
      </c>
      <c r="CC537" s="37">
        <f>CC529/CC526*100</f>
        <v>1.7449613609688996</v>
      </c>
      <c r="CD537" s="23" t="str">
        <f>IF(ISERROR((CC537/CA537-1)*100),"NA",IF(((CC537/CA537-1)*100)&gt;100,"NM",IF(((CC537/CA537-1)*100)&lt;-50,"NM",(CC537/CA537-1)*100)))</f>
        <v>NM</v>
      </c>
      <c r="CE537" s="37">
        <f>CE529/CE526*100</f>
        <v>2.6593152438772556</v>
      </c>
      <c r="CF537" s="23">
        <f>IF(ISERROR((CE537/CC537-1)*100),"NA",IF(((CE537/CC537-1)*100)&gt;100,"NM",IF(((CE537/CC537-1)*100)&lt;-50,"NM",(CE537/CC537-1)*100)))</f>
        <v>52.399663589149959</v>
      </c>
      <c r="CG537" s="37">
        <f>CG529/CG526*100</f>
        <v>4.2444514939907068</v>
      </c>
      <c r="CH537" s="23">
        <f>IF(ISERROR((CG537/CE537-1)*100),"NA",IF(((CG537/CE537-1)*100)&gt;100,"NM",IF(((CG537/CE537-1)*100)&lt;-50,"NM",(CG537/CE537-1)*100)))</f>
        <v>59.606932790801359</v>
      </c>
      <c r="CI537" s="411">
        <f>CI529/CI526*100</f>
        <v>0.33743665000000034</v>
      </c>
      <c r="CJ537" s="23"/>
      <c r="CK537" s="37"/>
      <c r="CL537" s="23"/>
      <c r="CM537" s="37"/>
      <c r="CN537" s="23"/>
      <c r="CO537" s="37"/>
      <c r="CP537" s="23"/>
      <c r="CQ537" s="37"/>
      <c r="CR537" s="23" t="str">
        <f>IF(ISERROR((CQ537/CO537-1)*100),"NA",IF(((CQ537/CO537-1)*100)&gt;100,"NM",IF(((CQ537/CO537-1)*100)&lt;-50,"NM",(CQ537/CO537-1)*100)))</f>
        <v>NA</v>
      </c>
      <c r="CS537" s="23" t="str">
        <f>IF(ISERROR(((CQ537/CG537)^0.2-1)*100),"NA",IF((((CQ537/CG537)^0.2-1)*100)&gt;100,"NM",IF((((CQ537/CG537)^0.2-1)*100)&lt;-50,"NM",((CQ537/CG537)^0.2-1)*100)))</f>
        <v>NM</v>
      </c>
    </row>
    <row r="538" spans="1:97" ht="12.75" hidden="1" customHeight="1" outlineLevel="1" x14ac:dyDescent="0.2">
      <c r="A538" s="4" t="s">
        <v>107</v>
      </c>
      <c r="B538" s="115">
        <f>(B537/4)/B$24*100</f>
        <v>22.521949734121968</v>
      </c>
      <c r="C538" s="59"/>
      <c r="D538" s="115">
        <f>(D537/4)/D$24*100</f>
        <v>-139.97356876725004</v>
      </c>
      <c r="E538" s="59"/>
      <c r="F538" s="115">
        <f>(F537/4)/F$24*100</f>
        <v>-0.11172130986554203</v>
      </c>
      <c r="G538" s="59"/>
      <c r="H538" s="115">
        <f>(H537/4)/H$24*100</f>
        <v>12.035077775164639</v>
      </c>
      <c r="I538" s="59"/>
      <c r="J538" s="115">
        <f>(J537/4)/J$24*100</f>
        <v>11.642114977790357</v>
      </c>
      <c r="K538" s="23">
        <f t="shared" si="3513"/>
        <v>-48.30769486998755</v>
      </c>
      <c r="L538" s="115">
        <f>(L537/4)/L$24*100</f>
        <v>-12.218534968103555</v>
      </c>
      <c r="M538" s="23" t="str">
        <f t="shared" si="3515"/>
        <v>NM</v>
      </c>
      <c r="N538" s="115">
        <f>(N537/4)/N$24*100</f>
        <v>22.493688597885384</v>
      </c>
      <c r="O538" s="23" t="str">
        <f t="shared" si="3517"/>
        <v>NM</v>
      </c>
      <c r="P538" s="115">
        <f>(P537/4)/P$24*100</f>
        <v>-65.809997136837779</v>
      </c>
      <c r="Q538" s="23" t="str">
        <f t="shared" si="3518"/>
        <v>NM</v>
      </c>
      <c r="R538" s="115">
        <f>(R537/4)/R$24*100</f>
        <v>12.784298237329459</v>
      </c>
      <c r="S538" s="23">
        <f t="shared" si="3519"/>
        <v>9.8107883466023402</v>
      </c>
      <c r="T538" s="115">
        <f>(T537/4)/T$24*100</f>
        <v>37.465130934142444</v>
      </c>
      <c r="U538" s="23" t="str">
        <f t="shared" si="3520"/>
        <v>NM</v>
      </c>
      <c r="V538" s="115">
        <f>(V537/4)/V$24*100</f>
        <v>36.340532298908094</v>
      </c>
      <c r="W538" s="23">
        <f t="shared" si="3521"/>
        <v>61.558795218337117</v>
      </c>
      <c r="X538" s="115">
        <f>(X537/4)/X$24*100</f>
        <v>17.029397437434454</v>
      </c>
      <c r="Y538" s="23" t="str">
        <f t="shared" si="3522"/>
        <v>NM</v>
      </c>
      <c r="Z538" s="115">
        <f>(Z537/4)/Z$24*100</f>
        <v>74.903566031780713</v>
      </c>
      <c r="AA538" s="23" t="str">
        <f>IF(ISERROR((Z538/R538-1)*100),"NA",IF(((Z538/R538-1)*100)&gt;100,"NM",IF(((Z538/R538-1)*100)&lt;-50,"NM",(Z538/R538-1)*100)))</f>
        <v>NM</v>
      </c>
      <c r="AB538" s="115">
        <f>(AB537/4)/AB$24*100</f>
        <v>36.43791036662806</v>
      </c>
      <c r="AC538" s="23">
        <f>IF(ISERROR((AB538/T538-1)*100),"NA",IF(((AB538/T538-1)*100)&gt;100,"NM",IF(((AB538/T538-1)*100)&lt;-50,"NM",(AB538/T538-1)*100)))</f>
        <v>-2.7418042908219586</v>
      </c>
      <c r="AD538" s="115">
        <f>(AD537/4)/AD$24*100</f>
        <v>78.962372891089316</v>
      </c>
      <c r="AE538" s="23" t="str">
        <f>IF(ISERROR((AD538/V538-1)*100),"NA",IF(((AD538/V538-1)*100)&gt;100,"NM",IF(((AD538/V538-1)*100)&lt;-50,"NM",(AD538/V538-1)*100)))</f>
        <v>NM</v>
      </c>
      <c r="AF538" s="115">
        <f>(AF537/4)/AF$24*100</f>
        <v>22.434455062426544</v>
      </c>
      <c r="AG538" s="23">
        <f>IF(ISERROR((AF538/X538-1)*100),"NA",IF(((AF538/X538-1)*100)&gt;100,"NM",IF(((AF538/X538-1)*100)&lt;-50,"NM",(AF538/X538-1)*100)))</f>
        <v>31.739570615167835</v>
      </c>
      <c r="AH538" s="115">
        <f>(AH537/4)/AH$24*100</f>
        <v>252.30004248821047</v>
      </c>
      <c r="AI538" s="23" t="str">
        <f>IF(ISERROR((AH538/Z538-1)*100),"NA",IF(((AH538/Z538-1)*100)&gt;100,"NM",IF(((AH538/Z538-1)*100)&lt;-50,"NM",(AH538/Z538-1)*100)))</f>
        <v>NM</v>
      </c>
      <c r="AJ538" s="115">
        <f>(AJ537/4)/AJ$24*100</f>
        <v>152.23020380888732</v>
      </c>
      <c r="AK538" s="23" t="str">
        <f>IF(ISERROR((AJ538/AB538-1)*100),"NA",IF(((AJ538/AB538-1)*100)&gt;100,"NM",IF(((AJ538/AB538-1)*100)&lt;-50,"NM",(AJ538/AB538-1)*100)))</f>
        <v>NM</v>
      </c>
      <c r="AL538" s="115">
        <f>(AL537/4)/AL$24*100</f>
        <v>11.517034805879128</v>
      </c>
      <c r="AM538" s="23" t="str">
        <f>IF(ISERROR((AL538/AD538-1)*100),"NA",IF(((AL538/AD538-1)*100)&gt;100,"NM",IF(((AL538/AD538-1)*100)&lt;-50,"NM",(AL538/AD538-1)*100)))</f>
        <v>NM</v>
      </c>
      <c r="AN538" s="457">
        <f t="shared" ref="AN538" si="3573">(AN537/4)/AN$24*100</f>
        <v>16.014931515516786</v>
      </c>
      <c r="AO538" s="23">
        <f>IF(ISERROR((AN538/AF538-1)*100),"NA",IF(((AN538/AF538-1)*100)&gt;100,"NM",IF(((AN538/AF538-1)*100)&lt;-50,"NM",(AN538/AF538-1)*100)))</f>
        <v>-28.614573115534427</v>
      </c>
      <c r="AP538" s="457">
        <f t="shared" ref="AP538" si="3574">(AP537/4)/AP$24*100</f>
        <v>35.048246391336122</v>
      </c>
      <c r="AQ538" s="23" t="str">
        <f t="shared" si="3525"/>
        <v>NM</v>
      </c>
      <c r="AR538" s="457">
        <f t="shared" ref="AR538" si="3575">(AR537/4)/AR$24*100</f>
        <v>52.667351614709105</v>
      </c>
      <c r="AS538" s="23" t="str">
        <f t="shared" si="3527"/>
        <v>NM</v>
      </c>
      <c r="AT538" s="457">
        <f t="shared" ref="AT538" si="3576">(AT537/4)/AT$24*100</f>
        <v>35.170006470344902</v>
      </c>
      <c r="AU538" s="23" t="str">
        <f t="shared" si="3529"/>
        <v>NM</v>
      </c>
      <c r="AV538" s="457">
        <f t="shared" ref="AV538" si="3577">(AV537/4)/AV$24*100</f>
        <v>18.573934080273478</v>
      </c>
      <c r="AW538" s="23">
        <f t="shared" si="3531"/>
        <v>15.978854247845442</v>
      </c>
      <c r="AX538" s="457">
        <f t="shared" ref="AX538" si="3578">(AX537/4)/AX$24*100</f>
        <v>30.129257365033585</v>
      </c>
      <c r="AY538" s="23">
        <f t="shared" si="3533"/>
        <v>-14.034907685191644</v>
      </c>
      <c r="AZ538" s="457">
        <f t="shared" ref="AZ538" si="3579">(AZ537/4)/AZ$24*100</f>
        <v>47.906135047702094</v>
      </c>
      <c r="BA538" s="23">
        <f t="shared" si="3535"/>
        <v>-9.0401670504299361</v>
      </c>
      <c r="BB538" s="457">
        <f t="shared" ref="BB538:BD538" si="3580">(BB537/4)/BB$24*100</f>
        <v>35.799486447585075</v>
      </c>
      <c r="BC538" s="23">
        <f t="shared" si="3537"/>
        <v>1.7898204760665726</v>
      </c>
      <c r="BD538" s="457">
        <f t="shared" si="3580"/>
        <v>0</v>
      </c>
      <c r="BE538" s="23" t="str">
        <f t="shared" si="3538"/>
        <v>NM</v>
      </c>
      <c r="BF538" s="587">
        <v>39.5</v>
      </c>
      <c r="BG538" s="23">
        <f t="shared" si="3539"/>
        <v>31.101804207897942</v>
      </c>
      <c r="BH538" s="587">
        <v>39.5</v>
      </c>
      <c r="BI538" s="23"/>
      <c r="BJ538" s="114"/>
      <c r="BK538" s="23"/>
      <c r="BL538" s="114"/>
      <c r="BM538" s="23" t="str">
        <f t="shared" si="3540"/>
        <v>NA</v>
      </c>
      <c r="BN538" s="35"/>
      <c r="BO538" s="138"/>
      <c r="BP538" s="35"/>
      <c r="BQ538" s="113"/>
      <c r="BR538" s="113"/>
      <c r="BS538" s="113"/>
      <c r="BT538" s="35"/>
      <c r="BU538" s="37"/>
      <c r="BV538" s="23"/>
      <c r="BW538" s="37"/>
      <c r="BX538" s="23"/>
      <c r="BY538" s="37"/>
      <c r="BZ538" s="23"/>
      <c r="CA538" s="37"/>
      <c r="CB538" s="23"/>
      <c r="CC538" s="37"/>
      <c r="CD538" s="23"/>
      <c r="CE538" s="37"/>
      <c r="CF538" s="23"/>
      <c r="CG538" s="37"/>
      <c r="CH538" s="23"/>
      <c r="CI538" s="411"/>
      <c r="CJ538" s="23"/>
      <c r="CK538" s="114"/>
      <c r="CL538" s="23"/>
      <c r="CM538" s="114"/>
      <c r="CN538" s="23"/>
      <c r="CO538" s="114"/>
      <c r="CP538" s="23"/>
      <c r="CQ538" s="114"/>
      <c r="CR538" s="23"/>
      <c r="CS538" s="23" t="str">
        <f>IF(ISERROR(((CQ538/CG538)^0.2-1)*100),"NA",IF((((CQ538/CG538)^0.2-1)*100)&gt;100,"NM",IF((((CQ538/CG538)^0.2-1)*100)&lt;-50,"NM",((CQ538/CG538)^0.2-1)*100)))</f>
        <v>NA</v>
      </c>
    </row>
    <row r="539" spans="1:97" ht="12.75" hidden="1" customHeight="1" outlineLevel="1" x14ac:dyDescent="0.2">
      <c r="B539" s="35"/>
      <c r="C539" s="60"/>
      <c r="D539" s="35"/>
      <c r="E539" s="60"/>
      <c r="F539" s="35"/>
      <c r="G539" s="60"/>
      <c r="H539" s="35"/>
      <c r="I539" s="60"/>
      <c r="J539" s="35"/>
      <c r="L539" s="35"/>
      <c r="N539" s="35"/>
      <c r="P539" s="35"/>
      <c r="R539" s="35"/>
      <c r="T539" s="35"/>
      <c r="V539" s="35"/>
      <c r="X539" s="35"/>
      <c r="Z539" s="35"/>
      <c r="AB539" s="35"/>
      <c r="AD539" s="35"/>
      <c r="AF539" s="35"/>
      <c r="AH539" s="35"/>
      <c r="AJ539" s="35"/>
      <c r="AL539" s="35"/>
      <c r="AN539" s="409"/>
      <c r="AP539" s="409"/>
      <c r="AR539" s="409"/>
      <c r="AT539" s="409"/>
      <c r="AV539" s="409"/>
      <c r="AX539" s="409"/>
      <c r="AZ539" s="409"/>
      <c r="BB539" s="409"/>
      <c r="BD539" s="409"/>
      <c r="BF539" s="409"/>
      <c r="BH539" s="409"/>
      <c r="BJ539" s="35"/>
      <c r="BL539" s="35"/>
      <c r="BN539" s="35"/>
      <c r="BO539" s="138"/>
      <c r="BP539" s="35"/>
      <c r="BQ539" s="35"/>
      <c r="BR539" s="35"/>
      <c r="BS539" s="35"/>
      <c r="BT539" s="35"/>
      <c r="BU539" s="37"/>
      <c r="BW539" s="37"/>
      <c r="BY539" s="37"/>
      <c r="CA539" s="37"/>
      <c r="CC539" s="37"/>
      <c r="CE539" s="37"/>
      <c r="CG539" s="37"/>
      <c r="CI539" s="411"/>
      <c r="CK539" s="37"/>
      <c r="CM539" s="37"/>
      <c r="CO539" s="37"/>
      <c r="CQ539" s="37"/>
    </row>
    <row r="540" spans="1:97" ht="12.75" hidden="1" customHeight="1" outlineLevel="1" x14ac:dyDescent="0.2">
      <c r="A540" s="4" t="s">
        <v>134</v>
      </c>
      <c r="B540" s="49">
        <v>2943.4</v>
      </c>
      <c r="C540" s="59"/>
      <c r="D540" s="49">
        <v>2899.2</v>
      </c>
      <c r="E540" s="59"/>
      <c r="F540" s="49">
        <v>2816.5</v>
      </c>
      <c r="G540" s="59"/>
      <c r="H540" s="49">
        <v>2831</v>
      </c>
      <c r="I540" s="59"/>
      <c r="J540" s="49">
        <v>2850.3</v>
      </c>
      <c r="K540" s="23">
        <f t="shared" ref="K540:K542" si="3581">IF(ISERROR((J540/B540-1)*100),"NA",IF(((J540/B540-1)*100)&gt;100,"NM",IF(((J540/B540-1)*100)&lt;-50,"NM",(J540/B540-1)*100)))</f>
        <v>-3.1630087653733763</v>
      </c>
      <c r="L540" s="49">
        <v>2847.5</v>
      </c>
      <c r="M540" s="23">
        <f t="shared" ref="M540:M542" si="3582">IF(ISERROR((L540/D540-1)*100),"NA",IF(((L540/D540-1)*100)&gt;100,"NM",IF(((L540/D540-1)*100)&lt;-50,"NM",(L540/D540-1)*100)))</f>
        <v>-1.7832505518763697</v>
      </c>
      <c r="N540" s="49">
        <v>2851</v>
      </c>
      <c r="O540" s="23">
        <f t="shared" ref="O540:O542" si="3583">IF(ISERROR((N540/F540-1)*100),"NA",IF(((N540/F540-1)*100)&gt;100,"NM",IF(((N540/F540-1)*100)&lt;-50,"NM",(N540/F540-1)*100)))</f>
        <v>1.2249245517486296</v>
      </c>
      <c r="P540" s="48">
        <v>2806.5</v>
      </c>
      <c r="Q540" s="23">
        <f t="shared" ref="Q540:Q542" si="3584">IF(ISERROR((P540/H540-1)*100),"NA",IF(((P540/H540-1)*100)&gt;100,"NM",IF(((P540/H540-1)*100)&lt;-50,"NM",(P540/H540-1)*100)))</f>
        <v>-0.86541858000706018</v>
      </c>
      <c r="R540" s="48">
        <v>2794.8</v>
      </c>
      <c r="S540" s="23">
        <f t="shared" ref="S540:S542" si="3585">IF(ISERROR((R540/J540-1)*100),"NA",IF(((R540/J540-1)*100)&gt;100,"NM",IF(((R540/J540-1)*100)&lt;-50,"NM",(R540/J540-1)*100)))</f>
        <v>-1.9471634564782625</v>
      </c>
      <c r="T540" s="48">
        <v>2762.9</v>
      </c>
      <c r="U540" s="23">
        <f t="shared" ref="U540:U542" si="3586">IF(ISERROR((T540/L540-1)*100),"NA",IF(((T540/L540-1)*100)&gt;100,"NM",IF(((T540/L540-1)*100)&lt;-50,"NM",(T540/L540-1)*100)))</f>
        <v>-2.9710272168568919</v>
      </c>
      <c r="V540" s="48">
        <v>2760.4</v>
      </c>
      <c r="W540" s="23">
        <f t="shared" ref="W540:W542" si="3587">IF(ISERROR((V540/N540-1)*100),"NA",IF(((V540/N540-1)*100)&gt;100,"NM",IF(((V540/N540-1)*100)&lt;-50,"NM",(V540/N540-1)*100)))</f>
        <v>-3.1778323395299846</v>
      </c>
      <c r="X540" s="48">
        <v>2803.5</v>
      </c>
      <c r="Y540" s="23">
        <f t="shared" ref="Y540:Y542" si="3588">IF(ISERROR((X540/P540-1)*100),"NA",IF(((X540/P540-1)*100)&gt;100,"NM",IF(((X540/P540-1)*100)&lt;-50,"NM",(X540/P540-1)*100)))</f>
        <v>-0.1068947087119243</v>
      </c>
      <c r="Z540" s="48">
        <v>2871.1</v>
      </c>
      <c r="AA540" s="23">
        <f>IF(ISERROR((Z540/R540-1)*100),"NA",IF(((Z540/R540-1)*100)&gt;100,"NM",IF(((Z540/R540-1)*100)&lt;-50,"NM",(Z540/R540-1)*100)))</f>
        <v>2.7300701302418684</v>
      </c>
      <c r="AB540" s="48">
        <v>2886.1</v>
      </c>
      <c r="AC540" s="23">
        <f>IF(ISERROR((AB540/T540-1)*100),"NA",IF(((AB540/T540-1)*100)&gt;100,"NM",IF(((AB540/T540-1)*100)&lt;-50,"NM",(AB540/T540-1)*100)))</f>
        <v>4.4590828477324429</v>
      </c>
      <c r="AD540" s="48">
        <v>2892.1</v>
      </c>
      <c r="AE540" s="23">
        <f>IF(ISERROR((AD540/V540-1)*100),"NA",IF(((AD540/V540-1)*100)&gt;100,"NM",IF(((AD540/V540-1)*100)&lt;-50,"NM",(AD540/V540-1)*100)))</f>
        <v>4.7710476742500951</v>
      </c>
      <c r="AF540" s="48">
        <v>2878.5</v>
      </c>
      <c r="AG540" s="23">
        <f>IF(ISERROR((AF540/X540-1)*100),"NA",IF(((AF540/X540-1)*100)&gt;100,"NM",IF(((AF540/X540-1)*100)&lt;-50,"NM",(AF540/X540-1)*100)))</f>
        <v>2.6752273943285276</v>
      </c>
      <c r="AH540" s="48">
        <v>2874</v>
      </c>
      <c r="AI540" s="23">
        <f>IF(ISERROR((AH540/Z540-1)*100),"NA",IF(((AH540/Z540-1)*100)&gt;100,"NM",IF(((AH540/Z540-1)*100)&lt;-50,"NM",(AH540/Z540-1)*100)))</f>
        <v>0.10100658284282193</v>
      </c>
      <c r="AJ540" s="48">
        <v>2856.7</v>
      </c>
      <c r="AK540" s="23">
        <f>IF(ISERROR((AJ540/AB540-1)*100),"NA",IF(((AJ540/AB540-1)*100)&gt;100,"NM",IF(((AJ540/AB540-1)*100)&lt;-50,"NM",(AJ540/AB540-1)*100)))</f>
        <v>-1.018675721561968</v>
      </c>
      <c r="AL540" s="48">
        <v>2819.6</v>
      </c>
      <c r="AM540" s="23">
        <f>IF(ISERROR((AL540/AD540-1)*100),"NA",IF(((AL540/AD540-1)*100)&gt;100,"NM",IF(((AL540/AD540-1)*100)&lt;-50,"NM",(AL540/AD540-1)*100)))</f>
        <v>-2.5068289478233807</v>
      </c>
      <c r="AN540" s="287">
        <v>2822.8</v>
      </c>
      <c r="AO540" s="23">
        <f>IF(ISERROR((AN540/AF540-1)*100),"NA",IF(((AN540/AF540-1)*100)&gt;100,"NM",IF(((AN540/AF540-1)*100)&lt;-50,"NM",(AN540/AF540-1)*100)))</f>
        <v>-1.9350356088240317</v>
      </c>
      <c r="AP540" s="287">
        <v>2825.7</v>
      </c>
      <c r="AQ540" s="23">
        <f t="shared" ref="AQ540:AQ542" si="3589">IF(ISERROR((AP540/AH540-1)*100),"NA",IF(((AP540/AH540-1)*100)&gt;100,"NM",IF(((AP540/AH540-1)*100)&lt;-50,"NM",(AP540/AH540-1)*100)))</f>
        <v>-1.6805845511482342</v>
      </c>
      <c r="AR540" s="287">
        <v>2832.3</v>
      </c>
      <c r="AS540" s="23">
        <f t="shared" ref="AS540:AS542" si="3590">IF(ISERROR((AR540/AJ540-1)*100),"NA",IF(((AR540/AJ540-1)*100)&gt;100,"NM",IF(((AR540/AJ540-1)*100)&lt;-50,"NM",(AR540/AJ540-1)*100)))</f>
        <v>-0.85413239052052337</v>
      </c>
      <c r="AT540" s="287">
        <v>2832.9</v>
      </c>
      <c r="AU540" s="23">
        <f t="shared" ref="AU540:AU542" si="3591">IF(ISERROR((AT540/AL540-1)*100),"NA",IF(((AT540/AL540-1)*100)&gt;100,"NM",IF(((AT540/AL540-1)*100)&lt;-50,"NM",(AT540/AL540-1)*100)))</f>
        <v>0.47169811320755262</v>
      </c>
      <c r="AV540" s="287">
        <v>2822.8</v>
      </c>
      <c r="AW540" s="23">
        <f t="shared" ref="AW540:AW542" si="3592">IF(ISERROR((AV540/AN540-1)*100),"NA",IF(((AV540/AN540-1)*100)&gt;100,"NM",IF(((AV540/AN540-1)*100)&lt;-50,"NM",(AV540/AN540-1)*100)))</f>
        <v>0</v>
      </c>
      <c r="AX540" s="287">
        <v>2818</v>
      </c>
      <c r="AY540" s="23">
        <f t="shared" ref="AY540:AY542" si="3593">IF(ISERROR((AX540/AP540-1)*100),"NA",IF(((AX540/AP540-1)*100)&gt;100,"NM",IF(((AX540/AP540-1)*100)&lt;-50,"NM",(AX540/AP540-1)*100)))</f>
        <v>-0.27249884984250627</v>
      </c>
      <c r="AZ540" s="287">
        <v>2808.5</v>
      </c>
      <c r="BA540" s="23">
        <f t="shared" ref="BA540:BA542" si="3594">IF(ISERROR((AZ540/AR540-1)*100),"NA",IF(((AZ540/AR540-1)*100)&gt;100,"NM",IF(((AZ540/AR540-1)*100)&lt;-50,"NM",(AZ540/AR540-1)*100)))</f>
        <v>-0.84030646471066062</v>
      </c>
      <c r="BB540" s="287">
        <v>2794.8</v>
      </c>
      <c r="BC540" s="23">
        <f t="shared" ref="BC540:BC542" si="3595">IF(ISERROR((BB540/AT540-1)*100),"NA",IF(((BB540/AT540-1)*100)&gt;100,"NM",IF(((BB540/AT540-1)*100)&lt;-50,"NM",(BB540/AT540-1)*100)))</f>
        <v>-1.3449115747114271</v>
      </c>
      <c r="BD540" s="287"/>
      <c r="BE540" s="23" t="str">
        <f t="shared" ref="BE540:BE542" si="3596">IF(ISERROR((BD540/AV540-1)*100),"NA",IF(((BD540/AV540-1)*100)&gt;100,"NM",IF(((BD540/AV540-1)*100)&lt;-50,"NM",(BD540/AV540-1)*100)))</f>
        <v>NM</v>
      </c>
      <c r="BF540" s="287">
        <f t="shared" ref="BF540:BH540" si="3597">BD540*0.995</f>
        <v>0</v>
      </c>
      <c r="BG540" s="23" t="str">
        <f t="shared" ref="BG540:BG542" si="3598">IF(ISERROR((BF540/AX540-1)*100),"NA",IF(((BF540/AX540-1)*100)&gt;100,"NM",IF(((BF540/AX540-1)*100)&lt;-50,"NM",(BF540/AX540-1)*100)))</f>
        <v>NM</v>
      </c>
      <c r="BH540" s="287">
        <f t="shared" si="3597"/>
        <v>0</v>
      </c>
      <c r="BI540" s="23"/>
      <c r="BJ540" s="48"/>
      <c r="BK540" s="23"/>
      <c r="BL540" s="48"/>
      <c r="BM540" s="23" t="str">
        <f t="shared" ref="BM540:BM542" si="3599">IF(ISERROR((BL540/BD540-1)*100),"NA",IF(((BL540/BD540-1)*100)&gt;100,"NM",IF(((BL540/BD540-1)*100)&lt;-50,"NM",(BL540/BD540-1)*100)))</f>
        <v>NA</v>
      </c>
      <c r="BN540" s="35"/>
      <c r="BO540" s="137"/>
      <c r="BP540" s="35"/>
      <c r="BQ540" s="113"/>
      <c r="BR540" s="113"/>
      <c r="BS540" s="113"/>
      <c r="BT540" s="35"/>
      <c r="BU540" s="56">
        <f>H540</f>
        <v>2831</v>
      </c>
      <c r="BV540" s="23" t="str">
        <f>IF(ISERROR((BU540/BS540-1)*100),"NA",IF(((BU540/BS540-1)*100)&gt;100,"NM",IF(((BU540/BS540-1)*100)&lt;-50,"NM",(BU540/BS540-1)*100)))</f>
        <v>NA</v>
      </c>
      <c r="BW540" s="56">
        <f>P540</f>
        <v>2806.5</v>
      </c>
      <c r="BX540" s="23">
        <f>IF(ISERROR((BW540/BU540-1)*100),"NA",IF(((BW540/BU540-1)*100)&gt;100,"NM",IF(((BW540/BU540-1)*100)&lt;-50,"NM",(BW540/BU540-1)*100)))</f>
        <v>-0.86541858000706018</v>
      </c>
      <c r="BY540" s="56">
        <f>X540</f>
        <v>2803.5</v>
      </c>
      <c r="BZ540" s="23">
        <f>IF(ISERROR((BY540/BW540-1)*100),"NA",IF(((BY540/BW540-1)*100)&gt;100,"NM",IF(((BY540/BW540-1)*100)&lt;-50,"NM",(BY540/BW540-1)*100)))</f>
        <v>-0.1068947087119243</v>
      </c>
      <c r="CA540" s="56">
        <f>AF540</f>
        <v>2878.5</v>
      </c>
      <c r="CB540" s="23">
        <f>IF(ISERROR((CA540/BY540-1)*100),"NA",IF(((CA540/BY540-1)*100)&gt;100,"NM",IF(((CA540/BY540-1)*100)&lt;-50,"NM",(CA540/BY540-1)*100)))</f>
        <v>2.6752273943285276</v>
      </c>
      <c r="CC540" s="56">
        <f>AN540</f>
        <v>2822.8</v>
      </c>
      <c r="CD540" s="23">
        <f>IF(ISERROR((CC540/CA540-1)*100),"NA",IF(((CC540/CA540-1)*100)&gt;100,"NM",IF(((CC540/CA540-1)*100)&lt;-50,"NM",(CC540/CA540-1)*100)))</f>
        <v>-1.9350356088240317</v>
      </c>
      <c r="CE540" s="56">
        <f>AV540</f>
        <v>2822.8</v>
      </c>
      <c r="CF540" s="23">
        <f>IF(ISERROR((CE540/CC540-1)*100),"NA",IF(((CE540/CC540-1)*100)&gt;100,"NM",IF(((CE540/CC540-1)*100)&lt;-50,"NM",(CE540/CC540-1)*100)))</f>
        <v>0</v>
      </c>
      <c r="CG540" s="56">
        <f>BD540</f>
        <v>0</v>
      </c>
      <c r="CH540" s="23" t="str">
        <f>IF(ISERROR((CG540/CE540-1)*100),"NA",IF(((CG540/CE540-1)*100)&gt;100,"NM",IF(((CG540/CE540-1)*100)&lt;-50,"NM",(CG540/CE540-1)*100)))</f>
        <v>NM</v>
      </c>
      <c r="CI540" s="413">
        <f>BL540</f>
        <v>0</v>
      </c>
      <c r="CJ540" s="23"/>
      <c r="CK540" s="49"/>
      <c r="CL540" s="23"/>
      <c r="CM540" s="49"/>
      <c r="CN540" s="23"/>
      <c r="CO540" s="49"/>
      <c r="CP540" s="23"/>
      <c r="CQ540" s="49"/>
      <c r="CR540" s="23" t="str">
        <f>IF(ISERROR((CQ540/CO540-1)*100),"NA",IF(((CQ540/CO540-1)*100)&gt;100,"NM",IF(((CQ540/CO540-1)*100)&lt;-50,"NM",(CQ540/CO540-1)*100)))</f>
        <v>NA</v>
      </c>
      <c r="CS540" s="23" t="str">
        <f>IF(ISERROR(((CQ540/CG540)^0.2-1)*100),"NA",IF((((CQ540/CG540)^0.2-1)*100)&gt;100,"NM",IF((((CQ540/CG540)^0.2-1)*100)&lt;-50,"NM",((CQ540/CG540)^0.2-1)*100)))</f>
        <v>NA</v>
      </c>
    </row>
    <row r="541" spans="1:97" ht="12.75" hidden="1" customHeight="1" outlineLevel="1" x14ac:dyDescent="0.2">
      <c r="A541" s="4" t="s">
        <v>135</v>
      </c>
      <c r="B541" s="36">
        <f t="shared" ref="B541" si="3600">B540+B530</f>
        <v>28014.5</v>
      </c>
      <c r="C541" s="59"/>
      <c r="D541" s="36">
        <f t="shared" ref="D541" si="3601">D540+D530</f>
        <v>28234.7</v>
      </c>
      <c r="E541" s="59"/>
      <c r="F541" s="36">
        <f t="shared" ref="F541" si="3602">F540+F530</f>
        <v>27961.9</v>
      </c>
      <c r="G541" s="59"/>
      <c r="H541" s="36">
        <f t="shared" ref="H541" si="3603">H540+H530</f>
        <v>27690.2</v>
      </c>
      <c r="I541" s="59"/>
      <c r="J541" s="36">
        <f t="shared" ref="J541" si="3604">J540+J530</f>
        <v>27592.6</v>
      </c>
      <c r="K541" s="23">
        <f t="shared" si="3581"/>
        <v>-1.5060058184154679</v>
      </c>
      <c r="L541" s="36">
        <f t="shared" ref="L541" si="3605">L540+L530</f>
        <v>26496.6</v>
      </c>
      <c r="M541" s="23">
        <f t="shared" si="3582"/>
        <v>-6.1559003637368326</v>
      </c>
      <c r="N541" s="36">
        <f t="shared" ref="N541" si="3606">N540+N530</f>
        <v>26251.7</v>
      </c>
      <c r="O541" s="23">
        <f t="shared" si="3583"/>
        <v>-6.1161795156981498</v>
      </c>
      <c r="P541" s="36">
        <f t="shared" ref="P541" si="3607">P540+P530</f>
        <v>26100.700000000004</v>
      </c>
      <c r="Q541" s="23">
        <f t="shared" si="3584"/>
        <v>-5.7402980115708662</v>
      </c>
      <c r="R541" s="56">
        <f t="shared" ref="R541" si="3608">R540+R530</f>
        <v>26227.700000000008</v>
      </c>
      <c r="S541" s="23">
        <f t="shared" si="3585"/>
        <v>-4.9466161217137543</v>
      </c>
      <c r="T541" s="56">
        <f t="shared" ref="T541" si="3609">T540+T530</f>
        <v>26233.30000000001</v>
      </c>
      <c r="U541" s="23">
        <f t="shared" si="3586"/>
        <v>-0.99371240083628853</v>
      </c>
      <c r="V541" s="56">
        <f t="shared" ref="V541" si="3610">V540+V530</f>
        <v>26379.000000000007</v>
      </c>
      <c r="W541" s="23">
        <f t="shared" si="3587"/>
        <v>0.48492097654631028</v>
      </c>
      <c r="X541" s="56">
        <f t="shared" ref="X541" si="3611">X540+X530</f>
        <v>26646.500000000007</v>
      </c>
      <c r="Y541" s="23">
        <f t="shared" si="3588"/>
        <v>2.0911316554728554</v>
      </c>
      <c r="Z541" s="56">
        <f t="shared" ref="Z541" si="3612">Z540+Z530</f>
        <v>26967.500000000007</v>
      </c>
      <c r="AA541" s="23">
        <f>IF(ISERROR((Z541/R541-1)*100),"NA",IF(((Z541/R541-1)*100)&gt;100,"NM",IF(((Z541/R541-1)*100)&lt;-50,"NM",(Z541/R541-1)*100)))</f>
        <v>2.8206819507619718</v>
      </c>
      <c r="AB541" s="56">
        <f t="shared" ref="AB541" si="3613">AB540+AB530</f>
        <v>27264.80000000001</v>
      </c>
      <c r="AC541" s="23">
        <f>IF(ISERROR((AB541/T541-1)*100),"NA",IF(((AB541/T541-1)*100)&gt;100,"NM",IF(((AB541/T541-1)*100)&lt;-50,"NM",(AB541/T541-1)*100)))</f>
        <v>3.9320253265887173</v>
      </c>
      <c r="AD541" s="56">
        <f t="shared" ref="AD541" si="3614">AD540+AD530</f>
        <v>26790.000000000011</v>
      </c>
      <c r="AE541" s="23">
        <f>IF(ISERROR((AD541/V541-1)*100),"NA",IF(((AD541/V541-1)*100)&gt;100,"NM",IF(((AD541/V541-1)*100)&lt;-50,"NM",(AD541/V541-1)*100)))</f>
        <v>1.5580575457750712</v>
      </c>
      <c r="AF541" s="56">
        <f t="shared" ref="AF541" si="3615">AF540+AF530</f>
        <v>26649.80000000001</v>
      </c>
      <c r="AG541" s="23">
        <f>IF(ISERROR((AF541/X541-1)*100),"NA",IF(((AF541/X541-1)*100)&gt;100,"NM",IF(((AF541/X541-1)*100)&lt;-50,"NM",(AF541/X541-1)*100)))</f>
        <v>1.2384365676543219E-2</v>
      </c>
      <c r="AH541" s="56">
        <f t="shared" ref="AH541" si="3616">AH540+AH530</f>
        <v>26818.000000000011</v>
      </c>
      <c r="AI541" s="23">
        <f>IF(ISERROR((AH541/Z541-1)*100),"NA",IF(((AH541/Z541-1)*100)&gt;100,"NM",IF(((AH541/Z541-1)*100)&lt;-50,"NM",(AH541/Z541-1)*100)))</f>
        <v>-0.55437100213218127</v>
      </c>
      <c r="AJ541" s="56">
        <f t="shared" ref="AJ541" si="3617">AJ540+AJ530</f>
        <v>26889.500000000007</v>
      </c>
      <c r="AK541" s="23">
        <f>IF(ISERROR((AJ541/AB541-1)*100),"NA",IF(((AJ541/AB541-1)*100)&gt;100,"NM",IF(((AJ541/AB541-1)*100)&lt;-50,"NM",(AJ541/AB541-1)*100)))</f>
        <v>-1.3765001026965318</v>
      </c>
      <c r="AL541" s="56">
        <f t="shared" ref="AL541" si="3618">AL540+AL530</f>
        <v>26700.900000000005</v>
      </c>
      <c r="AM541" s="23">
        <f>IF(ISERROR((AL541/AD541-1)*100),"NA",IF(((AL541/AD541-1)*100)&gt;100,"NM",IF(((AL541/AD541-1)*100)&lt;-50,"NM",(AL541/AD541-1)*100)))</f>
        <v>-0.33258678611424175</v>
      </c>
      <c r="AN541" s="413">
        <f t="shared" ref="AN541" si="3619">AN540+AN530</f>
        <v>27035.80000000001</v>
      </c>
      <c r="AO541" s="23">
        <f>IF(ISERROR((AN541/AF541-1)*100),"NA",IF(((AN541/AF541-1)*100)&gt;100,"NM",IF(((AN541/AF541-1)*100)&lt;-50,"NM",(AN541/AF541-1)*100)))</f>
        <v>1.4484161231979265</v>
      </c>
      <c r="AP541" s="413">
        <f t="shared" ref="AP541" si="3620">AP540+AP530</f>
        <v>27181.700000000004</v>
      </c>
      <c r="AQ541" s="23">
        <f t="shared" si="3589"/>
        <v>1.3561786859571656</v>
      </c>
      <c r="AR541" s="413">
        <f t="shared" ref="AR541" si="3621">AR540+AR530</f>
        <v>27337.600000000006</v>
      </c>
      <c r="AS541" s="23">
        <f t="shared" si="3590"/>
        <v>1.6664497294482938</v>
      </c>
      <c r="AT541" s="413">
        <f t="shared" ref="AT541" si="3622">AT540+AT530</f>
        <v>27517.100000000009</v>
      </c>
      <c r="AU541" s="23">
        <f t="shared" si="3591"/>
        <v>3.0568257998794257</v>
      </c>
      <c r="AV541" s="413">
        <f t="shared" ref="AV541" si="3623">AV540+AV530</f>
        <v>27725.900000000009</v>
      </c>
      <c r="AW541" s="23">
        <f t="shared" si="3592"/>
        <v>2.5525414450469297</v>
      </c>
      <c r="AX541" s="413">
        <f t="shared" ref="AX541" si="3624">AX540+AX530</f>
        <v>28140.200000000015</v>
      </c>
      <c r="AY541" s="23">
        <f t="shared" si="3593"/>
        <v>3.5262695122086241</v>
      </c>
      <c r="AZ541" s="413">
        <f t="shared" ref="AZ541" si="3625">AZ540+AZ530</f>
        <v>28429.600000000009</v>
      </c>
      <c r="BA541" s="23">
        <f t="shared" si="3594"/>
        <v>3.994498419758874</v>
      </c>
      <c r="BB541" s="413">
        <f t="shared" ref="BB541:BD541" si="3626">BB540+BB530</f>
        <v>28634.000000000007</v>
      </c>
      <c r="BC541" s="23">
        <f t="shared" si="3595"/>
        <v>4.0589306285909288</v>
      </c>
      <c r="BD541" s="413">
        <f t="shared" si="3626"/>
        <v>25839.200000000012</v>
      </c>
      <c r="BE541" s="23">
        <f t="shared" si="3596"/>
        <v>-6.8048286980765145</v>
      </c>
      <c r="BF541" s="413">
        <f t="shared" ref="BF541" si="3627">BF540+BF530</f>
        <v>26540.346692000014</v>
      </c>
      <c r="BG541" s="23">
        <f t="shared" si="3598"/>
        <v>-5.68529473138073</v>
      </c>
      <c r="BH541" s="413">
        <f t="shared" ref="BH541" si="3628">BH540+BH530</f>
        <v>27592.671438337817</v>
      </c>
      <c r="BI541" s="23"/>
      <c r="BJ541" s="56"/>
      <c r="BK541" s="23"/>
      <c r="BL541" s="56"/>
      <c r="BM541" s="23" t="str">
        <f t="shared" si="3599"/>
        <v>NM</v>
      </c>
      <c r="BN541" s="35"/>
      <c r="BO541" s="137"/>
      <c r="BP541" s="35"/>
      <c r="BQ541" s="48">
        <v>26368.7</v>
      </c>
      <c r="BR541" s="35"/>
      <c r="BS541" s="48">
        <v>27849.3</v>
      </c>
      <c r="BT541" s="35"/>
      <c r="BU541" s="56">
        <f t="shared" ref="BU541" si="3629">BU540+BU530</f>
        <v>27690.2</v>
      </c>
      <c r="BV541" s="23">
        <f>IF(ISERROR((BU541/BS541-1)*100),"NA",IF(((BU541/BS541-1)*100)&gt;100,"NM",IF(((BU541/BS541-1)*100)&lt;-50,"NM",(BU541/BS541-1)*100)))</f>
        <v>-0.57128904496701605</v>
      </c>
      <c r="BW541" s="56">
        <f t="shared" ref="BW541" si="3630">BW540+BW530</f>
        <v>26100.7</v>
      </c>
      <c r="BX541" s="23">
        <f>IF(ISERROR((BW541/BU541-1)*100),"NA",IF(((BW541/BU541-1)*100)&gt;100,"NM",IF(((BW541/BU541-1)*100)&lt;-50,"NM",(BW541/BU541-1)*100)))</f>
        <v>-5.7402980115708768</v>
      </c>
      <c r="BY541" s="56">
        <f t="shared" ref="BY541" si="3631">BY540+BY530</f>
        <v>26646.500000000007</v>
      </c>
      <c r="BZ541" s="23">
        <f>IF(ISERROR((BY541/BW541-1)*100),"NA",IF(((BY541/BW541-1)*100)&gt;100,"NM",IF(((BY541/BW541-1)*100)&lt;-50,"NM",(BY541/BW541-1)*100)))</f>
        <v>2.0911316554728776</v>
      </c>
      <c r="CA541" s="56">
        <f t="shared" ref="CA541" si="3632">CA540+CA530</f>
        <v>26649.800000000003</v>
      </c>
      <c r="CB541" s="23">
        <f>IF(ISERROR((CA541/BY541-1)*100),"NA",IF(((CA541/BY541-1)*100)&gt;100,"NM",IF(((CA541/BY541-1)*100)&lt;-50,"NM",(CA541/BY541-1)*100)))</f>
        <v>1.2384365676521014E-2</v>
      </c>
      <c r="CC541" s="56">
        <f t="shared" ref="CC541" si="3633">CC540+CC530</f>
        <v>27035.800000000003</v>
      </c>
      <c r="CD541" s="23">
        <f>IF(ISERROR((CC541/CA541-1)*100),"NA",IF(((CC541/CA541-1)*100)&gt;100,"NM",IF(((CC541/CA541-1)*100)&lt;-50,"NM",(CC541/CA541-1)*100)))</f>
        <v>1.4484161231979265</v>
      </c>
      <c r="CE541" s="56">
        <f t="shared" ref="CE541" si="3634">CE540+CE530</f>
        <v>27725.900000000005</v>
      </c>
      <c r="CF541" s="23">
        <f>IF(ISERROR((CE541/CC541-1)*100),"NA",IF(((CE541/CC541-1)*100)&gt;100,"NM",IF(((CE541/CC541-1)*100)&lt;-50,"NM",(CE541/CC541-1)*100)))</f>
        <v>2.5525414450469519</v>
      </c>
      <c r="CG541" s="56">
        <f t="shared" ref="CG541" si="3635">CG540+CG530</f>
        <v>25839.200000000004</v>
      </c>
      <c r="CH541" s="23">
        <f>IF(ISERROR((CG541/CE541-1)*100),"NA",IF(((CG541/CE541-1)*100)&gt;100,"NM",IF(((CG541/CE541-1)*100)&lt;-50,"NM",(CG541/CE541-1)*100)))</f>
        <v>-6.804828698076526</v>
      </c>
      <c r="CI541" s="413">
        <f t="shared" ref="CI541" si="3636">CI540+CI530</f>
        <v>27592.671438337806</v>
      </c>
      <c r="CJ541" s="23"/>
      <c r="CK541" s="56"/>
      <c r="CL541" s="23"/>
      <c r="CM541" s="56"/>
      <c r="CN541" s="23"/>
      <c r="CO541" s="56"/>
      <c r="CP541" s="23"/>
      <c r="CQ541" s="56"/>
      <c r="CR541" s="23" t="str">
        <f>IF(ISERROR((CQ541/CO541-1)*100),"NA",IF(((CQ541/CO541-1)*100)&gt;100,"NM",IF(((CQ541/CO541-1)*100)&lt;-50,"NM",(CQ541/CO541-1)*100)))</f>
        <v>NA</v>
      </c>
      <c r="CS541" s="23" t="str">
        <f>IF(ISERROR(((CQ541/CG541)^0.2-1)*100),"NA",IF((((CQ541/CG541)^0.2-1)*100)&gt;100,"NM",IF((((CQ541/CG541)^0.2-1)*100)&lt;-50,"NM",((CQ541/CG541)^0.2-1)*100)))</f>
        <v>NM</v>
      </c>
    </row>
    <row r="542" spans="1:97" ht="12.75" hidden="1" customHeight="1" outlineLevel="1" x14ac:dyDescent="0.2">
      <c r="A542" s="4" t="s">
        <v>136</v>
      </c>
      <c r="B542" s="36">
        <f>AVERAGE(B541)</f>
        <v>28014.5</v>
      </c>
      <c r="C542" s="59"/>
      <c r="D542" s="36">
        <f>AVERAGE(B541,D541)</f>
        <v>28124.6</v>
      </c>
      <c r="E542" s="59"/>
      <c r="F542" s="36">
        <f>AVERAGE(D541,F541)</f>
        <v>28098.300000000003</v>
      </c>
      <c r="G542" s="59"/>
      <c r="H542" s="36">
        <f>AVERAGE(F541,H541)</f>
        <v>27826.050000000003</v>
      </c>
      <c r="I542" s="59"/>
      <c r="J542" s="36">
        <f>AVERAGE(H541,J541)</f>
        <v>27641.4</v>
      </c>
      <c r="K542" s="23">
        <f t="shared" si="3581"/>
        <v>-1.3318103125167235</v>
      </c>
      <c r="L542" s="36">
        <f>AVERAGE(J541,L541)</f>
        <v>27044.6</v>
      </c>
      <c r="M542" s="23">
        <f t="shared" si="3582"/>
        <v>-3.8400546141100667</v>
      </c>
      <c r="N542" s="36">
        <f>AVERAGE(L541,N541)</f>
        <v>26374.15</v>
      </c>
      <c r="O542" s="23">
        <f t="shared" si="3583"/>
        <v>-6.1361363498859456</v>
      </c>
      <c r="P542" s="36">
        <f>AVERAGE(N541,P541)</f>
        <v>26176.200000000004</v>
      </c>
      <c r="Q542" s="23">
        <f t="shared" si="3584"/>
        <v>-5.9291563121607211</v>
      </c>
      <c r="R542" s="56">
        <f>AVERAGE(P541,R541)</f>
        <v>26164.200000000004</v>
      </c>
      <c r="S542" s="23">
        <f t="shared" si="3585"/>
        <v>-5.3441576765286714</v>
      </c>
      <c r="T542" s="56">
        <f>AVERAGE(R541,T541)</f>
        <v>26230.500000000007</v>
      </c>
      <c r="U542" s="23">
        <f t="shared" si="3586"/>
        <v>-3.010212759663633</v>
      </c>
      <c r="V542" s="56">
        <f>AVERAGE(T541,V541)</f>
        <v>26306.150000000009</v>
      </c>
      <c r="W542" s="23">
        <f t="shared" si="3587"/>
        <v>-0.25782821436897141</v>
      </c>
      <c r="X542" s="56">
        <f>AVERAGE(V541,X541)</f>
        <v>26512.750000000007</v>
      </c>
      <c r="Y542" s="23">
        <f t="shared" si="3588"/>
        <v>1.2857099196980526</v>
      </c>
      <c r="Z542" s="56">
        <f>AVERAGE(X541,Z541)</f>
        <v>26807.000000000007</v>
      </c>
      <c r="AA542" s="23">
        <f>IF(ISERROR((Z542/R542-1)*100),"NA",IF(((Z542/R542-1)*100)&gt;100,"NM",IF(((Z542/R542-1)*100)&lt;-50,"NM",(Z542/R542-1)*100)))</f>
        <v>2.4567921052430552</v>
      </c>
      <c r="AB542" s="56">
        <f>AVERAGE(Z541,AB541)</f>
        <v>27116.150000000009</v>
      </c>
      <c r="AC542" s="23">
        <f>IF(ISERROR((AB542/T542-1)*100),"NA",IF(((AB542/T542-1)*100)&gt;100,"NM",IF(((AB542/T542-1)*100)&lt;-50,"NM",(AB542/T542-1)*100)))</f>
        <v>3.3764129543851773</v>
      </c>
      <c r="AD542" s="56">
        <f>AVERAGE(AB541,AD541)</f>
        <v>27027.400000000009</v>
      </c>
      <c r="AE542" s="23">
        <f>IF(ISERROR((AD542/V542-1)*100),"NA",IF(((AD542/V542-1)*100)&gt;100,"NM",IF(((AD542/V542-1)*100)&lt;-50,"NM",(AD542/V542-1)*100)))</f>
        <v>2.7417543046017734</v>
      </c>
      <c r="AF542" s="56">
        <f>AVERAGE(AD541,AF541)</f>
        <v>26719.900000000009</v>
      </c>
      <c r="AG542" s="23">
        <f>IF(ISERROR((AF542/X542-1)*100),"NA",IF(((AF542/X542-1)*100)&gt;100,"NM",IF(((AF542/X542-1)*100)&lt;-50,"NM",(AF542/X542-1)*100)))</f>
        <v>0.78132219403872494</v>
      </c>
      <c r="AH542" s="56">
        <f>AVERAGE(AF541,AH541)</f>
        <v>26733.900000000009</v>
      </c>
      <c r="AI542" s="23">
        <f>IF(ISERROR((AH542/Z542-1)*100),"NA",IF(((AH542/Z542-1)*100)&gt;100,"NM",IF(((AH542/Z542-1)*100)&lt;-50,"NM",(AH542/Z542-1)*100)))</f>
        <v>-0.27268996903793141</v>
      </c>
      <c r="AJ542" s="56">
        <f>AVERAGE(AH541,AJ541)</f>
        <v>26853.750000000007</v>
      </c>
      <c r="AK542" s="23">
        <f>IF(ISERROR((AJ542/AB542-1)*100),"NA",IF(((AJ542/AB542-1)*100)&gt;100,"NM",IF(((AJ542/AB542-1)*100)&lt;-50,"NM",(AJ542/AB542-1)*100)))</f>
        <v>-0.96768899714746448</v>
      </c>
      <c r="AL542" s="56">
        <f>AVERAGE(AJ541,AL541)</f>
        <v>26795.200000000004</v>
      </c>
      <c r="AM542" s="23">
        <f>IF(ISERROR((AL542/AD542-1)*100),"NA",IF(((AL542/AD542-1)*100)&gt;100,"NM",IF(((AL542/AD542-1)*100)&lt;-50,"NM",(AL542/AD542-1)*100)))</f>
        <v>-0.85912814403162896</v>
      </c>
      <c r="AN542" s="413">
        <f t="shared" ref="AN542" si="3637">AVERAGE(AL541,AN541)</f>
        <v>26868.350000000006</v>
      </c>
      <c r="AO542" s="23">
        <f>IF(ISERROR((AN542/AF542-1)*100),"NA",IF(((AN542/AF542-1)*100)&gt;100,"NM",IF(((AN542/AF542-1)*100)&lt;-50,"NM",(AN542/AF542-1)*100)))</f>
        <v>0.55557842656595025</v>
      </c>
      <c r="AP542" s="413">
        <f t="shared" ref="AP542" si="3638">AVERAGE(AN541,AP541)</f>
        <v>27108.750000000007</v>
      </c>
      <c r="AQ542" s="23">
        <f t="shared" si="3589"/>
        <v>1.4021523234544864</v>
      </c>
      <c r="AR542" s="413">
        <f t="shared" ref="AR542" si="3639">AVERAGE(AP541,AR541)</f>
        <v>27259.650000000005</v>
      </c>
      <c r="AS542" s="23">
        <f t="shared" si="3590"/>
        <v>1.5115207373271877</v>
      </c>
      <c r="AT542" s="413">
        <f t="shared" ref="AT542" si="3640">AVERAGE(AR541,AT541)</f>
        <v>27427.350000000006</v>
      </c>
      <c r="AU542" s="23">
        <f t="shared" si="3591"/>
        <v>2.3591911984236047</v>
      </c>
      <c r="AV542" s="413">
        <f t="shared" ref="AV542" si="3641">AVERAGE(AT541,AV541)</f>
        <v>27621.500000000007</v>
      </c>
      <c r="AW542" s="23">
        <f t="shared" si="3592"/>
        <v>2.8031122119519747</v>
      </c>
      <c r="AX542" s="413">
        <f t="shared" ref="AX542" si="3642">AVERAGE(AV541,AX541)</f>
        <v>27933.05000000001</v>
      </c>
      <c r="AY542" s="23">
        <f t="shared" si="3593"/>
        <v>3.0407156360953591</v>
      </c>
      <c r="AZ542" s="413">
        <f t="shared" ref="AZ542" si="3643">AVERAGE(AX541,AZ541)</f>
        <v>28284.900000000012</v>
      </c>
      <c r="BA542" s="23">
        <f t="shared" si="3594"/>
        <v>3.7610534251173666</v>
      </c>
      <c r="BB542" s="413">
        <f t="shared" ref="BB542:BD542" si="3644">AVERAGE(AZ541,BB541)</f>
        <v>28531.80000000001</v>
      </c>
      <c r="BC542" s="23">
        <f t="shared" si="3595"/>
        <v>4.0268199443256547</v>
      </c>
      <c r="BD542" s="413">
        <f t="shared" si="3644"/>
        <v>27236.600000000009</v>
      </c>
      <c r="BE542" s="23">
        <f t="shared" si="3596"/>
        <v>-1.3934797168872026</v>
      </c>
      <c r="BF542" s="413">
        <f t="shared" ref="BF542:BH542" si="3645">AVERAGE(BD541,BF541)</f>
        <v>26189.773346000013</v>
      </c>
      <c r="BG542" s="23">
        <f t="shared" si="3598"/>
        <v>-6.2409105128154563</v>
      </c>
      <c r="BH542" s="413">
        <f t="shared" si="3645"/>
        <v>27066.509065168917</v>
      </c>
      <c r="BI542" s="23"/>
      <c r="BJ542" s="56"/>
      <c r="BK542" s="23"/>
      <c r="BL542" s="56"/>
      <c r="BM542" s="23" t="str">
        <f t="shared" si="3599"/>
        <v>NM</v>
      </c>
      <c r="BN542" s="35"/>
      <c r="BO542" s="137"/>
      <c r="BP542" s="35"/>
      <c r="BQ542" s="56">
        <f>AVERAGE(BQ541)</f>
        <v>26368.7</v>
      </c>
      <c r="BR542" s="59"/>
      <c r="BS542" s="56">
        <f>AVERAGE(BQ541,BS541)</f>
        <v>27109</v>
      </c>
      <c r="BT542" s="35"/>
      <c r="BU542" s="56">
        <f>AVERAGE(BS541,BU541)</f>
        <v>27769.75</v>
      </c>
      <c r="BV542" s="23">
        <f>IF(ISERROR((BU542/BS542-1)*100),"NA",IF(((BU542/BS542-1)*100)&gt;100,"NM",IF(((BU542/BS542-1)*100)&lt;-50,"NM",(BU542/BS542-1)*100)))</f>
        <v>2.4373824191227911</v>
      </c>
      <c r="BW542" s="56">
        <f>AVERAGE(BU541,BW541)</f>
        <v>26895.45</v>
      </c>
      <c r="BX542" s="23">
        <f>IF(ISERROR((BW542/BU542-1)*100),"NA",IF(((BW542/BU542-1)*100)&gt;100,"NM",IF(((BW542/BU542-1)*100)&lt;-50,"NM",(BW542/BU542-1)*100)))</f>
        <v>-3.1483898846766722</v>
      </c>
      <c r="BY542" s="56">
        <f>AVERAGE(BW541,BY541)</f>
        <v>26373.600000000006</v>
      </c>
      <c r="BZ542" s="23">
        <f>IF(ISERROR((BY542/BW542-1)*100),"NA",IF(((BY542/BW542-1)*100)&gt;100,"NM",IF(((BY542/BW542-1)*100)&lt;-50,"NM",(BY542/BW542-1)*100)))</f>
        <v>-1.9402910157665931</v>
      </c>
      <c r="CA542" s="56">
        <f>AVERAGE(BY541,CA541)</f>
        <v>26648.150000000005</v>
      </c>
      <c r="CB542" s="23">
        <f>IF(ISERROR((CA542/BY542-1)*100),"NA",IF(((CA542/BY542-1)*100)&gt;100,"NM",IF(((CA542/BY542-1)*100)&lt;-50,"NM",(CA542/BY542-1)*100)))</f>
        <v>1.0410031243364593</v>
      </c>
      <c r="CC542" s="56">
        <f>AVERAGE(CA541,CC541)</f>
        <v>26842.800000000003</v>
      </c>
      <c r="CD542" s="23">
        <f>IF(ISERROR((CC542/CA542-1)*100),"NA",IF(((CC542/CA542-1)*100)&gt;100,"NM",IF(((CC542/CA542-1)*100)&lt;-50,"NM",(CC542/CA542-1)*100)))</f>
        <v>0.73044470254031157</v>
      </c>
      <c r="CE542" s="56">
        <f>AVERAGE(CC541,CE541)</f>
        <v>27380.850000000006</v>
      </c>
      <c r="CF542" s="23">
        <f>IF(ISERROR((CE542/CC542-1)*100),"NA",IF(((CE542/CC542-1)*100)&gt;100,"NM",IF(((CE542/CC542-1)*100)&lt;-50,"NM",(CE542/CC542-1)*100)))</f>
        <v>2.0044481201663134</v>
      </c>
      <c r="CG542" s="56">
        <f>AVERAGE(CE541,CG541)</f>
        <v>26782.550000000003</v>
      </c>
      <c r="CH542" s="23">
        <f>IF(ISERROR((CG542/CE542-1)*100),"NA",IF(((CG542/CE542-1)*100)&gt;100,"NM",IF(((CG542/CE542-1)*100)&lt;-50,"NM",(CG542/CE542-1)*100)))</f>
        <v>-2.1851038225621289</v>
      </c>
      <c r="CI542" s="413">
        <f>AVERAGE(CG541,CI541)</f>
        <v>26715.935719168905</v>
      </c>
      <c r="CJ542" s="23"/>
      <c r="CK542" s="56"/>
      <c r="CL542" s="23"/>
      <c r="CM542" s="56"/>
      <c r="CN542" s="23"/>
      <c r="CO542" s="56"/>
      <c r="CP542" s="23"/>
      <c r="CQ542" s="56"/>
      <c r="CR542" s="23" t="str">
        <f>IF(ISERROR((CQ542/CO542-1)*100),"NA",IF(((CQ542/CO542-1)*100)&gt;100,"NM",IF(((CQ542/CO542-1)*100)&lt;-50,"NM",(CQ542/CO542-1)*100)))</f>
        <v>NA</v>
      </c>
      <c r="CS542" s="23" t="str">
        <f>IF(ISERROR(((CQ542/CG542)^0.2-1)*100),"NA",IF((((CQ542/CG542)^0.2-1)*100)&gt;100,"NM",IF((((CQ542/CG542)^0.2-1)*100)&lt;-50,"NM",((CQ542/CG542)^0.2-1)*100)))</f>
        <v>NM</v>
      </c>
    </row>
    <row r="543" spans="1:97" ht="12.75" hidden="1" customHeight="1" outlineLevel="1" x14ac:dyDescent="0.2">
      <c r="B543" s="35"/>
      <c r="C543" s="60"/>
      <c r="D543" s="35"/>
      <c r="E543" s="60"/>
      <c r="F543" s="35"/>
      <c r="G543" s="60"/>
      <c r="H543" s="35"/>
      <c r="I543" s="60"/>
      <c r="J543" s="35"/>
      <c r="K543" s="177"/>
      <c r="L543" s="35"/>
      <c r="M543" s="177"/>
      <c r="N543" s="35"/>
      <c r="O543" s="177"/>
      <c r="P543" s="35"/>
      <c r="Q543" s="177"/>
      <c r="R543" s="37"/>
      <c r="S543" s="177"/>
      <c r="T543" s="37"/>
      <c r="U543" s="177"/>
      <c r="V543" s="37"/>
      <c r="W543" s="177"/>
      <c r="X543" s="37"/>
      <c r="Y543" s="177"/>
      <c r="Z543" s="37"/>
      <c r="AA543" s="177"/>
      <c r="AB543" s="37"/>
      <c r="AC543" s="177"/>
      <c r="AD543" s="37"/>
      <c r="AE543" s="177"/>
      <c r="AF543" s="37"/>
      <c r="AG543" s="177"/>
      <c r="AH543" s="37"/>
      <c r="AI543" s="177"/>
      <c r="AJ543" s="37"/>
      <c r="AK543" s="177"/>
      <c r="AL543" s="37"/>
      <c r="AM543" s="177"/>
      <c r="AN543" s="411"/>
      <c r="AO543" s="177"/>
      <c r="AP543" s="411"/>
      <c r="AQ543" s="177"/>
      <c r="AR543" s="411"/>
      <c r="AS543" s="177"/>
      <c r="AT543" s="411"/>
      <c r="AU543" s="177"/>
      <c r="AV543" s="411"/>
      <c r="AW543" s="177"/>
      <c r="AX543" s="411"/>
      <c r="AY543" s="177"/>
      <c r="AZ543" s="411"/>
      <c r="BA543" s="177"/>
      <c r="BB543" s="411"/>
      <c r="BC543" s="177"/>
      <c r="BD543" s="411"/>
      <c r="BE543" s="177"/>
      <c r="BF543" s="411"/>
      <c r="BG543" s="177"/>
      <c r="BH543" s="411"/>
      <c r="BI543" s="177"/>
      <c r="BJ543" s="37"/>
      <c r="BK543" s="177"/>
      <c r="BL543" s="37"/>
      <c r="BM543" s="177"/>
      <c r="BN543" s="35"/>
      <c r="BO543" s="138"/>
      <c r="BP543" s="35"/>
      <c r="BQ543" s="35"/>
      <c r="BR543" s="35"/>
      <c r="BS543" s="35"/>
      <c r="BT543" s="35"/>
      <c r="BU543" s="37"/>
      <c r="BV543" s="177"/>
      <c r="BW543" s="37"/>
      <c r="BX543" s="177"/>
      <c r="BY543" s="37"/>
      <c r="BZ543" s="177"/>
      <c r="CA543" s="37"/>
      <c r="CB543" s="177"/>
      <c r="CC543" s="37"/>
      <c r="CD543" s="177"/>
      <c r="CE543" s="37"/>
      <c r="CF543" s="177"/>
      <c r="CG543" s="37"/>
      <c r="CH543" s="177"/>
      <c r="CI543" s="411"/>
      <c r="CJ543" s="177"/>
      <c r="CK543" s="37"/>
      <c r="CL543" s="177"/>
      <c r="CM543" s="37"/>
      <c r="CN543" s="177"/>
      <c r="CO543" s="37"/>
      <c r="CP543" s="177"/>
      <c r="CQ543" s="37"/>
      <c r="CR543" s="177"/>
      <c r="CS543" s="177"/>
    </row>
    <row r="544" spans="1:97" ht="12.75" hidden="1" customHeight="1" outlineLevel="1" x14ac:dyDescent="0.2">
      <c r="A544" s="3" t="s">
        <v>100</v>
      </c>
      <c r="B544" s="35"/>
      <c r="C544" s="60"/>
      <c r="D544" s="35"/>
      <c r="E544" s="60"/>
      <c r="F544" s="35"/>
      <c r="G544" s="60"/>
      <c r="H544" s="35"/>
      <c r="I544" s="60"/>
      <c r="J544" s="35"/>
      <c r="K544" s="177"/>
      <c r="L544" s="35"/>
      <c r="M544" s="177"/>
      <c r="N544" s="35"/>
      <c r="O544" s="177"/>
      <c r="P544" s="35"/>
      <c r="Q544" s="177"/>
      <c r="R544" s="37"/>
      <c r="S544" s="177"/>
      <c r="T544" s="37"/>
      <c r="U544" s="177"/>
      <c r="V544" s="37"/>
      <c r="W544" s="177"/>
      <c r="X544" s="37"/>
      <c r="Y544" s="177"/>
      <c r="Z544" s="37"/>
      <c r="AA544" s="177"/>
      <c r="AB544" s="37"/>
      <c r="AC544" s="177"/>
      <c r="AD544" s="37"/>
      <c r="AE544" s="177"/>
      <c r="AF544" s="37"/>
      <c r="AG544" s="177"/>
      <c r="AH544" s="37"/>
      <c r="AI544" s="177"/>
      <c r="AJ544" s="37"/>
      <c r="AK544" s="177"/>
      <c r="AL544" s="37"/>
      <c r="AM544" s="177"/>
      <c r="AN544" s="411"/>
      <c r="AO544" s="177"/>
      <c r="AP544" s="411"/>
      <c r="AQ544" s="177"/>
      <c r="AR544" s="411"/>
      <c r="AS544" s="177"/>
      <c r="AT544" s="411"/>
      <c r="AU544" s="177"/>
      <c r="AV544" s="411"/>
      <c r="AW544" s="177"/>
      <c r="AX544" s="411"/>
      <c r="AY544" s="177"/>
      <c r="AZ544" s="411"/>
      <c r="BA544" s="177"/>
      <c r="BB544" s="411"/>
      <c r="BC544" s="177"/>
      <c r="BD544" s="411"/>
      <c r="BE544" s="177"/>
      <c r="BF544" s="411"/>
      <c r="BG544" s="177"/>
      <c r="BH544" s="411"/>
      <c r="BI544" s="177"/>
      <c r="BJ544" s="37"/>
      <c r="BK544" s="177"/>
      <c r="BL544" s="37"/>
      <c r="BM544" s="177"/>
      <c r="BN544" s="35"/>
      <c r="BO544" s="138"/>
      <c r="BP544" s="35"/>
      <c r="BQ544" s="35"/>
      <c r="BR544" s="35"/>
      <c r="BS544" s="35"/>
      <c r="BT544" s="35"/>
      <c r="BU544" s="37"/>
      <c r="BV544" s="177"/>
      <c r="BW544" s="37"/>
      <c r="BX544" s="177"/>
      <c r="BY544" s="37"/>
      <c r="BZ544" s="177"/>
      <c r="CA544" s="37"/>
      <c r="CB544" s="177"/>
      <c r="CC544" s="37"/>
      <c r="CD544" s="177"/>
      <c r="CE544" s="37"/>
      <c r="CF544" s="177"/>
      <c r="CG544" s="37"/>
      <c r="CH544" s="177"/>
      <c r="CI544" s="411"/>
      <c r="CJ544" s="177"/>
      <c r="CK544" s="37"/>
      <c r="CL544" s="177"/>
      <c r="CM544" s="37"/>
      <c r="CN544" s="177"/>
      <c r="CO544" s="37"/>
      <c r="CP544" s="177"/>
      <c r="CQ544" s="37"/>
      <c r="CR544" s="177"/>
      <c r="CS544" s="177"/>
    </row>
    <row r="545" spans="1:97" ht="12.75" hidden="1" customHeight="1" outlineLevel="1" x14ac:dyDescent="0.2">
      <c r="A545" s="12" t="s">
        <v>327</v>
      </c>
      <c r="B545" s="74"/>
      <c r="C545" s="66"/>
      <c r="D545" s="74"/>
      <c r="E545" s="66"/>
      <c r="F545" s="74"/>
      <c r="G545" s="66"/>
      <c r="H545" s="74"/>
      <c r="I545" s="59"/>
      <c r="J545" s="49">
        <v>303.7</v>
      </c>
      <c r="K545" s="23"/>
      <c r="L545" s="49">
        <v>310</v>
      </c>
      <c r="M545" s="23"/>
      <c r="N545" s="49">
        <v>279.39999999999998</v>
      </c>
      <c r="O545" s="23"/>
      <c r="P545" s="49">
        <v>289.3</v>
      </c>
      <c r="Q545" s="23"/>
      <c r="R545" s="49">
        <v>275</v>
      </c>
      <c r="S545" s="23"/>
      <c r="T545" s="49">
        <v>274.5</v>
      </c>
      <c r="U545" s="23"/>
      <c r="V545" s="49">
        <v>266.7</v>
      </c>
      <c r="W545" s="23"/>
      <c r="X545" s="49">
        <v>271.60000000000002</v>
      </c>
      <c r="Y545" s="23"/>
      <c r="Z545" s="49">
        <v>265.10000000000002</v>
      </c>
      <c r="AA545" s="23"/>
      <c r="AB545" s="49">
        <v>270.3</v>
      </c>
      <c r="AC545" s="23"/>
      <c r="AD545" s="49">
        <v>274.89999999999998</v>
      </c>
      <c r="AE545" s="23"/>
      <c r="AF545" s="49">
        <v>275.3</v>
      </c>
      <c r="AG545" s="23"/>
      <c r="AH545" s="49">
        <v>264.10000000000002</v>
      </c>
      <c r="AI545" s="23"/>
      <c r="AJ545" s="49">
        <v>259.5</v>
      </c>
      <c r="AK545" s="23"/>
      <c r="AL545" s="49">
        <v>263.39999999999998</v>
      </c>
      <c r="AM545" s="23"/>
      <c r="AN545" s="158">
        <v>273.60000000000002</v>
      </c>
      <c r="AO545" s="23"/>
      <c r="AP545" s="158">
        <v>257.39999999999998</v>
      </c>
      <c r="AQ545" s="23"/>
      <c r="AR545" s="158">
        <v>265.60000000000002</v>
      </c>
      <c r="AS545" s="23"/>
      <c r="AT545" s="158">
        <v>264.3</v>
      </c>
      <c r="AU545" s="23"/>
      <c r="AV545" s="158">
        <v>268</v>
      </c>
      <c r="AW545" s="23"/>
      <c r="AX545" s="158">
        <v>242.9</v>
      </c>
      <c r="AY545" s="23"/>
      <c r="AZ545" s="158">
        <v>248.2</v>
      </c>
      <c r="BA545" s="23"/>
      <c r="BB545" s="158">
        <v>247.8</v>
      </c>
      <c r="BC545" s="23"/>
      <c r="BD545" s="158"/>
      <c r="BE545" s="23"/>
      <c r="BF545" s="413"/>
      <c r="BG545" s="23"/>
      <c r="BH545" s="413"/>
      <c r="BI545" s="23"/>
      <c r="BJ545" s="56"/>
      <c r="BK545" s="23"/>
      <c r="BL545" s="56"/>
      <c r="BM545" s="23"/>
      <c r="BN545" s="35"/>
      <c r="BO545" s="137"/>
      <c r="BP545" s="35"/>
      <c r="BQ545" s="48"/>
      <c r="BR545" s="35"/>
      <c r="BS545" s="48"/>
      <c r="BT545" s="35"/>
      <c r="BU545" s="56"/>
      <c r="BV545" s="23"/>
      <c r="BW545" s="56">
        <f>J545+L545+N545+P545</f>
        <v>1182.4000000000001</v>
      </c>
      <c r="BX545" s="23" t="str">
        <f>IF(ISERROR((BW545/BU545-1)*100),"NA",IF(((BW545/BU545-1)*100)&gt;100,"NM",IF(((BW545/BU545-1)*100)&lt;-50,"NM",(BW545/BU545-1)*100)))</f>
        <v>NA</v>
      </c>
      <c r="BY545" s="56">
        <f>R545+T545+V545+X545</f>
        <v>1087.8000000000002</v>
      </c>
      <c r="BZ545" s="23">
        <f>IF(ISERROR((BY545/BW545-1)*100),"NA",IF(((BY545/BW545-1)*100)&gt;100,"NM",IF(((BY545/BW545-1)*100)&lt;-50,"NM",(BY545/BW545-1)*100)))</f>
        <v>-8.0006765899864547</v>
      </c>
      <c r="CA545" s="56">
        <f t="shared" ref="CA545:CA547" si="3646">Z545+AB545+AD545+AF545</f>
        <v>1085.6000000000001</v>
      </c>
      <c r="CB545" s="23">
        <f>IF(ISERROR((CA545/BY545-1)*100),"NA",IF(((CA545/BY545-1)*100)&gt;100,"NM",IF(((CA545/BY545-1)*100)&lt;-50,"NM",(CA545/BY545-1)*100)))</f>
        <v>-0.20224305938592035</v>
      </c>
      <c r="CC545" s="56">
        <f t="shared" ref="CC545:CC547" si="3647">AH545+AJ545+AL545+AN545</f>
        <v>1060.5999999999999</v>
      </c>
      <c r="CD545" s="23">
        <f>IF(ISERROR((CC545/CA545-1)*100),"NA",IF(((CC545/CA545-1)*100)&gt;100,"NM",IF(((CC545/CA545-1)*100)&lt;-50,"NM",(CC545/CA545-1)*100)))</f>
        <v>-2.3028739867354653</v>
      </c>
      <c r="CE545" s="56">
        <f t="shared" ref="CE545:CE547" si="3648">AP545+AR545+AT545+AV545</f>
        <v>1055.3</v>
      </c>
      <c r="CF545" s="23">
        <f>IF(ISERROR((CE545/CC545-1)*100),"NA",IF(((CE545/CC545-1)*100)&gt;100,"NM",IF(((CE545/CC545-1)*100)&lt;-50,"NM",(CE545/CC545-1)*100)))</f>
        <v>-0.49971714124080746</v>
      </c>
      <c r="CG545" s="56"/>
      <c r="CH545" s="23" t="str">
        <f>IF(ISERROR((CG545/CE545-1)*100),"NA",IF(((CG545/CE545-1)*100)&gt;100,"NM",IF(((CG545/CE545-1)*100)&lt;-50,"NM",(CG545/CE545-1)*100)))</f>
        <v>NM</v>
      </c>
      <c r="CI545" s="413"/>
      <c r="CJ545" s="23"/>
      <c r="CK545" s="56"/>
      <c r="CL545" s="23"/>
      <c r="CM545" s="56"/>
      <c r="CN545" s="23"/>
      <c r="CO545" s="56"/>
      <c r="CP545" s="23"/>
      <c r="CQ545" s="56"/>
      <c r="CR545" s="23" t="str">
        <f>IF(ISERROR((CQ545/CO545-1)*100),"NA",IF(((CQ545/CO545-1)*100)&gt;100,"NM",IF(((CQ545/CO545-1)*100)&lt;-50,"NM",(CQ545/CO545-1)*100)))</f>
        <v>NA</v>
      </c>
      <c r="CS545" s="23"/>
    </row>
    <row r="546" spans="1:97" ht="12.75" hidden="1" customHeight="1" outlineLevel="1" x14ac:dyDescent="0.2">
      <c r="A546" s="12" t="s">
        <v>328</v>
      </c>
      <c r="B546" s="74"/>
      <c r="C546" s="66"/>
      <c r="D546" s="74"/>
      <c r="E546" s="66"/>
      <c r="F546" s="74"/>
      <c r="G546" s="66"/>
      <c r="H546" s="74"/>
      <c r="I546" s="59"/>
      <c r="J546" s="49">
        <f>12+216.9</f>
        <v>228.9</v>
      </c>
      <c r="K546" s="23"/>
      <c r="L546" s="49">
        <f>9.6+201.8</f>
        <v>211.4</v>
      </c>
      <c r="M546" s="23"/>
      <c r="N546" s="49">
        <f>11.2+184.7</f>
        <v>195.89999999999998</v>
      </c>
      <c r="O546" s="23"/>
      <c r="P546" s="49">
        <f>11.4+179.7</f>
        <v>191.1</v>
      </c>
      <c r="Q546" s="23"/>
      <c r="R546" s="49">
        <f>10.9+173.7</f>
        <v>184.6</v>
      </c>
      <c r="S546" s="23"/>
      <c r="T546" s="49">
        <f>11.2+167.8</f>
        <v>179</v>
      </c>
      <c r="U546" s="23"/>
      <c r="V546" s="49">
        <f>10.5+168.1</f>
        <v>178.6</v>
      </c>
      <c r="W546" s="23"/>
      <c r="X546" s="49">
        <f>10.8+163</f>
        <v>173.8</v>
      </c>
      <c r="Y546" s="23"/>
      <c r="Z546" s="49">
        <f>10.7+159.7</f>
        <v>170.39999999999998</v>
      </c>
      <c r="AA546" s="23"/>
      <c r="AB546" s="49">
        <f>11.2+159.7</f>
        <v>170.89999999999998</v>
      </c>
      <c r="AC546" s="23"/>
      <c r="AD546" s="49">
        <f>11.3+156.8</f>
        <v>168.10000000000002</v>
      </c>
      <c r="AE546" s="23"/>
      <c r="AF546" s="49">
        <f>10.7+152.1</f>
        <v>162.79999999999998</v>
      </c>
      <c r="AG546" s="23"/>
      <c r="AH546" s="49">
        <f>10.5+144.2</f>
        <v>154.69999999999999</v>
      </c>
      <c r="AI546" s="23"/>
      <c r="AJ546" s="49">
        <f>11.3+143.5</f>
        <v>154.80000000000001</v>
      </c>
      <c r="AK546" s="23"/>
      <c r="AL546" s="49">
        <f>11+144.5</f>
        <v>155.5</v>
      </c>
      <c r="AM546" s="23"/>
      <c r="AN546" s="158">
        <f>11.2+143.1</f>
        <v>154.29999999999998</v>
      </c>
      <c r="AO546" s="23"/>
      <c r="AP546" s="158">
        <f>11.3+140.3</f>
        <v>151.60000000000002</v>
      </c>
      <c r="AQ546" s="23"/>
      <c r="AR546" s="158">
        <f>11.2+137.6</f>
        <v>148.79999999999998</v>
      </c>
      <c r="AS546" s="23"/>
      <c r="AT546" s="158">
        <f>11.6+138.1</f>
        <v>149.69999999999999</v>
      </c>
      <c r="AU546" s="23"/>
      <c r="AV546" s="158">
        <f>12.3+132.9</f>
        <v>145.20000000000002</v>
      </c>
      <c r="AW546" s="23"/>
      <c r="AX546" s="158">
        <f>11.5+132.2</f>
        <v>143.69999999999999</v>
      </c>
      <c r="AY546" s="23"/>
      <c r="AZ546" s="158">
        <f>11.3+133.1</f>
        <v>144.4</v>
      </c>
      <c r="BA546" s="23"/>
      <c r="BB546" s="158">
        <f>12.4+132.2</f>
        <v>144.6</v>
      </c>
      <c r="BC546" s="23"/>
      <c r="BD546" s="158"/>
      <c r="BE546" s="23"/>
      <c r="BF546" s="413"/>
      <c r="BG546" s="23"/>
      <c r="BH546" s="413"/>
      <c r="BI546" s="23"/>
      <c r="BJ546" s="56"/>
      <c r="BK546" s="23"/>
      <c r="BL546" s="56"/>
      <c r="BM546" s="23"/>
      <c r="BN546" s="35"/>
      <c r="BO546" s="137"/>
      <c r="BP546" s="35"/>
      <c r="BQ546" s="48"/>
      <c r="BR546" s="35"/>
      <c r="BS546" s="48"/>
      <c r="BT546" s="35"/>
      <c r="BU546" s="56"/>
      <c r="BV546" s="23"/>
      <c r="BW546" s="56">
        <f>J546+L546+N546+P546</f>
        <v>827.30000000000007</v>
      </c>
      <c r="BX546" s="23" t="str">
        <f>IF(ISERROR((BW546/BU546-1)*100),"NA",IF(((BW546/BU546-1)*100)&gt;100,"NM",IF(((BW546/BU546-1)*100)&lt;-50,"NM",(BW546/BU546-1)*100)))</f>
        <v>NA</v>
      </c>
      <c r="BY546" s="56">
        <f>R546+T546+V546+X546</f>
        <v>716</v>
      </c>
      <c r="BZ546" s="23">
        <f>IF(ISERROR((BY546/BW546-1)*100),"NA",IF(((BY546/BW546-1)*100)&gt;100,"NM",IF(((BY546/BW546-1)*100)&lt;-50,"NM",(BY546/BW546-1)*100)))</f>
        <v>-13.453402635077971</v>
      </c>
      <c r="CA546" s="56">
        <f t="shared" si="3646"/>
        <v>672.19999999999993</v>
      </c>
      <c r="CB546" s="23">
        <f>IF(ISERROR((CA546/BY546-1)*100),"NA",IF(((CA546/BY546-1)*100)&gt;100,"NM",IF(((CA546/BY546-1)*100)&lt;-50,"NM",(CA546/BY546-1)*100)))</f>
        <v>-6.1173184357542043</v>
      </c>
      <c r="CC546" s="56">
        <f t="shared" si="3647"/>
        <v>619.29999999999995</v>
      </c>
      <c r="CD546" s="23">
        <f>IF(ISERROR((CC546/CA546-1)*100),"NA",IF(((CC546/CA546-1)*100)&gt;100,"NM",IF(((CC546/CA546-1)*100)&lt;-50,"NM",(CC546/CA546-1)*100)))</f>
        <v>-7.8696816423683424</v>
      </c>
      <c r="CE546" s="56">
        <f t="shared" si="3648"/>
        <v>595.29999999999995</v>
      </c>
      <c r="CF546" s="23">
        <f>IF(ISERROR((CE546/CC546-1)*100),"NA",IF(((CE546/CC546-1)*100)&gt;100,"NM",IF(((CE546/CC546-1)*100)&lt;-50,"NM",(CE546/CC546-1)*100)))</f>
        <v>-3.8753431293395812</v>
      </c>
      <c r="CG546" s="56"/>
      <c r="CH546" s="23" t="str">
        <f>IF(ISERROR((CG546/CE546-1)*100),"NA",IF(((CG546/CE546-1)*100)&gt;100,"NM",IF(((CG546/CE546-1)*100)&lt;-50,"NM",(CG546/CE546-1)*100)))</f>
        <v>NM</v>
      </c>
      <c r="CI546" s="413"/>
      <c r="CJ546" s="23"/>
      <c r="CK546" s="56"/>
      <c r="CL546" s="23"/>
      <c r="CM546" s="56"/>
      <c r="CN546" s="23"/>
      <c r="CO546" s="56"/>
      <c r="CP546" s="23"/>
      <c r="CQ546" s="56"/>
      <c r="CR546" s="23" t="str">
        <f>IF(ISERROR((CQ546/CO546-1)*100),"NA",IF(((CQ546/CO546-1)*100)&gt;100,"NM",IF(((CQ546/CO546-1)*100)&lt;-50,"NM",(CQ546/CO546-1)*100)))</f>
        <v>NA</v>
      </c>
      <c r="CS546" s="23"/>
    </row>
    <row r="547" spans="1:97" ht="12.75" hidden="1" customHeight="1" outlineLevel="1" x14ac:dyDescent="0.2">
      <c r="A547" s="12" t="s">
        <v>329</v>
      </c>
      <c r="B547" s="74"/>
      <c r="C547" s="66"/>
      <c r="D547" s="74"/>
      <c r="E547" s="66"/>
      <c r="F547" s="74"/>
      <c r="G547" s="66"/>
      <c r="H547" s="74"/>
      <c r="I547" s="59"/>
      <c r="J547" s="49">
        <v>35.700000000000003</v>
      </c>
      <c r="K547" s="23"/>
      <c r="L547" s="49">
        <v>4.2</v>
      </c>
      <c r="M547" s="23"/>
      <c r="N547" s="49">
        <v>23.2</v>
      </c>
      <c r="O547" s="23"/>
      <c r="P547" s="49">
        <v>20.6</v>
      </c>
      <c r="Q547" s="23"/>
      <c r="R547" s="159">
        <f>22.9+0.1</f>
        <v>23</v>
      </c>
      <c r="S547" s="23"/>
      <c r="T547" s="49">
        <v>19.899999999999999</v>
      </c>
      <c r="U547" s="23"/>
      <c r="V547" s="49">
        <v>39.9</v>
      </c>
      <c r="W547" s="23"/>
      <c r="X547" s="49">
        <v>22.7</v>
      </c>
      <c r="Y547" s="23"/>
      <c r="Z547" s="49">
        <v>16.3</v>
      </c>
      <c r="AA547" s="23"/>
      <c r="AB547" s="49">
        <v>17</v>
      </c>
      <c r="AC547" s="23"/>
      <c r="AD547" s="49">
        <v>18.899999999999999</v>
      </c>
      <c r="AE547" s="23"/>
      <c r="AF547" s="49">
        <v>16.2</v>
      </c>
      <c r="AG547" s="23"/>
      <c r="AH547" s="49">
        <v>13.5</v>
      </c>
      <c r="AI547" s="23"/>
      <c r="AJ547" s="49">
        <v>15.3</v>
      </c>
      <c r="AK547" s="23"/>
      <c r="AL547" s="49">
        <v>12.4</v>
      </c>
      <c r="AM547" s="23"/>
      <c r="AN547" s="158">
        <v>10.7</v>
      </c>
      <c r="AO547" s="23"/>
      <c r="AP547" s="158">
        <v>9.3000000000000007</v>
      </c>
      <c r="AQ547" s="23"/>
      <c r="AR547" s="158">
        <v>14.9</v>
      </c>
      <c r="AS547" s="23"/>
      <c r="AT547" s="158">
        <v>14.6</v>
      </c>
      <c r="AU547" s="23"/>
      <c r="AV547" s="158">
        <v>22</v>
      </c>
      <c r="AW547" s="23"/>
      <c r="AX547" s="158">
        <v>24.5</v>
      </c>
      <c r="AY547" s="23"/>
      <c r="AZ547" s="158">
        <v>19.899999999999999</v>
      </c>
      <c r="BA547" s="23"/>
      <c r="BB547" s="158">
        <v>21</v>
      </c>
      <c r="BC547" s="23"/>
      <c r="BD547" s="158"/>
      <c r="BE547" s="23"/>
      <c r="BF547" s="413"/>
      <c r="BG547" s="23"/>
      <c r="BH547" s="413"/>
      <c r="BI547" s="23"/>
      <c r="BJ547" s="56"/>
      <c r="BK547" s="23"/>
      <c r="BL547" s="56"/>
      <c r="BM547" s="23"/>
      <c r="BN547" s="35"/>
      <c r="BO547" s="137"/>
      <c r="BP547" s="35"/>
      <c r="BQ547" s="48"/>
      <c r="BR547" s="35"/>
      <c r="BS547" s="48"/>
      <c r="BT547" s="35"/>
      <c r="BU547" s="56"/>
      <c r="BV547" s="23" t="str">
        <f>IF(ISERROR((BU547/BS547-1)*100),"NA",IF(((BU547/BS547-1)*100)&gt;100,"NM",IF(((BU547/BS547-1)*100)&lt;-50,"NM",(BU547/BS547-1)*100)))</f>
        <v>NA</v>
      </c>
      <c r="BW547" s="56">
        <f>J547+L547+N547+P547</f>
        <v>83.700000000000017</v>
      </c>
      <c r="BX547" s="23" t="str">
        <f>IF(ISERROR((BW547/BU547-1)*100),"NA",IF(((BW547/BU547-1)*100)&gt;100,"NM",IF(((BW547/BU547-1)*100)&lt;-50,"NM",(BW547/BU547-1)*100)))</f>
        <v>NA</v>
      </c>
      <c r="BY547" s="56">
        <f>R547+T547+V547+X547</f>
        <v>105.5</v>
      </c>
      <c r="BZ547" s="23">
        <f>IF(ISERROR((BY547/BW547-1)*100),"NA",IF(((BY547/BW547-1)*100)&gt;100,"NM",IF(((BY547/BW547-1)*100)&lt;-50,"NM",(BY547/BW547-1)*100)))</f>
        <v>26.045400238948591</v>
      </c>
      <c r="CA547" s="56">
        <f t="shared" si="3646"/>
        <v>68.399999999999991</v>
      </c>
      <c r="CB547" s="23">
        <f>IF(ISERROR((CA547/BY547-1)*100),"NA",IF(((CA547/BY547-1)*100)&gt;100,"NM",IF(((CA547/BY547-1)*100)&lt;-50,"NM",(CA547/BY547-1)*100)))</f>
        <v>-35.165876777251192</v>
      </c>
      <c r="CC547" s="56">
        <f t="shared" si="3647"/>
        <v>51.900000000000006</v>
      </c>
      <c r="CD547" s="23">
        <f>IF(ISERROR((CC547/CA547-1)*100),"NA",IF(((CC547/CA547-1)*100)&gt;100,"NM",IF(((CC547/CA547-1)*100)&lt;-50,"NM",(CC547/CA547-1)*100)))</f>
        <v>-24.122807017543845</v>
      </c>
      <c r="CE547" s="56">
        <f t="shared" si="3648"/>
        <v>60.800000000000004</v>
      </c>
      <c r="CF547" s="23">
        <f>IF(ISERROR((CE547/CC547-1)*100),"NA",IF(((CE547/CC547-1)*100)&gt;100,"NM",IF(((CE547/CC547-1)*100)&lt;-50,"NM",(CE547/CC547-1)*100)))</f>
        <v>17.148362235067438</v>
      </c>
      <c r="CG547" s="56"/>
      <c r="CH547" s="23" t="str">
        <f>IF(ISERROR((CG547/CE547-1)*100),"NA",IF(((CG547/CE547-1)*100)&gt;100,"NM",IF(((CG547/CE547-1)*100)&lt;-50,"NM",(CG547/CE547-1)*100)))</f>
        <v>NM</v>
      </c>
      <c r="CI547" s="413"/>
      <c r="CJ547" s="23"/>
      <c r="CK547" s="56"/>
      <c r="CL547" s="23"/>
      <c r="CM547" s="56"/>
      <c r="CN547" s="23"/>
      <c r="CO547" s="56"/>
      <c r="CP547" s="23"/>
      <c r="CQ547" s="56"/>
      <c r="CR547" s="23" t="str">
        <f>IF(ISERROR((CQ547/CO547-1)*100),"NA",IF(((CQ547/CO547-1)*100)&gt;100,"NM",IF(((CQ547/CO547-1)*100)&lt;-50,"NM",(CQ547/CO547-1)*100)))</f>
        <v>NA</v>
      </c>
      <c r="CS547" s="23"/>
    </row>
    <row r="548" spans="1:97" ht="12.75" hidden="1" customHeight="1" outlineLevel="1" x14ac:dyDescent="0.2">
      <c r="A548" s="4" t="s">
        <v>18</v>
      </c>
      <c r="B548" s="49">
        <v>86.6</v>
      </c>
      <c r="C548" s="59"/>
      <c r="D548" s="49">
        <v>110.7</v>
      </c>
      <c r="E548" s="59"/>
      <c r="F548" s="49">
        <v>102</v>
      </c>
      <c r="G548" s="59"/>
      <c r="H548" s="49">
        <v>63.5</v>
      </c>
      <c r="I548" s="59"/>
      <c r="J548" s="56">
        <f>J545-J546+J547</f>
        <v>110.49999999999999</v>
      </c>
      <c r="K548" s="23">
        <f t="shared" ref="K548:K553" si="3649">IF(ISERROR((J548/B548-1)*100),"NA",IF(((J548/B548-1)*100)&gt;100,"NM",IF(((J548/B548-1)*100)&lt;-50,"NM",(J548/B548-1)*100)))</f>
        <v>27.598152424942256</v>
      </c>
      <c r="L548" s="56">
        <f>L545-L546+L547</f>
        <v>102.8</v>
      </c>
      <c r="M548" s="23">
        <f t="shared" ref="M548:M553" si="3650">IF(ISERROR((L548/D548-1)*100),"NA",IF(((L548/D548-1)*100)&gt;100,"NM",IF(((L548/D548-1)*100)&lt;-50,"NM",(L548/D548-1)*100)))</f>
        <v>-7.1364046973803159</v>
      </c>
      <c r="N548" s="56">
        <f>N545-N546+N547</f>
        <v>106.7</v>
      </c>
      <c r="O548" s="23">
        <f t="shared" ref="O548:O553" si="3651">IF(ISERROR((N548/F548-1)*100),"NA",IF(((N548/F548-1)*100)&gt;100,"NM",IF(((N548/F548-1)*100)&lt;-50,"NM",(N548/F548-1)*100)))</f>
        <v>4.6078431372549078</v>
      </c>
      <c r="P548" s="56">
        <f>P545-P546+P547</f>
        <v>118.80000000000001</v>
      </c>
      <c r="Q548" s="23">
        <f t="shared" ref="Q548:Q553" si="3652">IF(ISERROR((P548/H548-1)*100),"NA",IF(((P548/H548-1)*100)&gt;100,"NM",IF(((P548/H548-1)*100)&lt;-50,"NM",(P548/H548-1)*100)))</f>
        <v>87.086614173228355</v>
      </c>
      <c r="R548" s="56">
        <f>R545-R546+R547</f>
        <v>113.4</v>
      </c>
      <c r="S548" s="23">
        <f t="shared" ref="S548:S553" si="3653">IF(ISERROR((R548/J548-1)*100),"NA",IF(((R548/J548-1)*100)&gt;100,"NM",IF(((R548/J548-1)*100)&lt;-50,"NM",(R548/J548-1)*100)))</f>
        <v>2.6244343891402844</v>
      </c>
      <c r="T548" s="56">
        <f>T545-T546+T547</f>
        <v>115.4</v>
      </c>
      <c r="U548" s="23">
        <f t="shared" ref="U548:U553" si="3654">IF(ISERROR((T548/L548-1)*100),"NA",IF(((T548/L548-1)*100)&gt;100,"NM",IF(((T548/L548-1)*100)&lt;-50,"NM",(T548/L548-1)*100)))</f>
        <v>12.256809338521402</v>
      </c>
      <c r="V548" s="56">
        <f>V545-V546+V547</f>
        <v>128</v>
      </c>
      <c r="W548" s="23">
        <f t="shared" ref="W548:W553" si="3655">IF(ISERROR((V548/N548-1)*100),"NA",IF(((V548/N548-1)*100)&gt;100,"NM",IF(((V548/N548-1)*100)&lt;-50,"NM",(V548/N548-1)*100)))</f>
        <v>19.962511715089025</v>
      </c>
      <c r="X548" s="56">
        <f>X545-X546+X547</f>
        <v>120.50000000000001</v>
      </c>
      <c r="Y548" s="23">
        <f t="shared" ref="Y548:Y553" si="3656">IF(ISERROR((X548/P548-1)*100),"NA",IF(((X548/P548-1)*100)&gt;100,"NM",IF(((X548/P548-1)*100)&lt;-50,"NM",(X548/P548-1)*100)))</f>
        <v>1.4309764309764272</v>
      </c>
      <c r="Z548" s="56">
        <f>Z545-Z546+Z547</f>
        <v>111.00000000000004</v>
      </c>
      <c r="AA548" s="23">
        <f t="shared" ref="AA548:AA553" si="3657">IF(ISERROR((Z548/R548-1)*100),"NA",IF(((Z548/R548-1)*100)&gt;100,"NM",IF(((Z548/R548-1)*100)&lt;-50,"NM",(Z548/R548-1)*100)))</f>
        <v>-2.116402116402083</v>
      </c>
      <c r="AB548" s="56">
        <f>AB545-AB546+AB547</f>
        <v>116.40000000000003</v>
      </c>
      <c r="AC548" s="23">
        <f t="shared" ref="AC548:AC553" si="3658">IF(ISERROR((AB548/T548-1)*100),"NA",IF(((AB548/T548-1)*100)&gt;100,"NM",IF(((AB548/T548-1)*100)&lt;-50,"NM",(AB548/T548-1)*100)))</f>
        <v>0.86655112651647936</v>
      </c>
      <c r="AD548" s="56">
        <f>AD545-AD546+AD547</f>
        <v>125.69999999999996</v>
      </c>
      <c r="AE548" s="23">
        <f t="shared" ref="AE548:AE553" si="3659">IF(ISERROR((AD548/V548-1)*100),"NA",IF(((AD548/V548-1)*100)&gt;100,"NM",IF(((AD548/V548-1)*100)&lt;-50,"NM",(AD548/V548-1)*100)))</f>
        <v>-1.7968750000000311</v>
      </c>
      <c r="AF548" s="56">
        <f>AF545-AF546+AF547</f>
        <v>128.70000000000002</v>
      </c>
      <c r="AG548" s="23">
        <f t="shared" ref="AG548:AG553" si="3660">IF(ISERROR((AF548/X548-1)*100),"NA",IF(((AF548/X548-1)*100)&gt;100,"NM",IF(((AF548/X548-1)*100)&lt;-50,"NM",(AF548/X548-1)*100)))</f>
        <v>6.8049792531120312</v>
      </c>
      <c r="AH548" s="56">
        <f>AH545-AH546+AH547</f>
        <v>122.90000000000003</v>
      </c>
      <c r="AI548" s="23">
        <f t="shared" ref="AI548:AI553" si="3661">IF(ISERROR((AH548/Z548-1)*100),"NA",IF(((AH548/Z548-1)*100)&gt;100,"NM",IF(((AH548/Z548-1)*100)&lt;-50,"NM",(AH548/Z548-1)*100)))</f>
        <v>10.720720720720699</v>
      </c>
      <c r="AJ548" s="56">
        <f>AJ545-AJ546+AJ547</f>
        <v>119.99999999999999</v>
      </c>
      <c r="AK548" s="23">
        <f t="shared" ref="AK548:AK553" si="3662">IF(ISERROR((AJ548/AB548-1)*100),"NA",IF(((AJ548/AB548-1)*100)&gt;100,"NM",IF(((AJ548/AB548-1)*100)&lt;-50,"NM",(AJ548/AB548-1)*100)))</f>
        <v>3.092783505154606</v>
      </c>
      <c r="AL548" s="56">
        <f>AL545-AL546+AL547</f>
        <v>120.29999999999998</v>
      </c>
      <c r="AM548" s="23">
        <f t="shared" ref="AM548:AM553" si="3663">IF(ISERROR((AL548/AD548-1)*100),"NA",IF(((AL548/AD548-1)*100)&gt;100,"NM",IF(((AL548/AD548-1)*100)&lt;-50,"NM",(AL548/AD548-1)*100)))</f>
        <v>-4.2959427207637013</v>
      </c>
      <c r="AN548" s="413">
        <f t="shared" ref="AN548" si="3664">AN545-AN546+AN547</f>
        <v>130.00000000000003</v>
      </c>
      <c r="AO548" s="23">
        <f t="shared" ref="AO548:AO553" si="3665">IF(ISERROR((AN548/AF548-1)*100),"NA",IF(((AN548/AF548-1)*100)&gt;100,"NM",IF(((AN548/AF548-1)*100)&lt;-50,"NM",(AN548/AF548-1)*100)))</f>
        <v>1.0101010101010166</v>
      </c>
      <c r="AP548" s="413">
        <f t="shared" ref="AP548" si="3666">AP545-AP546+AP547</f>
        <v>115.09999999999995</v>
      </c>
      <c r="AQ548" s="23">
        <f t="shared" ref="AQ548:AQ553" si="3667">IF(ISERROR((AP548/AH548-1)*100),"NA",IF(((AP548/AH548-1)*100)&gt;100,"NM",IF(((AP548/AH548-1)*100)&lt;-50,"NM",(AP548/AH548-1)*100)))</f>
        <v>-6.3466232709520565</v>
      </c>
      <c r="AR548" s="413">
        <f t="shared" ref="AR548" si="3668">AR545-AR546+AR547</f>
        <v>131.70000000000005</v>
      </c>
      <c r="AS548" s="23">
        <f t="shared" ref="AS548:AS553" si="3669">IF(ISERROR((AR548/AJ548-1)*100),"NA",IF(((AR548/AJ548-1)*100)&gt;100,"NM",IF(((AR548/AJ548-1)*100)&lt;-50,"NM",(AR548/AJ548-1)*100)))</f>
        <v>9.7500000000000586</v>
      </c>
      <c r="AT548" s="413">
        <f t="shared" ref="AT548" si="3670">AT545-AT546+AT547</f>
        <v>129.20000000000002</v>
      </c>
      <c r="AU548" s="23">
        <f t="shared" ref="AU548:AU553" si="3671">IF(ISERROR((AT548/AL548-1)*100),"NA",IF(((AT548/AL548-1)*100)&gt;100,"NM",IF(((AT548/AL548-1)*100)&lt;-50,"NM",(AT548/AL548-1)*100)))</f>
        <v>7.3981712385702725</v>
      </c>
      <c r="AV548" s="413">
        <f t="shared" ref="AV548" si="3672">AV545-AV546+AV547</f>
        <v>144.79999999999998</v>
      </c>
      <c r="AW548" s="23">
        <f t="shared" ref="AW548:AW553" si="3673">IF(ISERROR((AV548/AN548-1)*100),"NA",IF(((AV548/AN548-1)*100)&gt;100,"NM",IF(((AV548/AN548-1)*100)&lt;-50,"NM",(AV548/AN548-1)*100)))</f>
        <v>11.384615384615348</v>
      </c>
      <c r="AX548" s="413">
        <f t="shared" ref="AX548" si="3674">AX545-AX546+AX547</f>
        <v>123.70000000000002</v>
      </c>
      <c r="AY548" s="23">
        <f t="shared" ref="AY548:AY553" si="3675">IF(ISERROR((AX548/AP548-1)*100),"NA",IF(((AX548/AP548-1)*100)&gt;100,"NM",IF(((AX548/AP548-1)*100)&lt;-50,"NM",(AX548/AP548-1)*100)))</f>
        <v>7.4717636837533075</v>
      </c>
      <c r="AZ548" s="413">
        <f t="shared" ref="AZ548" si="3676">AZ545-AZ546+AZ547</f>
        <v>123.69999999999999</v>
      </c>
      <c r="BA548" s="23">
        <f t="shared" ref="BA548:BA553" si="3677">IF(ISERROR((AZ548/AR548-1)*100),"NA",IF(((AZ548/AR548-1)*100)&gt;100,"NM",IF(((AZ548/AR548-1)*100)&lt;-50,"NM",(AZ548/AR548-1)*100)))</f>
        <v>-6.0744115413819744</v>
      </c>
      <c r="BB548" s="413">
        <f t="shared" ref="BB548:BD548" si="3678">BB545-BB546+BB547</f>
        <v>124.20000000000002</v>
      </c>
      <c r="BC548" s="23">
        <f t="shared" ref="BC548:BC553" si="3679">IF(ISERROR((BB548/AT548-1)*100),"NA",IF(((BB548/AT548-1)*100)&gt;100,"NM",IF(((BB548/AT548-1)*100)&lt;-50,"NM",(BB548/AT548-1)*100)))</f>
        <v>-3.8699690402476783</v>
      </c>
      <c r="BD548" s="413">
        <f t="shared" si="3678"/>
        <v>0</v>
      </c>
      <c r="BE548" s="23" t="str">
        <f t="shared" ref="BE548:BE553" si="3680">IF(ISERROR((BD548/AV548-1)*100),"NA",IF(((BD548/AV548-1)*100)&gt;100,"NM",IF(((BD548/AV548-1)*100)&lt;-50,"NM",(BD548/AV548-1)*100)))</f>
        <v>NM</v>
      </c>
      <c r="BF548" s="413">
        <f>BF$531*BF558/400</f>
        <v>0</v>
      </c>
      <c r="BG548" s="23" t="str">
        <f t="shared" ref="BG548:BG553" si="3681">IF(ISERROR((BF548/AX548-1)*100),"NA",IF(((BF548/AX548-1)*100)&gt;100,"NM",IF(((BF548/AX548-1)*100)&lt;-50,"NM",(BF548/AX548-1)*100)))</f>
        <v>NM</v>
      </c>
      <c r="BH548" s="413">
        <f>BH$531*BH558/400</f>
        <v>0</v>
      </c>
      <c r="BI548" s="23"/>
      <c r="BJ548" s="56"/>
      <c r="BK548" s="23"/>
      <c r="BL548" s="56"/>
      <c r="BM548" s="23" t="str">
        <f t="shared" ref="BM548:BM553" si="3682">IF(ISERROR((BL548/BD548-1)*100),"NA",IF(((BL548/BD548-1)*100)&gt;100,"NM",IF(((BL548/BD548-1)*100)&lt;-50,"NM",(BL548/BD548-1)*100)))</f>
        <v>NA</v>
      </c>
      <c r="BN548" s="35"/>
      <c r="BO548" s="137"/>
      <c r="BP548" s="35"/>
      <c r="BQ548" s="49">
        <v>330.9</v>
      </c>
      <c r="BR548" s="35"/>
      <c r="BS548" s="49">
        <v>367.8</v>
      </c>
      <c r="BT548" s="35"/>
      <c r="BU548" s="56">
        <f>B548+D548+F548+H548</f>
        <v>362.8</v>
      </c>
      <c r="BV548" s="23">
        <f t="shared" ref="BV548:BV553" si="3683">IF(ISERROR((BU548/BS548-1)*100),"NA",IF(((BU548/BS548-1)*100)&gt;100,"NM",IF(((BU548/BS548-1)*100)&lt;-50,"NM",(BU548/BS548-1)*100)))</f>
        <v>-1.3594344752582921</v>
      </c>
      <c r="BW548" s="56">
        <f>BW545-BW546+BW547</f>
        <v>438.80000000000007</v>
      </c>
      <c r="BX548" s="23">
        <f t="shared" ref="BX548:BX553" si="3684">IF(ISERROR((BW548/BU548-1)*100),"NA",IF(((BW548/BU548-1)*100)&gt;100,"NM",IF(((BW548/BU548-1)*100)&lt;-50,"NM",(BW548/BU548-1)*100)))</f>
        <v>20.948180815876526</v>
      </c>
      <c r="BY548" s="56">
        <f>BY545-BY546+BY547</f>
        <v>477.30000000000018</v>
      </c>
      <c r="BZ548" s="23">
        <f t="shared" ref="BZ548:BZ553" si="3685">IF(ISERROR((BY548/BW548-1)*100),"NA",IF(((BY548/BW548-1)*100)&gt;100,"NM",IF(((BY548/BW548-1)*100)&lt;-50,"NM",(BY548/BW548-1)*100)))</f>
        <v>8.7739288969918228</v>
      </c>
      <c r="CA548" s="56">
        <f>Z548+AB548+AD548+AF548</f>
        <v>481.80000000000007</v>
      </c>
      <c r="CB548" s="23">
        <f t="shared" ref="CB548:CB553" si="3686">IF(ISERROR((CA548/BY548-1)*100),"NA",IF(((CA548/BY548-1)*100)&gt;100,"NM",IF(((CA548/BY548-1)*100)&lt;-50,"NM",(CA548/BY548-1)*100)))</f>
        <v>0.9428032683846288</v>
      </c>
      <c r="CC548" s="56">
        <f>AH548+AJ548+AL548+AN548</f>
        <v>493.20000000000005</v>
      </c>
      <c r="CD548" s="23">
        <f t="shared" ref="CD548:CD553" si="3687">IF(ISERROR((CC548/CA548-1)*100),"NA",IF(((CC548/CA548-1)*100)&gt;100,"NM",IF(((CC548/CA548-1)*100)&lt;-50,"NM",(CC548/CA548-1)*100)))</f>
        <v>2.3661270236612575</v>
      </c>
      <c r="CE548" s="56">
        <f>AP548+AR548+AT548+AV548</f>
        <v>520.79999999999995</v>
      </c>
      <c r="CF548" s="23">
        <f t="shared" ref="CF548:CF553" si="3688">IF(ISERROR((CE548/CC548-1)*100),"NA",IF(((CE548/CC548-1)*100)&gt;100,"NM",IF(((CE548/CC548-1)*100)&lt;-50,"NM",(CE548/CC548-1)*100)))</f>
        <v>5.5961070559610526</v>
      </c>
      <c r="CG548" s="56">
        <f>AX548+AZ548+BB548+BD548</f>
        <v>371.6</v>
      </c>
      <c r="CH548" s="23">
        <f t="shared" ref="CH548:CH553" si="3689">IF(ISERROR((CG548/CE548-1)*100),"NA",IF(((CG548/CE548-1)*100)&gt;100,"NM",IF(((CG548/CE548-1)*100)&lt;-50,"NM",(CG548/CE548-1)*100)))</f>
        <v>-28.648233486943152</v>
      </c>
      <c r="CI548" s="413">
        <f>BF548+BH548+BJ548+BL548</f>
        <v>0</v>
      </c>
      <c r="CJ548" s="23"/>
      <c r="CK548" s="56"/>
      <c r="CL548" s="23"/>
      <c r="CM548" s="56"/>
      <c r="CN548" s="23"/>
      <c r="CO548" s="56"/>
      <c r="CP548" s="23"/>
      <c r="CQ548" s="56"/>
      <c r="CR548" s="23" t="str">
        <f t="shared" ref="CR548:CR553" si="3690">IF(ISERROR((CQ548/CO548-1)*100),"NA",IF(((CQ548/CO548-1)*100)&gt;100,"NM",IF(((CQ548/CO548-1)*100)&lt;-50,"NM",(CQ548/CO548-1)*100)))</f>
        <v>NA</v>
      </c>
      <c r="CS548" s="23" t="str">
        <f t="shared" ref="CS548:CS553" si="3691">IF(ISERROR(((CQ548/CG548)^0.2-1)*100),"NA",IF((((CQ548/CG548)^0.2-1)*100)&gt;100,"NM",IF((((CQ548/CG548)^0.2-1)*100)&lt;-50,"NM",((CQ548/CG548)^0.2-1)*100)))</f>
        <v>NM</v>
      </c>
    </row>
    <row r="549" spans="1:97" ht="12.75" hidden="1" customHeight="1" outlineLevel="1" x14ac:dyDescent="0.2">
      <c r="A549" s="4" t="s">
        <v>101</v>
      </c>
      <c r="B549" s="49">
        <v>6.5</v>
      </c>
      <c r="C549" s="59"/>
      <c r="D549" s="49">
        <v>7.7</v>
      </c>
      <c r="E549" s="59"/>
      <c r="F549" s="49">
        <v>7.9</v>
      </c>
      <c r="G549" s="59"/>
      <c r="H549" s="49">
        <v>8.1</v>
      </c>
      <c r="I549" s="59"/>
      <c r="J549" s="49">
        <v>8.6</v>
      </c>
      <c r="K549" s="23">
        <f t="shared" si="3649"/>
        <v>32.307692307692307</v>
      </c>
      <c r="L549" s="49">
        <v>8.4</v>
      </c>
      <c r="M549" s="23">
        <f t="shared" si="3650"/>
        <v>9.0909090909090828</v>
      </c>
      <c r="N549" s="49">
        <v>9.4</v>
      </c>
      <c r="O549" s="23">
        <f t="shared" si="3651"/>
        <v>18.98734177215189</v>
      </c>
      <c r="P549" s="49">
        <v>10.1</v>
      </c>
      <c r="Q549" s="23">
        <f t="shared" si="3652"/>
        <v>24.691358024691358</v>
      </c>
      <c r="R549" s="49">
        <v>10.5</v>
      </c>
      <c r="S549" s="23">
        <f t="shared" si="3653"/>
        <v>22.093023255813947</v>
      </c>
      <c r="T549" s="49">
        <v>11.3</v>
      </c>
      <c r="U549" s="23">
        <f t="shared" si="3654"/>
        <v>34.523809523809533</v>
      </c>
      <c r="V549" s="49">
        <v>12.1</v>
      </c>
      <c r="W549" s="23">
        <f t="shared" si="3655"/>
        <v>28.723404255319139</v>
      </c>
      <c r="X549" s="49">
        <v>12.9</v>
      </c>
      <c r="Y549" s="23">
        <f t="shared" si="3656"/>
        <v>27.722772277227726</v>
      </c>
      <c r="Z549" s="49">
        <v>13.2</v>
      </c>
      <c r="AA549" s="23">
        <f t="shared" si="3657"/>
        <v>25.714285714285712</v>
      </c>
      <c r="AB549" s="49">
        <v>14</v>
      </c>
      <c r="AC549" s="23">
        <f t="shared" si="3658"/>
        <v>23.893805309734507</v>
      </c>
      <c r="AD549" s="49">
        <v>14.6</v>
      </c>
      <c r="AE549" s="23">
        <f t="shared" si="3659"/>
        <v>20.661157024793386</v>
      </c>
      <c r="AF549" s="49">
        <v>14.8</v>
      </c>
      <c r="AG549" s="23">
        <f t="shared" si="3660"/>
        <v>14.728682170542641</v>
      </c>
      <c r="AH549" s="49">
        <v>15.5</v>
      </c>
      <c r="AI549" s="23">
        <f t="shared" si="3661"/>
        <v>17.424242424242429</v>
      </c>
      <c r="AJ549" s="49">
        <v>16.2</v>
      </c>
      <c r="AK549" s="23">
        <f t="shared" si="3662"/>
        <v>15.714285714285703</v>
      </c>
      <c r="AL549" s="49">
        <v>16</v>
      </c>
      <c r="AM549" s="23">
        <f t="shared" si="3663"/>
        <v>9.5890410958904049</v>
      </c>
      <c r="AN549" s="158">
        <v>16.399999999999999</v>
      </c>
      <c r="AO549" s="23">
        <f t="shared" si="3665"/>
        <v>10.810810810810789</v>
      </c>
      <c r="AP549" s="158">
        <v>15.8</v>
      </c>
      <c r="AQ549" s="23">
        <f t="shared" si="3667"/>
        <v>1.9354838709677358</v>
      </c>
      <c r="AR549" s="158">
        <v>16.5</v>
      </c>
      <c r="AS549" s="23">
        <f t="shared" si="3669"/>
        <v>1.8518518518518601</v>
      </c>
      <c r="AT549" s="158">
        <v>17.100000000000001</v>
      </c>
      <c r="AU549" s="23">
        <f t="shared" si="3671"/>
        <v>6.8750000000000089</v>
      </c>
      <c r="AV549" s="158">
        <v>17.5</v>
      </c>
      <c r="AW549" s="23">
        <f t="shared" si="3673"/>
        <v>6.7073170731707377</v>
      </c>
      <c r="AX549" s="158">
        <v>18.399999999999999</v>
      </c>
      <c r="AY549" s="23">
        <f t="shared" si="3675"/>
        <v>16.455696202531623</v>
      </c>
      <c r="AZ549" s="158">
        <v>19.100000000000001</v>
      </c>
      <c r="BA549" s="23">
        <f t="shared" si="3677"/>
        <v>15.75757575757577</v>
      </c>
      <c r="BB549" s="158">
        <v>20.2</v>
      </c>
      <c r="BC549" s="23">
        <f t="shared" si="3679"/>
        <v>18.128654970760216</v>
      </c>
      <c r="BD549" s="158"/>
      <c r="BE549" s="23" t="str">
        <f t="shared" si="3680"/>
        <v>NM</v>
      </c>
      <c r="BF549" s="413">
        <f>BF$531*BF561/400</f>
        <v>0</v>
      </c>
      <c r="BG549" s="23" t="str">
        <f t="shared" si="3681"/>
        <v>NM</v>
      </c>
      <c r="BH549" s="413">
        <f>BH$531*BH561/400</f>
        <v>0</v>
      </c>
      <c r="BI549" s="23"/>
      <c r="BJ549" s="56"/>
      <c r="BK549" s="23"/>
      <c r="BL549" s="56"/>
      <c r="BM549" s="23" t="str">
        <f t="shared" si="3682"/>
        <v>NA</v>
      </c>
      <c r="BN549" s="35"/>
      <c r="BO549" s="137"/>
      <c r="BP549" s="35"/>
      <c r="BQ549" s="49">
        <v>18</v>
      </c>
      <c r="BR549" s="35"/>
      <c r="BS549" s="49">
        <v>18.899999999999999</v>
      </c>
      <c r="BT549" s="35"/>
      <c r="BU549" s="56">
        <f>B549+D549+F549+H549</f>
        <v>30.200000000000003</v>
      </c>
      <c r="BV549" s="23">
        <f t="shared" si="3683"/>
        <v>59.788359788359813</v>
      </c>
      <c r="BW549" s="56">
        <f>J549+L549+N549+P549</f>
        <v>36.5</v>
      </c>
      <c r="BX549" s="23">
        <f t="shared" si="3684"/>
        <v>20.860927152317863</v>
      </c>
      <c r="BY549" s="56">
        <f>R549+T549+V549+X549</f>
        <v>46.8</v>
      </c>
      <c r="BZ549" s="23">
        <f t="shared" si="3685"/>
        <v>28.219178082191764</v>
      </c>
      <c r="CA549" s="56">
        <f>Z549+AB549+AD549+AF549</f>
        <v>56.599999999999994</v>
      </c>
      <c r="CB549" s="23">
        <f t="shared" si="3686"/>
        <v>20.940170940170933</v>
      </c>
      <c r="CC549" s="56">
        <f>AH549+AJ549+AL549+AN549</f>
        <v>64.099999999999994</v>
      </c>
      <c r="CD549" s="23">
        <f t="shared" si="3687"/>
        <v>13.250883392226154</v>
      </c>
      <c r="CE549" s="56">
        <f>AP549+AR549+AT549+AV549</f>
        <v>66.900000000000006</v>
      </c>
      <c r="CF549" s="23">
        <f t="shared" si="3688"/>
        <v>4.3681747269890936</v>
      </c>
      <c r="CG549" s="56">
        <f>AX549+AZ549+BB549+BD549</f>
        <v>57.7</v>
      </c>
      <c r="CH549" s="23">
        <f t="shared" si="3689"/>
        <v>-13.751868460388639</v>
      </c>
      <c r="CI549" s="413">
        <f>BF549+BH549+BJ549+BL549</f>
        <v>0</v>
      </c>
      <c r="CJ549" s="23"/>
      <c r="CK549" s="56"/>
      <c r="CL549" s="23"/>
      <c r="CM549" s="56"/>
      <c r="CN549" s="23"/>
      <c r="CO549" s="56"/>
      <c r="CP549" s="23"/>
      <c r="CQ549" s="56"/>
      <c r="CR549" s="23" t="str">
        <f t="shared" si="3690"/>
        <v>NA</v>
      </c>
      <c r="CS549" s="23" t="str">
        <f t="shared" si="3691"/>
        <v>NM</v>
      </c>
    </row>
    <row r="550" spans="1:97" ht="12.75" hidden="1" customHeight="1" outlineLevel="1" x14ac:dyDescent="0.2">
      <c r="A550" s="4" t="s">
        <v>209</v>
      </c>
      <c r="B550" s="49">
        <v>4.9000000000000004</v>
      </c>
      <c r="C550" s="59"/>
      <c r="D550" s="49">
        <v>7.2</v>
      </c>
      <c r="E550" s="59"/>
      <c r="F550" s="49">
        <v>5.4</v>
      </c>
      <c r="G550" s="59"/>
      <c r="H550" s="49">
        <v>2.2000000000000002</v>
      </c>
      <c r="I550" s="59"/>
      <c r="J550" s="49">
        <v>3.1</v>
      </c>
      <c r="K550" s="23">
        <f t="shared" si="3649"/>
        <v>-36.734693877551031</v>
      </c>
      <c r="L550" s="49">
        <v>4</v>
      </c>
      <c r="M550" s="23">
        <f t="shared" si="3650"/>
        <v>-44.444444444444443</v>
      </c>
      <c r="N550" s="49">
        <v>2.2000000000000002</v>
      </c>
      <c r="O550" s="23" t="str">
        <f t="shared" si="3651"/>
        <v>NM</v>
      </c>
      <c r="P550" s="49">
        <v>5.6</v>
      </c>
      <c r="Q550" s="23" t="str">
        <f t="shared" si="3652"/>
        <v>NM</v>
      </c>
      <c r="R550" s="49">
        <v>7.2</v>
      </c>
      <c r="S550" s="23" t="str">
        <f t="shared" si="3653"/>
        <v>NM</v>
      </c>
      <c r="T550" s="49">
        <v>4.4000000000000004</v>
      </c>
      <c r="U550" s="23">
        <f t="shared" si="3654"/>
        <v>10.000000000000009</v>
      </c>
      <c r="V550" s="49">
        <v>2.2999999999999998</v>
      </c>
      <c r="W550" s="23">
        <f t="shared" si="3655"/>
        <v>4.5454545454545192</v>
      </c>
      <c r="X550" s="49">
        <v>4.3</v>
      </c>
      <c r="Y550" s="23">
        <f t="shared" si="3656"/>
        <v>-23.214285714285708</v>
      </c>
      <c r="Z550" s="49">
        <v>7</v>
      </c>
      <c r="AA550" s="23">
        <f t="shared" si="3657"/>
        <v>-2.777777777777779</v>
      </c>
      <c r="AB550" s="49">
        <v>9</v>
      </c>
      <c r="AC550" s="23" t="str">
        <f t="shared" si="3658"/>
        <v>NM</v>
      </c>
      <c r="AD550" s="49">
        <v>3.3</v>
      </c>
      <c r="AE550" s="23">
        <f t="shared" si="3659"/>
        <v>43.478260869565212</v>
      </c>
      <c r="AF550" s="49">
        <v>6.2</v>
      </c>
      <c r="AG550" s="23">
        <f t="shared" si="3660"/>
        <v>44.186046511627922</v>
      </c>
      <c r="AH550" s="49">
        <v>7.5</v>
      </c>
      <c r="AI550" s="23">
        <f t="shared" si="3661"/>
        <v>7.1428571428571397</v>
      </c>
      <c r="AJ550" s="49">
        <v>4.5999999999999996</v>
      </c>
      <c r="AK550" s="23">
        <f t="shared" si="3662"/>
        <v>-48.888888888888893</v>
      </c>
      <c r="AL550" s="49">
        <v>24.1</v>
      </c>
      <c r="AM550" s="23" t="str">
        <f t="shared" si="3663"/>
        <v>NM</v>
      </c>
      <c r="AN550" s="158">
        <f>4.1</f>
        <v>4.0999999999999996</v>
      </c>
      <c r="AO550" s="23">
        <f t="shared" si="3665"/>
        <v>-33.870967741935488</v>
      </c>
      <c r="AP550" s="158">
        <v>4.3</v>
      </c>
      <c r="AQ550" s="23">
        <f t="shared" si="3667"/>
        <v>-42.666666666666664</v>
      </c>
      <c r="AR550" s="158">
        <v>4.9000000000000004</v>
      </c>
      <c r="AS550" s="23">
        <f t="shared" si="3669"/>
        <v>6.5217391304347894</v>
      </c>
      <c r="AT550" s="158">
        <v>0</v>
      </c>
      <c r="AU550" s="23" t="str">
        <f t="shared" si="3671"/>
        <v>NM</v>
      </c>
      <c r="AV550" s="158">
        <v>4.2</v>
      </c>
      <c r="AW550" s="23">
        <f t="shared" si="3673"/>
        <v>2.4390243902439046</v>
      </c>
      <c r="AX550" s="158">
        <v>5.8</v>
      </c>
      <c r="AY550" s="23">
        <f t="shared" si="3675"/>
        <v>34.883720930232556</v>
      </c>
      <c r="AZ550" s="158">
        <v>4.3</v>
      </c>
      <c r="BA550" s="23">
        <f t="shared" si="3677"/>
        <v>-12.244897959183687</v>
      </c>
      <c r="BB550" s="158">
        <v>3.9</v>
      </c>
      <c r="BC550" s="23" t="str">
        <f t="shared" si="3679"/>
        <v>NA</v>
      </c>
      <c r="BD550" s="158"/>
      <c r="BE550" s="23" t="str">
        <f t="shared" si="3680"/>
        <v>NM</v>
      </c>
      <c r="BF550" s="410">
        <f t="shared" ref="BF550" si="3692">BF530*BF562/400</f>
        <v>0</v>
      </c>
      <c r="BG550" s="23" t="str">
        <f t="shared" si="3681"/>
        <v>NM</v>
      </c>
      <c r="BH550" s="410">
        <f t="shared" ref="BH550" si="3693">BH530*BH562/400</f>
        <v>0</v>
      </c>
      <c r="BI550" s="23"/>
      <c r="BJ550" s="36"/>
      <c r="BK550" s="23"/>
      <c r="BL550" s="36"/>
      <c r="BM550" s="23" t="str">
        <f t="shared" si="3682"/>
        <v>NA</v>
      </c>
      <c r="BN550" s="35"/>
      <c r="BO550" s="137"/>
      <c r="BP550" s="35"/>
      <c r="BQ550" s="49">
        <v>17.600000000000001</v>
      </c>
      <c r="BR550" s="35"/>
      <c r="BS550" s="49">
        <v>27.1</v>
      </c>
      <c r="BT550" s="35"/>
      <c r="BU550" s="56">
        <f>B550+D550+F550+H550</f>
        <v>19.7</v>
      </c>
      <c r="BV550" s="23">
        <f t="shared" si="3683"/>
        <v>-27.306273062730636</v>
      </c>
      <c r="BW550" s="56">
        <f>J550+L550+N550+P550</f>
        <v>14.9</v>
      </c>
      <c r="BX550" s="23">
        <f t="shared" si="3684"/>
        <v>-24.365482233502533</v>
      </c>
      <c r="BY550" s="56">
        <f>R550+T550+V550+X550</f>
        <v>18.200000000000003</v>
      </c>
      <c r="BZ550" s="23">
        <f t="shared" si="3685"/>
        <v>22.147651006711435</v>
      </c>
      <c r="CA550" s="56">
        <f>Z550+AB550+AD550+AF550</f>
        <v>25.5</v>
      </c>
      <c r="CB550" s="23">
        <f t="shared" si="3686"/>
        <v>40.109890109890081</v>
      </c>
      <c r="CC550" s="56">
        <f>AH550+AJ550+AL550+AN550</f>
        <v>40.300000000000004</v>
      </c>
      <c r="CD550" s="23">
        <f t="shared" si="3687"/>
        <v>58.039215686274524</v>
      </c>
      <c r="CE550" s="56">
        <f>AP550+AR550+AT550+AV550</f>
        <v>13.399999999999999</v>
      </c>
      <c r="CF550" s="23" t="str">
        <f t="shared" si="3688"/>
        <v>NM</v>
      </c>
      <c r="CG550" s="56">
        <f>AX550+AZ550+BB550+BD550</f>
        <v>14</v>
      </c>
      <c r="CH550" s="23">
        <f t="shared" si="3689"/>
        <v>4.4776119402985204</v>
      </c>
      <c r="CI550" s="413">
        <f>BF550+BH550+BJ550+BL550</f>
        <v>0</v>
      </c>
      <c r="CJ550" s="23"/>
      <c r="CK550" s="56"/>
      <c r="CL550" s="23"/>
      <c r="CM550" s="56"/>
      <c r="CN550" s="23"/>
      <c r="CO550" s="56"/>
      <c r="CP550" s="23"/>
      <c r="CQ550" s="56"/>
      <c r="CR550" s="23" t="str">
        <f t="shared" si="3690"/>
        <v>NA</v>
      </c>
      <c r="CS550" s="23" t="str">
        <f t="shared" si="3691"/>
        <v>NM</v>
      </c>
    </row>
    <row r="551" spans="1:97" ht="12.75" hidden="1" customHeight="1" outlineLevel="1" x14ac:dyDescent="0.2">
      <c r="A551" s="4" t="s">
        <v>103</v>
      </c>
      <c r="B551" s="56">
        <f t="shared" ref="B551" si="3694">SUM(B548:B550)</f>
        <v>98</v>
      </c>
      <c r="C551" s="59"/>
      <c r="D551" s="56">
        <f t="shared" ref="D551" si="3695">SUM(D548:D550)</f>
        <v>125.60000000000001</v>
      </c>
      <c r="E551" s="59"/>
      <c r="F551" s="56">
        <f t="shared" ref="F551" si="3696">SUM(F548:F550)</f>
        <v>115.30000000000001</v>
      </c>
      <c r="G551" s="59"/>
      <c r="H551" s="56">
        <f t="shared" ref="H551" si="3697">SUM(H548:H550)</f>
        <v>73.8</v>
      </c>
      <c r="I551" s="59"/>
      <c r="J551" s="56">
        <f t="shared" ref="J551" si="3698">SUM(J548:J550)</f>
        <v>122.19999999999997</v>
      </c>
      <c r="K551" s="23">
        <f t="shared" si="3649"/>
        <v>24.693877551020371</v>
      </c>
      <c r="L551" s="56">
        <f t="shared" ref="L551" si="3699">SUM(L548:L550)</f>
        <v>115.2</v>
      </c>
      <c r="M551" s="23">
        <f t="shared" si="3650"/>
        <v>-8.2802547770700734</v>
      </c>
      <c r="N551" s="56">
        <f t="shared" ref="N551" si="3700">SUM(N548:N550)</f>
        <v>118.30000000000001</v>
      </c>
      <c r="O551" s="23">
        <f t="shared" si="3651"/>
        <v>2.601908065915004</v>
      </c>
      <c r="P551" s="56">
        <f t="shared" ref="P551" si="3701">SUM(P548:P550)</f>
        <v>134.5</v>
      </c>
      <c r="Q551" s="23">
        <f t="shared" si="3652"/>
        <v>82.249322493224938</v>
      </c>
      <c r="R551" s="56">
        <f t="shared" ref="R551" si="3702">SUM(R548:R550)</f>
        <v>131.1</v>
      </c>
      <c r="S551" s="23">
        <f t="shared" si="3653"/>
        <v>7.2831423895253877</v>
      </c>
      <c r="T551" s="56">
        <f t="shared" ref="T551" si="3703">SUM(T548:T550)</f>
        <v>131.1</v>
      </c>
      <c r="U551" s="23">
        <f t="shared" si="3654"/>
        <v>13.802083333333325</v>
      </c>
      <c r="V551" s="56">
        <f t="shared" ref="V551" si="3704">SUM(V548:V550)</f>
        <v>142.4</v>
      </c>
      <c r="W551" s="23">
        <f t="shared" si="3655"/>
        <v>20.371935756551139</v>
      </c>
      <c r="X551" s="56">
        <f t="shared" ref="X551" si="3705">SUM(X548:X550)</f>
        <v>137.70000000000002</v>
      </c>
      <c r="Y551" s="23">
        <f t="shared" si="3656"/>
        <v>2.3791821561338411</v>
      </c>
      <c r="Z551" s="56">
        <f t="shared" ref="Z551" si="3706">SUM(Z548:Z550)</f>
        <v>131.20000000000005</v>
      </c>
      <c r="AA551" s="23">
        <f t="shared" si="3657"/>
        <v>7.6277650648393092E-2</v>
      </c>
      <c r="AB551" s="56">
        <f t="shared" ref="AB551" si="3707">SUM(AB548:AB550)</f>
        <v>139.40000000000003</v>
      </c>
      <c r="AC551" s="23">
        <f t="shared" si="3658"/>
        <v>6.3310450038139177</v>
      </c>
      <c r="AD551" s="56">
        <f t="shared" ref="AD551" si="3708">SUM(AD548:AD550)</f>
        <v>143.59999999999997</v>
      </c>
      <c r="AE551" s="23">
        <f t="shared" si="3659"/>
        <v>0.84269662921345745</v>
      </c>
      <c r="AF551" s="56">
        <f t="shared" ref="AF551" si="3709">SUM(AF548:AF550)</f>
        <v>149.70000000000002</v>
      </c>
      <c r="AG551" s="23">
        <f t="shared" si="3660"/>
        <v>8.7145969498910745</v>
      </c>
      <c r="AH551" s="56">
        <f t="shared" ref="AH551" si="3710">SUM(AH548:AH550)</f>
        <v>145.90000000000003</v>
      </c>
      <c r="AI551" s="23">
        <f t="shared" si="3661"/>
        <v>11.204268292682906</v>
      </c>
      <c r="AJ551" s="56">
        <f t="shared" ref="AJ551" si="3711">SUM(AJ548:AJ550)</f>
        <v>140.79999999999998</v>
      </c>
      <c r="AK551" s="23">
        <f t="shared" si="3662"/>
        <v>1.0043041606886183</v>
      </c>
      <c r="AL551" s="56">
        <f t="shared" ref="AL551" si="3712">SUM(AL548:AL550)</f>
        <v>160.39999999999998</v>
      </c>
      <c r="AM551" s="23">
        <f t="shared" si="3663"/>
        <v>11.699164345403901</v>
      </c>
      <c r="AN551" s="413">
        <f t="shared" ref="AN551" si="3713">SUM(AN548:AN550)</f>
        <v>150.50000000000003</v>
      </c>
      <c r="AO551" s="23">
        <f t="shared" si="3665"/>
        <v>0.53440213760855837</v>
      </c>
      <c r="AP551" s="413">
        <f t="shared" ref="AP551" si="3714">SUM(AP548:AP550)</f>
        <v>135.19999999999996</v>
      </c>
      <c r="AQ551" s="23">
        <f t="shared" si="3667"/>
        <v>-7.3337902673064281</v>
      </c>
      <c r="AR551" s="413">
        <f t="shared" ref="AR551" si="3715">SUM(AR548:AR550)</f>
        <v>153.10000000000005</v>
      </c>
      <c r="AS551" s="23">
        <f t="shared" si="3669"/>
        <v>8.735795454545503</v>
      </c>
      <c r="AT551" s="413">
        <f t="shared" ref="AT551" si="3716">SUM(AT548:AT550)</f>
        <v>146.30000000000001</v>
      </c>
      <c r="AU551" s="23">
        <f t="shared" si="3671"/>
        <v>-8.7905236907730444</v>
      </c>
      <c r="AV551" s="413">
        <f t="shared" ref="AV551" si="3717">SUM(AV548:AV550)</f>
        <v>166.49999999999997</v>
      </c>
      <c r="AW551" s="23">
        <f t="shared" si="3673"/>
        <v>10.631229235880358</v>
      </c>
      <c r="AX551" s="413">
        <f t="shared" ref="AX551" si="3718">SUM(AX548:AX550)</f>
        <v>147.90000000000003</v>
      </c>
      <c r="AY551" s="23">
        <f t="shared" si="3675"/>
        <v>9.3934911242604215</v>
      </c>
      <c r="AZ551" s="413">
        <f t="shared" ref="AZ551" si="3719">SUM(AZ548:AZ550)</f>
        <v>147.1</v>
      </c>
      <c r="BA551" s="23">
        <f t="shared" si="3677"/>
        <v>-3.9190071848465458</v>
      </c>
      <c r="BB551" s="413">
        <f t="shared" ref="BB551:BD551" si="3720">SUM(BB548:BB550)</f>
        <v>148.30000000000001</v>
      </c>
      <c r="BC551" s="23">
        <f t="shared" si="3679"/>
        <v>1.36705399863295</v>
      </c>
      <c r="BD551" s="413">
        <f t="shared" si="3720"/>
        <v>0</v>
      </c>
      <c r="BE551" s="23" t="str">
        <f t="shared" si="3680"/>
        <v>NM</v>
      </c>
      <c r="BF551" s="410">
        <f t="shared" ref="BF551" si="3721">SUM(BF548:BF550)</f>
        <v>0</v>
      </c>
      <c r="BG551" s="23" t="str">
        <f t="shared" si="3681"/>
        <v>NM</v>
      </c>
      <c r="BH551" s="410">
        <f t="shared" ref="BH551" si="3722">SUM(BH548:BH550)</f>
        <v>0</v>
      </c>
      <c r="BI551" s="23"/>
      <c r="BJ551" s="36"/>
      <c r="BK551" s="23"/>
      <c r="BL551" s="36"/>
      <c r="BM551" s="23" t="str">
        <f t="shared" si="3682"/>
        <v>NA</v>
      </c>
      <c r="BN551" s="35"/>
      <c r="BO551" s="137"/>
      <c r="BP551" s="35"/>
      <c r="BQ551" s="56">
        <f>SUM(BQ548:BQ550)</f>
        <v>366.5</v>
      </c>
      <c r="BR551" s="35"/>
      <c r="BS551" s="56">
        <f>SUM(BS548:BS550)</f>
        <v>413.8</v>
      </c>
      <c r="BT551" s="35"/>
      <c r="BU551" s="56">
        <f>SUM(BU548:BU550)</f>
        <v>412.7</v>
      </c>
      <c r="BV551" s="23">
        <f t="shared" si="3683"/>
        <v>-0.26582890285162808</v>
      </c>
      <c r="BW551" s="56">
        <f t="shared" ref="BW551" si="3723">SUM(BW548:BW550)</f>
        <v>490.20000000000005</v>
      </c>
      <c r="BX551" s="23">
        <f t="shared" si="3684"/>
        <v>18.778773927792592</v>
      </c>
      <c r="BY551" s="56">
        <f t="shared" ref="BY551" si="3724">SUM(BY548:BY550)</f>
        <v>542.30000000000018</v>
      </c>
      <c r="BZ551" s="23">
        <f t="shared" si="3685"/>
        <v>10.628314973480247</v>
      </c>
      <c r="CA551" s="56">
        <f t="shared" ref="CA551" si="3725">SUM(CA548:CA550)</f>
        <v>563.90000000000009</v>
      </c>
      <c r="CB551" s="23">
        <f t="shared" si="3686"/>
        <v>3.9830352203577224</v>
      </c>
      <c r="CC551" s="56">
        <f t="shared" ref="CC551" si="3726">SUM(CC548:CC550)</f>
        <v>597.6</v>
      </c>
      <c r="CD551" s="23">
        <f t="shared" si="3687"/>
        <v>5.9762369214399591</v>
      </c>
      <c r="CE551" s="56">
        <f t="shared" ref="CE551" si="3727">SUM(CE548:CE550)</f>
        <v>601.09999999999991</v>
      </c>
      <c r="CF551" s="23">
        <f t="shared" si="3688"/>
        <v>0.58567603748325148</v>
      </c>
      <c r="CG551" s="56">
        <f t="shared" ref="CG551" si="3728">SUM(CG548:CG550)</f>
        <v>443.3</v>
      </c>
      <c r="CH551" s="23">
        <f t="shared" si="3689"/>
        <v>-26.251871568790541</v>
      </c>
      <c r="CI551" s="413">
        <f t="shared" ref="CI551" si="3729">SUM(CI548:CI550)</f>
        <v>0</v>
      </c>
      <c r="CJ551" s="23"/>
      <c r="CK551" s="56"/>
      <c r="CL551" s="23"/>
      <c r="CM551" s="56"/>
      <c r="CN551" s="23"/>
      <c r="CO551" s="56"/>
      <c r="CP551" s="23"/>
      <c r="CQ551" s="56"/>
      <c r="CR551" s="23" t="str">
        <f t="shared" si="3690"/>
        <v>NA</v>
      </c>
      <c r="CS551" s="23" t="str">
        <f t="shared" si="3691"/>
        <v>NM</v>
      </c>
    </row>
    <row r="552" spans="1:97" ht="12.75" hidden="1" customHeight="1" outlineLevel="1" x14ac:dyDescent="0.2">
      <c r="A552" s="4" t="s">
        <v>102</v>
      </c>
      <c r="B552" s="49">
        <v>244.9</v>
      </c>
      <c r="C552" s="59"/>
      <c r="D552" s="49">
        <v>241.3</v>
      </c>
      <c r="E552" s="59"/>
      <c r="F552" s="49">
        <v>239.1</v>
      </c>
      <c r="G552" s="59"/>
      <c r="H552" s="49">
        <v>234.8</v>
      </c>
      <c r="I552" s="59"/>
      <c r="J552" s="49">
        <v>216.9</v>
      </c>
      <c r="K552" s="23">
        <f t="shared" si="3649"/>
        <v>-11.433238056349527</v>
      </c>
      <c r="L552" s="49">
        <v>201.8</v>
      </c>
      <c r="M552" s="23">
        <f t="shared" si="3650"/>
        <v>-16.369664318276001</v>
      </c>
      <c r="N552" s="49">
        <v>184.7</v>
      </c>
      <c r="O552" s="23">
        <f t="shared" si="3651"/>
        <v>-22.751986616478458</v>
      </c>
      <c r="P552" s="49">
        <v>179.7</v>
      </c>
      <c r="Q552" s="23">
        <f t="shared" si="3652"/>
        <v>-23.46678023850086</v>
      </c>
      <c r="R552" s="49">
        <v>173.7</v>
      </c>
      <c r="S552" s="23">
        <f t="shared" si="3653"/>
        <v>-19.917012448132787</v>
      </c>
      <c r="T552" s="49">
        <v>167.8</v>
      </c>
      <c r="U552" s="23">
        <f t="shared" si="3654"/>
        <v>-16.848364717542118</v>
      </c>
      <c r="V552" s="49">
        <v>168.1</v>
      </c>
      <c r="W552" s="23">
        <f t="shared" si="3655"/>
        <v>-8.9875473741201972</v>
      </c>
      <c r="X552" s="49">
        <v>163</v>
      </c>
      <c r="Y552" s="23">
        <f t="shared" si="3656"/>
        <v>-9.2932665553700495</v>
      </c>
      <c r="Z552" s="49">
        <v>159.69999999999999</v>
      </c>
      <c r="AA552" s="23">
        <f t="shared" si="3657"/>
        <v>-8.0598733448474356</v>
      </c>
      <c r="AB552" s="49">
        <v>159.69999999999999</v>
      </c>
      <c r="AC552" s="23">
        <f t="shared" si="3658"/>
        <v>-4.8271752085816573</v>
      </c>
      <c r="AD552" s="49">
        <v>156.80000000000001</v>
      </c>
      <c r="AE552" s="23">
        <f t="shared" si="3659"/>
        <v>-6.7221891731112375</v>
      </c>
      <c r="AF552" s="49">
        <v>152.1</v>
      </c>
      <c r="AG552" s="23">
        <f t="shared" si="3660"/>
        <v>-6.6871165644171837</v>
      </c>
      <c r="AH552" s="49">
        <v>144.19999999999999</v>
      </c>
      <c r="AI552" s="23">
        <f t="shared" si="3661"/>
        <v>-9.7056981840951799</v>
      </c>
      <c r="AJ552" s="49">
        <v>143.5</v>
      </c>
      <c r="AK552" s="23">
        <f t="shared" si="3662"/>
        <v>-10.144020037570433</v>
      </c>
      <c r="AL552" s="49">
        <v>144.5</v>
      </c>
      <c r="AM552" s="23">
        <f t="shared" si="3663"/>
        <v>-7.8443877551020442</v>
      </c>
      <c r="AN552" s="158">
        <v>143.1</v>
      </c>
      <c r="AO552" s="23">
        <f t="shared" si="3665"/>
        <v>-5.9171597633136059</v>
      </c>
      <c r="AP552" s="158">
        <v>140.30000000000001</v>
      </c>
      <c r="AQ552" s="23">
        <f t="shared" si="3667"/>
        <v>-2.7045769764216243</v>
      </c>
      <c r="AR552" s="158">
        <v>137.6</v>
      </c>
      <c r="AS552" s="23">
        <f t="shared" si="3669"/>
        <v>-4.1114982578397292</v>
      </c>
      <c r="AT552" s="158">
        <v>138.1</v>
      </c>
      <c r="AU552" s="23">
        <f t="shared" si="3671"/>
        <v>-4.4290657439446379</v>
      </c>
      <c r="AV552" s="158">
        <v>132.9</v>
      </c>
      <c r="AW552" s="23">
        <f t="shared" si="3673"/>
        <v>-7.1278825995807038</v>
      </c>
      <c r="AX552" s="158">
        <v>132.19999999999999</v>
      </c>
      <c r="AY552" s="23">
        <f t="shared" si="3675"/>
        <v>-5.7733428367783501</v>
      </c>
      <c r="AZ552" s="158">
        <v>133.1</v>
      </c>
      <c r="BA552" s="23">
        <f t="shared" si="3677"/>
        <v>-3.2703488372093026</v>
      </c>
      <c r="BB552" s="158">
        <v>132.19999999999999</v>
      </c>
      <c r="BC552" s="23">
        <f t="shared" si="3679"/>
        <v>-4.2722664735698856</v>
      </c>
      <c r="BD552" s="158"/>
      <c r="BE552" s="23" t="str">
        <f t="shared" si="3680"/>
        <v>NM</v>
      </c>
      <c r="BF552" s="410">
        <f>BF$531*BF557/400</f>
        <v>0.6547443336500004</v>
      </c>
      <c r="BG552" s="23" t="str">
        <f t="shared" si="3681"/>
        <v>NM</v>
      </c>
      <c r="BH552" s="410">
        <f>BH$531*BH557/400</f>
        <v>0.676662726629223</v>
      </c>
      <c r="BI552" s="23"/>
      <c r="BJ552" s="36"/>
      <c r="BK552" s="23"/>
      <c r="BL552" s="36"/>
      <c r="BM552" s="23" t="str">
        <f t="shared" si="3682"/>
        <v>NA</v>
      </c>
      <c r="BN552" s="35"/>
      <c r="BO552" s="137"/>
      <c r="BP552" s="35"/>
      <c r="BQ552" s="74"/>
      <c r="BR552" s="113"/>
      <c r="BS552" s="74"/>
      <c r="BT552" s="35"/>
      <c r="BU552" s="56">
        <f>B552+D552+F552+H552</f>
        <v>960.10000000000014</v>
      </c>
      <c r="BV552" s="23" t="str">
        <f t="shared" si="3683"/>
        <v>NA</v>
      </c>
      <c r="BW552" s="56">
        <f>J552+L552+N552+P552</f>
        <v>783.10000000000014</v>
      </c>
      <c r="BX552" s="23">
        <f t="shared" si="3684"/>
        <v>-18.435579627122166</v>
      </c>
      <c r="BY552" s="56">
        <f>R552+T552+V552+X552</f>
        <v>672.6</v>
      </c>
      <c r="BZ552" s="23">
        <f t="shared" si="3685"/>
        <v>-14.110586132039337</v>
      </c>
      <c r="CA552" s="56">
        <f>Z552+AB552+AD552+AF552</f>
        <v>628.29999999999995</v>
      </c>
      <c r="CB552" s="23">
        <f t="shared" si="3686"/>
        <v>-6.5863812072554317</v>
      </c>
      <c r="CC552" s="56">
        <f>AH552+AJ552+AL552+AN552</f>
        <v>575.29999999999995</v>
      </c>
      <c r="CD552" s="23">
        <f t="shared" si="3687"/>
        <v>-8.4354607671494506</v>
      </c>
      <c r="CE552" s="56">
        <f>AP552+AR552+AT552+AV552</f>
        <v>548.9</v>
      </c>
      <c r="CF552" s="23">
        <f t="shared" si="3688"/>
        <v>-4.5889101338432052</v>
      </c>
      <c r="CG552" s="56">
        <f>AX552+AZ552+BB552+BD552</f>
        <v>397.49999999999994</v>
      </c>
      <c r="CH552" s="23">
        <f t="shared" si="3689"/>
        <v>-27.582437602477693</v>
      </c>
      <c r="CI552" s="413">
        <f>BF552+BH552+BJ552+BL552</f>
        <v>1.3314070602792234</v>
      </c>
      <c r="CJ552" s="23"/>
      <c r="CK552" s="56"/>
      <c r="CL552" s="23"/>
      <c r="CM552" s="56"/>
      <c r="CN552" s="23"/>
      <c r="CO552" s="56"/>
      <c r="CP552" s="23"/>
      <c r="CQ552" s="56"/>
      <c r="CR552" s="23" t="str">
        <f t="shared" si="3690"/>
        <v>NA</v>
      </c>
      <c r="CS552" s="23" t="str">
        <f t="shared" si="3691"/>
        <v>NM</v>
      </c>
    </row>
    <row r="553" spans="1:97" ht="12.75" hidden="1" customHeight="1" outlineLevel="1" x14ac:dyDescent="0.2">
      <c r="A553" s="4" t="s">
        <v>15</v>
      </c>
      <c r="B553" s="36">
        <f>B551+B552</f>
        <v>342.9</v>
      </c>
      <c r="C553" s="59"/>
      <c r="D553" s="36">
        <f t="shared" ref="D553" si="3730">D551+D552</f>
        <v>366.90000000000003</v>
      </c>
      <c r="E553" s="59"/>
      <c r="F553" s="36">
        <f t="shared" ref="F553" si="3731">F551+F552</f>
        <v>354.4</v>
      </c>
      <c r="G553" s="59"/>
      <c r="H553" s="36">
        <f t="shared" ref="H553" si="3732">H551+H552</f>
        <v>308.60000000000002</v>
      </c>
      <c r="I553" s="59"/>
      <c r="J553" s="36">
        <f t="shared" ref="J553" si="3733">J551+J552</f>
        <v>339.09999999999997</v>
      </c>
      <c r="K553" s="23">
        <f t="shared" si="3649"/>
        <v>-1.1081948089822102</v>
      </c>
      <c r="L553" s="36">
        <f t="shared" ref="L553" si="3734">L551+L552</f>
        <v>317</v>
      </c>
      <c r="M553" s="23">
        <f t="shared" si="3650"/>
        <v>-13.600436086127022</v>
      </c>
      <c r="N553" s="36">
        <f t="shared" ref="N553" si="3735">N551+N552</f>
        <v>303</v>
      </c>
      <c r="O553" s="23">
        <f t="shared" si="3651"/>
        <v>-14.503386004514663</v>
      </c>
      <c r="P553" s="56">
        <f t="shared" ref="P553" si="3736">P551+P552</f>
        <v>314.2</v>
      </c>
      <c r="Q553" s="23">
        <f t="shared" si="3652"/>
        <v>1.8146467919637033</v>
      </c>
      <c r="R553" s="56">
        <f t="shared" ref="R553" si="3737">R551+R552</f>
        <v>304.79999999999995</v>
      </c>
      <c r="S553" s="23">
        <f t="shared" si="3653"/>
        <v>-10.115010321439112</v>
      </c>
      <c r="T553" s="56">
        <f t="shared" ref="T553" si="3738">T551+T552</f>
        <v>298.89999999999998</v>
      </c>
      <c r="U553" s="23">
        <f t="shared" si="3654"/>
        <v>-5.7097791798107362</v>
      </c>
      <c r="V553" s="56">
        <f t="shared" ref="V553" si="3739">V551+V552</f>
        <v>310.5</v>
      </c>
      <c r="W553" s="23">
        <f t="shared" si="3655"/>
        <v>2.4752475247524774</v>
      </c>
      <c r="X553" s="56">
        <f t="shared" ref="X553" si="3740">X551+X552</f>
        <v>300.70000000000005</v>
      </c>
      <c r="Y553" s="23">
        <f t="shared" si="3656"/>
        <v>-4.2966263526416082</v>
      </c>
      <c r="Z553" s="56">
        <f t="shared" ref="Z553" si="3741">Z551+Z552</f>
        <v>290.90000000000003</v>
      </c>
      <c r="AA553" s="23">
        <f t="shared" si="3657"/>
        <v>-4.5603674540682153</v>
      </c>
      <c r="AB553" s="56">
        <f t="shared" ref="AB553" si="3742">AB551+AB552</f>
        <v>299.10000000000002</v>
      </c>
      <c r="AC553" s="23">
        <f t="shared" si="3658"/>
        <v>6.6912010705943992E-2</v>
      </c>
      <c r="AD553" s="56">
        <f t="shared" ref="AD553" si="3743">AD551+AD552</f>
        <v>300.39999999999998</v>
      </c>
      <c r="AE553" s="23">
        <f t="shared" si="3659"/>
        <v>-3.2528180354267411</v>
      </c>
      <c r="AF553" s="56">
        <f t="shared" ref="AF553" si="3744">AF551+AF552</f>
        <v>301.8</v>
      </c>
      <c r="AG553" s="23">
        <f t="shared" si="3660"/>
        <v>0.36581310276020407</v>
      </c>
      <c r="AH553" s="56">
        <f t="shared" ref="AH553" si="3745">AH551+AH552</f>
        <v>290.10000000000002</v>
      </c>
      <c r="AI553" s="23">
        <f t="shared" si="3661"/>
        <v>-0.27500859401856648</v>
      </c>
      <c r="AJ553" s="56">
        <f t="shared" ref="AJ553" si="3746">AJ551+AJ552</f>
        <v>284.29999999999995</v>
      </c>
      <c r="AK553" s="23">
        <f t="shared" si="3662"/>
        <v>-4.9481778669341558</v>
      </c>
      <c r="AL553" s="56">
        <f t="shared" ref="AL553" si="3747">AL551+AL552</f>
        <v>304.89999999999998</v>
      </c>
      <c r="AM553" s="23">
        <f t="shared" si="3663"/>
        <v>1.4980026631158383</v>
      </c>
      <c r="AN553" s="413">
        <f>AN551+AN552</f>
        <v>293.60000000000002</v>
      </c>
      <c r="AO553" s="23">
        <f t="shared" si="3665"/>
        <v>-2.7170311464546071</v>
      </c>
      <c r="AP553" s="413">
        <f>AP551+AP552</f>
        <v>275.5</v>
      </c>
      <c r="AQ553" s="23">
        <f t="shared" si="3667"/>
        <v>-5.0327473285074138</v>
      </c>
      <c r="AR553" s="413">
        <f>AR551+AR552</f>
        <v>290.70000000000005</v>
      </c>
      <c r="AS553" s="23">
        <f t="shared" si="3669"/>
        <v>2.2511431586352826</v>
      </c>
      <c r="AT553" s="413">
        <f>AT551+AT552</f>
        <v>284.39999999999998</v>
      </c>
      <c r="AU553" s="23">
        <f t="shared" si="3671"/>
        <v>-6.7235159068547041</v>
      </c>
      <c r="AV553" s="413">
        <f t="shared" ref="AV553" si="3748">AV551+AV552</f>
        <v>299.39999999999998</v>
      </c>
      <c r="AW553" s="23">
        <f t="shared" si="3673"/>
        <v>1.9754768392370448</v>
      </c>
      <c r="AX553" s="413">
        <f t="shared" ref="AX553" si="3749">AX551+AX552</f>
        <v>280.10000000000002</v>
      </c>
      <c r="AY553" s="23">
        <f t="shared" si="3675"/>
        <v>1.6696914700544463</v>
      </c>
      <c r="AZ553" s="413">
        <f t="shared" ref="AZ553" si="3750">AZ551+AZ552</f>
        <v>280.2</v>
      </c>
      <c r="BA553" s="23">
        <f t="shared" si="3677"/>
        <v>-3.611971104231182</v>
      </c>
      <c r="BB553" s="413">
        <f t="shared" ref="BB553:BD553" si="3751">BB551+BB552</f>
        <v>280.5</v>
      </c>
      <c r="BC553" s="23">
        <f t="shared" si="3679"/>
        <v>-1.3713080168776259</v>
      </c>
      <c r="BD553" s="413">
        <f t="shared" si="3751"/>
        <v>0</v>
      </c>
      <c r="BE553" s="23" t="str">
        <f t="shared" si="3680"/>
        <v>NM</v>
      </c>
      <c r="BF553" s="410">
        <f t="shared" ref="BF553" si="3752">BF551+BF552</f>
        <v>0.6547443336500004</v>
      </c>
      <c r="BG553" s="23" t="str">
        <f t="shared" si="3681"/>
        <v>NM</v>
      </c>
      <c r="BH553" s="410">
        <f t="shared" ref="BH553" si="3753">BH551+BH552</f>
        <v>0.676662726629223</v>
      </c>
      <c r="BI553" s="23"/>
      <c r="BJ553" s="36"/>
      <c r="BK553" s="23"/>
      <c r="BL553" s="36"/>
      <c r="BM553" s="23" t="str">
        <f t="shared" si="3682"/>
        <v>NA</v>
      </c>
      <c r="BN553" s="35"/>
      <c r="BO553" s="137"/>
      <c r="BP553" s="35"/>
      <c r="BQ553" s="112"/>
      <c r="BR553" s="113"/>
      <c r="BS553" s="112"/>
      <c r="BT553" s="35"/>
      <c r="BU553" s="56">
        <f>BU551+BU552</f>
        <v>1372.8000000000002</v>
      </c>
      <c r="BV553" s="23" t="str">
        <f t="shared" si="3683"/>
        <v>NA</v>
      </c>
      <c r="BW553" s="56">
        <f>BW551+BW552</f>
        <v>1273.3000000000002</v>
      </c>
      <c r="BX553" s="23">
        <f t="shared" si="3684"/>
        <v>-7.247960372960371</v>
      </c>
      <c r="BY553" s="56">
        <f>BY551+BY552</f>
        <v>1214.9000000000001</v>
      </c>
      <c r="BZ553" s="23">
        <f t="shared" si="3685"/>
        <v>-4.5865075001963458</v>
      </c>
      <c r="CA553" s="56">
        <f>CA551+CA552</f>
        <v>1192.2</v>
      </c>
      <c r="CB553" s="23">
        <f t="shared" si="3686"/>
        <v>-1.8684665404560041</v>
      </c>
      <c r="CC553" s="56">
        <f>CC551+CC552</f>
        <v>1172.9000000000001</v>
      </c>
      <c r="CD553" s="23">
        <f t="shared" si="3687"/>
        <v>-1.6188558966616307</v>
      </c>
      <c r="CE553" s="56">
        <f>CE551+CE552</f>
        <v>1150</v>
      </c>
      <c r="CF553" s="23">
        <f t="shared" si="3688"/>
        <v>-1.9524256117316119</v>
      </c>
      <c r="CG553" s="56">
        <f>CG551+CG552</f>
        <v>840.8</v>
      </c>
      <c r="CH553" s="23">
        <f t="shared" si="3689"/>
        <v>-26.886956521739137</v>
      </c>
      <c r="CI553" s="413">
        <f>CI551+CI552</f>
        <v>1.3314070602792234</v>
      </c>
      <c r="CJ553" s="23"/>
      <c r="CK553" s="56"/>
      <c r="CL553" s="23"/>
      <c r="CM553" s="56"/>
      <c r="CN553" s="23"/>
      <c r="CO553" s="56"/>
      <c r="CP553" s="23"/>
      <c r="CQ553" s="56"/>
      <c r="CR553" s="23" t="str">
        <f t="shared" si="3690"/>
        <v>NA</v>
      </c>
      <c r="CS553" s="23" t="str">
        <f t="shared" si="3691"/>
        <v>NM</v>
      </c>
    </row>
    <row r="554" spans="1:97" ht="12.75" hidden="1" customHeight="1" outlineLevel="1" x14ac:dyDescent="0.2">
      <c r="B554" s="35"/>
      <c r="C554" s="60"/>
      <c r="D554" s="35"/>
      <c r="E554" s="60"/>
      <c r="F554" s="35"/>
      <c r="G554" s="60"/>
      <c r="H554" s="35"/>
      <c r="I554" s="60"/>
      <c r="J554" s="35"/>
      <c r="L554" s="35"/>
      <c r="N554" s="35"/>
      <c r="P554" s="37"/>
      <c r="R554" s="37"/>
      <c r="T554" s="37"/>
      <c r="V554" s="37"/>
      <c r="X554" s="37"/>
      <c r="Z554" s="37"/>
      <c r="AB554" s="37"/>
      <c r="AD554" s="37"/>
      <c r="AF554" s="37"/>
      <c r="AH554" s="37"/>
      <c r="AJ554" s="37"/>
      <c r="AL554" s="37"/>
      <c r="AN554" s="411"/>
      <c r="AP554" s="411"/>
      <c r="AR554" s="409"/>
      <c r="AT554" s="409"/>
      <c r="AV554" s="409"/>
      <c r="AX554" s="409"/>
      <c r="AZ554" s="409"/>
      <c r="BB554" s="409"/>
      <c r="BD554" s="409"/>
      <c r="BF554" s="409"/>
      <c r="BH554" s="409"/>
      <c r="BJ554" s="35"/>
      <c r="BL554" s="35"/>
      <c r="BN554" s="35"/>
      <c r="BO554" s="138"/>
      <c r="BP554" s="35"/>
      <c r="BQ554" s="35"/>
      <c r="BR554" s="35"/>
      <c r="BS554" s="35"/>
      <c r="BT554" s="35"/>
      <c r="BU554" s="37"/>
      <c r="BW554" s="37"/>
      <c r="BY554" s="37"/>
      <c r="CA554" s="37"/>
      <c r="CC554" s="37"/>
      <c r="CE554" s="37"/>
      <c r="CG554" s="37"/>
      <c r="CI554" s="411"/>
      <c r="CK554" s="37"/>
      <c r="CM554" s="37"/>
      <c r="CO554" s="37"/>
      <c r="CQ554" s="37"/>
    </row>
    <row r="555" spans="1:97" ht="12.75" hidden="1" customHeight="1" outlineLevel="1" x14ac:dyDescent="0.2">
      <c r="A555" s="11" t="s">
        <v>109</v>
      </c>
      <c r="B555" s="35"/>
      <c r="C555" s="60"/>
      <c r="D555" s="35"/>
      <c r="E555" s="60"/>
      <c r="F555" s="35"/>
      <c r="G555" s="60"/>
      <c r="H555" s="35"/>
      <c r="I555" s="60"/>
      <c r="J555" s="35"/>
      <c r="L555" s="35"/>
      <c r="N555" s="35"/>
      <c r="P555" s="37"/>
      <c r="R555" s="37"/>
      <c r="T555" s="37"/>
      <c r="V555" s="37"/>
      <c r="X555" s="37"/>
      <c r="Z555" s="37"/>
      <c r="AB555" s="37"/>
      <c r="AD555" s="37"/>
      <c r="AF555" s="37"/>
      <c r="AH555" s="37"/>
      <c r="AJ555" s="37"/>
      <c r="AL555" s="37"/>
      <c r="AN555" s="411"/>
      <c r="AP555" s="411"/>
      <c r="AR555" s="409"/>
      <c r="AT555" s="409"/>
      <c r="AV555" s="409"/>
      <c r="AX555" s="409"/>
      <c r="AZ555" s="409"/>
      <c r="BB555" s="409"/>
      <c r="BD555" s="409"/>
      <c r="BF555" s="409"/>
      <c r="BH555" s="409"/>
      <c r="BJ555" s="35"/>
      <c r="BL555" s="35"/>
      <c r="BN555" s="35"/>
      <c r="BO555" s="138"/>
      <c r="BP555" s="35"/>
      <c r="BQ555" s="35"/>
      <c r="BR555" s="35"/>
      <c r="BS555" s="35"/>
      <c r="BT555" s="35"/>
      <c r="BU555" s="37"/>
      <c r="BW555" s="37"/>
      <c r="BY555" s="37"/>
      <c r="CA555" s="37"/>
      <c r="CC555" s="37"/>
      <c r="CD555" s="177"/>
      <c r="CE555" s="37"/>
      <c r="CF555" s="177"/>
      <c r="CG555" s="37"/>
      <c r="CH555" s="177"/>
      <c r="CI555" s="411"/>
      <c r="CJ555" s="177"/>
      <c r="CK555" s="37"/>
      <c r="CL555" s="177"/>
      <c r="CM555" s="37"/>
      <c r="CN555" s="177"/>
      <c r="CO555" s="37"/>
      <c r="CP555" s="177"/>
      <c r="CQ555" s="37"/>
      <c r="CR555" s="177"/>
    </row>
    <row r="556" spans="1:97" ht="12.75" hidden="1" customHeight="1" outlineLevel="1" x14ac:dyDescent="0.2">
      <c r="A556" s="31" t="s">
        <v>3</v>
      </c>
      <c r="B556" s="79">
        <f t="shared" ref="B556" si="3754">(B548+B552)/B531*400</f>
        <v>5.3085228614779805</v>
      </c>
      <c r="C556" s="59"/>
      <c r="D556" s="79">
        <f t="shared" ref="D556" si="3755">(D548+D552)/D531*400</f>
        <v>5.5865700126570728</v>
      </c>
      <c r="E556" s="59"/>
      <c r="F556" s="79">
        <f t="shared" ref="F556" si="3756">(F548+F552)/F531*400</f>
        <v>5.4056088540418257</v>
      </c>
      <c r="G556" s="59"/>
      <c r="H556" s="115">
        <f t="shared" ref="H556" si="3757">(H548+H552)/H531*400</f>
        <v>4.772360942793263</v>
      </c>
      <c r="I556" s="59"/>
      <c r="J556" s="115">
        <f t="shared" ref="J556" si="3758">(J548+J552)/J531*400</f>
        <v>5.2804854691894398</v>
      </c>
      <c r="K556" s="23">
        <f t="shared" ref="K556:K558" si="3759">IF(ISERROR((J556/B556-1)*100),"NA",IF(((J556/B556-1)*100)&gt;100,"NM",IF(((J556/B556-1)*100)&lt;-50,"NM",(J556/B556-1)*100)))</f>
        <v>-0.52815807749454491</v>
      </c>
      <c r="L556" s="115">
        <f t="shared" ref="L556" si="3760">(L548+L552)/L531*400</f>
        <v>5.0356055001508544</v>
      </c>
      <c r="M556" s="23">
        <f t="shared" ref="M556:M558" si="3761">IF(ISERROR((L556/D556-1)*100),"NA",IF(((L556/D556-1)*100)&gt;100,"NM",IF(((L556/D556-1)*100)&lt;-50,"NM",(L556/D556-1)*100)))</f>
        <v>-9.8623039048636123</v>
      </c>
      <c r="N556" s="115">
        <f t="shared" ref="N556" si="3762">(N548+N552)/N531*400</f>
        <v>4.9547500733265597</v>
      </c>
      <c r="O556" s="23">
        <f t="shared" ref="O556:O558" si="3763">IF(ISERROR((N556/F556-1)*100),"NA",IF(((N556/F556-1)*100)&gt;100,"NM",IF(((N556/F556-1)*100)&lt;-50,"NM",(N556/F556-1)*100)))</f>
        <v>-8.3405735207451208</v>
      </c>
      <c r="P556" s="116">
        <f t="shared" ref="P556" si="3764">(P548+P552)/P531*400</f>
        <v>5.1140488575840175</v>
      </c>
      <c r="Q556" s="23">
        <f t="shared" ref="Q556:Q558" si="3765">IF(ISERROR((P556/H556-1)*100),"NA",IF(((P556/H556-1)*100)&gt;100,"NM",IF(((P556/H556-1)*100)&lt;-50,"NM",(P556/H556-1)*100)))</f>
        <v>7.1597249010835418</v>
      </c>
      <c r="R556" s="116">
        <f>(R548+R552)/R531*400</f>
        <v>4.9153489088772879</v>
      </c>
      <c r="S556" s="23">
        <f t="shared" ref="S556:S558" si="3766">IF(ISERROR((R556/J556-1)*100),"NA",IF(((R556/J556-1)*100)&gt;100,"NM",IF(((R556/J556-1)*100)&lt;-50,"NM",(R556/J556-1)*100)))</f>
        <v>-6.9148293739780042</v>
      </c>
      <c r="T556" s="116">
        <f>(T548+T552)/T531*400</f>
        <v>4.8303637483929691</v>
      </c>
      <c r="U556" s="23">
        <f t="shared" ref="U556:U558" si="3767">IF(ISERROR((T556/L556-1)*100),"NA",IF(((T556/L556-1)*100)&gt;100,"NM",IF(((T556/L556-1)*100)&lt;-50,"NM",(T556/L556-1)*100)))</f>
        <v>-4.075810778897127</v>
      </c>
      <c r="V556" s="116">
        <f>(V548+V552)/V531*400</f>
        <v>5.0304742084138532</v>
      </c>
      <c r="W556" s="23">
        <f t="shared" ref="W556:W558" si="3768">IF(ISERROR((V556/N556-1)*100),"NA",IF(((V556/N556-1)*100)&gt;100,"NM",IF(((V556/N556-1)*100)&lt;-50,"NM",(V556/N556-1)*100)))</f>
        <v>1.528313920311497</v>
      </c>
      <c r="X556" s="116">
        <f>(X548+X552)/X531*400</f>
        <v>4.7785999629173892</v>
      </c>
      <c r="Y556" s="23">
        <f t="shared" ref="Y556:Y558" si="3769">IF(ISERROR((X556/P556-1)*100),"NA",IF(((X556/P556-1)*100)&gt;100,"NM",IF(((X556/P556-1)*100)&lt;-50,"NM",(X556/P556-1)*100)))</f>
        <v>-6.5593603817289514</v>
      </c>
      <c r="Z556" s="116">
        <f>(Z548+Z552)/Z531*400</f>
        <v>4.5173698460973633</v>
      </c>
      <c r="AA556" s="23">
        <f>IF(ISERROR((Z556/R556-1)*100),"NA",IF(((Z556/R556-1)*100)&gt;100,"NM",IF(((Z556/R556-1)*100)&lt;-50,"NM",(Z556/R556-1)*100)))</f>
        <v>-8.0966594672691627</v>
      </c>
      <c r="AB556" s="116">
        <f>(AB548+AB552)/AB531*400</f>
        <v>4.5565661545824536</v>
      </c>
      <c r="AC556" s="23">
        <f>IF(ISERROR((AB556/T556-1)*100),"NA",IF(((AB556/T556-1)*100)&gt;100,"NM",IF(((AB556/T556-1)*100)&lt;-50,"NM",(AB556/T556-1)*100)))</f>
        <v>-5.6682603644830358</v>
      </c>
      <c r="AD556" s="116">
        <f>(AD548+AD552)/AD531*400</f>
        <v>4.6813570135427911</v>
      </c>
      <c r="AE556" s="23">
        <f>IF(ISERROR((AD556/V556-1)*100),"NA",IF(((AD556/V556-1)*100)&gt;100,"NM",IF(((AD556/V556-1)*100)&lt;-50,"NM",(AD556/V556-1)*100)))</f>
        <v>-6.9400454193192518</v>
      </c>
      <c r="AF556" s="116">
        <f>(AF548+AF552)/AF531*400</f>
        <v>4.7124768194137916</v>
      </c>
      <c r="AG556" s="23">
        <f>IF(ISERROR((AF556/X556-1)*100),"NA",IF(((AF556/X556-1)*100)&gt;100,"NM",IF(((AF556/X556-1)*100)&lt;-50,"NM",(AF556/X556-1)*100)))</f>
        <v>-1.3837346506659354</v>
      </c>
      <c r="AH556" s="116">
        <f>(AH548+AH552)/AH531*400</f>
        <v>4.478228157425395</v>
      </c>
      <c r="AI556" s="23">
        <f>IF(ISERROR((AH556/Z556-1)*100),"NA",IF(((AH556/Z556-1)*100)&gt;100,"NM",IF(((AH556/Z556-1)*100)&lt;-50,"NM",(AH556/Z556-1)*100)))</f>
        <v>-0.86647075633586867</v>
      </c>
      <c r="AJ556" s="116">
        <f>(AJ548+AJ552)/AJ531*400</f>
        <v>4.3937903319937952</v>
      </c>
      <c r="AK556" s="485">
        <f>IF(ISERROR((AJ556/AB556-1)*100),"NA",IF(((AJ556/AB556-1)*100)&gt;100,"NM",IF(((AJ556/AB556-1)*100)&lt;-50,"NM",(AJ556/AB556-1)*100)))</f>
        <v>-3.5723353303003802</v>
      </c>
      <c r="AL556" s="116">
        <f>(AL548+AL552)/AL531*400</f>
        <v>4.4212455206296246</v>
      </c>
      <c r="AM556" s="23">
        <f>IF(ISERROR((AL556/AD556-1)*100),"NA",IF(((AL556/AD556-1)*100)&gt;100,"NM",IF(((AL556/AD556-1)*100)&lt;-50,"NM",(AL556/AD556-1)*100)))</f>
        <v>-5.5563267693680469</v>
      </c>
      <c r="AN556" s="445">
        <f t="shared" ref="AN556" si="3770">(AN548+AN552)/AN531*400</f>
        <v>4.5427420713057458</v>
      </c>
      <c r="AO556" s="23">
        <f>IF(ISERROR((AN556/AF556-1)*100),"NA",IF(((AN556/AF556-1)*100)&gt;100,"NM",IF(((AN556/AF556-1)*100)&lt;-50,"NM",(AN556/AF556-1)*100)))</f>
        <v>-3.601816085519971</v>
      </c>
      <c r="AP556" s="445">
        <f t="shared" ref="AP556" si="3771">(AP548+AP552)/AP531*400</f>
        <v>4.2067985752228774</v>
      </c>
      <c r="AQ556" s="23">
        <f t="shared" ref="AQ556:AQ558" si="3772">IF(ISERROR((AP556/AH556-1)*100),"NA",IF(((AP556/AH556-1)*100)&gt;100,"NM",IF(((AP556/AH556-1)*100)&lt;-50,"NM",(AP556/AH556-1)*100)))</f>
        <v>-6.0610931971489146</v>
      </c>
      <c r="AR556" s="445">
        <f t="shared" ref="AR556" si="3773">(AR548+AR552)/AR531*400</f>
        <v>4.4092154731863458</v>
      </c>
      <c r="AS556" s="23">
        <f t="shared" ref="AS556:AS558" si="3774">IF(ISERROR((AR556/AJ556-1)*100),"NA",IF(((AR556/AJ556-1)*100)&gt;100,"NM",IF(((AR556/AJ556-1)*100)&lt;-50,"NM",(AR556/AJ556-1)*100)))</f>
        <v>0.35106684723280601</v>
      </c>
      <c r="AT556" s="445">
        <f t="shared" ref="AT556" si="3775">(AT548+AT552)/AT531*400</f>
        <v>4.347269234287805</v>
      </c>
      <c r="AU556" s="23">
        <f t="shared" ref="AU556:AU558" si="3776">IF(ISERROR((AT556/AL556-1)*100),"NA",IF(((AT556/AL556-1)*100)&gt;100,"NM",IF(((AT556/AL556-1)*100)&lt;-50,"NM",(AT556/AL556-1)*100)))</f>
        <v>-1.6732001422821829</v>
      </c>
      <c r="AV556" s="445">
        <f t="shared" ref="AV556" si="3777">(AV548+AV552)/AV531*400</f>
        <v>4.480179400773987</v>
      </c>
      <c r="AW556" s="23">
        <f t="shared" ref="AW556:AW558" si="3778">IF(ISERROR((AV556/AN556-1)*100),"NA",IF(((AV556/AN556-1)*100)&gt;100,"NM",IF(((AV556/AN556-1)*100)&lt;-50,"NM",(AV556/AN556-1)*100)))</f>
        <v>-1.3772005883172733</v>
      </c>
      <c r="AX556" s="445">
        <f t="shared" ref="AX556" si="3779">(AX548+AX552)/AX531*400</f>
        <v>4.0760333935287569</v>
      </c>
      <c r="AY556" s="23">
        <f t="shared" ref="AY556:AY558" si="3780">IF(ISERROR((AX556/AP556-1)*100),"NA",IF(((AX556/AP556-1)*100)&gt;100,"NM",IF(((AX556/AP556-1)*100)&lt;-50,"NM",(AX556/AP556-1)*100)))</f>
        <v>-3.1084250732682728</v>
      </c>
      <c r="AZ556" s="445">
        <f t="shared" ref="AZ556" si="3781">(AZ548+AZ552)/AZ531*400</f>
        <v>4.0327187284687076</v>
      </c>
      <c r="BA556" s="23">
        <f t="shared" ref="BA556:BA558" si="3782">IF(ISERROR((AZ556/AR556-1)*100),"NA",IF(((AZ556/AR556-1)*100)&gt;100,"NM",IF(((AZ556/AR556-1)*100)&lt;-50,"NM",(AZ556/AR556-1)*100)))</f>
        <v>-8.538860189691766</v>
      </c>
      <c r="BB556" s="445">
        <f t="shared" ref="BB556:BD556" si="3783">(BB548+BB552)/BB531*400</f>
        <v>3.9859853129499814</v>
      </c>
      <c r="BC556" s="23">
        <f t="shared" ref="BC556:BC558" si="3784">IF(ISERROR((BB556/AT556-1)*100),"NA",IF(((BB556/AT556-1)*100)&gt;100,"NM",IF(((BB556/AT556-1)*100)&lt;-50,"NM",(BB556/AT556-1)*100)))</f>
        <v>-8.3105945794270895</v>
      </c>
      <c r="BD556" s="445">
        <f t="shared" si="3783"/>
        <v>0</v>
      </c>
      <c r="BE556" s="23" t="str">
        <f t="shared" ref="BE556:BE558" si="3785">IF(ISERROR((BD556/AV556-1)*100),"NA",IF(((BD556/AV556-1)*100)&gt;100,"NM",IF(((BD556/AV556-1)*100)&lt;-50,"NM",(BD556/AV556-1)*100)))</f>
        <v>NM</v>
      </c>
      <c r="BF556" s="645">
        <f>BD556+0.01</f>
        <v>0.01</v>
      </c>
      <c r="BG556" s="23" t="str">
        <f t="shared" ref="BG556:BG558" si="3786">IF(ISERROR((BF556/AX556-1)*100),"NA",IF(((BF556/AX556-1)*100)&gt;100,"NM",IF(((BF556/AX556-1)*100)&lt;-50,"NM",(BF556/AX556-1)*100)))</f>
        <v>NM</v>
      </c>
      <c r="BH556" s="645">
        <f>BF556</f>
        <v>0.01</v>
      </c>
      <c r="BI556" s="23"/>
      <c r="BJ556" s="118"/>
      <c r="BK556" s="23"/>
      <c r="BL556" s="118"/>
      <c r="BM556" s="23" t="str">
        <f t="shared" ref="BM556:BM558" si="3787">IF(ISERROR((BL556/BD556-1)*100),"NA",IF(((BL556/BD556-1)*100)&gt;100,"NM",IF(((BL556/BD556-1)*100)&lt;-50,"NM",(BL556/BD556-1)*100)))</f>
        <v>NA</v>
      </c>
      <c r="BN556" s="35"/>
      <c r="BO556" s="138"/>
      <c r="BP556" s="35"/>
      <c r="BQ556" s="113"/>
      <c r="BR556" s="113"/>
      <c r="BS556" s="113"/>
      <c r="BT556" s="35"/>
      <c r="BU556" s="116">
        <f>(BU548+BU552)/BU531*100</f>
        <v>5.3186720406870975</v>
      </c>
      <c r="BV556" s="23" t="str">
        <f>IF(ISERROR((BU556/BS556-1)*100),"NA",IF(((BU556/BS556-1)*100)&gt;100,"NM",IF(((BU556/BS556-1)*100)&lt;-50,"NM",(BU556/BS556-1)*100)))</f>
        <v>NA</v>
      </c>
      <c r="BW556" s="116">
        <f>(BW548+BW552)/BW531*100</f>
        <v>5.0750310466135309</v>
      </c>
      <c r="BX556" s="23">
        <f>IF(ISERROR((BW556/BU556-1)*100),"NA",IF(((BW556/BU556-1)*100)&gt;100,"NM",IF(((BW556/BU556-1)*100)&lt;-50,"NM",(BW556/BU556-1)*100)))</f>
        <v>-4.5808613918990932</v>
      </c>
      <c r="BY556" s="116">
        <f>(BY548+BY552)/BY531*100</f>
        <v>4.8789491102568663</v>
      </c>
      <c r="BZ556" s="23">
        <f>IF(ISERROR((BY556/BW556-1)*100),"NA",IF(((BY556/BW556-1)*100)&gt;100,"NM",IF(((BY556/BW556-1)*100)&lt;-50,"NM",(BY556/BW556-1)*100)))</f>
        <v>-3.8636598388399279</v>
      </c>
      <c r="CA556" s="116">
        <f>(CA548+CA552)/CA531*100</f>
        <v>4.6628848896234949</v>
      </c>
      <c r="CB556" s="23">
        <f>IF(ISERROR((CA556/BY556-1)*100),"NA",IF(((CA556/BY556-1)*100)&gt;100,"NM",IF(((CA556/BY556-1)*100)&lt;-50,"NM",(CA556/BY556-1)*100)))</f>
        <v>-4.4284991655097699</v>
      </c>
      <c r="CC556" s="116">
        <f>(CC548+CC552)/CC531*100</f>
        <v>4.4535400120456066</v>
      </c>
      <c r="CD556" s="23">
        <f>IF(ISERROR((CC556/CA556-1)*100),"NA",IF(((CC556/CA556-1)*100)&gt;100,"NM",IF(((CC556/CA556-1)*100)&lt;-50,"NM",(CC556/CA556-1)*100)))</f>
        <v>-4.4895999479582223</v>
      </c>
      <c r="CE556" s="116">
        <f>(CE548+CE552)/CE531*100</f>
        <v>4.3558018653761179</v>
      </c>
      <c r="CF556" s="23">
        <f>IF(ISERROR((CE556/CC556-1)*100),"NA",IF(((CE556/CC556-1)*100)&gt;100,"NM",IF(((CE556/CC556-1)*100)&lt;-50,"NM",(CE556/CC556-1)*100)))</f>
        <v>-2.194617010403721</v>
      </c>
      <c r="CG556" s="116">
        <f>(CG548+CG552)/CG531*100</f>
        <v>3.0313958965202592</v>
      </c>
      <c r="CH556" s="23">
        <f>IF(ISERROR((CG556/CE556-1)*100),"NA",IF(((CG556/CE556-1)*100)&gt;100,"NM",IF(((CG556/CE556-1)*100)&lt;-50,"NM",(CG556/CE556-1)*100)))</f>
        <v>-30.405560440740985</v>
      </c>
      <c r="CI556" s="445">
        <f>(CI548+CI552)/CI531*100</f>
        <v>4.9835688866548952E-3</v>
      </c>
      <c r="CJ556" s="23"/>
      <c r="CK556" s="118"/>
      <c r="CL556" s="23"/>
      <c r="CM556" s="118"/>
      <c r="CN556" s="23"/>
      <c r="CO556" s="118"/>
      <c r="CP556" s="23"/>
      <c r="CQ556" s="118"/>
      <c r="CR556" s="23" t="str">
        <f>IF(ISERROR((CQ556/CO556-1)*100),"NA",IF(((CQ556/CO556-1)*100)&gt;100,"NM",IF(((CQ556/CO556-1)*100)&lt;-50,"NM",(CQ556/CO556-1)*100)))</f>
        <v>NA</v>
      </c>
      <c r="CS556" s="23" t="str">
        <f>IF(ISERROR(((CQ556/CG556)^0.2-1)*100),"NA",IF((((CQ556/CG556)^0.2-1)*100)&gt;100,"NM",IF((((CQ556/CG556)^0.2-1)*100)&lt;-50,"NM",((CQ556/CG556)^0.2-1)*100)))</f>
        <v>NM</v>
      </c>
    </row>
    <row r="557" spans="1:97" ht="12.75" hidden="1" customHeight="1" outlineLevel="1" x14ac:dyDescent="0.2">
      <c r="A557" s="31" t="s">
        <v>4</v>
      </c>
      <c r="B557" s="79">
        <f t="shared" ref="B557" si="3788">B552/B531*400</f>
        <v>3.9217413236077143</v>
      </c>
      <c r="C557" s="59"/>
      <c r="D557" s="79">
        <f t="shared" ref="D557" si="3789">D552/D531*400</f>
        <v>3.8296572274265674</v>
      </c>
      <c r="E557" s="59"/>
      <c r="F557" s="79">
        <f t="shared" ref="F557" si="3790">F552/F531*400</f>
        <v>3.7891558985675768</v>
      </c>
      <c r="G557" s="59"/>
      <c r="H557" s="79">
        <f t="shared" ref="H557" si="3791">H552/H531*400</f>
        <v>3.7564544061946301</v>
      </c>
      <c r="I557" s="59"/>
      <c r="J557" s="115">
        <f t="shared" ref="J557" si="3792">J552/J531*400</f>
        <v>3.4982813019767551</v>
      </c>
      <c r="K557" s="23">
        <f t="shared" si="3759"/>
        <v>-10.797755045236057</v>
      </c>
      <c r="L557" s="115">
        <f t="shared" ref="L557" si="3793">L552/L531*400</f>
        <v>3.3361299735076901</v>
      </c>
      <c r="M557" s="23">
        <f t="shared" si="3761"/>
        <v>-12.886982427158767</v>
      </c>
      <c r="N557" s="115">
        <f t="shared" ref="N557" si="3794">N552/N531*400</f>
        <v>3.1405021912951803</v>
      </c>
      <c r="O557" s="23">
        <f t="shared" si="3763"/>
        <v>-17.118686183316147</v>
      </c>
      <c r="P557" s="116">
        <f t="shared" ref="P557" si="3795">P552/P531*400</f>
        <v>3.078708809741534</v>
      </c>
      <c r="Q557" s="23">
        <f t="shared" si="3765"/>
        <v>-18.042162187179777</v>
      </c>
      <c r="R557" s="116">
        <f>R552/R531*400</f>
        <v>2.973863132957105</v>
      </c>
      <c r="S557" s="23">
        <f t="shared" si="3766"/>
        <v>-14.990737557992261</v>
      </c>
      <c r="T557" s="116">
        <f>T552/T531*400</f>
        <v>2.862058746399506</v>
      </c>
      <c r="U557" s="23">
        <f t="shared" si="3767"/>
        <v>-14.210214556171319</v>
      </c>
      <c r="V557" s="116">
        <f>V552/V531*400</f>
        <v>2.8558686742126604</v>
      </c>
      <c r="W557" s="23">
        <f t="shared" si="3768"/>
        <v>-9.0633121629866924</v>
      </c>
      <c r="X557" s="116">
        <f>X552/X531*400</f>
        <v>2.7474842820301033</v>
      </c>
      <c r="Y557" s="23">
        <f t="shared" si="3769"/>
        <v>-10.758553282576855</v>
      </c>
      <c r="Z557" s="116">
        <f>Z552/Z531*400</f>
        <v>2.6650312686433275</v>
      </c>
      <c r="AA557" s="23">
        <f>IF(ISERROR((Z557/R557-1)*100),"NA",IF(((Z557/R557-1)*100)&gt;100,"NM",IF(((Z557/R557-1)*100)&lt;-50,"NM",(Z557/R557-1)*100)))</f>
        <v>-10.384871478825787</v>
      </c>
      <c r="AB557" s="116">
        <f>AB552/AB531*400</f>
        <v>2.6355799162869173</v>
      </c>
      <c r="AC557" s="23">
        <f>IF(ISERROR((AB557/T557-1)*100),"NA",IF(((AB557/T557-1)*100)&gt;100,"NM",IF(((AB557/T557-1)*100)&lt;-50,"NM",(AB557/T557-1)*100)))</f>
        <v>-7.9131440050802855</v>
      </c>
      <c r="AD557" s="116">
        <f>AD552/AD531*400</f>
        <v>2.5983602822071137</v>
      </c>
      <c r="AE557" s="23">
        <f>IF(ISERROR((AD557/V557-1)*100),"NA",IF(((AD557/V557-1)*100)&gt;100,"NM",IF(((AD557/V557-1)*100)&lt;-50,"NM",(AD557/V557-1)*100)))</f>
        <v>-9.0168148952626375</v>
      </c>
      <c r="AF557" s="116">
        <f>AF552/AF531*400</f>
        <v>2.5525916105158037</v>
      </c>
      <c r="AG557" s="23">
        <f>IF(ISERROR((AF557/X557-1)*100),"NA",IF(((AF557/X557-1)*100)&gt;100,"NM",IF(((AF557/X557-1)*100)&lt;-50,"NM",(AF557/X557-1)*100)))</f>
        <v>-7.0934954128397898</v>
      </c>
      <c r="AH557" s="116">
        <f>AH552/AH531*400</f>
        <v>2.4176731572472554</v>
      </c>
      <c r="AI557" s="23">
        <f>IF(ISERROR((AH557/Z557-1)*100),"NA",IF(((AH557/Z557-1)*100)&gt;100,"NM",IF(((AH557/Z557-1)*100)&lt;-50,"NM",(AH557/Z557-1)*100)))</f>
        <v>-9.2816213568103212</v>
      </c>
      <c r="AJ557" s="116">
        <f>AJ552/AJ531*400</f>
        <v>2.3928231978789736</v>
      </c>
      <c r="AK557" s="23">
        <f>IF(ISERROR((AJ557/AB557-1)*100),"NA",IF(((AJ557/AB557-1)*100)&gt;100,"NM",IF(((AJ557/AB557-1)*100)&lt;-50,"NM",(AJ557/AB557-1)*100)))</f>
        <v>-9.2107515658241379</v>
      </c>
      <c r="AL557" s="116">
        <f>AL552/AL531*400</f>
        <v>2.4126509733043084</v>
      </c>
      <c r="AM557" s="23">
        <f>IF(ISERROR((AL557/AD557-1)*100),"NA",IF(((AL557/AD557-1)*100)&gt;100,"NM",IF(((AL557/AD557-1)*100)&lt;-50,"NM",(AL557/AD557-1)*100)))</f>
        <v>-7.1471731681897133</v>
      </c>
      <c r="AN557" s="445">
        <f t="shared" ref="AN557" si="3796">AN552/AN531*400</f>
        <v>2.3803236558178402</v>
      </c>
      <c r="AO557" s="23">
        <f>IF(ISERROR((AN557/AF557-1)*100),"NA",IF(((AN557/AF557-1)*100)&gt;100,"NM",IF(((AN557/AF557-1)*100)&lt;-50,"NM",(AN557/AF557-1)*100)))</f>
        <v>-6.7487471943525339</v>
      </c>
      <c r="AP557" s="445">
        <f t="shared" ref="AP557" si="3797">AP552/AP531*400</f>
        <v>2.3109390763655822</v>
      </c>
      <c r="AQ557" s="23">
        <f t="shared" si="3772"/>
        <v>-4.4147440096162445</v>
      </c>
      <c r="AR557" s="445">
        <f t="shared" ref="AR557" si="3798">AR552/AR531*400</f>
        <v>2.2529077204249575</v>
      </c>
      <c r="AS557" s="23">
        <f t="shared" si="3774"/>
        <v>-5.8472969326793027</v>
      </c>
      <c r="AT557" s="445">
        <f t="shared" ref="AT557" si="3799">AT552/AT531*400</f>
        <v>2.2460077862145367</v>
      </c>
      <c r="AU557" s="23">
        <f t="shared" si="3776"/>
        <v>-6.9070573793581609</v>
      </c>
      <c r="AV557" s="445">
        <f t="shared" ref="AV557" si="3800">AV552/AV531*400</f>
        <v>2.144097379772643</v>
      </c>
      <c r="AW557" s="23">
        <f t="shared" si="3778"/>
        <v>-9.9241242033547667</v>
      </c>
      <c r="AX557" s="445">
        <f t="shared" ref="AX557" si="3801">AX552/AX531*400</f>
        <v>2.1057116632454145</v>
      </c>
      <c r="AY557" s="23">
        <f t="shared" si="3780"/>
        <v>-8.8806933605073297</v>
      </c>
      <c r="AZ557" s="445">
        <f t="shared" ref="AZ557" si="3802">AZ552/AZ531*400</f>
        <v>2.0901669110560164</v>
      </c>
      <c r="BA557" s="23">
        <f t="shared" si="3782"/>
        <v>-7.2235896700750697</v>
      </c>
      <c r="BB557" s="445">
        <f t="shared" ref="BB557:BD557" si="3803">BB552/BB531*400</f>
        <v>2.0551765147113397</v>
      </c>
      <c r="BC557" s="23">
        <f t="shared" si="3784"/>
        <v>-8.4964652693759195</v>
      </c>
      <c r="BD557" s="445">
        <f t="shared" si="3803"/>
        <v>0</v>
      </c>
      <c r="BE557" s="23" t="str">
        <f t="shared" si="3785"/>
        <v>NM</v>
      </c>
      <c r="BF557" s="646">
        <f>BD557+0.01</f>
        <v>0.01</v>
      </c>
      <c r="BG557" s="23" t="str">
        <f t="shared" si="3786"/>
        <v>NM</v>
      </c>
      <c r="BH557" s="646">
        <f t="shared" ref="BH557" si="3804">BF557</f>
        <v>0.01</v>
      </c>
      <c r="BI557" s="23"/>
      <c r="BJ557" s="117"/>
      <c r="BK557" s="23"/>
      <c r="BL557" s="117"/>
      <c r="BM557" s="23" t="str">
        <f t="shared" si="3787"/>
        <v>NA</v>
      </c>
      <c r="BN557" s="35"/>
      <c r="BO557" s="138"/>
      <c r="BP557" s="35"/>
      <c r="BQ557" s="113"/>
      <c r="BR557" s="113"/>
      <c r="BS557" s="113"/>
      <c r="BT557" s="35"/>
      <c r="BU557" s="116">
        <f>BU552/BU531*100</f>
        <v>3.8600476425003269</v>
      </c>
      <c r="BV557" s="23" t="str">
        <f>IF(ISERROR((BU557/BS557-1)*100),"NA",IF(((BU557/BS557-1)*100)&gt;100,"NM",IF(((BU557/BS557-1)*100)&lt;-50,"NM",(BU557/BS557-1)*100)))</f>
        <v>NA</v>
      </c>
      <c r="BW557" s="116">
        <f>BW552/BW531*100</f>
        <v>3.2525221479687838</v>
      </c>
      <c r="BX557" s="23">
        <f>IF(ISERROR((BW557/BU557-1)*100),"NA",IF(((BW557/BU557-1)*100)&gt;100,"NM",IF(((BW557/BU557-1)*100)&lt;-50,"NM",(BW557/BU557-1)*100)))</f>
        <v>-15.738808190927445</v>
      </c>
      <c r="BY557" s="116">
        <f>BY552/BY531*100</f>
        <v>2.8537970010946765</v>
      </c>
      <c r="BZ557" s="23">
        <f>IF(ISERROR((BY557/BW557-1)*100),"NA",IF(((BY557/BW557-1)*100)&gt;100,"NM",IF(((BY557/BW557-1)*100)&lt;-50,"NM",(BY557/BW557-1)*100)))</f>
        <v>-12.258952552348124</v>
      </c>
      <c r="CA557" s="116">
        <f>CA552/CA531*100</f>
        <v>2.6391231205751211</v>
      </c>
      <c r="CB557" s="23">
        <f>IF(ISERROR((CA557/BY557-1)*100),"NA",IF(((CA557/BY557-1)*100)&gt;100,"NM",IF(((CA557/BY557-1)*100)&lt;-50,"NM",(CA557/BY557-1)*100)))</f>
        <v>-7.5223949158685581</v>
      </c>
      <c r="CC557" s="116">
        <f>CC552/CC531*100</f>
        <v>2.3978676358725663</v>
      </c>
      <c r="CD557" s="23">
        <f>IF(ISERROR((CC557/CA557-1)*100),"NA",IF(((CC557/CA557-1)*100)&gt;100,"NM",IF(((CC557/CA557-1)*100)&lt;-50,"NM",(CC557/CA557-1)*100)))</f>
        <v>-9.1415016912882781</v>
      </c>
      <c r="CE557" s="116">
        <f>CE552/CE531*100</f>
        <v>2.2351123155136499</v>
      </c>
      <c r="CF557" s="23">
        <f>IF(ISERROR((CE557/CC557-1)*100),"NA",IF(((CE557/CC557-1)*100)&gt;100,"NM",IF(((CE557/CC557-1)*100)&lt;-50,"NM",(CE557/CC557-1)*100)))</f>
        <v>-6.7875022759415593</v>
      </c>
      <c r="CG557" s="116">
        <f>CG552/CG531*100</f>
        <v>1.5667401753566548</v>
      </c>
      <c r="CH557" s="23">
        <f>IF(ISERROR((CG557/CE557-1)*100),"NA",IF(((CG557/CE557-1)*100)&gt;100,"NM",IF(((CG557/CE557-1)*100)&lt;-50,"NM",(CG557/CE557-1)*100)))</f>
        <v>-29.903291012174339</v>
      </c>
      <c r="CI557" s="445">
        <f>CI552/CI531*100</f>
        <v>4.9835688866548952E-3</v>
      </c>
      <c r="CJ557" s="23"/>
      <c r="CK557" s="118"/>
      <c r="CL557" s="23"/>
      <c r="CM557" s="118"/>
      <c r="CN557" s="23"/>
      <c r="CO557" s="118"/>
      <c r="CP557" s="23"/>
      <c r="CQ557" s="118"/>
      <c r="CR557" s="23" t="str">
        <f>IF(ISERROR((CQ557/CO557-1)*100),"NA",IF(((CQ557/CO557-1)*100)&gt;100,"NM",IF(((CQ557/CO557-1)*100)&lt;-50,"NM",(CQ557/CO557-1)*100)))</f>
        <v>NA</v>
      </c>
      <c r="CS557" s="23" t="str">
        <f>IF(ISERROR(((CQ557/CG557)^0.2-1)*100),"NA",IF((((CQ557/CG557)^0.2-1)*100)&gt;100,"NM",IF((((CQ557/CG557)^0.2-1)*100)&lt;-50,"NM",((CQ557/CG557)^0.2-1)*100)))</f>
        <v>NM</v>
      </c>
    </row>
    <row r="558" spans="1:97" ht="12.75" hidden="1" customHeight="1" outlineLevel="1" x14ac:dyDescent="0.2">
      <c r="A558" s="31" t="s">
        <v>110</v>
      </c>
      <c r="B558" s="79">
        <f t="shared" ref="B558" si="3805">+B556-B557</f>
        <v>1.3867815378702661</v>
      </c>
      <c r="C558" s="59"/>
      <c r="D558" s="79">
        <f t="shared" ref="D558" si="3806">+D556-D557</f>
        <v>1.7569127852305053</v>
      </c>
      <c r="E558" s="59"/>
      <c r="F558" s="79">
        <f t="shared" ref="F558" si="3807">+F556-F557</f>
        <v>1.6164529554742488</v>
      </c>
      <c r="G558" s="59"/>
      <c r="H558" s="79">
        <f t="shared" ref="H558" si="3808">+H556-H557</f>
        <v>1.0159065365986328</v>
      </c>
      <c r="I558" s="59"/>
      <c r="J558" s="115">
        <f t="shared" ref="J558" si="3809">+J556-J557</f>
        <v>1.7822041672126847</v>
      </c>
      <c r="K558" s="23">
        <f t="shared" si="3759"/>
        <v>28.513692931742106</v>
      </c>
      <c r="L558" s="115">
        <f t="shared" ref="L558" si="3810">+L556-L557</f>
        <v>1.6994755266431643</v>
      </c>
      <c r="M558" s="23">
        <f t="shared" si="3761"/>
        <v>-3.2692151295264926</v>
      </c>
      <c r="N558" s="115">
        <f t="shared" ref="N558" si="3811">+N556-N557</f>
        <v>1.8142478820313794</v>
      </c>
      <c r="O558" s="23">
        <f t="shared" si="3763"/>
        <v>12.236355279458145</v>
      </c>
      <c r="P558" s="116">
        <f t="shared" ref="P558" si="3812">+P556-P557</f>
        <v>2.0353400478424835</v>
      </c>
      <c r="Q558" s="23" t="str">
        <f t="shared" si="3765"/>
        <v>NM</v>
      </c>
      <c r="R558" s="116">
        <f t="shared" ref="R558" si="3813">+R556-R557</f>
        <v>1.9414857759201829</v>
      </c>
      <c r="S558" s="23">
        <f t="shared" si="3766"/>
        <v>8.9373379121096885</v>
      </c>
      <c r="T558" s="116">
        <f t="shared" ref="T558" si="3814">+T556-T557</f>
        <v>1.9683050019934631</v>
      </c>
      <c r="U558" s="23">
        <f t="shared" si="3767"/>
        <v>15.818378737191697</v>
      </c>
      <c r="V558" s="116">
        <f t="shared" ref="V558" si="3815">+V556-V557</f>
        <v>2.1746055342011927</v>
      </c>
      <c r="W558" s="23">
        <f t="shared" si="3768"/>
        <v>19.862646981091014</v>
      </c>
      <c r="X558" s="116">
        <f t="shared" ref="X558" si="3816">+X556-X557</f>
        <v>2.0311156808872859</v>
      </c>
      <c r="Y558" s="23">
        <f t="shared" si="3769"/>
        <v>-0.20755091807266313</v>
      </c>
      <c r="Z558" s="116">
        <f t="shared" ref="Z558" si="3817">+Z556-Z557</f>
        <v>1.8523385774540357</v>
      </c>
      <c r="AA558" s="23">
        <f>IF(ISERROR((Z558/R558-1)*100),"NA",IF(((Z558/R558-1)*100)&gt;100,"NM",IF(((Z558/R558-1)*100)&lt;-50,"NM",(Z558/R558-1)*100)))</f>
        <v>-4.5916997987737069</v>
      </c>
      <c r="AB558" s="116">
        <f t="shared" ref="AB558" si="3818">+AB556-AB557</f>
        <v>1.9209862382955363</v>
      </c>
      <c r="AC558" s="23">
        <f>IF(ISERROR((AB558/T558-1)*100),"NA",IF(((AB558/T558-1)*100)&gt;100,"NM",IF(((AB558/T558-1)*100)&lt;-50,"NM",(AB558/T558-1)*100)))</f>
        <v>-2.4040361453130155</v>
      </c>
      <c r="AD558" s="116">
        <f t="shared" ref="AD558" si="3819">+AD556-AD557</f>
        <v>2.0829967313356774</v>
      </c>
      <c r="AE558" s="23">
        <f>IF(ISERROR((AD558/V558-1)*100),"NA",IF(((AD558/V558-1)*100)&gt;100,"NM",IF(((AD558/V558-1)*100)&lt;-50,"NM",(AD558/V558-1)*100)))</f>
        <v>-4.2126630059904802</v>
      </c>
      <c r="AF558" s="116">
        <f t="shared" ref="AF558" si="3820">+AF556-AF557</f>
        <v>2.1598852088979879</v>
      </c>
      <c r="AG558" s="23">
        <f>IF(ISERROR((AF558/X558-1)*100),"NA",IF(((AF558/X558-1)*100)&gt;100,"NM",IF(((AF558/X558-1)*100)&lt;-50,"NM",(AF558/X558-1)*100)))</f>
        <v>6.3398421479592626</v>
      </c>
      <c r="AH558" s="116">
        <f t="shared" ref="AH558" si="3821">+AH556-AH557</f>
        <v>2.0605550001781396</v>
      </c>
      <c r="AI558" s="23">
        <f>IF(ISERROR((AH558/Z558-1)*100),"NA",IF(((AH558/Z558-1)*100)&gt;100,"NM",IF(((AH558/Z558-1)*100)&lt;-50,"NM",(AH558/Z558-1)*100)))</f>
        <v>11.240732404887277</v>
      </c>
      <c r="AJ558" s="116">
        <f t="shared" ref="AJ558" si="3822">+AJ556-AJ557</f>
        <v>2.0009671341148216</v>
      </c>
      <c r="AK558" s="23">
        <f>IF(ISERROR((AJ558/AB558-1)*100),"NA",IF(((AJ558/AB558-1)*100)&gt;100,"NM",IF(((AJ558/AB558-1)*100)&lt;-50,"NM",(AJ558/AB558-1)*100)))</f>
        <v>4.1635329928366049</v>
      </c>
      <c r="AL558" s="116">
        <f t="shared" ref="AL558" si="3823">+AL556-AL557</f>
        <v>2.0085945473253162</v>
      </c>
      <c r="AM558" s="23">
        <f>IF(ISERROR((AL558/AD558-1)*100),"NA",IF(((AL558/AD558-1)*100)&gt;100,"NM",IF(((AL558/AD558-1)*100)&lt;-50,"NM",(AL558/AD558-1)*100)))</f>
        <v>-3.5718819377432487</v>
      </c>
      <c r="AN558" s="445">
        <f t="shared" ref="AN558" si="3824">+AN556-AN557</f>
        <v>2.1624184154879056</v>
      </c>
      <c r="AO558" s="23">
        <f>IF(ISERROR((AN558/AF558-1)*100),"NA",IF(((AN558/AF558-1)*100)&gt;100,"NM",IF(((AN558/AF558-1)*100)&lt;-50,"NM",(AN558/AF558-1)*100)))</f>
        <v>0.11728431582760379</v>
      </c>
      <c r="AP558" s="445">
        <f t="shared" ref="AP558" si="3825">+AP556-AP557</f>
        <v>1.8958594988572952</v>
      </c>
      <c r="AQ558" s="23">
        <f t="shared" si="3772"/>
        <v>-7.9927738549374405</v>
      </c>
      <c r="AR558" s="445">
        <f t="shared" ref="AR558" si="3826">+AR556-AR557</f>
        <v>2.1563077527613883</v>
      </c>
      <c r="AS558" s="23">
        <f t="shared" si="3774"/>
        <v>7.7632768673776997</v>
      </c>
      <c r="AT558" s="445">
        <f t="shared" ref="AT558" si="3827">+AT556-AT557</f>
        <v>2.1012614480732683</v>
      </c>
      <c r="AU558" s="23">
        <f t="shared" si="3776"/>
        <v>4.6135194816370184</v>
      </c>
      <c r="AV558" s="445">
        <f t="shared" ref="AV558" si="3828">+AV556-AV557</f>
        <v>2.336082021001344</v>
      </c>
      <c r="AW558" s="23">
        <f t="shared" si="3778"/>
        <v>8.0309899448509192</v>
      </c>
      <c r="AX558" s="445">
        <f t="shared" ref="AX558" si="3829">+AX556-AX557</f>
        <v>1.9703217302833425</v>
      </c>
      <c r="AY558" s="23">
        <f t="shared" si="3780"/>
        <v>3.9276239336790697</v>
      </c>
      <c r="AZ558" s="445">
        <f t="shared" ref="AZ558" si="3830">+AZ556-AZ557</f>
        <v>1.9425518174126912</v>
      </c>
      <c r="BA558" s="23">
        <f t="shared" si="3782"/>
        <v>-9.9130532306883961</v>
      </c>
      <c r="BB558" s="445">
        <f t="shared" ref="BB558:BD558" si="3831">+BB556-BB557</f>
        <v>1.9308087982386417</v>
      </c>
      <c r="BC558" s="23">
        <f t="shared" si="3784"/>
        <v>-8.1119201035607205</v>
      </c>
      <c r="BD558" s="445">
        <f t="shared" si="3831"/>
        <v>0</v>
      </c>
      <c r="BE558" s="23" t="str">
        <f t="shared" si="3785"/>
        <v>NM</v>
      </c>
      <c r="BF558" s="457">
        <f t="shared" ref="BF558" si="3832">+BF556-BF557</f>
        <v>0</v>
      </c>
      <c r="BG558" s="23" t="str">
        <f t="shared" si="3786"/>
        <v>NM</v>
      </c>
      <c r="BH558" s="457">
        <f t="shared" ref="BH558" si="3833">+BH556-BH557</f>
        <v>0</v>
      </c>
      <c r="BI558" s="23"/>
      <c r="BJ558" s="115"/>
      <c r="BK558" s="23"/>
      <c r="BL558" s="115"/>
      <c r="BM558" s="23" t="str">
        <f t="shared" si="3787"/>
        <v>NA</v>
      </c>
      <c r="BN558" s="35"/>
      <c r="BO558" s="138"/>
      <c r="BP558" s="35"/>
      <c r="BQ558" s="113"/>
      <c r="BR558" s="113"/>
      <c r="BS558" s="113"/>
      <c r="BT558" s="35"/>
      <c r="BU558" s="116">
        <f>+BU556-BU557</f>
        <v>1.4586243981867706</v>
      </c>
      <c r="BV558" s="23" t="str">
        <f>IF(ISERROR((BU558/BS558-1)*100),"NA",IF(((BU558/BS558-1)*100)&gt;100,"NM",IF(((BU558/BS558-1)*100)&lt;-50,"NM",(BU558/BS558-1)*100)))</f>
        <v>NA</v>
      </c>
      <c r="BW558" s="116">
        <f>+BW556-BW557</f>
        <v>1.8225088986447471</v>
      </c>
      <c r="BX558" s="23">
        <f>IF(ISERROR((BW558/BU558-1)*100),"NA",IF(((BW558/BU558-1)*100)&gt;100,"NM",IF(((BW558/BU558-1)*100)&lt;-50,"NM",(BW558/BU558-1)*100)))</f>
        <v>24.947100906191121</v>
      </c>
      <c r="BY558" s="116">
        <f>+BY556-BY557</f>
        <v>2.0251521091621898</v>
      </c>
      <c r="BZ558" s="23">
        <f>IF(ISERROR((BY558/BW558-1)*100),"NA",IF(((BY558/BW558-1)*100)&gt;100,"NM",IF(((BY558/BW558-1)*100)&lt;-50,"NM",(BY558/BW558-1)*100)))</f>
        <v>11.118914737158869</v>
      </c>
      <c r="CA558" s="116">
        <f>+CA556-CA557</f>
        <v>2.0237617690483738</v>
      </c>
      <c r="CB558" s="23">
        <f>IF(ISERROR((CA558/BY558-1)*100),"NA",IF(((CA558/BY558-1)*100)&gt;100,"NM",IF(((CA558/BY558-1)*100)&lt;-50,"NM",(CA558/BY558-1)*100)))</f>
        <v>-6.8653614092784032E-2</v>
      </c>
      <c r="CC558" s="116">
        <f>+CC556-CC557</f>
        <v>2.0556723761730402</v>
      </c>
      <c r="CD558" s="23">
        <f>IF(ISERROR((CC558/CA558-1)*100),"NA",IF(((CC558/CA558-1)*100)&gt;100,"NM",IF(((CC558/CA558-1)*100)&lt;-50,"NM",(CC558/CA558-1)*100)))</f>
        <v>1.5767966177002934</v>
      </c>
      <c r="CE558" s="116">
        <f>+CE556-CE557</f>
        <v>2.120689549862468</v>
      </c>
      <c r="CF558" s="23">
        <f>IF(ISERROR((CE558/CC558-1)*100),"NA",IF(((CE558/CC558-1)*100)&gt;100,"NM",IF(((CE558/CC558-1)*100)&lt;-50,"NM",(CE558/CC558-1)*100)))</f>
        <v>3.1628178907802118</v>
      </c>
      <c r="CG558" s="116">
        <f>+CG556-CG557</f>
        <v>1.4646557211636044</v>
      </c>
      <c r="CH558" s="23">
        <f>IF(ISERROR((CG558/CE558-1)*100),"NA",IF(((CG558/CE558-1)*100)&gt;100,"NM",IF(((CG558/CE558-1)*100)&lt;-50,"NM",(CG558/CE558-1)*100)))</f>
        <v>-30.934930043928823</v>
      </c>
      <c r="CI558" s="445">
        <f>+CI556-CI557</f>
        <v>0</v>
      </c>
      <c r="CJ558" s="23"/>
      <c r="CK558" s="116"/>
      <c r="CL558" s="23"/>
      <c r="CM558" s="116"/>
      <c r="CN558" s="23"/>
      <c r="CO558" s="116"/>
      <c r="CP558" s="23"/>
      <c r="CQ558" s="116"/>
      <c r="CR558" s="23" t="str">
        <f>IF(ISERROR((CQ558/CO558-1)*100),"NA",IF(((CQ558/CO558-1)*100)&gt;100,"NM",IF(((CQ558/CO558-1)*100)&lt;-50,"NM",(CQ558/CO558-1)*100)))</f>
        <v>NA</v>
      </c>
      <c r="CS558" s="23" t="str">
        <f>IF(ISERROR(((CQ558/CG558)^0.2-1)*100),"NA",IF((((CQ558/CG558)^0.2-1)*100)&gt;100,"NM",IF((((CQ558/CG558)^0.2-1)*100)&lt;-50,"NM",((CQ558/CG558)^0.2-1)*100)))</f>
        <v>NM</v>
      </c>
    </row>
    <row r="559" spans="1:97" ht="12.75" hidden="1" customHeight="1" outlineLevel="1" x14ac:dyDescent="0.2">
      <c r="B559" s="35"/>
      <c r="C559" s="60"/>
      <c r="D559" s="35"/>
      <c r="E559" s="60"/>
      <c r="F559" s="35"/>
      <c r="G559" s="60"/>
      <c r="H559" s="35"/>
      <c r="I559" s="60"/>
      <c r="J559" s="35"/>
      <c r="L559" s="35"/>
      <c r="N559" s="35"/>
      <c r="P559" s="37"/>
      <c r="R559" s="37"/>
      <c r="T559" s="37"/>
      <c r="V559" s="37"/>
      <c r="X559" s="37"/>
      <c r="Z559" s="37"/>
      <c r="AB559" s="37"/>
      <c r="AD559" s="37"/>
      <c r="AF559" s="37"/>
      <c r="AH559" s="37"/>
      <c r="AJ559" s="37"/>
      <c r="AL559" s="37"/>
      <c r="AN559" s="411"/>
      <c r="AP559" s="411"/>
      <c r="AR559" s="409"/>
      <c r="AT559" s="409"/>
      <c r="AV559" s="409"/>
      <c r="AX559" s="409"/>
      <c r="AZ559" s="409"/>
      <c r="BB559" s="409"/>
      <c r="BD559" s="409"/>
      <c r="BF559" s="409"/>
      <c r="BH559" s="409"/>
      <c r="BJ559" s="35"/>
      <c r="BL559" s="35"/>
      <c r="BN559" s="35"/>
      <c r="BO559" s="138"/>
      <c r="BP559" s="35"/>
      <c r="BQ559" s="35"/>
      <c r="BR559" s="35"/>
      <c r="BS559" s="35"/>
      <c r="BT559" s="35"/>
      <c r="BU559" s="37"/>
      <c r="BW559" s="37"/>
      <c r="BY559" s="37"/>
      <c r="CA559" s="37"/>
      <c r="CC559" s="37"/>
      <c r="CE559" s="37"/>
      <c r="CG559" s="37"/>
      <c r="CI559" s="411"/>
      <c r="CK559" s="37"/>
      <c r="CM559" s="37"/>
      <c r="CO559" s="37"/>
      <c r="CQ559" s="37"/>
    </row>
    <row r="560" spans="1:97" ht="12.75" hidden="1" customHeight="1" outlineLevel="1" x14ac:dyDescent="0.2">
      <c r="A560" s="40" t="s">
        <v>111</v>
      </c>
      <c r="B560" s="35"/>
      <c r="C560" s="60"/>
      <c r="D560" s="35"/>
      <c r="E560" s="60"/>
      <c r="F560" s="35"/>
      <c r="G560" s="60"/>
      <c r="H560" s="35"/>
      <c r="I560" s="60"/>
      <c r="J560" s="35"/>
      <c r="L560" s="35"/>
      <c r="N560" s="35"/>
      <c r="P560" s="37"/>
      <c r="R560" s="37"/>
      <c r="T560" s="37"/>
      <c r="V560" s="37"/>
      <c r="X560" s="37"/>
      <c r="Z560" s="37"/>
      <c r="AB560" s="37"/>
      <c r="AD560" s="37"/>
      <c r="AF560" s="37"/>
      <c r="AH560" s="37"/>
      <c r="AJ560" s="37"/>
      <c r="AL560" s="37"/>
      <c r="AN560" s="411"/>
      <c r="AP560" s="411"/>
      <c r="AR560" s="409"/>
      <c r="AT560" s="409"/>
      <c r="AV560" s="409"/>
      <c r="AX560" s="409"/>
      <c r="AZ560" s="409"/>
      <c r="BB560" s="409"/>
      <c r="BD560" s="409"/>
      <c r="BF560" s="409"/>
      <c r="BH560" s="409"/>
      <c r="BJ560" s="35"/>
      <c r="BL560" s="35"/>
      <c r="BN560" s="35"/>
      <c r="BO560" s="138"/>
      <c r="BP560" s="35"/>
      <c r="BQ560" s="35"/>
      <c r="BR560" s="35"/>
      <c r="BS560" s="35"/>
      <c r="BT560" s="35"/>
      <c r="BU560" s="37"/>
      <c r="BW560" s="37"/>
      <c r="BY560" s="37"/>
      <c r="CA560" s="37"/>
      <c r="CC560" s="37"/>
      <c r="CE560" s="37"/>
      <c r="CG560" s="37"/>
      <c r="CI560" s="411"/>
      <c r="CK560" s="37"/>
      <c r="CM560" s="37"/>
      <c r="CO560" s="37"/>
      <c r="CQ560" s="37"/>
    </row>
    <row r="561" spans="1:97" ht="12.75" hidden="1" customHeight="1" outlineLevel="1" x14ac:dyDescent="0.2">
      <c r="A561" s="31" t="s">
        <v>119</v>
      </c>
      <c r="B561" s="115">
        <f t="shared" ref="B561" si="3834">B549/B531*400</f>
        <v>0.10408868355839176</v>
      </c>
      <c r="C561" s="59"/>
      <c r="D561" s="115">
        <f t="shared" ref="D561" si="3835">D549/D531*400</f>
        <v>0.12220621902687347</v>
      </c>
      <c r="E561" s="59"/>
      <c r="F561" s="115">
        <f t="shared" ref="F561" si="3836">F549/F531*400</f>
        <v>0.12519586615928005</v>
      </c>
      <c r="G561" s="59"/>
      <c r="H561" s="115">
        <f t="shared" ref="H561" si="3837">H549/H531*400</f>
        <v>0.12958807789683346</v>
      </c>
      <c r="I561" s="59"/>
      <c r="J561" s="115">
        <f t="shared" ref="J561" si="3838">J549/J531*400</f>
        <v>0.13870548269709584</v>
      </c>
      <c r="K561" s="23">
        <f t="shared" ref="K561:K562" si="3839">IF(ISERROR((J561/B561-1)*100),"NA",IF(((J561/B561-1)*100)&gt;100,"NM",IF(((J561/B561-1)*100)&lt;-50,"NM",(J561/B561-1)*100)))</f>
        <v>33.257024640228749</v>
      </c>
      <c r="L561" s="115">
        <f t="shared" ref="L561" si="3840">L549/L531*400</f>
        <v>0.13886765003699006</v>
      </c>
      <c r="M561" s="23">
        <f t="shared" ref="M561:M562" si="3841">IF(ISERROR((L561/D561-1)*100),"NA",IF(((L561/D561-1)*100)&gt;100,"NM",IF(((L561/D561-1)*100)&lt;-50,"NM",(L561/D561-1)*100)))</f>
        <v>13.633865070690643</v>
      </c>
      <c r="N561" s="115">
        <f t="shared" ref="N561" si="3842">N549/N531*400</f>
        <v>0.15983064752666323</v>
      </c>
      <c r="O561" s="23">
        <f t="shared" ref="O561:O562" si="3843">IF(ISERROR((N561/F561-1)*100),"NA",IF(((N561/F561-1)*100)&gt;100,"NM",IF(((N561/F561-1)*100)&lt;-50,"NM",(N561/F561-1)*100)))</f>
        <v>27.664476815328065</v>
      </c>
      <c r="P561" s="116">
        <f t="shared" ref="P561" si="3844">P549/P531*400</f>
        <v>0.1730381690505815</v>
      </c>
      <c r="Q561" s="23">
        <f t="shared" ref="Q561:Q562" si="3845">IF(ISERROR((P561/H561-1)*100),"NA",IF(((P561/H561-1)*100)&gt;100,"NM",IF(((P561/H561-1)*100)&lt;-50,"NM",(P561/H561-1)*100)))</f>
        <v>33.529389322634408</v>
      </c>
      <c r="R561" s="116">
        <f>R549/R531*400</f>
        <v>0.17976720147409098</v>
      </c>
      <c r="S561" s="23">
        <f t="shared" ref="S561:S562" si="3846">IF(ISERROR((R561/J561-1)*100),"NA",IF(((R561/J561-1)*100)&gt;100,"NM",IF(((R561/J561-1)*100)&lt;-50,"NM",(R561/J561-1)*100)))</f>
        <v>29.603529708097742</v>
      </c>
      <c r="T561" s="116">
        <f>T549/T531*400</f>
        <v>0.19273697159901323</v>
      </c>
      <c r="U561" s="23">
        <f t="shared" ref="U561:U562" si="3847">IF(ISERROR((T561/L561-1)*100),"NA",IF(((T561/L561-1)*100)&gt;100,"NM",IF(((T561/L561-1)*100)&lt;-50,"NM",(T561/L561-1)*100)))</f>
        <v>38.791843563042974</v>
      </c>
      <c r="V561" s="116">
        <f>V549/V531*400</f>
        <v>0.2055681794049565</v>
      </c>
      <c r="W561" s="23">
        <f t="shared" ref="W561:W562" si="3848">IF(ISERROR((V561/N561-1)*100),"NA",IF(((V561/N561-1)*100)&gt;100,"NM",IF(((V561/N561-1)*100)&lt;-50,"NM",(V561/N561-1)*100)))</f>
        <v>28.616246374565456</v>
      </c>
      <c r="X561" s="116">
        <f>X549/X531*400</f>
        <v>0.21743894011158491</v>
      </c>
      <c r="Y561" s="23">
        <f t="shared" ref="Y561:Y562" si="3849">IF(ISERROR((X561/P561-1)*100),"NA",IF(((X561/P561-1)*100)&gt;100,"NM",IF(((X561/P561-1)*100)&lt;-50,"NM",(X561/P561-1)*100)))</f>
        <v>25.659524314560002</v>
      </c>
      <c r="Z561" s="116">
        <f>Z549/Z531*400</f>
        <v>0.22027810110264198</v>
      </c>
      <c r="AA561" s="23">
        <f>IF(ISERROR((Z561/R561-1)*100),"NA",IF(((Z561/R561-1)*100)&gt;100,"NM",IF(((Z561/R561-1)*100)&lt;-50,"NM",(Z561/R561-1)*100)))</f>
        <v>22.535200690872227</v>
      </c>
      <c r="AB561" s="116">
        <f>AB549/AB531*400</f>
        <v>0.23104645477781366</v>
      </c>
      <c r="AC561" s="23">
        <f>IF(ISERROR((AB561/T561-1)*100),"NA",IF(((AB561/T561-1)*100)&gt;100,"NM",IF(((AB561/T561-1)*100)&lt;-50,"NM",(AB561/T561-1)*100)))</f>
        <v>19.876561751993705</v>
      </c>
      <c r="AD561" s="116">
        <f>AD549/AD531*400</f>
        <v>0.24193915892999912</v>
      </c>
      <c r="AE561" s="23">
        <f>IF(ISERROR((AD561/V561-1)*100),"NA",IF(((AD561/V561-1)*100)&gt;100,"NM",IF(((AD561/V561-1)*100)&lt;-50,"NM",(AD561/V561-1)*100)))</f>
        <v>17.692903459243105</v>
      </c>
      <c r="AF561" s="116">
        <f>AF549/AF531*400</f>
        <v>0.24837840786084087</v>
      </c>
      <c r="AG561" s="23">
        <f>IF(ISERROR((AF561/X561-1)*100),"NA",IF(((AF561/X561-1)*100)&gt;100,"NM",IF(((AF561/X561-1)*100)&lt;-50,"NM",(AF561/X561-1)*100)))</f>
        <v>14.229037233799291</v>
      </c>
      <c r="AH561" s="116">
        <f>AH549/AH531*400</f>
        <v>0.25987471523808914</v>
      </c>
      <c r="AI561" s="23">
        <f>IF(ISERROR((AH561/Z561-1)*100),"NA",IF(((AH561/Z561-1)*100)&gt;100,"NM",IF(((AH561/Z561-1)*100)&lt;-50,"NM",(AH561/Z561-1)*100)))</f>
        <v>17.975737913682345</v>
      </c>
      <c r="AJ561" s="116">
        <f>AJ549/AJ531*400</f>
        <v>0.27013056310550088</v>
      </c>
      <c r="AK561" s="23">
        <f>IF(ISERROR((AJ561/AB561-1)*100),"NA",IF(((AJ561/AB561-1)*100)&gt;100,"NM",IF(((AJ561/AB561-1)*100)&lt;-50,"NM",(AJ561/AB561-1)*100)))</f>
        <v>16.91612553210242</v>
      </c>
      <c r="AL561" s="116">
        <f>AL549/AL531*400</f>
        <v>0.26714474444892</v>
      </c>
      <c r="AM561" s="23">
        <f>IF(ISERROR((AL561/AD561-1)*100),"NA",IF(((AL561/AD561-1)*100)&gt;100,"NM",IF(((AL561/AD561-1)*100)&lt;-50,"NM",(AL561/AD561-1)*100)))</f>
        <v>10.41815042690699</v>
      </c>
      <c r="AN561" s="445">
        <f t="shared" ref="AN561" si="3850">AN549/AN531*400</f>
        <v>0.27279740010770498</v>
      </c>
      <c r="AO561" s="23">
        <f>IF(ISERROR((AN561/AF561-1)*100),"NA",IF(((AN561/AF561-1)*100)&gt;100,"NM",IF(((AN561/AF561-1)*100)&lt;-50,"NM",(AN561/AF561-1)*100)))</f>
        <v>9.83136676701195</v>
      </c>
      <c r="AP561" s="445">
        <f t="shared" ref="AP561" si="3851">AP549/AP531*400</f>
        <v>0.26024830653297365</v>
      </c>
      <c r="AQ561" s="23">
        <f t="shared" ref="AQ561:AQ562" si="3852">IF(ISERROR((AP561/AH561-1)*100),"NA",IF(((AP561/AH561-1)*100)&gt;100,"NM",IF(((AP561/AH561-1)*100)&lt;-50,"NM",(AP561/AH561-1)*100)))</f>
        <v>0.14375823155485801</v>
      </c>
      <c r="AR561" s="445">
        <f t="shared" ref="AR561" si="3853">AR549/AR531*400</f>
        <v>0.27015245194049275</v>
      </c>
      <c r="AS561" s="23">
        <f t="shared" ref="AS561:AS562" si="3854">IF(ISERROR((AR561/AJ561-1)*100),"NA",IF(((AR561/AJ561-1)*100)&gt;100,"NM",IF(((AR561/AJ561-1)*100)&lt;-50,"NM",(AR561/AJ561-1)*100)))</f>
        <v>8.1030575512119896E-3</v>
      </c>
      <c r="AT561" s="445">
        <f t="shared" ref="AT561" si="3855">AT549/AT531*400</f>
        <v>0.27810813283322655</v>
      </c>
      <c r="AU561" s="23">
        <f t="shared" ref="AU561:AU562" si="3856">IF(ISERROR((AT561/AL561-1)*100),"NA",IF(((AT561/AL561-1)*100)&gt;100,"NM",IF(((AT561/AL561-1)*100)&lt;-50,"NM",(AT561/AL561-1)*100)))</f>
        <v>4.1039131826914321</v>
      </c>
      <c r="AV561" s="445">
        <f t="shared" ref="AV561" si="3857">AV549/AV531*400</f>
        <v>0.28233035474809065</v>
      </c>
      <c r="AW561" s="23">
        <f t="shared" ref="AW561:AW562" si="3858">IF(ISERROR((AV561/AN561-1)*100),"NA",IF(((AV561/AN561-1)*100)&gt;100,"NM",IF(((AV561/AN561-1)*100)&lt;-50,"NM",(AV561/AN561-1)*100)))</f>
        <v>3.4945181429961947</v>
      </c>
      <c r="AX561" s="445">
        <f t="shared" ref="AX561" si="3859">AX549/AX531*400</f>
        <v>0.29307938429436936</v>
      </c>
      <c r="AY561" s="23">
        <f t="shared" ref="AY561:AY562" si="3860">IF(ISERROR((AX561/AP561-1)*100),"NA",IF(((AX561/AP561-1)*100)&gt;100,"NM",IF(((AX561/AP561-1)*100)&lt;-50,"NM",(AX561/AP561-1)*100)))</f>
        <v>12.615289681908459</v>
      </c>
      <c r="AZ561" s="445">
        <f t="shared" ref="AZ561" si="3861">AZ549/AZ531*400</f>
        <v>0.29994130729654334</v>
      </c>
      <c r="BA561" s="23">
        <f t="shared" ref="BA561:BA562" si="3862">IF(ISERROR((AZ561/AR561-1)*100),"NA",IF(((AZ561/AR561-1)*100)&gt;100,"NM",IF(((AZ561/AR561-1)*100)&lt;-50,"NM",(AZ561/AR561-1)*100)))</f>
        <v>11.026683319762087</v>
      </c>
      <c r="BB561" s="445">
        <f t="shared" ref="BB561:BD561" si="3863">BB549/BB531*400</f>
        <v>0.31402848409356326</v>
      </c>
      <c r="BC561" s="23">
        <f t="shared" ref="BC561:BC562" si="3864">IF(ISERROR((BB561/AT561-1)*100),"NA",IF(((BB561/AT561-1)*100)&gt;100,"NM",IF(((BB561/AT561-1)*100)&lt;-50,"NM",(BB561/AT561-1)*100)))</f>
        <v>12.915965777195426</v>
      </c>
      <c r="BD561" s="445">
        <f t="shared" si="3863"/>
        <v>0</v>
      </c>
      <c r="BE561" s="23" t="str">
        <f t="shared" ref="BE561:BE562" si="3865">IF(ISERROR((BD561/AV561-1)*100),"NA",IF(((BD561/AV561-1)*100)&gt;100,"NM",IF(((BD561/AV561-1)*100)&lt;-50,"NM",(BD561/AV561-1)*100)))</f>
        <v>NM</v>
      </c>
      <c r="BF561" s="646">
        <f t="shared" ref="BF561:BH562" si="3866">BD561</f>
        <v>0</v>
      </c>
      <c r="BG561" s="23" t="str">
        <f t="shared" ref="BG561:BG562" si="3867">IF(ISERROR((BF561/AX561-1)*100),"NA",IF(((BF561/AX561-1)*100)&gt;100,"NM",IF(((BF561/AX561-1)*100)&lt;-50,"NM",(BF561/AX561-1)*100)))</f>
        <v>NM</v>
      </c>
      <c r="BH561" s="646">
        <f t="shared" si="3866"/>
        <v>0</v>
      </c>
      <c r="BI561" s="23"/>
      <c r="BJ561" s="117"/>
      <c r="BK561" s="23"/>
      <c r="BL561" s="117"/>
      <c r="BM561" s="23" t="str">
        <f t="shared" ref="BM561:BM562" si="3868">IF(ISERROR((BL561/BD561-1)*100),"NA",IF(((BL561/BD561-1)*100)&gt;100,"NM",IF(((BL561/BD561-1)*100)&lt;-50,"NM",(BL561/BD561-1)*100)))</f>
        <v>NA</v>
      </c>
      <c r="BN561" s="35"/>
      <c r="BO561" s="139"/>
      <c r="BP561" s="35"/>
      <c r="BQ561" s="151"/>
      <c r="BR561" s="113"/>
      <c r="BS561" s="151"/>
      <c r="BT561" s="35"/>
      <c r="BU561" s="116">
        <f>BU549/BU531*100</f>
        <v>0.12141801771014464</v>
      </c>
      <c r="BV561" s="23" t="str">
        <f>IF(ISERROR((BU561/BS561-1)*100),"NA",IF(((BU561/BS561-1)*100)&gt;100,"NM",IF(((BU561/BS561-1)*100)&lt;-50,"NM",(BU561/BS561-1)*100)))</f>
        <v>NA</v>
      </c>
      <c r="BW561" s="116">
        <f>BW549/BW531*100</f>
        <v>0.15159884867942866</v>
      </c>
      <c r="BX561" s="23">
        <f>IF(ISERROR((BW561/BU561-1)*100),"NA",IF(((BW561/BU561-1)*100)&gt;100,"NM",IF(((BW561/BU561-1)*100)&lt;-50,"NM",(BW561/BU561-1)*100)))</f>
        <v>24.856962367260227</v>
      </c>
      <c r="BY561" s="116">
        <f>BY549/BY531*100</f>
        <v>0.19856928285939762</v>
      </c>
      <c r="BZ561" s="23">
        <f>IF(ISERROR((BY561/BW561-1)*100),"NA",IF(((BY561/BW561-1)*100)&gt;100,"NM",IF(((BY561/BW561-1)*100)&lt;-50,"NM",(BY561/BW561-1)*100)))</f>
        <v>30.98337130468105</v>
      </c>
      <c r="CA561" s="116">
        <f>CA549/CA531*100</f>
        <v>0.23774370304719375</v>
      </c>
      <c r="CB561" s="23">
        <f>IF(ISERROR((CA561/BY561-1)*100),"NA",IF(((CA561/BY561-1)*100)&gt;100,"NM",IF(((CA561/BY561-1)*100)&lt;-50,"NM",(CA561/BY561-1)*100)))</f>
        <v>19.728338453805392</v>
      </c>
      <c r="CC561" s="116">
        <f>CC549/CC531*100</f>
        <v>0.26717072042313839</v>
      </c>
      <c r="CD561" s="23">
        <f>IF(ISERROR((CC561/CA561-1)*100),"NA",IF(((CC561/CA561-1)*100)&gt;100,"NM",IF(((CC561/CA561-1)*100)&lt;-50,"NM",(CC561/CA561-1)*100)))</f>
        <v>12.377622203563977</v>
      </c>
      <c r="CE561" s="116">
        <f>CE549/CE531*100</f>
        <v>0.27241576590975264</v>
      </c>
      <c r="CF561" s="23">
        <f>IF(ISERROR((CE561/CC561-1)*100),"NA",IF(((CE561/CC561-1)*100)&gt;100,"NM",IF(((CE561/CC561-1)*100)&lt;-50,"NM",(CE561/CC561-1)*100)))</f>
        <v>1.9631812491680556</v>
      </c>
      <c r="CG561" s="116">
        <f>CG549/CG531*100</f>
        <v>0.22742366822158236</v>
      </c>
      <c r="CH561" s="23">
        <f>IF(ISERROR((CG561/CE561-1)*100),"NA",IF(((CG561/CE561-1)*100)&gt;100,"NM",IF(((CG561/CE561-1)*100)&lt;-50,"NM",(CG561/CE561-1)*100)))</f>
        <v>-16.515966885365774</v>
      </c>
      <c r="CI561" s="445">
        <f>CI549/CI531*100</f>
        <v>0</v>
      </c>
      <c r="CJ561" s="23"/>
      <c r="CK561" s="118"/>
      <c r="CL561" s="23"/>
      <c r="CM561" s="118"/>
      <c r="CN561" s="23"/>
      <c r="CO561" s="118"/>
      <c r="CP561" s="23"/>
      <c r="CQ561" s="118"/>
      <c r="CR561" s="23" t="str">
        <f>IF(ISERROR((CQ561/CO561-1)*100),"NA",IF(((CQ561/CO561-1)*100)&gt;100,"NM",IF(((CQ561/CO561-1)*100)&lt;-50,"NM",(CQ561/CO561-1)*100)))</f>
        <v>NA</v>
      </c>
      <c r="CS561" s="23" t="str">
        <f>IF(ISERROR(((CQ561/CG561)^0.2-1)*100),"NA",IF((((CQ561/CG561)^0.2-1)*100)&gt;100,"NM",IF((((CQ561/CG561)^0.2-1)*100)&lt;-50,"NM",((CQ561/CG561)^0.2-1)*100)))</f>
        <v>NM</v>
      </c>
    </row>
    <row r="562" spans="1:97" ht="12.75" hidden="1" customHeight="1" outlineLevel="1" x14ac:dyDescent="0.2">
      <c r="A562" s="34" t="s">
        <v>263</v>
      </c>
      <c r="B562" s="115">
        <f>B550/B530*400</f>
        <v>7.8177662727203848E-2</v>
      </c>
      <c r="C562" s="59"/>
      <c r="D562" s="115">
        <f t="shared" ref="D562" si="3869">D550/D530*400</f>
        <v>0.11367448836612658</v>
      </c>
      <c r="E562" s="59"/>
      <c r="F562" s="115">
        <f t="shared" ref="F562" si="3870">F550/F530*400</f>
        <v>8.590040325467084E-2</v>
      </c>
      <c r="G562" s="59"/>
      <c r="H562" s="115">
        <f t="shared" ref="H562" si="3871">H550/H530*400</f>
        <v>3.5399369247602494E-2</v>
      </c>
      <c r="I562" s="59"/>
      <c r="J562" s="115">
        <f t="shared" ref="J562" si="3872">J550/J530*400</f>
        <v>5.0116601932722507E-2</v>
      </c>
      <c r="K562" s="23">
        <f t="shared" si="3839"/>
        <v>-35.893962310434745</v>
      </c>
      <c r="L562" s="115">
        <f t="shared" ref="L562" si="3873">L550/L530*400</f>
        <v>6.7655851596889527E-2</v>
      </c>
      <c r="M562" s="23">
        <f t="shared" si="3841"/>
        <v>-40.482818467604353</v>
      </c>
      <c r="N562" s="115">
        <f t="shared" ref="N562" si="3874">N550/N530*400</f>
        <v>3.7605712649621599E-2</v>
      </c>
      <c r="O562" s="23" t="str">
        <f t="shared" si="3843"/>
        <v>NM</v>
      </c>
      <c r="P562" s="115">
        <f t="shared" ref="P562" si="3875">P550/P530*400</f>
        <v>9.6161276197508361E-2</v>
      </c>
      <c r="Q562" s="23" t="str">
        <f t="shared" si="3845"/>
        <v>NM</v>
      </c>
      <c r="R562" s="115">
        <f>R550/R530*400</f>
        <v>0.12290412198234103</v>
      </c>
      <c r="S562" s="23" t="str">
        <f t="shared" si="3846"/>
        <v>NM</v>
      </c>
      <c r="T562" s="115">
        <f>T550/T530*400</f>
        <v>7.4988070079760022E-2</v>
      </c>
      <c r="U562" s="23">
        <f t="shared" si="3847"/>
        <v>10.837523007703286</v>
      </c>
      <c r="V562" s="115">
        <f>V550/V530*400</f>
        <v>3.8952351113105757E-2</v>
      </c>
      <c r="W562" s="23">
        <f t="shared" si="3848"/>
        <v>3.5809412150515696</v>
      </c>
      <c r="X562" s="115">
        <f>X550/X530*400</f>
        <v>7.21385731661284E-2</v>
      </c>
      <c r="Y562" s="23">
        <f t="shared" si="3849"/>
        <v>-24.981680756855862</v>
      </c>
      <c r="Z562" s="115">
        <f>Z550/Z530*400</f>
        <v>0.11619993028004179</v>
      </c>
      <c r="AA562" s="23">
        <f>IF(ISERROR((Z562/R562-1)*100),"NA",IF(((Z562/R562-1)*100)&gt;100,"NM",IF(((Z562/R562-1)*100)&lt;-50,"NM",(Z562/R562-1)*100)))</f>
        <v>-5.4548143660002824</v>
      </c>
      <c r="AB562" s="115">
        <f>AB550/AB530*400</f>
        <v>0.14766989215995924</v>
      </c>
      <c r="AC562" s="23">
        <f>IF(ISERROR((AB562/T562-1)*100),"NA",IF(((AB562/T562-1)*100)&gt;100,"NM",IF(((AB562/T562-1)*100)&lt;-50,"NM",(AB562/T562-1)*100)))</f>
        <v>96.924513463131134</v>
      </c>
      <c r="AD562" s="115">
        <f>AD550/AD530*400</f>
        <v>5.5234978805669077E-2</v>
      </c>
      <c r="AE562" s="23">
        <f>IF(ISERROR((AD562/V562-1)*100),"NA",IF(((AD562/V562-1)*100)&gt;100,"NM",IF(((AD562/V562-1)*100)&lt;-50,"NM",(AD562/V562-1)*100)))</f>
        <v>41.801398958649585</v>
      </c>
      <c r="AF562" s="115">
        <f>AF550/AF530*400</f>
        <v>0.10432748734818874</v>
      </c>
      <c r="AG562" s="23">
        <f>IF(ISERROR((AF562/X562-1)*100),"NA",IF(((AF562/X562-1)*100)&gt;100,"NM",IF(((AF562/X562-1)*100)&lt;-50,"NM",(AF562/X562-1)*100)))</f>
        <v>44.620946560631666</v>
      </c>
      <c r="AH562" s="115">
        <f>AH550/AH530*400</f>
        <v>0.12529234881389903</v>
      </c>
      <c r="AI562" s="23">
        <f>IF(ISERROR((AH562/Z562-1)*100),"NA",IF(((AH562/Z562-1)*100)&gt;100,"NM",IF(((AH562/Z562-1)*100)&lt;-50,"NM",(AH562/Z562-1)*100)))</f>
        <v>7.8248054985442073</v>
      </c>
      <c r="AJ562" s="115">
        <f>AJ550/AJ530*400</f>
        <v>7.6562031889750651E-2</v>
      </c>
      <c r="AK562" s="23">
        <f>IF(ISERROR((AJ562/AB562-1)*100),"NA",IF(((AJ562/AB562-1)*100)&gt;100,"NM",IF(((AJ562/AB562-1)*100)&lt;-50,"NM",(AJ562/AB562-1)*100)))</f>
        <v>-48.153255365814864</v>
      </c>
      <c r="AL562" s="115">
        <f>AL550/AL530*400</f>
        <v>0.40366311716698827</v>
      </c>
      <c r="AM562" s="23" t="str">
        <f>IF(ISERROR((AL562/AD562-1)*100),"NA",IF(((AL562/AD562-1)*100)&gt;100,"NM",IF(((AL562/AD562-1)*100)&lt;-50,"NM",(AL562/AD562-1)*100)))</f>
        <v>NM</v>
      </c>
      <c r="AN562" s="457">
        <f t="shared" ref="AN562" si="3876">AN550/AN530*400</f>
        <v>6.7732209969850868E-2</v>
      </c>
      <c r="AO562" s="23">
        <f>IF(ISERROR((AN562/AF562-1)*100),"NA",IF(((AN562/AF562-1)*100)&gt;100,"NM",IF(((AN562/AF562-1)*100)&lt;-50,"NM",(AN562/AF562-1)*100)))</f>
        <v>-35.07731117514853</v>
      </c>
      <c r="AP562" s="457">
        <f t="shared" ref="AP562" si="3877">AP550/AP530*400</f>
        <v>7.0619149285596969E-2</v>
      </c>
      <c r="AQ562" s="23">
        <f t="shared" si="3852"/>
        <v>-43.636502983522178</v>
      </c>
      <c r="AR562" s="457">
        <f t="shared" ref="AR562" si="3878">AR550/AR530*400</f>
        <v>7.9982697620514728E-2</v>
      </c>
      <c r="AS562" s="23">
        <f t="shared" si="3854"/>
        <v>4.4678356181688583</v>
      </c>
      <c r="AT562" s="457">
        <f t="shared" ref="AT562" si="3879">AT550/AT530*400</f>
        <v>0</v>
      </c>
      <c r="AU562" s="23" t="str">
        <f t="shared" si="3856"/>
        <v>NM</v>
      </c>
      <c r="AV562" s="457">
        <f t="shared" ref="AV562" si="3880">AV550/AV530*400</f>
        <v>6.7461480699190043E-2</v>
      </c>
      <c r="AW562" s="23">
        <f t="shared" si="3858"/>
        <v>-0.39970535551893116</v>
      </c>
      <c r="AX562" s="457">
        <f t="shared" ref="AX562" si="3881">AX550/AX530*400</f>
        <v>9.1619211600887707E-2</v>
      </c>
      <c r="AY562" s="23">
        <f t="shared" si="3860"/>
        <v>29.737064985536122</v>
      </c>
      <c r="AZ562" s="457">
        <f t="shared" ref="AZ562" si="3882">AZ550/AZ530*400</f>
        <v>6.7132168408069889E-2</v>
      </c>
      <c r="BA562" s="23">
        <f t="shared" si="3862"/>
        <v>-16.066636403557379</v>
      </c>
      <c r="BB562" s="457">
        <f t="shared" ref="BB562:BD562" si="3883">BB550/BB530*400</f>
        <v>6.0373386172946505E-2</v>
      </c>
      <c r="BC562" s="23" t="str">
        <f t="shared" si="3864"/>
        <v>NA</v>
      </c>
      <c r="BD562" s="457">
        <f t="shared" si="3883"/>
        <v>0</v>
      </c>
      <c r="BE562" s="23" t="str">
        <f t="shared" si="3865"/>
        <v>NM</v>
      </c>
      <c r="BF562" s="646">
        <f t="shared" si="3866"/>
        <v>0</v>
      </c>
      <c r="BG562" s="23" t="str">
        <f t="shared" si="3867"/>
        <v>NM</v>
      </c>
      <c r="BH562" s="646">
        <f t="shared" si="3866"/>
        <v>0</v>
      </c>
      <c r="BI562" s="23"/>
      <c r="BJ562" s="117"/>
      <c r="BK562" s="23"/>
      <c r="BL562" s="117"/>
      <c r="BM562" s="23" t="str">
        <f t="shared" si="3868"/>
        <v>NA</v>
      </c>
      <c r="BN562" s="35"/>
      <c r="BO562" s="139"/>
      <c r="BP562" s="35"/>
      <c r="BQ562" s="151"/>
      <c r="BR562" s="113"/>
      <c r="BS562" s="151"/>
      <c r="BT562" s="35"/>
      <c r="BU562" s="115">
        <f>BU550/BU530*100</f>
        <v>7.9246315247473761E-2</v>
      </c>
      <c r="BV562" s="23" t="str">
        <f>IF(ISERROR((BU562/BS562-1)*100),"NA",IF(((BU562/BS562-1)*100)&gt;100,"NM",IF(((BU562/BS562-1)*100)&lt;-50,"NM",(BU562/BS562-1)*100)))</f>
        <v>NA</v>
      </c>
      <c r="BW562" s="115">
        <f>BW550/BW530*100</f>
        <v>6.3964420327806928E-2</v>
      </c>
      <c r="BX562" s="23">
        <f>IF(ISERROR((BW562/BU562-1)*100),"NA",IF(((BW562/BU562-1)*100)&gt;100,"NM",IF(((BW562/BU562-1)*100)&lt;-50,"NM",(BW562/BU562-1)*100)))</f>
        <v>-19.28404478106507</v>
      </c>
      <c r="BY562" s="115">
        <f>BY550/BY530*100</f>
        <v>7.6332676257182389E-2</v>
      </c>
      <c r="BZ562" s="23">
        <f>IF(ISERROR((BY562/BW562-1)*100),"NA",IF(((BY562/BW562-1)*100)&gt;100,"NM",IF(((BY562/BW562-1)*100)&lt;-50,"NM",(BY562/BW562-1)*100)))</f>
        <v>19.33614948121194</v>
      </c>
      <c r="CA562" s="115">
        <f>CA550/CA530*100</f>
        <v>0.10727221481366184</v>
      </c>
      <c r="CB562" s="23">
        <f>IF(ISERROR((CA562/BY562-1)*100),"NA",IF(((CA562/BY562-1)*100)&gt;100,"NM",IF(((CA562/BY562-1)*100)&lt;-50,"NM",(CA562/BY562-1)*100)))</f>
        <v>40.532495483634044</v>
      </c>
      <c r="CC562" s="115">
        <f>CC550/CC530*100</f>
        <v>0.16643951596249948</v>
      </c>
      <c r="CD562" s="23">
        <f>IF(ISERROR((CC562/CA562-1)*100),"NA",IF(((CC562/CA562-1)*100)&gt;100,"NM",IF(((CC562/CA562-1)*100)&lt;-50,"NM",(CC562/CA562-1)*100)))</f>
        <v>55.156222188210371</v>
      </c>
      <c r="CE562" s="115">
        <f>CE550/CE530*100</f>
        <v>5.3808561986258725E-2</v>
      </c>
      <c r="CF562" s="23" t="str">
        <f>IF(ISERROR((CE562/CC562-1)*100),"NA",IF(((CE562/CC562-1)*100)&gt;100,"NM",IF(((CE562/CC562-1)*100)&lt;-50,"NM",(CE562/CC562-1)*100)))</f>
        <v>NM</v>
      </c>
      <c r="CG562" s="115">
        <f>CG550/CG530*100</f>
        <v>5.4181244001362268E-2</v>
      </c>
      <c r="CH562" s="23">
        <f>IF(ISERROR((CG562/CE562-1)*100),"NA",IF(((CG562/CE562-1)*100)&gt;100,"NM",IF(((CG562/CE562-1)*100)&lt;-50,"NM",(CG562/CE562-1)*100)))</f>
        <v>0.69260727539739442</v>
      </c>
      <c r="CI562" s="457">
        <f>CI550/CI530*100</f>
        <v>0</v>
      </c>
      <c r="CJ562" s="23"/>
      <c r="CK562" s="118"/>
      <c r="CL562" s="23"/>
      <c r="CM562" s="118"/>
      <c r="CN562" s="23"/>
      <c r="CO562" s="118"/>
      <c r="CP562" s="23"/>
      <c r="CQ562" s="118"/>
      <c r="CR562" s="23" t="str">
        <f>IF(ISERROR((CQ562/CO562-1)*100),"NA",IF(((CQ562/CO562-1)*100)&gt;100,"NM",IF(((CQ562/CO562-1)*100)&lt;-50,"NM",(CQ562/CO562-1)*100)))</f>
        <v>NA</v>
      </c>
      <c r="CS562" s="23" t="str">
        <f>IF(ISERROR(((CQ562/CG562)^0.2-1)*100),"NA",IF((((CQ562/CG562)^0.2-1)*100)&gt;100,"NM",IF((((CQ562/CG562)^0.2-1)*100)&lt;-50,"NM",((CQ562/CG562)^0.2-1)*100)))</f>
        <v>NM</v>
      </c>
    </row>
    <row r="563" spans="1:97" ht="12.75" hidden="1" customHeight="1" outlineLevel="1" x14ac:dyDescent="0.2">
      <c r="B563" s="35"/>
      <c r="C563" s="60"/>
      <c r="D563" s="35"/>
      <c r="E563" s="60"/>
      <c r="F563" s="35"/>
      <c r="G563" s="60"/>
      <c r="H563" s="35"/>
      <c r="I563" s="60"/>
      <c r="J563" s="35"/>
      <c r="L563" s="35"/>
      <c r="N563" s="35"/>
      <c r="P563" s="37"/>
      <c r="R563" s="37"/>
      <c r="T563" s="37"/>
      <c r="V563" s="37"/>
      <c r="X563" s="37"/>
      <c r="Z563" s="37"/>
      <c r="AB563" s="37"/>
      <c r="AD563" s="37"/>
      <c r="AF563" s="37"/>
      <c r="AH563" s="37"/>
      <c r="AJ563" s="37"/>
      <c r="AL563" s="37"/>
      <c r="AN563" s="411"/>
      <c r="AP563" s="411"/>
      <c r="AR563" s="409"/>
      <c r="AT563" s="409"/>
      <c r="AV563" s="409"/>
      <c r="AX563" s="409"/>
      <c r="AZ563" s="409"/>
      <c r="BB563" s="409"/>
      <c r="BD563" s="409"/>
      <c r="BF563" s="409"/>
      <c r="BH563" s="409"/>
      <c r="BJ563" s="35"/>
      <c r="BL563" s="35"/>
      <c r="BN563" s="35"/>
      <c r="BO563" s="138"/>
      <c r="BP563" s="35"/>
      <c r="BQ563" s="35"/>
      <c r="BR563" s="35"/>
      <c r="BS563" s="35"/>
      <c r="BT563" s="35"/>
      <c r="BU563" s="35"/>
      <c r="BW563" s="35"/>
      <c r="BY563" s="37"/>
      <c r="CA563" s="37"/>
      <c r="CC563" s="37"/>
      <c r="CE563" s="37"/>
      <c r="CG563" s="37"/>
      <c r="CI563" s="411"/>
      <c r="CK563" s="35"/>
      <c r="CM563" s="35"/>
      <c r="CO563" s="35"/>
      <c r="CQ563" s="35"/>
    </row>
    <row r="564" spans="1:97" ht="12.75" hidden="1" customHeight="1" outlineLevel="1" x14ac:dyDescent="0.2">
      <c r="A564" s="3" t="s">
        <v>124</v>
      </c>
      <c r="B564" s="35"/>
      <c r="C564" s="60"/>
      <c r="D564" s="35"/>
      <c r="E564" s="60"/>
      <c r="F564" s="35"/>
      <c r="G564" s="60"/>
      <c r="H564" s="35"/>
      <c r="I564" s="60"/>
      <c r="J564" s="35"/>
      <c r="L564" s="35"/>
      <c r="N564" s="35"/>
      <c r="P564" s="37"/>
      <c r="R564" s="37"/>
      <c r="T564" s="37"/>
      <c r="V564" s="37"/>
      <c r="X564" s="37"/>
      <c r="Z564" s="37"/>
      <c r="AB564" s="37"/>
      <c r="AD564" s="37"/>
      <c r="AF564" s="37"/>
      <c r="AH564" s="37"/>
      <c r="AJ564" s="37"/>
      <c r="AL564" s="37"/>
      <c r="AN564" s="411"/>
      <c r="AP564" s="411"/>
      <c r="AR564" s="409"/>
      <c r="AT564" s="409"/>
      <c r="AV564" s="409"/>
      <c r="AX564" s="409"/>
      <c r="AZ564" s="409"/>
      <c r="BB564" s="409"/>
      <c r="BD564" s="409"/>
      <c r="BF564" s="409"/>
      <c r="BH564" s="409"/>
      <c r="BJ564" s="35"/>
      <c r="BL564" s="35"/>
      <c r="BN564" s="35"/>
      <c r="BO564" s="138"/>
      <c r="BP564" s="35"/>
      <c r="BQ564" s="35"/>
      <c r="BR564" s="35"/>
      <c r="BS564" s="35"/>
      <c r="BT564" s="35"/>
      <c r="BU564" s="35"/>
      <c r="BW564" s="35"/>
      <c r="BY564" s="37"/>
      <c r="CA564" s="37"/>
      <c r="CC564" s="37"/>
      <c r="CE564" s="37"/>
      <c r="CG564" s="37"/>
      <c r="CI564" s="411"/>
      <c r="CK564" s="35"/>
      <c r="CM564" s="35"/>
      <c r="CO564" s="35"/>
      <c r="CQ564" s="35"/>
    </row>
    <row r="565" spans="1:97" ht="13.5" hidden="1" customHeight="1" outlineLevel="1" x14ac:dyDescent="0.2">
      <c r="A565" s="31" t="s">
        <v>102</v>
      </c>
      <c r="B565" s="56">
        <f>B552</f>
        <v>244.9</v>
      </c>
      <c r="C565" s="59"/>
      <c r="D565" s="56">
        <f>D552</f>
        <v>241.3</v>
      </c>
      <c r="E565" s="59"/>
      <c r="F565" s="56">
        <f>F552</f>
        <v>239.1</v>
      </c>
      <c r="G565" s="59"/>
      <c r="H565" s="56">
        <f>H552</f>
        <v>234.8</v>
      </c>
      <c r="I565" s="59"/>
      <c r="J565" s="56">
        <f>J552</f>
        <v>216.9</v>
      </c>
      <c r="K565" s="23">
        <f>IF(ISERROR((J565/B565-1)*100),"NA",IF(((J565/B565-1)*100)&gt;100,"NM",IF(((J565/B565-1)*100)&lt;-50,"NM",(J565/B565-1)*100)))</f>
        <v>-11.433238056349527</v>
      </c>
      <c r="L565" s="56">
        <f>L552</f>
        <v>201.8</v>
      </c>
      <c r="M565" s="23">
        <f>IF(ISERROR((L565/D565-1)*100),"NA",IF(((L565/D565-1)*100)&gt;100,"NM",IF(((L565/D565-1)*100)&lt;-50,"NM",(L565/D565-1)*100)))</f>
        <v>-16.369664318276001</v>
      </c>
      <c r="N565" s="56">
        <f>N552</f>
        <v>184.7</v>
      </c>
      <c r="O565" s="23">
        <f>IF(ISERROR((N565/F565-1)*100),"NA",IF(((N565/F565-1)*100)&gt;100,"NM",IF(((N565/F565-1)*100)&lt;-50,"NM",(N565/F565-1)*100)))</f>
        <v>-22.751986616478458</v>
      </c>
      <c r="P565" s="56">
        <f>P552</f>
        <v>179.7</v>
      </c>
      <c r="Q565" s="23">
        <f>IF(ISERROR((P565/H565-1)*100),"NA",IF(((P565/H565-1)*100)&gt;100,"NM",IF(((P565/H565-1)*100)&lt;-50,"NM",(P565/H565-1)*100)))</f>
        <v>-23.46678023850086</v>
      </c>
      <c r="R565" s="56">
        <f>R552</f>
        <v>173.7</v>
      </c>
      <c r="S565" s="23">
        <f>IF(ISERROR((R565/J565-1)*100),"NA",IF(((R565/J565-1)*100)&gt;100,"NM",IF(((R565/J565-1)*100)&lt;-50,"NM",(R565/J565-1)*100)))</f>
        <v>-19.917012448132787</v>
      </c>
      <c r="T565" s="56">
        <f>T552</f>
        <v>167.8</v>
      </c>
      <c r="U565" s="23">
        <f>IF(ISERROR((T565/L565-1)*100),"NA",IF(((T565/L565-1)*100)&gt;100,"NM",IF(((T565/L565-1)*100)&lt;-50,"NM",(T565/L565-1)*100)))</f>
        <v>-16.848364717542118</v>
      </c>
      <c r="V565" s="56">
        <f>V552</f>
        <v>168.1</v>
      </c>
      <c r="W565" s="23">
        <f>IF(ISERROR((V565/N565-1)*100),"NA",IF(((V565/N565-1)*100)&gt;100,"NM",IF(((V565/N565-1)*100)&lt;-50,"NM",(V565/N565-1)*100)))</f>
        <v>-8.9875473741201972</v>
      </c>
      <c r="X565" s="56">
        <f>X552</f>
        <v>163</v>
      </c>
      <c r="Y565" s="23">
        <f>IF(ISERROR((X565/P565-1)*100),"NA",IF(((X565/P565-1)*100)&gt;100,"NM",IF(((X565/P565-1)*100)&lt;-50,"NM",(X565/P565-1)*100)))</f>
        <v>-9.2932665553700495</v>
      </c>
      <c r="Z565" s="56">
        <f>Z552</f>
        <v>159.69999999999999</v>
      </c>
      <c r="AA565" s="23">
        <f>IF(ISERROR((Z565/R565-1)*100),"NA",IF(((Z565/R565-1)*100)&gt;100,"NM",IF(((Z565/R565-1)*100)&lt;-50,"NM",(Z565/R565-1)*100)))</f>
        <v>-8.0598733448474356</v>
      </c>
      <c r="AB565" s="56">
        <f>AB552</f>
        <v>159.69999999999999</v>
      </c>
      <c r="AC565" s="23">
        <f>IF(ISERROR((AB565/T565-1)*100),"NA",IF(((AB565/T565-1)*100)&gt;100,"NM",IF(((AB565/T565-1)*100)&lt;-50,"NM",(AB565/T565-1)*100)))</f>
        <v>-4.8271752085816573</v>
      </c>
      <c r="AD565" s="56">
        <f>AD552</f>
        <v>156.80000000000001</v>
      </c>
      <c r="AE565" s="23">
        <f>IF(ISERROR((AD565/V565-1)*100),"NA",IF(((AD565/V565-1)*100)&gt;100,"NM",IF(((AD565/V565-1)*100)&lt;-50,"NM",(AD565/V565-1)*100)))</f>
        <v>-6.7221891731112375</v>
      </c>
      <c r="AF565" s="56">
        <f>AF552</f>
        <v>152.1</v>
      </c>
      <c r="AG565" s="23">
        <f>IF(ISERROR((AF565/X565-1)*100),"NA",IF(((AF565/X565-1)*100)&gt;100,"NM",IF(((AF565/X565-1)*100)&lt;-50,"NM",(AF565/X565-1)*100)))</f>
        <v>-6.6871165644171837</v>
      </c>
      <c r="AH565" s="56">
        <f>AH552</f>
        <v>144.19999999999999</v>
      </c>
      <c r="AI565" s="23">
        <f>IF(ISERROR((AH565/Z565-1)*100),"NA",IF(((AH565/Z565-1)*100)&gt;100,"NM",IF(((AH565/Z565-1)*100)&lt;-50,"NM",(AH565/Z565-1)*100)))</f>
        <v>-9.7056981840951799</v>
      </c>
      <c r="AJ565" s="56">
        <f>AJ552</f>
        <v>143.5</v>
      </c>
      <c r="AK565" s="23">
        <f>IF(ISERROR((AJ565/AB565-1)*100),"NA",IF(((AJ565/AB565-1)*100)&gt;100,"NM",IF(((AJ565/AB565-1)*100)&lt;-50,"NM",(AJ565/AB565-1)*100)))</f>
        <v>-10.144020037570433</v>
      </c>
      <c r="AL565" s="56">
        <f>AL552</f>
        <v>144.5</v>
      </c>
      <c r="AM565" s="23">
        <f>IF(ISERROR((AL565/AD565-1)*100),"NA",IF(((AL565/AD565-1)*100)&gt;100,"NM",IF(((AL565/AD565-1)*100)&lt;-50,"NM",(AL565/AD565-1)*100)))</f>
        <v>-7.8443877551020442</v>
      </c>
      <c r="AN565" s="413">
        <f t="shared" ref="AN565" si="3884">AN552</f>
        <v>143.1</v>
      </c>
      <c r="AO565" s="23">
        <f>IF(ISERROR((AN565/AF565-1)*100),"NA",IF(((AN565/AF565-1)*100)&gt;100,"NM",IF(((AN565/AF565-1)*100)&lt;-50,"NM",(AN565/AF565-1)*100)))</f>
        <v>-5.9171597633136059</v>
      </c>
      <c r="AP565" s="413">
        <f t="shared" ref="AP565" si="3885">AP552</f>
        <v>140.30000000000001</v>
      </c>
      <c r="AQ565" s="23">
        <f t="shared" ref="AQ565:AQ569" si="3886">IF(ISERROR((AP565/AH565-1)*100),"NA",IF(((AP565/AH565-1)*100)&gt;100,"NM",IF(((AP565/AH565-1)*100)&lt;-50,"NM",(AP565/AH565-1)*100)))</f>
        <v>-2.7045769764216243</v>
      </c>
      <c r="AR565" s="413">
        <f t="shared" ref="AR565" si="3887">AR552</f>
        <v>137.6</v>
      </c>
      <c r="AS565" s="23">
        <f t="shared" ref="AS565:AS569" si="3888">IF(ISERROR((AR565/AJ565-1)*100),"NA",IF(((AR565/AJ565-1)*100)&gt;100,"NM",IF(((AR565/AJ565-1)*100)&lt;-50,"NM",(AR565/AJ565-1)*100)))</f>
        <v>-4.1114982578397292</v>
      </c>
      <c r="AT565" s="413">
        <f t="shared" ref="AT565" si="3889">AT552</f>
        <v>138.1</v>
      </c>
      <c r="AU565" s="23">
        <f t="shared" ref="AU565:AU569" si="3890">IF(ISERROR((AT565/AL565-1)*100),"NA",IF(((AT565/AL565-1)*100)&gt;100,"NM",IF(((AT565/AL565-1)*100)&lt;-50,"NM",(AT565/AL565-1)*100)))</f>
        <v>-4.4290657439446379</v>
      </c>
      <c r="AV565" s="413">
        <f t="shared" ref="AV565" si="3891">AV552</f>
        <v>132.9</v>
      </c>
      <c r="AW565" s="23">
        <f t="shared" ref="AW565:AW569" si="3892">IF(ISERROR((AV565/AN565-1)*100),"NA",IF(((AV565/AN565-1)*100)&gt;100,"NM",IF(((AV565/AN565-1)*100)&lt;-50,"NM",(AV565/AN565-1)*100)))</f>
        <v>-7.1278825995807038</v>
      </c>
      <c r="AX565" s="413">
        <f t="shared" ref="AX565" si="3893">AX552</f>
        <v>132.19999999999999</v>
      </c>
      <c r="AY565" s="23">
        <f t="shared" ref="AY565:AY569" si="3894">IF(ISERROR((AX565/AP565-1)*100),"NA",IF(((AX565/AP565-1)*100)&gt;100,"NM",IF(((AX565/AP565-1)*100)&lt;-50,"NM",(AX565/AP565-1)*100)))</f>
        <v>-5.7733428367783501</v>
      </c>
      <c r="AZ565" s="413">
        <f t="shared" ref="AZ565" si="3895">AZ552</f>
        <v>133.1</v>
      </c>
      <c r="BA565" s="23">
        <f t="shared" ref="BA565:BA569" si="3896">IF(ISERROR((AZ565/AR565-1)*100),"NA",IF(((AZ565/AR565-1)*100)&gt;100,"NM",IF(((AZ565/AR565-1)*100)&lt;-50,"NM",(AZ565/AR565-1)*100)))</f>
        <v>-3.2703488372093026</v>
      </c>
      <c r="BB565" s="413">
        <f t="shared" ref="BB565:BD565" si="3897">BB552</f>
        <v>132.19999999999999</v>
      </c>
      <c r="BC565" s="23">
        <f t="shared" ref="BC565:BC569" si="3898">IF(ISERROR((BB565/AT565-1)*100),"NA",IF(((BB565/AT565-1)*100)&gt;100,"NM",IF(((BB565/AT565-1)*100)&lt;-50,"NM",(BB565/AT565-1)*100)))</f>
        <v>-4.2722664735698856</v>
      </c>
      <c r="BD565" s="413">
        <f t="shared" si="3897"/>
        <v>0</v>
      </c>
      <c r="BE565" s="23" t="str">
        <f t="shared" ref="BE565:BE569" si="3899">IF(ISERROR((BD565/AV565-1)*100),"NA",IF(((BD565/AV565-1)*100)&gt;100,"NM",IF(((BD565/AV565-1)*100)&lt;-50,"NM",(BD565/AV565-1)*100)))</f>
        <v>NM</v>
      </c>
      <c r="BF565" s="413">
        <f t="shared" ref="BF565" si="3900">BF552</f>
        <v>0.6547443336500004</v>
      </c>
      <c r="BG565" s="23" t="str">
        <f t="shared" ref="BG565:BG569" si="3901">IF(ISERROR((BF565/AX565-1)*100),"NA",IF(((BF565/AX565-1)*100)&gt;100,"NM",IF(((BF565/AX565-1)*100)&lt;-50,"NM",(BF565/AX565-1)*100)))</f>
        <v>NM</v>
      </c>
      <c r="BH565" s="413">
        <f t="shared" ref="BH565" si="3902">BH552</f>
        <v>0.676662726629223</v>
      </c>
      <c r="BI565" s="23"/>
      <c r="BJ565" s="56"/>
      <c r="BK565" s="23"/>
      <c r="BL565" s="56"/>
      <c r="BM565" s="23" t="str">
        <f t="shared" ref="BM565:BM569" si="3903">IF(ISERROR((BL565/BD565-1)*100),"NA",IF(((BL565/BD565-1)*100)&gt;100,"NM",IF(((BL565/BD565-1)*100)&lt;-50,"NM",(BL565/BD565-1)*100)))</f>
        <v>NA</v>
      </c>
      <c r="BN565" s="35"/>
      <c r="BO565" s="137"/>
      <c r="BP565" s="35"/>
      <c r="BQ565" s="48"/>
      <c r="BR565" s="35"/>
      <c r="BS565" s="48"/>
      <c r="BT565" s="35"/>
      <c r="BU565" s="56">
        <f>BU552</f>
        <v>960.10000000000014</v>
      </c>
      <c r="BV565" s="23" t="str">
        <f>IF(ISERROR((BU565/BS565-1)*100),"NA",IF(((BU565/BS565-1)*100)&gt;100,"NM",IF(((BU565/BS565-1)*100)&lt;-50,"NM",(BU565/BS565-1)*100)))</f>
        <v>NA</v>
      </c>
      <c r="BW565" s="56">
        <f>BW552</f>
        <v>783.10000000000014</v>
      </c>
      <c r="BX565" s="23">
        <f>IF(ISERROR((BW565/BU565-1)*100),"NA",IF(((BW565/BU565-1)*100)&gt;100,"NM",IF(((BW565/BU565-1)*100)&lt;-50,"NM",(BW565/BU565-1)*100)))</f>
        <v>-18.435579627122166</v>
      </c>
      <c r="BY565" s="56">
        <f>BY552</f>
        <v>672.6</v>
      </c>
      <c r="BZ565" s="23">
        <f>IF(ISERROR((BY565/BW565-1)*100),"NA",IF(((BY565/BW565-1)*100)&gt;100,"NM",IF(((BY565/BW565-1)*100)&lt;-50,"NM",(BY565/BW565-1)*100)))</f>
        <v>-14.110586132039337</v>
      </c>
      <c r="CA565" s="56">
        <f>CA552</f>
        <v>628.29999999999995</v>
      </c>
      <c r="CB565" s="23">
        <f>IF(ISERROR((CA565/BY565-1)*100),"NA",IF(((CA565/BY565-1)*100)&gt;100,"NM",IF(((CA565/BY565-1)*100)&lt;-50,"NM",(CA565/BY565-1)*100)))</f>
        <v>-6.5863812072554317</v>
      </c>
      <c r="CC565" s="56">
        <f>CC552</f>
        <v>575.29999999999995</v>
      </c>
      <c r="CD565" s="23">
        <f>IF(ISERROR((CC565/CA565-1)*100),"NA",IF(((CC565/CA565-1)*100)&gt;100,"NM",IF(((CC565/CA565-1)*100)&lt;-50,"NM",(CC565/CA565-1)*100)))</f>
        <v>-8.4354607671494506</v>
      </c>
      <c r="CE565" s="56">
        <f>CE552</f>
        <v>548.9</v>
      </c>
      <c r="CF565" s="23">
        <f>IF(ISERROR((CE565/CC565-1)*100),"NA",IF(((CE565/CC565-1)*100)&gt;100,"NM",IF(((CE565/CC565-1)*100)&lt;-50,"NM",(CE565/CC565-1)*100)))</f>
        <v>-4.5889101338432052</v>
      </c>
      <c r="CG565" s="56">
        <f>CG552</f>
        <v>397.49999999999994</v>
      </c>
      <c r="CH565" s="23">
        <f>IF(ISERROR((CG565/CE565-1)*100),"NA",IF(((CG565/CE565-1)*100)&gt;100,"NM",IF(((CG565/CE565-1)*100)&lt;-50,"NM",(CG565/CE565-1)*100)))</f>
        <v>-27.582437602477693</v>
      </c>
      <c r="CI565" s="413">
        <f>CI552</f>
        <v>1.3314070602792234</v>
      </c>
      <c r="CJ565" s="23"/>
      <c r="CK565" s="56"/>
      <c r="CL565" s="23"/>
      <c r="CM565" s="56"/>
      <c r="CN565" s="23"/>
      <c r="CO565" s="56"/>
      <c r="CP565" s="23"/>
      <c r="CQ565" s="56"/>
      <c r="CR565" s="23" t="str">
        <f>IF(ISERROR((CQ565/CO565-1)*100),"NA",IF(((CQ565/CO565-1)*100)&gt;100,"NM",IF(((CQ565/CO565-1)*100)&lt;-50,"NM",(CQ565/CO565-1)*100)))</f>
        <v>NA</v>
      </c>
      <c r="CS565" s="23" t="str">
        <f>IF(ISERROR(((CQ565/CG565)^0.2-1)*100),"NA",IF((((CQ565/CG565)^0.2-1)*100)&gt;100,"NM",IF((((CQ565/CG565)^0.2-1)*100)&lt;-50,"NM",((CQ565/CG565)^0.2-1)*100)))</f>
        <v>NM</v>
      </c>
    </row>
    <row r="566" spans="1:97" ht="12.75" hidden="1" customHeight="1" outlineLevel="1" x14ac:dyDescent="0.2">
      <c r="A566" s="4" t="s">
        <v>161</v>
      </c>
      <c r="B566" s="49">
        <v>25.3</v>
      </c>
      <c r="C566" s="59"/>
      <c r="D566" s="49">
        <v>26.2</v>
      </c>
      <c r="E566" s="59"/>
      <c r="F566" s="49">
        <v>24.8</v>
      </c>
      <c r="G566" s="59"/>
      <c r="H566" s="49">
        <v>27.8</v>
      </c>
      <c r="I566" s="59"/>
      <c r="J566" s="49">
        <v>22.6</v>
      </c>
      <c r="K566" s="23">
        <f t="shared" ref="K566:K569" si="3904">IF(ISERROR((J566/B566-1)*100),"NA",IF(((J566/B566-1)*100)&gt;100,"NM",IF(((J566/B566-1)*100)&lt;-50,"NM",(J566/B566-1)*100)))</f>
        <v>-10.671936758893274</v>
      </c>
      <c r="L566" s="49">
        <v>22.2</v>
      </c>
      <c r="M566" s="23">
        <f t="shared" ref="M566:M569" si="3905">IF(ISERROR((L566/D566-1)*100),"NA",IF(((L566/D566-1)*100)&gt;100,"NM",IF(((L566/D566-1)*100)&lt;-50,"NM",(L566/D566-1)*100)))</f>
        <v>-15.267175572519086</v>
      </c>
      <c r="N566" s="49">
        <v>23.6</v>
      </c>
      <c r="O566" s="23">
        <f t="shared" ref="O566:O569" si="3906">IF(ISERROR((N566/F566-1)*100),"NA",IF(((N566/F566-1)*100)&gt;100,"NM",IF(((N566/F566-1)*100)&lt;-50,"NM",(N566/F566-1)*100)))</f>
        <v>-4.8387096774193505</v>
      </c>
      <c r="P566" s="49">
        <v>21.7</v>
      </c>
      <c r="Q566" s="23">
        <f t="shared" ref="Q566:Q569" si="3907">IF(ISERROR((P566/H566-1)*100),"NA",IF(((P566/H566-1)*100)&gt;100,"NM",IF(((P566/H566-1)*100)&lt;-50,"NM",(P566/H566-1)*100)))</f>
        <v>-21.942446043165475</v>
      </c>
      <c r="R566" s="49">
        <v>21.9</v>
      </c>
      <c r="S566" s="23">
        <f t="shared" ref="S566:S569" si="3908">IF(ISERROR((R566/J566-1)*100),"NA",IF(((R566/J566-1)*100)&gt;100,"NM",IF(((R566/J566-1)*100)&lt;-50,"NM",(R566/J566-1)*100)))</f>
        <v>-3.0973451327433787</v>
      </c>
      <c r="T566" s="49">
        <v>23.2</v>
      </c>
      <c r="U566" s="23">
        <f t="shared" ref="U566:U569" si="3909">IF(ISERROR((T566/L566-1)*100),"NA",IF(((T566/L566-1)*100)&gt;100,"NM",IF(((T566/L566-1)*100)&lt;-50,"NM",(T566/L566-1)*100)))</f>
        <v>4.5045045045045029</v>
      </c>
      <c r="V566" s="49">
        <v>22.5</v>
      </c>
      <c r="W566" s="23">
        <f t="shared" ref="W566:W569" si="3910">IF(ISERROR((V566/N566-1)*100),"NA",IF(((V566/N566-1)*100)&gt;100,"NM",IF(((V566/N566-1)*100)&lt;-50,"NM",(V566/N566-1)*100)))</f>
        <v>-4.6610169491525522</v>
      </c>
      <c r="X566" s="49">
        <v>22</v>
      </c>
      <c r="Y566" s="23">
        <f t="shared" ref="Y566:Y569" si="3911">IF(ISERROR((X566/P566-1)*100),"NA",IF(((X566/P566-1)*100)&gt;100,"NM",IF(((X566/P566-1)*100)&lt;-50,"NM",(X566/P566-1)*100)))</f>
        <v>1.3824884792626779</v>
      </c>
      <c r="Z566" s="49">
        <v>24.7</v>
      </c>
      <c r="AA566" s="23">
        <f>IF(ISERROR((Z566/R566-1)*100),"NA",IF(((Z566/R566-1)*100)&gt;100,"NM",IF(((Z566/R566-1)*100)&lt;-50,"NM",(Z566/R566-1)*100)))</f>
        <v>12.785388127853881</v>
      </c>
      <c r="AB566" s="49">
        <v>24.7</v>
      </c>
      <c r="AC566" s="23">
        <f>IF(ISERROR((AB566/T566-1)*100),"NA",IF(((AB566/T566-1)*100)&gt;100,"NM",IF(((AB566/T566-1)*100)&lt;-50,"NM",(AB566/T566-1)*100)))</f>
        <v>6.4655172413793149</v>
      </c>
      <c r="AD566" s="49">
        <v>22.6</v>
      </c>
      <c r="AE566" s="23">
        <f>IF(ISERROR((AD566/V566-1)*100),"NA",IF(((AD566/V566-1)*100)&gt;100,"NM",IF(((AD566/V566-1)*100)&lt;-50,"NM",(AD566/V566-1)*100)))</f>
        <v>0.44444444444444731</v>
      </c>
      <c r="AF566" s="49">
        <v>23</v>
      </c>
      <c r="AG566" s="23">
        <f>IF(ISERROR((AF566/X566-1)*100),"NA",IF(((AF566/X566-1)*100)&gt;100,"NM",IF(((AF566/X566-1)*100)&lt;-50,"NM",(AF566/X566-1)*100)))</f>
        <v>4.5454545454545414</v>
      </c>
      <c r="AH566" s="49">
        <v>25.4</v>
      </c>
      <c r="AI566" s="23">
        <f>IF(ISERROR((AH566/Z566-1)*100),"NA",IF(((AH566/Z566-1)*100)&gt;100,"NM",IF(((AH566/Z566-1)*100)&lt;-50,"NM",(AH566/Z566-1)*100)))</f>
        <v>2.8340080971659853</v>
      </c>
      <c r="AJ566" s="49">
        <v>25.2</v>
      </c>
      <c r="AK566" s="23">
        <f>IF(ISERROR((AJ566/AB566-1)*100),"NA",IF(((AJ566/AB566-1)*100)&gt;100,"NM",IF(((AJ566/AB566-1)*100)&lt;-50,"NM",(AJ566/AB566-1)*100)))</f>
        <v>2.0242914979757165</v>
      </c>
      <c r="AL566" s="49">
        <v>24.8</v>
      </c>
      <c r="AM566" s="23">
        <f>IF(ISERROR((AL566/AD566-1)*100),"NA",IF(((AL566/AD566-1)*100)&gt;100,"NM",IF(((AL566/AD566-1)*100)&lt;-50,"NM",(AL566/AD566-1)*100)))</f>
        <v>9.7345132743362761</v>
      </c>
      <c r="AN566" s="158">
        <v>24.6</v>
      </c>
      <c r="AO566" s="23">
        <f>IF(ISERROR((AN566/AF566-1)*100),"NA",IF(((AN566/AF566-1)*100)&gt;100,"NM",IF(((AN566/AF566-1)*100)&lt;-50,"NM",(AN566/AF566-1)*100)))</f>
        <v>6.956521739130439</v>
      </c>
      <c r="AP566" s="158">
        <v>28.3</v>
      </c>
      <c r="AQ566" s="23">
        <f t="shared" si="3886"/>
        <v>11.41732283464567</v>
      </c>
      <c r="AR566" s="158">
        <v>26.1</v>
      </c>
      <c r="AS566" s="23">
        <f t="shared" si="3888"/>
        <v>3.5714285714285809</v>
      </c>
      <c r="AT566" s="158">
        <v>26.8</v>
      </c>
      <c r="AU566" s="23">
        <f t="shared" si="3890"/>
        <v>8.0645161290322509</v>
      </c>
      <c r="AV566" s="158">
        <v>25.7</v>
      </c>
      <c r="AW566" s="23">
        <f t="shared" si="3892"/>
        <v>4.471544715447151</v>
      </c>
      <c r="AX566" s="158">
        <v>34</v>
      </c>
      <c r="AY566" s="23">
        <f t="shared" si="3894"/>
        <v>20.141342756183732</v>
      </c>
      <c r="AZ566" s="158">
        <v>30</v>
      </c>
      <c r="BA566" s="23">
        <f t="shared" si="3896"/>
        <v>14.942528735632177</v>
      </c>
      <c r="BB566" s="158">
        <v>28.6</v>
      </c>
      <c r="BC566" s="23">
        <f t="shared" si="3898"/>
        <v>6.7164179104477695</v>
      </c>
      <c r="BD566" s="158"/>
      <c r="BE566" s="23" t="str">
        <f t="shared" si="3899"/>
        <v>NM</v>
      </c>
      <c r="BF566" s="410" t="e">
        <f t="shared" ref="BF566" si="3912">BF553*BF572/100</f>
        <v>#DIV/0!</v>
      </c>
      <c r="BG566" s="23" t="str">
        <f t="shared" si="3901"/>
        <v>NA</v>
      </c>
      <c r="BH566" s="410" t="e">
        <f t="shared" ref="BH566" si="3913">BH553*BH572/100</f>
        <v>#DIV/0!</v>
      </c>
      <c r="BI566" s="23"/>
      <c r="BJ566" s="36"/>
      <c r="BK566" s="23"/>
      <c r="BL566" s="36"/>
      <c r="BM566" s="23" t="str">
        <f t="shared" si="3903"/>
        <v>NA</v>
      </c>
      <c r="BN566" s="35"/>
      <c r="BO566" s="137"/>
      <c r="BP566" s="35"/>
      <c r="BQ566" s="49">
        <v>103.5</v>
      </c>
      <c r="BR566" s="35"/>
      <c r="BS566" s="49">
        <v>101.3</v>
      </c>
      <c r="BT566" s="35"/>
      <c r="BU566" s="56">
        <f>B566+D566+F566+H566</f>
        <v>104.1</v>
      </c>
      <c r="BV566" s="23">
        <f>IF(ISERROR((BU566/BS566-1)*100),"NA",IF(((BU566/BS566-1)*100)&gt;100,"NM",IF(((BU566/BS566-1)*100)&lt;-50,"NM",(BU566/BS566-1)*100)))</f>
        <v>2.7640671273445161</v>
      </c>
      <c r="BW566" s="56">
        <f>J566+L566+N566+P566</f>
        <v>90.100000000000009</v>
      </c>
      <c r="BX566" s="23">
        <f>IF(ISERROR((BW566/BU566-1)*100),"NA",IF(((BW566/BU566-1)*100)&gt;100,"NM",IF(((BW566/BU566-1)*100)&lt;-50,"NM",(BW566/BU566-1)*100)))</f>
        <v>-13.44860710854946</v>
      </c>
      <c r="BY566" s="56">
        <f>R566+T566+V566+X566</f>
        <v>89.6</v>
      </c>
      <c r="BZ566" s="23">
        <f>IF(ISERROR((BY566/BW566-1)*100),"NA",IF(((BY566/BW566-1)*100)&gt;100,"NM",IF(((BY566/BW566-1)*100)&lt;-50,"NM",(BY566/BW566-1)*100)))</f>
        <v>-0.55493895671477889</v>
      </c>
      <c r="CA566" s="56">
        <f>Z566+AB566+AD566+AF566</f>
        <v>95</v>
      </c>
      <c r="CB566" s="23">
        <f>IF(ISERROR((CA566/BY566-1)*100),"NA",IF(((CA566/BY566-1)*100)&gt;100,"NM",IF(((CA566/BY566-1)*100)&lt;-50,"NM",(CA566/BY566-1)*100)))</f>
        <v>6.0267857142857206</v>
      </c>
      <c r="CC566" s="56">
        <f>AH566+AJ566+AL566+AN566</f>
        <v>100</v>
      </c>
      <c r="CD566" s="23">
        <f>IF(ISERROR((CC566/CA566-1)*100),"NA",IF(((CC566/CA566-1)*100)&gt;100,"NM",IF(((CC566/CA566-1)*100)&lt;-50,"NM",(CC566/CA566-1)*100)))</f>
        <v>5.2631578947368363</v>
      </c>
      <c r="CE566" s="56">
        <f>AP566+AR566+AT566+AV566</f>
        <v>106.9</v>
      </c>
      <c r="CF566" s="23">
        <f>IF(ISERROR((CE566/CC566-1)*100),"NA",IF(((CE566/CC566-1)*100)&gt;100,"NM",IF(((CE566/CC566-1)*100)&lt;-50,"NM",(CE566/CC566-1)*100)))</f>
        <v>6.899999999999995</v>
      </c>
      <c r="CG566" s="56">
        <f>AX566+AZ566+BB566+BD566</f>
        <v>92.6</v>
      </c>
      <c r="CH566" s="23">
        <f>IF(ISERROR((CG566/CE566-1)*100),"NA",IF(((CG566/CE566-1)*100)&gt;100,"NM",IF(((CG566/CE566-1)*100)&lt;-50,"NM",(CG566/CE566-1)*100)))</f>
        <v>-13.376987839101972</v>
      </c>
      <c r="CI566" s="413" t="e">
        <f>BF566+BH566+BJ566+BL566</f>
        <v>#DIV/0!</v>
      </c>
      <c r="CJ566" s="23"/>
      <c r="CK566" s="56"/>
      <c r="CL566" s="23"/>
      <c r="CM566" s="56"/>
      <c r="CN566" s="23"/>
      <c r="CO566" s="56"/>
      <c r="CP566" s="23"/>
      <c r="CQ566" s="56"/>
      <c r="CR566" s="23" t="str">
        <f>IF(ISERROR((CQ566/CO566-1)*100),"NA",IF(((CQ566/CO566-1)*100)&gt;100,"NM",IF(((CQ566/CO566-1)*100)&lt;-50,"NM",(CQ566/CO566-1)*100)))</f>
        <v>NA</v>
      </c>
      <c r="CS566" s="23" t="str">
        <f>IF(ISERROR(((CQ566/CG566)^0.2-1)*100),"NA",IF((((CQ566/CG566)^0.2-1)*100)&gt;100,"NM",IF((((CQ566/CG566)^0.2-1)*100)&lt;-50,"NM",((CQ566/CG566)^0.2-1)*100)))</f>
        <v>NM</v>
      </c>
    </row>
    <row r="567" spans="1:97" ht="12.75" hidden="1" customHeight="1" outlineLevel="1" x14ac:dyDescent="0.2">
      <c r="A567" s="4" t="s">
        <v>162</v>
      </c>
      <c r="B567" s="49">
        <v>4.5999999999999996</v>
      </c>
      <c r="C567" s="59"/>
      <c r="D567" s="49">
        <v>5</v>
      </c>
      <c r="E567" s="59"/>
      <c r="F567" s="49">
        <v>5</v>
      </c>
      <c r="G567" s="59"/>
      <c r="H567" s="49">
        <v>1.7</v>
      </c>
      <c r="I567" s="59"/>
      <c r="J567" s="49">
        <v>8.3000000000000007</v>
      </c>
      <c r="K567" s="23">
        <f t="shared" si="3904"/>
        <v>80.43478260869567</v>
      </c>
      <c r="L567" s="49">
        <v>7.9</v>
      </c>
      <c r="M567" s="23">
        <f t="shared" si="3905"/>
        <v>58.000000000000007</v>
      </c>
      <c r="N567" s="49">
        <v>8.3000000000000007</v>
      </c>
      <c r="O567" s="23">
        <f t="shared" si="3906"/>
        <v>66.000000000000014</v>
      </c>
      <c r="P567" s="49">
        <v>8.4</v>
      </c>
      <c r="Q567" s="23" t="str">
        <f t="shared" si="3907"/>
        <v>NM</v>
      </c>
      <c r="R567" s="49">
        <v>8.8000000000000007</v>
      </c>
      <c r="S567" s="23">
        <f t="shared" si="3908"/>
        <v>6.024096385542177</v>
      </c>
      <c r="T567" s="49">
        <v>8.6</v>
      </c>
      <c r="U567" s="23">
        <f t="shared" si="3909"/>
        <v>8.8607594936708658</v>
      </c>
      <c r="V567" s="49">
        <v>8.9</v>
      </c>
      <c r="W567" s="23">
        <f t="shared" si="3910"/>
        <v>7.2289156626506035</v>
      </c>
      <c r="X567" s="49">
        <v>9.9</v>
      </c>
      <c r="Y567" s="23">
        <f t="shared" si="3911"/>
        <v>17.857142857142861</v>
      </c>
      <c r="Z567" s="49">
        <v>10.4</v>
      </c>
      <c r="AA567" s="23">
        <f>IF(ISERROR((Z567/R567-1)*100),"NA",IF(((Z567/R567-1)*100)&gt;100,"NM",IF(((Z567/R567-1)*100)&lt;-50,"NM",(Z567/R567-1)*100)))</f>
        <v>18.181818181818166</v>
      </c>
      <c r="AB567" s="49">
        <v>11.7</v>
      </c>
      <c r="AC567" s="23">
        <f>IF(ISERROR((AB567/T567-1)*100),"NA",IF(((AB567/T567-1)*100)&gt;100,"NM",IF(((AB567/T567-1)*100)&lt;-50,"NM",(AB567/T567-1)*100)))</f>
        <v>36.046511627906973</v>
      </c>
      <c r="AD567" s="49">
        <v>11.8</v>
      </c>
      <c r="AE567" s="23">
        <f>IF(ISERROR((AD567/V567-1)*100),"NA",IF(((AD567/V567-1)*100)&gt;100,"NM",IF(((AD567/V567-1)*100)&lt;-50,"NM",(AD567/V567-1)*100)))</f>
        <v>32.584269662921358</v>
      </c>
      <c r="AF567" s="49">
        <v>9.6</v>
      </c>
      <c r="AG567" s="23">
        <f>IF(ISERROR((AF567/X567-1)*100),"NA",IF(((AF567/X567-1)*100)&gt;100,"NM",IF(((AF567/X567-1)*100)&lt;-50,"NM",(AF567/X567-1)*100)))</f>
        <v>-3.0303030303030387</v>
      </c>
      <c r="AH567" s="49">
        <v>11.9</v>
      </c>
      <c r="AI567" s="23">
        <f>IF(ISERROR((AH567/Z567-1)*100),"NA",IF(((AH567/Z567-1)*100)&gt;100,"NM",IF(((AH567/Z567-1)*100)&lt;-50,"NM",(AH567/Z567-1)*100)))</f>
        <v>14.423076923076916</v>
      </c>
      <c r="AJ567" s="49">
        <v>12.9</v>
      </c>
      <c r="AK567" s="23">
        <f>IF(ISERROR((AJ567/AB567-1)*100),"NA",IF(((AJ567/AB567-1)*100)&gt;100,"NM",IF(((AJ567/AB567-1)*100)&lt;-50,"NM",(AJ567/AB567-1)*100)))</f>
        <v>10.256410256410264</v>
      </c>
      <c r="AL567" s="49">
        <v>13</v>
      </c>
      <c r="AM567" s="23">
        <f>IF(ISERROR((AL567/AD567-1)*100),"NA",IF(((AL567/AD567-1)*100)&gt;100,"NM",IF(((AL567/AD567-1)*100)&lt;-50,"NM",(AL567/AD567-1)*100)))</f>
        <v>10.169491525423723</v>
      </c>
      <c r="AN567" s="158">
        <v>13.4</v>
      </c>
      <c r="AO567" s="23">
        <f>IF(ISERROR((AN567/AF567-1)*100),"NA",IF(((AN567/AF567-1)*100)&gt;100,"NM",IF(((AN567/AF567-1)*100)&lt;-50,"NM",(AN567/AF567-1)*100)))</f>
        <v>39.58333333333335</v>
      </c>
      <c r="AP567" s="158">
        <v>11.9</v>
      </c>
      <c r="AQ567" s="23">
        <f t="shared" si="3886"/>
        <v>0</v>
      </c>
      <c r="AR567" s="158">
        <v>12.5</v>
      </c>
      <c r="AS567" s="23">
        <f t="shared" si="3888"/>
        <v>-3.1007751937984551</v>
      </c>
      <c r="AT567" s="158">
        <v>12.5</v>
      </c>
      <c r="AU567" s="23">
        <f t="shared" si="3890"/>
        <v>-3.8461538461538436</v>
      </c>
      <c r="AV567" s="158">
        <v>15.2</v>
      </c>
      <c r="AW567" s="23">
        <f t="shared" si="3892"/>
        <v>13.432835820895516</v>
      </c>
      <c r="AX567" s="158">
        <v>13.5</v>
      </c>
      <c r="AY567" s="23">
        <f t="shared" si="3894"/>
        <v>13.445378151260501</v>
      </c>
      <c r="AZ567" s="158">
        <v>14.1</v>
      </c>
      <c r="BA567" s="23">
        <f t="shared" si="3896"/>
        <v>12.79999999999999</v>
      </c>
      <c r="BB567" s="158">
        <v>13</v>
      </c>
      <c r="BC567" s="23">
        <f t="shared" si="3898"/>
        <v>4.0000000000000036</v>
      </c>
      <c r="BD567" s="158"/>
      <c r="BE567" s="23" t="str">
        <f t="shared" si="3899"/>
        <v>NM</v>
      </c>
      <c r="BF567" s="410" t="e">
        <f t="shared" ref="BF567" si="3914">BF553*BF573/100</f>
        <v>#DIV/0!</v>
      </c>
      <c r="BG567" s="23" t="str">
        <f t="shared" si="3901"/>
        <v>NA</v>
      </c>
      <c r="BH567" s="410" t="e">
        <f t="shared" ref="BH567" si="3915">BH553*BH573/100</f>
        <v>#DIV/0!</v>
      </c>
      <c r="BI567" s="23"/>
      <c r="BJ567" s="36"/>
      <c r="BK567" s="23"/>
      <c r="BL567" s="36"/>
      <c r="BM567" s="23" t="str">
        <f t="shared" si="3903"/>
        <v>NA</v>
      </c>
      <c r="BN567" s="35"/>
      <c r="BO567" s="137"/>
      <c r="BP567" s="35"/>
      <c r="BQ567" s="49">
        <v>7.8</v>
      </c>
      <c r="BR567" s="35"/>
      <c r="BS567" s="49">
        <v>21.1</v>
      </c>
      <c r="BT567" s="35"/>
      <c r="BU567" s="56">
        <f>B567+D567+F567+H567</f>
        <v>16.3</v>
      </c>
      <c r="BV567" s="23">
        <f>IF(ISERROR((BU567/BS567-1)*100),"NA",IF(((BU567/BS567-1)*100)&gt;100,"NM",IF(((BU567/BS567-1)*100)&lt;-50,"NM",(BU567/BS567-1)*100)))</f>
        <v>-22.748815165876778</v>
      </c>
      <c r="BW567" s="56">
        <f>J567+L567+N567+P567</f>
        <v>32.900000000000006</v>
      </c>
      <c r="BX567" s="23" t="str">
        <f>IF(ISERROR((BW567/BU567-1)*100),"NA",IF(((BW567/BU567-1)*100)&gt;100,"NM",IF(((BW567/BU567-1)*100)&lt;-50,"NM",(BW567/BU567-1)*100)))</f>
        <v>NM</v>
      </c>
      <c r="BY567" s="56">
        <f>R567+T567+V567+X567</f>
        <v>36.199999999999996</v>
      </c>
      <c r="BZ567" s="23">
        <f>IF(ISERROR((BY567/BW567-1)*100),"NA",IF(((BY567/BW567-1)*100)&gt;100,"NM",IF(((BY567/BW567-1)*100)&lt;-50,"NM",(BY567/BW567-1)*100)))</f>
        <v>10.030395136778081</v>
      </c>
      <c r="CA567" s="56">
        <f>Z567+AB567+AD567+AF567</f>
        <v>43.500000000000007</v>
      </c>
      <c r="CB567" s="23">
        <f>IF(ISERROR((CA567/BY567-1)*100),"NA",IF(((CA567/BY567-1)*100)&gt;100,"NM",IF(((CA567/BY567-1)*100)&lt;-50,"NM",(CA567/BY567-1)*100)))</f>
        <v>20.165745856353624</v>
      </c>
      <c r="CC567" s="56">
        <f>AH567+AJ567+AL567+AN567</f>
        <v>51.199999999999996</v>
      </c>
      <c r="CD567" s="23">
        <f>IF(ISERROR((CC567/CA567-1)*100),"NA",IF(((CC567/CA567-1)*100)&gt;100,"NM",IF(((CC567/CA567-1)*100)&lt;-50,"NM",(CC567/CA567-1)*100)))</f>
        <v>17.701149425287333</v>
      </c>
      <c r="CE567" s="56">
        <f>AP567+AR567+AT567+AV567</f>
        <v>52.099999999999994</v>
      </c>
      <c r="CF567" s="23">
        <f>IF(ISERROR((CE567/CC567-1)*100),"NA",IF(((CE567/CC567-1)*100)&gt;100,"NM",IF(((CE567/CC567-1)*100)&lt;-50,"NM",(CE567/CC567-1)*100)))</f>
        <v>1.7578125</v>
      </c>
      <c r="CG567" s="56">
        <f>AX567+AZ567+BB567+BD567</f>
        <v>40.6</v>
      </c>
      <c r="CH567" s="23">
        <f>IF(ISERROR((CG567/CE567-1)*100),"NA",IF(((CG567/CE567-1)*100)&gt;100,"NM",IF(((CG567/CE567-1)*100)&lt;-50,"NM",(CG567/CE567-1)*100)))</f>
        <v>-22.072936660268706</v>
      </c>
      <c r="CI567" s="413" t="e">
        <f>BF567+BH567+BJ567+BL567</f>
        <v>#DIV/0!</v>
      </c>
      <c r="CJ567" s="23"/>
      <c r="CK567" s="56"/>
      <c r="CL567" s="23"/>
      <c r="CM567" s="56"/>
      <c r="CN567" s="23"/>
      <c r="CO567" s="56"/>
      <c r="CP567" s="23"/>
      <c r="CQ567" s="56"/>
      <c r="CR567" s="23" t="str">
        <f>IF(ISERROR((CQ567/CO567-1)*100),"NA",IF(((CQ567/CO567-1)*100)&gt;100,"NM",IF(((CQ567/CO567-1)*100)&lt;-50,"NM",(CQ567/CO567-1)*100)))</f>
        <v>NA</v>
      </c>
      <c r="CS567" s="23" t="str">
        <f>IF(ISERROR(((CQ567/CG567)^0.2-1)*100),"NA",IF((((CQ567/CG567)^0.2-1)*100)&gt;100,"NM",IF((((CQ567/CG567)^0.2-1)*100)&lt;-50,"NM",((CQ567/CG567)^0.2-1)*100)))</f>
        <v>NM</v>
      </c>
    </row>
    <row r="568" spans="1:97" ht="12.75" hidden="1" customHeight="1" outlineLevel="1" x14ac:dyDescent="0.2">
      <c r="A568" s="4" t="s">
        <v>158</v>
      </c>
      <c r="B568" s="49">
        <f>41.4-12.7</f>
        <v>28.7</v>
      </c>
      <c r="C568" s="59"/>
      <c r="D568" s="49">
        <f>52.7-22.2</f>
        <v>30.500000000000004</v>
      </c>
      <c r="E568" s="59"/>
      <c r="F568" s="49">
        <f>54.3-53.3</f>
        <v>1</v>
      </c>
      <c r="G568" s="59"/>
      <c r="H568" s="49">
        <f>22.3-177.9</f>
        <v>-155.6</v>
      </c>
      <c r="I568" s="59"/>
      <c r="J568" s="49">
        <f>34.6+20.3</f>
        <v>54.900000000000006</v>
      </c>
      <c r="K568" s="23">
        <f t="shared" si="3904"/>
        <v>91.28919860627181</v>
      </c>
      <c r="L568" s="49">
        <f>49.4+8.6</f>
        <v>58</v>
      </c>
      <c r="M568" s="23">
        <f t="shared" si="3905"/>
        <v>90.163934426229474</v>
      </c>
      <c r="N568" s="49">
        <f>40.9+12.9</f>
        <v>53.8</v>
      </c>
      <c r="O568" s="23" t="str">
        <f t="shared" si="3906"/>
        <v>NM</v>
      </c>
      <c r="P568" s="49">
        <f>53.7+44.4</f>
        <v>98.1</v>
      </c>
      <c r="Q568" s="23" t="str">
        <f t="shared" si="3907"/>
        <v>NM</v>
      </c>
      <c r="R568" s="49">
        <f>53.1-7</f>
        <v>46.1</v>
      </c>
      <c r="S568" s="23">
        <f t="shared" si="3908"/>
        <v>-16.029143897996367</v>
      </c>
      <c r="T568" s="49">
        <f>49.7-9.9</f>
        <v>39.800000000000004</v>
      </c>
      <c r="U568" s="23">
        <f t="shared" si="3909"/>
        <v>-31.379310344827584</v>
      </c>
      <c r="V568" s="49">
        <f>57.9-43.8</f>
        <v>14.100000000000001</v>
      </c>
      <c r="W568" s="23" t="str">
        <f t="shared" si="3910"/>
        <v>NM</v>
      </c>
      <c r="X568" s="49">
        <f>49.8-27.2</f>
        <v>22.599999999999998</v>
      </c>
      <c r="Y568" s="23" t="str">
        <f t="shared" si="3911"/>
        <v>NM</v>
      </c>
      <c r="Z568" s="49">
        <f>44.5-3.2</f>
        <v>41.3</v>
      </c>
      <c r="AA568" s="23">
        <f>IF(ISERROR((Z568/R568-1)*100),"NA",IF(((Z568/R568-1)*100)&gt;100,"NM",IF(((Z568/R568-1)*100)&lt;-50,"NM",(Z568/R568-1)*100)))</f>
        <v>-10.412147505422997</v>
      </c>
      <c r="AB568" s="49">
        <f>45.3-6.5</f>
        <v>38.799999999999997</v>
      </c>
      <c r="AC568" s="23">
        <f>IF(ISERROR((AB568/T568-1)*100),"NA",IF(((AB568/T568-1)*100)&gt;100,"NM",IF(((AB568/T568-1)*100)&lt;-50,"NM",(AB568/T568-1)*100)))</f>
        <v>-2.5125628140703737</v>
      </c>
      <c r="AD568" s="49">
        <f>48.7-17.8</f>
        <v>30.900000000000002</v>
      </c>
      <c r="AE568" s="23" t="str">
        <f>IF(ISERROR((AD568/V568-1)*100),"NA",IF(((AD568/V568-1)*100)&gt;100,"NM",IF(((AD568/V568-1)*100)&lt;-50,"NM",(AD568/V568-1)*100)))</f>
        <v>NM</v>
      </c>
      <c r="AF568" s="49">
        <f>51.3+1.1</f>
        <v>52.4</v>
      </c>
      <c r="AG568" s="23" t="str">
        <f>IF(ISERROR((AF568/X568-1)*100),"NA",IF(((AF568/X568-1)*100)&gt;100,"NM",IF(((AF568/X568-1)*100)&lt;-50,"NM",(AF568/X568-1)*100)))</f>
        <v>NM</v>
      </c>
      <c r="AH568" s="49">
        <f>49.5-9.5</f>
        <v>40</v>
      </c>
      <c r="AI568" s="23">
        <f>IF(ISERROR((AH568/Z568-1)*100),"NA",IF(((AH568/Z568-1)*100)&gt;100,"NM",IF(((AH568/Z568-1)*100)&lt;-50,"NM",(AH568/Z568-1)*100)))</f>
        <v>-3.1476997578692378</v>
      </c>
      <c r="AJ568" s="49">
        <f>46.7-5</f>
        <v>41.7</v>
      </c>
      <c r="AK568" s="23">
        <f>IF(ISERROR((AJ568/AB568-1)*100),"NA",IF(((AJ568/AB568-1)*100)&gt;100,"NM",IF(((AJ568/AB568-1)*100)&lt;-50,"NM",(AJ568/AB568-1)*100)))</f>
        <v>7.4742268041237292</v>
      </c>
      <c r="AL568" s="49">
        <f>59.2+12.9-0.1</f>
        <v>72.000000000000014</v>
      </c>
      <c r="AM568" s="23" t="str">
        <f>IF(ISERROR((AL568/AD568-1)*100),"NA",IF(((AL568/AD568-1)*100)&gt;100,"NM",IF(((AL568/AD568-1)*100)&lt;-50,"NM",(AL568/AD568-1)*100)))</f>
        <v>NM</v>
      </c>
      <c r="AN568" s="158">
        <f>60.5-10.9</f>
        <v>49.6</v>
      </c>
      <c r="AO568" s="23">
        <f>IF(ISERROR((AN568/AF568-1)*100),"NA",IF(((AN568/AF568-1)*100)&gt;100,"NM",IF(((AN568/AF568-1)*100)&lt;-50,"NM",(AN568/AF568-1)*100)))</f>
        <v>-5.3435114503816772</v>
      </c>
      <c r="AP568" s="158">
        <f>52-8</f>
        <v>44</v>
      </c>
      <c r="AQ568" s="23">
        <f t="shared" si="3886"/>
        <v>10.000000000000009</v>
      </c>
      <c r="AR568" s="158">
        <f>56.3-14.4</f>
        <v>41.9</v>
      </c>
      <c r="AS568" s="23">
        <f t="shared" si="3888"/>
        <v>0.47961630695443347</v>
      </c>
      <c r="AT568" s="158">
        <f>50.1-56.4</f>
        <v>-6.2999999999999972</v>
      </c>
      <c r="AU568" s="23" t="str">
        <f t="shared" si="3890"/>
        <v>NM</v>
      </c>
      <c r="AV568" s="158">
        <f>54.8-13.8</f>
        <v>41</v>
      </c>
      <c r="AW568" s="23">
        <f t="shared" si="3892"/>
        <v>-17.338709677419363</v>
      </c>
      <c r="AX568" s="158">
        <f>44.4-7.5</f>
        <v>36.9</v>
      </c>
      <c r="AY568" s="23">
        <f t="shared" si="3894"/>
        <v>-16.136363636363637</v>
      </c>
      <c r="AZ568" s="158">
        <f>43.8-6.6</f>
        <v>37.199999999999996</v>
      </c>
      <c r="BA568" s="23">
        <f t="shared" si="3896"/>
        <v>-11.217183770883066</v>
      </c>
      <c r="BB568" s="158">
        <f>45.4-13.1</f>
        <v>32.299999999999997</v>
      </c>
      <c r="BC568" s="23" t="str">
        <f t="shared" si="3898"/>
        <v>NM</v>
      </c>
      <c r="BD568" s="158"/>
      <c r="BE568" s="23" t="str">
        <f t="shared" si="3899"/>
        <v>NM</v>
      </c>
      <c r="BF568" s="410" t="e">
        <f t="shared" ref="BF568" si="3916">BF566*BF574/100</f>
        <v>#DIV/0!</v>
      </c>
      <c r="BG568" s="23" t="str">
        <f t="shared" si="3901"/>
        <v>NA</v>
      </c>
      <c r="BH568" s="410" t="e">
        <f t="shared" ref="BH568" si="3917">BH566*BH574/100</f>
        <v>#DIV/0!</v>
      </c>
      <c r="BI568" s="23"/>
      <c r="BJ568" s="36"/>
      <c r="BK568" s="23"/>
      <c r="BL568" s="36"/>
      <c r="BM568" s="23" t="str">
        <f t="shared" si="3903"/>
        <v>NA</v>
      </c>
      <c r="BN568" s="35"/>
      <c r="BO568" s="137"/>
      <c r="BP568" s="35"/>
      <c r="BQ568" s="49">
        <f>212.5-6</f>
        <v>206.5</v>
      </c>
      <c r="BR568" s="35"/>
      <c r="BS568" s="49">
        <f>166.2+10.2</f>
        <v>176.39999999999998</v>
      </c>
      <c r="BT568" s="35"/>
      <c r="BU568" s="56">
        <f>B568+D568+F568+H568</f>
        <v>-95.399999999999991</v>
      </c>
      <c r="BV568" s="23" t="str">
        <f>IF(ISERROR((BU568/BS568-1)*100),"NA",IF(((BU568/BS568-1)*100)&gt;100,"NM",IF(((BU568/BS568-1)*100)&lt;-50,"NM",(BU568/BS568-1)*100)))</f>
        <v>NM</v>
      </c>
      <c r="BW568" s="56">
        <f>J568+L568+N568+P568</f>
        <v>264.79999999999995</v>
      </c>
      <c r="BX568" s="23" t="str">
        <f>IF(ISERROR((BW568/BU568-1)*100),"NA",IF(((BW568/BU568-1)*100)&gt;100,"NM",IF(((BW568/BU568-1)*100)&lt;-50,"NM",(BW568/BU568-1)*100)))</f>
        <v>NM</v>
      </c>
      <c r="BY568" s="56">
        <f>R568+T568+V568+X568</f>
        <v>122.6</v>
      </c>
      <c r="BZ568" s="23" t="str">
        <f>IF(ISERROR((BY568/BW568-1)*100),"NA",IF(((BY568/BW568-1)*100)&gt;100,"NM",IF(((BY568/BW568-1)*100)&lt;-50,"NM",(BY568/BW568-1)*100)))</f>
        <v>NM</v>
      </c>
      <c r="CA568" s="56">
        <f>Z568+AB568+AD568+AF568</f>
        <v>163.4</v>
      </c>
      <c r="CB568" s="23">
        <f>IF(ISERROR((CA568/BY568-1)*100),"NA",IF(((CA568/BY568-1)*100)&gt;100,"NM",IF(((CA568/BY568-1)*100)&lt;-50,"NM",(CA568/BY568-1)*100)))</f>
        <v>33.278955954323017</v>
      </c>
      <c r="CC568" s="56">
        <f>AH568+AJ568+AL568+AN568</f>
        <v>203.3</v>
      </c>
      <c r="CD568" s="23">
        <f>IF(ISERROR((CC568/CA568-1)*100),"NA",IF(((CC568/CA568-1)*100)&gt;100,"NM",IF(((CC568/CA568-1)*100)&lt;-50,"NM",(CC568/CA568-1)*100)))</f>
        <v>24.418604651162788</v>
      </c>
      <c r="CE568" s="56">
        <f>AP568+AR568+AT568+AV568</f>
        <v>120.60000000000001</v>
      </c>
      <c r="CF568" s="23">
        <f>IF(ISERROR((CE568/CC568-1)*100),"NA",IF(((CE568/CC568-1)*100)&gt;100,"NM",IF(((CE568/CC568-1)*100)&lt;-50,"NM",(CE568/CC568-1)*100)))</f>
        <v>-40.678799803246434</v>
      </c>
      <c r="CG568" s="56">
        <f>AX568+AZ568+BB568+BD568</f>
        <v>106.39999999999999</v>
      </c>
      <c r="CH568" s="23">
        <f>IF(ISERROR((CG568/CE568-1)*100),"NA",IF(((CG568/CE568-1)*100)&gt;100,"NM",IF(((CG568/CE568-1)*100)&lt;-50,"NM",(CG568/CE568-1)*100)))</f>
        <v>-11.774461028192384</v>
      </c>
      <c r="CI568" s="413" t="e">
        <f>BF568+BH568+BJ568+BL568</f>
        <v>#DIV/0!</v>
      </c>
      <c r="CJ568" s="23"/>
      <c r="CK568" s="56"/>
      <c r="CL568" s="23"/>
      <c r="CM568" s="56"/>
      <c r="CN568" s="23"/>
      <c r="CO568" s="56"/>
      <c r="CP568" s="23"/>
      <c r="CQ568" s="56"/>
      <c r="CR568" s="23" t="str">
        <f>IF(ISERROR((CQ568/CO568-1)*100),"NA",IF(((CQ568/CO568-1)*100)&gt;100,"NM",IF(((CQ568/CO568-1)*100)&lt;-50,"NM",(CQ568/CO568-1)*100)))</f>
        <v>NA</v>
      </c>
      <c r="CS568" s="23" t="str">
        <f>IF(ISERROR(((CQ568/CG568)^0.2-1)*100),"NA",IF((((CQ568/CG568)^0.2-1)*100)&gt;100,"NM",IF((((CQ568/CG568)^0.2-1)*100)&lt;-50,"NM",((CQ568/CG568)^0.2-1)*100)))</f>
        <v>NM</v>
      </c>
    </row>
    <row r="569" spans="1:97" ht="12.75" hidden="1" customHeight="1" outlineLevel="1" x14ac:dyDescent="0.2">
      <c r="A569" s="4" t="s">
        <v>11</v>
      </c>
      <c r="B569" s="36">
        <f>SUM(B565:B568)</f>
        <v>303.5</v>
      </c>
      <c r="C569" s="59"/>
      <c r="D569" s="36">
        <f>SUM(D565:D568)</f>
        <v>303</v>
      </c>
      <c r="E569" s="59"/>
      <c r="F569" s="36">
        <f>SUM(F565:F568)</f>
        <v>269.89999999999998</v>
      </c>
      <c r="G569" s="59"/>
      <c r="H569" s="36">
        <f>SUM(H565:H568)</f>
        <v>108.70000000000002</v>
      </c>
      <c r="I569" s="59"/>
      <c r="J569" s="36">
        <f>SUM(J565:J568)</f>
        <v>302.70000000000005</v>
      </c>
      <c r="K569" s="23">
        <f t="shared" si="3904"/>
        <v>-0.2635914332783984</v>
      </c>
      <c r="L569" s="36">
        <f>SUM(L565:L568)</f>
        <v>289.89999999999998</v>
      </c>
      <c r="M569" s="23">
        <f t="shared" si="3905"/>
        <v>-4.3234323432343347</v>
      </c>
      <c r="N569" s="36">
        <f>SUM(N565:N568)</f>
        <v>270.39999999999998</v>
      </c>
      <c r="O569" s="23">
        <f t="shared" si="3906"/>
        <v>0.18525379770284456</v>
      </c>
      <c r="P569" s="36">
        <f>SUM(P565:P568)</f>
        <v>307.89999999999998</v>
      </c>
      <c r="Q569" s="23" t="str">
        <f t="shared" si="3907"/>
        <v>NM</v>
      </c>
      <c r="R569" s="36">
        <f>SUM(R565:R568)</f>
        <v>250.5</v>
      </c>
      <c r="S569" s="23">
        <f t="shared" si="3908"/>
        <v>-17.24479682854313</v>
      </c>
      <c r="T569" s="36">
        <f>SUM(T565:T568)</f>
        <v>239.4</v>
      </c>
      <c r="U569" s="23">
        <f t="shared" si="3909"/>
        <v>-17.419799931010683</v>
      </c>
      <c r="V569" s="36">
        <f>SUM(V565:V568)</f>
        <v>213.6</v>
      </c>
      <c r="W569" s="23">
        <f t="shared" si="3910"/>
        <v>-21.00591715976331</v>
      </c>
      <c r="X569" s="36">
        <f>SUM(X565:X568)</f>
        <v>217.5</v>
      </c>
      <c r="Y569" s="23">
        <f t="shared" si="3911"/>
        <v>-29.360181877232861</v>
      </c>
      <c r="Z569" s="36">
        <f>SUM(Z565:Z568)</f>
        <v>236.09999999999997</v>
      </c>
      <c r="AA569" s="23">
        <f>IF(ISERROR((Z569/R569-1)*100),"NA",IF(((Z569/R569-1)*100)&gt;100,"NM",IF(((Z569/R569-1)*100)&lt;-50,"NM",(Z569/R569-1)*100)))</f>
        <v>-5.7485029940119947</v>
      </c>
      <c r="AB569" s="36">
        <f>SUM(AB565:AB568)</f>
        <v>234.89999999999998</v>
      </c>
      <c r="AC569" s="23">
        <f>IF(ISERROR((AB569/T569-1)*100),"NA",IF(((AB569/T569-1)*100)&gt;100,"NM",IF(((AB569/T569-1)*100)&lt;-50,"NM",(AB569/T569-1)*100)))</f>
        <v>-1.8796992481203145</v>
      </c>
      <c r="AD569" s="36">
        <f>SUM(AD565:AD568)</f>
        <v>222.10000000000002</v>
      </c>
      <c r="AE569" s="23">
        <f>IF(ISERROR((AD569/V569-1)*100),"NA",IF(((AD569/V569-1)*100)&gt;100,"NM",IF(((AD569/V569-1)*100)&lt;-50,"NM",(AD569/V569-1)*100)))</f>
        <v>3.9794007490636885</v>
      </c>
      <c r="AF569" s="36">
        <f>SUM(AF565:AF568)</f>
        <v>237.1</v>
      </c>
      <c r="AG569" s="23">
        <f>IF(ISERROR((AF569/X569-1)*100),"NA",IF(((AF569/X569-1)*100)&gt;100,"NM",IF(((AF569/X569-1)*100)&lt;-50,"NM",(AF569/X569-1)*100)))</f>
        <v>9.011494252873554</v>
      </c>
      <c r="AH569" s="36">
        <f>SUM(AH565:AH568)</f>
        <v>221.5</v>
      </c>
      <c r="AI569" s="23">
        <f>IF(ISERROR((AH569/Z569-1)*100),"NA",IF(((AH569/Z569-1)*100)&gt;100,"NM",IF(((AH569/Z569-1)*100)&lt;-50,"NM",(AH569/Z569-1)*100)))</f>
        <v>-6.1838204150783449</v>
      </c>
      <c r="AJ569" s="36">
        <f>SUM(AJ565:AJ568)</f>
        <v>223.3</v>
      </c>
      <c r="AK569" s="23">
        <f>IF(ISERROR((AJ569/AB569-1)*100),"NA",IF(((AJ569/AB569-1)*100)&gt;100,"NM",IF(((AJ569/AB569-1)*100)&lt;-50,"NM",(AJ569/AB569-1)*100)))</f>
        <v>-4.9382716049382598</v>
      </c>
      <c r="AL569" s="36">
        <f>SUM(AL565:AL568)</f>
        <v>254.3</v>
      </c>
      <c r="AM569" s="23">
        <f>IF(ISERROR((AL569/AD569-1)*100),"NA",IF(((AL569/AD569-1)*100)&gt;100,"NM",IF(((AL569/AD569-1)*100)&lt;-50,"NM",(AL569/AD569-1)*100)))</f>
        <v>14.497973885637094</v>
      </c>
      <c r="AN569" s="410">
        <f t="shared" ref="AN569" si="3918">SUM(AN565:AN568)</f>
        <v>230.7</v>
      </c>
      <c r="AO569" s="23">
        <f>IF(ISERROR((AN569/AF569-1)*100),"NA",IF(((AN569/AF569-1)*100)&gt;100,"NM",IF(((AN569/AF569-1)*100)&lt;-50,"NM",(AN569/AF569-1)*100)))</f>
        <v>-2.6992830029523462</v>
      </c>
      <c r="AP569" s="410">
        <f t="shared" ref="AP569" si="3919">SUM(AP565:AP568)</f>
        <v>224.50000000000003</v>
      </c>
      <c r="AQ569" s="23">
        <f t="shared" si="3886"/>
        <v>1.3544018058690765</v>
      </c>
      <c r="AR569" s="410">
        <f t="shared" ref="AR569" si="3920">SUM(AR565:AR568)</f>
        <v>218.1</v>
      </c>
      <c r="AS569" s="23">
        <f t="shared" si="3888"/>
        <v>-2.3287057769816433</v>
      </c>
      <c r="AT569" s="410">
        <f t="shared" ref="AT569" si="3921">SUM(AT565:AT568)</f>
        <v>171.10000000000002</v>
      </c>
      <c r="AU569" s="23">
        <f t="shared" si="3890"/>
        <v>-32.717263075108136</v>
      </c>
      <c r="AV569" s="410">
        <f t="shared" ref="AV569" si="3922">SUM(AV565:AV568)</f>
        <v>214.79999999999998</v>
      </c>
      <c r="AW569" s="23">
        <f t="shared" si="3892"/>
        <v>-6.8920676202860909</v>
      </c>
      <c r="AX569" s="410">
        <f t="shared" ref="AX569" si="3923">SUM(AX565:AX568)</f>
        <v>216.6</v>
      </c>
      <c r="AY569" s="23">
        <f t="shared" si="3894"/>
        <v>-3.5189309576837524</v>
      </c>
      <c r="AZ569" s="410">
        <f t="shared" ref="AZ569" si="3924">SUM(AZ565:AZ568)</f>
        <v>214.39999999999998</v>
      </c>
      <c r="BA569" s="23">
        <f t="shared" si="3896"/>
        <v>-1.6964695093993676</v>
      </c>
      <c r="BB569" s="410">
        <f t="shared" ref="BB569:BD569" si="3925">SUM(BB565:BB568)</f>
        <v>206.09999999999997</v>
      </c>
      <c r="BC569" s="23">
        <f t="shared" si="3898"/>
        <v>20.455873758036191</v>
      </c>
      <c r="BD569" s="410">
        <f t="shared" si="3925"/>
        <v>0</v>
      </c>
      <c r="BE569" s="23" t="str">
        <f t="shared" si="3899"/>
        <v>NM</v>
      </c>
      <c r="BF569" s="410" t="e">
        <f t="shared" ref="BF569" si="3926">SUM(BF565:BF568)</f>
        <v>#DIV/0!</v>
      </c>
      <c r="BG569" s="23" t="str">
        <f t="shared" si="3901"/>
        <v>NA</v>
      </c>
      <c r="BH569" s="410" t="e">
        <f t="shared" ref="BH569" si="3927">SUM(BH565:BH568)</f>
        <v>#DIV/0!</v>
      </c>
      <c r="BI569" s="23"/>
      <c r="BJ569" s="36"/>
      <c r="BK569" s="23"/>
      <c r="BL569" s="36"/>
      <c r="BM569" s="23" t="str">
        <f t="shared" si="3903"/>
        <v>NA</v>
      </c>
      <c r="BN569" s="35"/>
      <c r="BO569" s="137"/>
      <c r="BP569" s="35"/>
      <c r="BQ569" s="56">
        <f>SUM(BQ566:BQ568)</f>
        <v>317.8</v>
      </c>
      <c r="BR569" s="35"/>
      <c r="BS569" s="56">
        <f>SUM(BS566:BS568)</f>
        <v>298.79999999999995</v>
      </c>
      <c r="BT569" s="35"/>
      <c r="BU569" s="56">
        <f>SUM(BU565:BU568)</f>
        <v>985.1</v>
      </c>
      <c r="BV569" s="23" t="str">
        <f>IF(ISERROR((BU569/BS569-1)*100),"NA",IF(((BU569/BS569-1)*100)&gt;100,"NM",IF(((BU569/BS569-1)*100)&lt;-50,"NM",(BU569/BS569-1)*100)))</f>
        <v>NM</v>
      </c>
      <c r="BW569" s="56">
        <f>SUM(BW565:BW568)</f>
        <v>1170.9000000000001</v>
      </c>
      <c r="BX569" s="23">
        <f>IF(ISERROR((BW569/BU569-1)*100),"NA",IF(((BW569/BU569-1)*100)&gt;100,"NM",IF(((BW569/BU569-1)*100)&lt;-50,"NM",(BW569/BU569-1)*100)))</f>
        <v>18.861029337123149</v>
      </c>
      <c r="BY569" s="56">
        <f>SUM(BY565:BY568)</f>
        <v>921.00000000000011</v>
      </c>
      <c r="BZ569" s="23">
        <f>IF(ISERROR((BY569/BW569-1)*100),"NA",IF(((BY569/BW569-1)*100)&gt;100,"NM",IF(((BY569/BW569-1)*100)&lt;-50,"NM",(BY569/BW569-1)*100)))</f>
        <v>-21.342557007430173</v>
      </c>
      <c r="CA569" s="56">
        <f>SUM(CA565:CA568)</f>
        <v>930.19999999999993</v>
      </c>
      <c r="CB569" s="23">
        <f>IF(ISERROR((CA569/BY569-1)*100),"NA",IF(((CA569/BY569-1)*100)&gt;100,"NM",IF(((CA569/BY569-1)*100)&lt;-50,"NM",(CA569/BY569-1)*100)))</f>
        <v>0.99891422366991112</v>
      </c>
      <c r="CC569" s="56">
        <f>SUM(CC565:CC568)</f>
        <v>929.8</v>
      </c>
      <c r="CD569" s="23">
        <f>IF(ISERROR((CC569/CA569-1)*100),"NA",IF(((CC569/CA569-1)*100)&gt;100,"NM",IF(((CC569/CA569-1)*100)&lt;-50,"NM",(CC569/CA569-1)*100)))</f>
        <v>-4.3001505052675526E-2</v>
      </c>
      <c r="CE569" s="56">
        <f>SUM(CE565:CE568)</f>
        <v>828.5</v>
      </c>
      <c r="CF569" s="23">
        <f>IF(ISERROR((CE569/CC569-1)*100),"NA",IF(((CE569/CC569-1)*100)&gt;100,"NM",IF(((CE569/CC569-1)*100)&lt;-50,"NM",(CE569/CC569-1)*100)))</f>
        <v>-10.894816089481607</v>
      </c>
      <c r="CG569" s="56">
        <f>SUM(CG565:CG568)</f>
        <v>637.09999999999991</v>
      </c>
      <c r="CH569" s="23">
        <f>IF(ISERROR((CG569/CE569-1)*100),"NA",IF(((CG569/CE569-1)*100)&gt;100,"NM",IF(((CG569/CE569-1)*100)&lt;-50,"NM",(CG569/CE569-1)*100)))</f>
        <v>-23.10199155099578</v>
      </c>
      <c r="CI569" s="413" t="e">
        <f>SUM(CI565:CI568)</f>
        <v>#DIV/0!</v>
      </c>
      <c r="CJ569" s="23"/>
      <c r="CK569" s="56"/>
      <c r="CL569" s="23"/>
      <c r="CM569" s="56"/>
      <c r="CN569" s="23"/>
      <c r="CO569" s="56"/>
      <c r="CP569" s="23"/>
      <c r="CQ569" s="56"/>
      <c r="CR569" s="23" t="str">
        <f>IF(ISERROR((CQ569/CO569-1)*100),"NA",IF(((CQ569/CO569-1)*100)&gt;100,"NM",IF(((CQ569/CO569-1)*100)&lt;-50,"NM",(CQ569/CO569-1)*100)))</f>
        <v>NA</v>
      </c>
      <c r="CS569" s="23" t="str">
        <f>IF(ISERROR(((CQ569/CG569)^0.2-1)*100),"NA",IF((((CQ569/CG569)^0.2-1)*100)&gt;100,"NM",IF((((CQ569/CG569)^0.2-1)*100)&lt;-50,"NM",((CQ569/CG569)^0.2-1)*100)))</f>
        <v>NM</v>
      </c>
    </row>
    <row r="570" spans="1:97" ht="12.75" hidden="1" customHeight="1" outlineLevel="1" x14ac:dyDescent="0.2">
      <c r="B570" s="35"/>
      <c r="C570" s="60"/>
      <c r="D570" s="35"/>
      <c r="E570" s="60"/>
      <c r="F570" s="35"/>
      <c r="G570" s="60"/>
      <c r="H570" s="35"/>
      <c r="I570" s="60"/>
      <c r="J570" s="35"/>
      <c r="L570" s="35"/>
      <c r="N570" s="35"/>
      <c r="P570" s="35"/>
      <c r="R570" s="35"/>
      <c r="T570" s="35"/>
      <c r="V570" s="35"/>
      <c r="X570" s="35"/>
      <c r="Z570" s="35"/>
      <c r="AB570" s="35"/>
      <c r="AD570" s="35"/>
      <c r="AF570" s="35"/>
      <c r="AH570" s="35"/>
      <c r="AJ570" s="35"/>
      <c r="AL570" s="35"/>
      <c r="AN570" s="409"/>
      <c r="AP570" s="409"/>
      <c r="AR570" s="409"/>
      <c r="AT570" s="409"/>
      <c r="AV570" s="409"/>
      <c r="AX570" s="409"/>
      <c r="AZ570" s="409"/>
      <c r="BB570" s="409"/>
      <c r="BD570" s="409"/>
      <c r="BF570" s="409"/>
      <c r="BH570" s="409"/>
      <c r="BJ570" s="35"/>
      <c r="BL570" s="35"/>
      <c r="BN570" s="35"/>
      <c r="BO570" s="138"/>
      <c r="BP570" s="35"/>
      <c r="BQ570" s="35"/>
      <c r="BR570" s="35"/>
      <c r="BS570" s="35"/>
      <c r="BT570" s="35"/>
      <c r="BU570" s="37"/>
      <c r="BW570" s="37"/>
      <c r="BY570" s="37"/>
      <c r="CA570" s="37"/>
      <c r="CC570" s="37"/>
      <c r="CE570" s="37"/>
      <c r="CG570" s="37"/>
      <c r="CI570" s="411"/>
      <c r="CK570" s="37"/>
      <c r="CM570" s="37"/>
      <c r="CO570" s="37"/>
      <c r="CQ570" s="37"/>
    </row>
    <row r="571" spans="1:97" ht="12.75" hidden="1" customHeight="1" outlineLevel="1" x14ac:dyDescent="0.2">
      <c r="A571" s="11" t="s">
        <v>125</v>
      </c>
      <c r="B571" s="35"/>
      <c r="C571" s="60"/>
      <c r="D571" s="35"/>
      <c r="E571" s="60"/>
      <c r="F571" s="35"/>
      <c r="G571" s="60"/>
      <c r="H571" s="35"/>
      <c r="I571" s="60"/>
      <c r="J571" s="35"/>
      <c r="L571" s="35"/>
      <c r="N571" s="35"/>
      <c r="P571" s="35"/>
      <c r="R571" s="35"/>
      <c r="T571" s="35"/>
      <c r="V571" s="35"/>
      <c r="X571" s="35"/>
      <c r="Z571" s="35"/>
      <c r="AB571" s="35"/>
      <c r="AD571" s="35"/>
      <c r="AF571" s="35"/>
      <c r="AH571" s="35"/>
      <c r="AJ571" s="35"/>
      <c r="AL571" s="35"/>
      <c r="AN571" s="409"/>
      <c r="AP571" s="409"/>
      <c r="AR571" s="409"/>
      <c r="AT571" s="409"/>
      <c r="AV571" s="409"/>
      <c r="AX571" s="409"/>
      <c r="AZ571" s="409"/>
      <c r="BB571" s="409"/>
      <c r="BD571" s="409"/>
      <c r="BF571" s="409"/>
      <c r="BH571" s="409"/>
      <c r="BJ571" s="35"/>
      <c r="BL571" s="35"/>
      <c r="BN571" s="35"/>
      <c r="BO571" s="138"/>
      <c r="BP571" s="35"/>
      <c r="BQ571" s="35"/>
      <c r="BR571" s="35"/>
      <c r="BS571" s="35"/>
      <c r="BT571" s="35"/>
      <c r="BU571" s="37"/>
      <c r="BW571" s="37"/>
      <c r="BY571" s="37"/>
      <c r="CA571" s="37"/>
      <c r="CC571" s="37"/>
      <c r="CE571" s="37"/>
      <c r="CG571" s="37"/>
      <c r="CI571" s="411"/>
      <c r="CK571" s="37"/>
      <c r="CM571" s="37"/>
      <c r="CO571" s="37"/>
      <c r="CQ571" s="37"/>
    </row>
    <row r="572" spans="1:97" ht="12.75" hidden="1" customHeight="1" outlineLevel="1" x14ac:dyDescent="0.2">
      <c r="A572" s="4" t="s">
        <v>126</v>
      </c>
      <c r="B572" s="35">
        <f t="shared" ref="B572" si="3928">B566/B553*100</f>
        <v>7.3782443861184026</v>
      </c>
      <c r="C572" s="59"/>
      <c r="D572" s="35">
        <f t="shared" ref="D572" si="3929">D566/D553*100</f>
        <v>7.1409103297901328</v>
      </c>
      <c r="E572" s="59"/>
      <c r="F572" s="35">
        <f t="shared" ref="F572" si="3930">F566/F553*100</f>
        <v>6.9977426636568847</v>
      </c>
      <c r="G572" s="59"/>
      <c r="H572" s="35">
        <f t="shared" ref="H572" si="3931">H566/H553*100</f>
        <v>9.0084251458198317</v>
      </c>
      <c r="I572" s="59"/>
      <c r="J572" s="35">
        <f t="shared" ref="J572" si="3932">J566/J553*100</f>
        <v>6.6647006782659988</v>
      </c>
      <c r="K572" s="23">
        <f t="shared" ref="K572:K574" si="3933">IF(ISERROR((J572/B572-1)*100),"NA",IF(((J572/B572-1)*100)&gt;100,"NM",IF(((J572/B572-1)*100)&lt;-50,"NM",(J572/B572-1)*100)))</f>
        <v>-9.6709145226319908</v>
      </c>
      <c r="L572" s="35">
        <f t="shared" ref="L572" si="3934">L566/L553*100</f>
        <v>7.0031545741324921</v>
      </c>
      <c r="M572" s="23">
        <f t="shared" ref="M572:M574" si="3935">IF(ISERROR((L572/D572-1)*100),"NA",IF(((L572/D572-1)*100)&gt;100,"NM",IF(((L572/D572-1)*100)&lt;-50,"NM",(L572/D572-1)*100)))</f>
        <v>-1.9291063645339057</v>
      </c>
      <c r="N572" s="35">
        <f t="shared" ref="N572" si="3936">N566/N553*100</f>
        <v>7.7887788778877889</v>
      </c>
      <c r="O572" s="23">
        <f t="shared" ref="O572:O574" si="3937">IF(ISERROR((N572/F572-1)*100),"NA",IF(((N572/F572-1)*100)&gt;100,"NM",IF(((N572/F572-1)*100)&lt;-50,"NM",(N572/F572-1)*100)))</f>
        <v>11.304162674331963</v>
      </c>
      <c r="P572" s="35">
        <f t="shared" ref="P572" si="3938">P566/P553*100</f>
        <v>6.9064290260980261</v>
      </c>
      <c r="Q572" s="23">
        <f t="shared" ref="Q572:Q574" si="3939">IF(ISERROR((P572/H572-1)*100),"NA",IF(((P572/H572-1)*100)&gt;100,"NM",IF(((P572/H572-1)*100)&lt;-50,"NM",(P572/H572-1)*100)))</f>
        <v>-23.333669156336299</v>
      </c>
      <c r="R572" s="35">
        <f>R566/R553*100</f>
        <v>7.1850393700787416</v>
      </c>
      <c r="S572" s="23">
        <f t="shared" ref="S572:S574" si="3940">IF(ISERROR((R572/J572-1)*100),"NA",IF(((R572/J572-1)*100)&gt;100,"NM",IF(((R572/J572-1)*100)&lt;-50,"NM",(R572/J572-1)*100)))</f>
        <v>7.8073827607832325</v>
      </c>
      <c r="T572" s="35">
        <f>T566/T553*100</f>
        <v>7.7617932418869193</v>
      </c>
      <c r="U572" s="23">
        <f t="shared" ref="U572:U574" si="3941">IF(ISERROR((T572/L572-1)*100),"NA",IF(((T572/L572-1)*100)&gt;100,"NM",IF(((T572/L572-1)*100)&lt;-50,"NM",(T572/L572-1)*100)))</f>
        <v>10.832813408925833</v>
      </c>
      <c r="V572" s="35">
        <f>V566/V553*100</f>
        <v>7.2463768115942031</v>
      </c>
      <c r="W572" s="23">
        <f t="shared" ref="W572:W574" si="3942">IF(ISERROR((V572/N572-1)*100),"NA",IF(((V572/N572-1)*100)&gt;100,"NM",IF(((V572/N572-1)*100)&lt;-50,"NM",(V572/N572-1)*100)))</f>
        <v>-6.9638909358879841</v>
      </c>
      <c r="X572" s="35">
        <f>X566/X553*100</f>
        <v>7.316262055204521</v>
      </c>
      <c r="Y572" s="23">
        <f t="shared" ref="Y572:Y574" si="3943">IF(ISERROR((X572/P572-1)*100),"NA",IF(((X572/P572-1)*100)&gt;100,"NM",IF(((X572/P572-1)*100)&lt;-50,"NM",(X572/P572-1)*100)))</f>
        <v>5.9340800804267513</v>
      </c>
      <c r="Z572" s="35">
        <f>Z566/Z553*100</f>
        <v>8.4908903403231353</v>
      </c>
      <c r="AA572" s="23">
        <f>IF(ISERROR((Z572/R572-1)*100),"NA",IF(((Z572/R572-1)*100)&gt;100,"NM",IF(((Z572/R572-1)*100)&lt;-50,"NM",(Z572/R572-1)*100)))</f>
        <v>18.174583366689092</v>
      </c>
      <c r="AB572" s="35">
        <f>AB566/AB553*100</f>
        <v>8.25810765630224</v>
      </c>
      <c r="AC572" s="23">
        <f>IF(ISERROR((AB572/T572-1)*100),"NA",IF(((AB572/T572-1)*100)&gt;100,"NM",IF(((AB572/T572-1)*100)&lt;-50,"NM",(AB572/T572-1)*100)))</f>
        <v>6.3943266581353075</v>
      </c>
      <c r="AD572" s="35">
        <f>AD566/AD553*100</f>
        <v>7.5233022636484694</v>
      </c>
      <c r="AE572" s="23">
        <f>IF(ISERROR((AD572/V572-1)*100),"NA",IF(((AD572/V572-1)*100)&gt;100,"NM",IF(((AD572/V572-1)*100)&lt;-50,"NM",(AD572/V572-1)*100)))</f>
        <v>3.8215712383488754</v>
      </c>
      <c r="AF572" s="35">
        <f>AF566/AF553*100</f>
        <v>7.6209410205434063</v>
      </c>
      <c r="AG572" s="23">
        <f>IF(ISERROR((AF572/X572-1)*100),"NA",IF(((AF572/X572-1)*100)&gt;100,"NM",IF(((AF572/X572-1)*100)&lt;-50,"NM",(AF572/X572-1)*100)))</f>
        <v>4.1644074944273912</v>
      </c>
      <c r="AH572" s="35">
        <f>AH566/AH553*100</f>
        <v>8.7556015167183716</v>
      </c>
      <c r="AI572" s="23">
        <f>IF(ISERROR((AH572/Z572-1)*100),"NA",IF(((AH572/Z572-1)*100)&gt;100,"NM",IF(((AH572/Z572-1)*100)&lt;-50,"NM",(AH572/Z572-1)*100)))</f>
        <v>3.1175903325252774</v>
      </c>
      <c r="AJ572" s="35">
        <f>AJ566/AJ553*100</f>
        <v>8.8638761871262766</v>
      </c>
      <c r="AK572" s="23">
        <f>IF(ISERROR((AJ572/AB572-1)*100),"NA",IF(((AJ572/AB572-1)*100)&gt;100,"NM",IF(((AJ572/AB572-1)*100)&lt;-50,"NM",(AJ572/AB572-1)*100)))</f>
        <v>7.3354399825696026</v>
      </c>
      <c r="AL572" s="35">
        <f>AL566/AL553*100</f>
        <v>8.1338143653656942</v>
      </c>
      <c r="AM572" s="23">
        <f>IF(ISERROR((AL572/AD572-1)*100),"NA",IF(((AL572/AD572-1)*100)&gt;100,"NM",IF(((AL572/AD572-1)*100)&lt;-50,"NM",(AL572/AD572-1)*100)))</f>
        <v>8.1149484670731908</v>
      </c>
      <c r="AN572" s="409">
        <f t="shared" ref="AN572" si="3944">AN566/AN553*100</f>
        <v>8.3787465940054506</v>
      </c>
      <c r="AO572" s="23">
        <f>IF(ISERROR((AN572/AF572-1)*100),"NA",IF(((AN572/AF572-1)*100)&gt;100,"NM",IF(((AN572/AF572-1)*100)&lt;-50,"NM",(AN572/AF572-1)*100)))</f>
        <v>9.9437270465584824</v>
      </c>
      <c r="AP572" s="409">
        <f t="shared" ref="AP572" si="3945">AP566/AP553*100</f>
        <v>10.272232304900182</v>
      </c>
      <c r="AQ572" s="23">
        <f t="shared" ref="AQ572:AQ574" si="3946">IF(ISERROR((AP572/AH572-1)*100),"NA",IF(((AP572/AH572-1)*100)&gt;100,"NM",IF(((AP572/AH572-1)*100)&lt;-50,"NM",(AP572/AH572-1)*100)))</f>
        <v>17.321834316989904</v>
      </c>
      <c r="AR572" s="409">
        <f t="shared" ref="AR572" si="3947">AR566/AR553*100</f>
        <v>8.9783281733746119</v>
      </c>
      <c r="AS572" s="23">
        <f t="shared" ref="AS572:AS574" si="3948">IF(ISERROR((AR572/AJ572-1)*100),"NA",IF(((AR572/AJ572-1)*100)&gt;100,"NM",IF(((AR572/AJ572-1)*100)&lt;-50,"NM",(AR572/AJ572-1)*100)))</f>
        <v>1.2912182416826123</v>
      </c>
      <c r="AT572" s="409">
        <f t="shared" ref="AT572" si="3949">AT566/AT553*100</f>
        <v>9.423347398030943</v>
      </c>
      <c r="AU572" s="23">
        <f t="shared" ref="AU572:AU574" si="3950">IF(ISERROR((AT572/AL572-1)*100),"NA",IF(((AT572/AL572-1)*100)&gt;100,"NM",IF(((AT572/AL572-1)*100)&lt;-50,"NM",(AT572/AL572-1)*100)))</f>
        <v>15.853976679823955</v>
      </c>
      <c r="AV572" s="409">
        <f t="shared" ref="AV572" si="3951">AV566/AV553*100</f>
        <v>8.5838343353373414</v>
      </c>
      <c r="AW572" s="23">
        <f t="shared" ref="AW572:AW574" si="3952">IF(ISERROR((AV572/AN572-1)*100),"NA",IF(((AV572/AN572-1)*100)&gt;100,"NM",IF(((AV572/AN572-1)*100)&lt;-50,"NM",(AV572/AN572-1)*100)))</f>
        <v>2.4477138558960609</v>
      </c>
      <c r="AX572" s="409">
        <f t="shared" ref="AX572" si="3953">AX566/AX553*100</f>
        <v>12.138521956444126</v>
      </c>
      <c r="AY572" s="23">
        <f t="shared" ref="AY572:AY574" si="3954">IF(ISERROR((AX572/AP572-1)*100),"NA",IF(((AX572/AP572-1)*100)&gt;100,"NM",IF(((AX572/AP572-1)*100)&lt;-50,"NM",(AX572/AP572-1)*100)))</f>
        <v>18.1682967844649</v>
      </c>
      <c r="AZ572" s="409">
        <f t="shared" ref="AZ572" si="3955">AZ566/AZ553*100</f>
        <v>10.706638115631693</v>
      </c>
      <c r="BA572" s="23">
        <f t="shared" ref="BA572:BA574" si="3956">IF(ISERROR((AZ572/AR572-1)*100),"NA",IF(((AZ572/AR572-1)*100)&gt;100,"NM",IF(((AZ572/AR572-1)*100)&lt;-50,"NM",(AZ572/AR572-1)*100)))</f>
        <v>19.249796943070251</v>
      </c>
      <c r="BB572" s="409">
        <f t="shared" ref="BB572:BD572" si="3957">BB566/BB553*100</f>
        <v>10.196078431372548</v>
      </c>
      <c r="BC572" s="23">
        <f t="shared" ref="BC572:BC574" si="3958">IF(ISERROR((BB572/AT572-1)*100),"NA",IF(((BB572/AT572-1)*100)&gt;100,"NM",IF(((BB572/AT572-1)*100)&lt;-50,"NM",(BB572/AT572-1)*100)))</f>
        <v>8.2001755926250919</v>
      </c>
      <c r="BD572" s="409" t="e">
        <f t="shared" si="3957"/>
        <v>#DIV/0!</v>
      </c>
      <c r="BE572" s="23" t="str">
        <f t="shared" ref="BE572:BE574" si="3959">IF(ISERROR((BD572/AV572-1)*100),"NA",IF(((BD572/AV572-1)*100)&gt;100,"NM",IF(((BD572/AV572-1)*100)&lt;-50,"NM",(BD572/AV572-1)*100)))</f>
        <v>NA</v>
      </c>
      <c r="BF572" s="587" t="e">
        <f>BD572+0.1</f>
        <v>#DIV/0!</v>
      </c>
      <c r="BG572" s="23" t="str">
        <f t="shared" ref="BG572:BG574" si="3960">IF(ISERROR((BF572/AX572-1)*100),"NA",IF(((BF572/AX572-1)*100)&gt;100,"NM",IF(((BF572/AX572-1)*100)&lt;-50,"NM",(BF572/AX572-1)*100)))</f>
        <v>NA</v>
      </c>
      <c r="BH572" s="587" t="e">
        <f>BF572+0.1</f>
        <v>#DIV/0!</v>
      </c>
      <c r="BI572" s="23"/>
      <c r="BJ572" s="114"/>
      <c r="BK572" s="23"/>
      <c r="BL572" s="114"/>
      <c r="BM572" s="23" t="str">
        <f t="shared" ref="BM572:BM574" si="3961">IF(ISERROR((BL572/BD572-1)*100),"NA",IF(((BL572/BD572-1)*100)&gt;100,"NM",IF(((BL572/BD572-1)*100)&lt;-50,"NM",(BL572/BD572-1)*100)))</f>
        <v>NA</v>
      </c>
      <c r="BN572" s="35"/>
      <c r="BO572" s="138"/>
      <c r="BP572" s="35"/>
      <c r="BQ572" s="113"/>
      <c r="BR572" s="113"/>
      <c r="BS572" s="113"/>
      <c r="BT572" s="35"/>
      <c r="BU572" s="37">
        <f>BU566/BU553*100</f>
        <v>7.5830419580419566</v>
      </c>
      <c r="BV572" s="23" t="str">
        <f>IF(ISERROR((BU572/BS572-1)*100),"NA",IF(((BU572/BS572-1)*100)&gt;100,"NM",IF(((BU572/BS572-1)*100)&lt;-50,"NM",(BU572/BS572-1)*100)))</f>
        <v>NA</v>
      </c>
      <c r="BW572" s="37">
        <f>BW566/BW553*100</f>
        <v>7.0761014686248336</v>
      </c>
      <c r="BX572" s="23">
        <f>IF(ISERROR((BW572/BU572-1)*100),"NA",IF(((BW572/BU572-1)*100)&gt;100,"NM",IF(((BW572/BU572-1)*100)&lt;-50,"NM",(BW572/BU572-1)*100)))</f>
        <v>-6.6851863964632718</v>
      </c>
      <c r="BY572" s="37">
        <f>BY566/BY553*100</f>
        <v>7.3750926002140087</v>
      </c>
      <c r="BZ572" s="23">
        <f>IF(ISERROR((BY572/BW572-1)*100),"NA",IF(((BY572/BW572-1)*100)&gt;100,"NM",IF(((BY572/BW572-1)*100)&lt;-50,"NM",(BY572/BW572-1)*100)))</f>
        <v>4.2253652369866446</v>
      </c>
      <c r="CA572" s="37">
        <f>CA566/CA553*100</f>
        <v>7.9684616675054514</v>
      </c>
      <c r="CB572" s="23">
        <f>IF(ISERROR((CA572/BY572-1)*100),"NA",IF(((CA572/BY572-1)*100)&gt;100,"NM",IF(((CA572/BY572-1)*100)&lt;-50,"NM",(CA572/BY572-1)*100)))</f>
        <v>8.045581248352395</v>
      </c>
      <c r="CC572" s="37">
        <f>CC566/CC553*100</f>
        <v>8.5258760337624686</v>
      </c>
      <c r="CD572" s="23">
        <f>IF(ISERROR((CC572/CA572-1)*100),"NA",IF(((CC572/CA572-1)*100)&gt;100,"NM",IF(((CC572/CA572-1)*100)&lt;-50,"NM",(CC572/CA572-1)*100)))</f>
        <v>6.9952569205433246</v>
      </c>
      <c r="CE572" s="37">
        <f>CE566/CE553*100</f>
        <v>9.2956521739130444</v>
      </c>
      <c r="CF572" s="23">
        <f>IF(ISERROR((CE572/CC572-1)*100),"NA",IF(((CE572/CC572-1)*100)&gt;100,"NM",IF(((CE572/CC572-1)*100)&lt;-50,"NM",(CE572/CC572-1)*100)))</f>
        <v>9.0287043478260998</v>
      </c>
      <c r="CG572" s="37">
        <f>CG566/CG553*100</f>
        <v>11.013320647002853</v>
      </c>
      <c r="CH572" s="23">
        <f>IF(ISERROR((CG572/CE572-1)*100),"NA",IF(((CG572/CE572-1)*100)&gt;100,"NM",IF(((CG572/CE572-1)*100)&lt;-50,"NM",(CG572/CE572-1)*100)))</f>
        <v>18.478192180105513</v>
      </c>
      <c r="CI572" s="411" t="e">
        <f>CI566/CI553*100</f>
        <v>#DIV/0!</v>
      </c>
      <c r="CJ572" s="23"/>
      <c r="CK572" s="114"/>
      <c r="CL572" s="23"/>
      <c r="CM572" s="114"/>
      <c r="CN572" s="23"/>
      <c r="CO572" s="114"/>
      <c r="CP572" s="23"/>
      <c r="CQ572" s="114"/>
      <c r="CR572" s="23" t="str">
        <f>IF(ISERROR((CQ572/CO572-1)*100),"NA",IF(((CQ572/CO572-1)*100)&gt;100,"NM",IF(((CQ572/CO572-1)*100)&lt;-50,"NM",(CQ572/CO572-1)*100)))</f>
        <v>NA</v>
      </c>
      <c r="CS572" s="23" t="str">
        <f>IF(ISERROR(((CQ572/CG572)^0.2-1)*100),"NA",IF((((CQ572/CG572)^0.2-1)*100)&gt;100,"NM",IF((((CQ572/CG572)^0.2-1)*100)&lt;-50,"NM",((CQ572/CG572)^0.2-1)*100)))</f>
        <v>NM</v>
      </c>
    </row>
    <row r="573" spans="1:97" ht="12.75" hidden="1" customHeight="1" outlineLevel="1" x14ac:dyDescent="0.2">
      <c r="A573" s="4" t="s">
        <v>172</v>
      </c>
      <c r="B573" s="35">
        <f t="shared" ref="B573" si="3962">B567/B553*100</f>
        <v>1.3414989792942549</v>
      </c>
      <c r="C573" s="59"/>
      <c r="D573" s="35">
        <f t="shared" ref="D573" si="3963">D567/D553*100</f>
        <v>1.362769146906514</v>
      </c>
      <c r="E573" s="59"/>
      <c r="F573" s="35">
        <f t="shared" ref="F573" si="3964">F567/F553*100</f>
        <v>1.4108352144469527</v>
      </c>
      <c r="G573" s="59"/>
      <c r="H573" s="35">
        <f t="shared" ref="H573" si="3965">H567/H553*100</f>
        <v>0.55087491898898244</v>
      </c>
      <c r="I573" s="59"/>
      <c r="J573" s="35">
        <f t="shared" ref="J573" si="3966">J567/J553*100</f>
        <v>2.4476555588322033</v>
      </c>
      <c r="K573" s="23">
        <f t="shared" si="3933"/>
        <v>82.456758939904901</v>
      </c>
      <c r="L573" s="35">
        <f t="shared" ref="L573" si="3967">L567/L553*100</f>
        <v>2.4921135646687698</v>
      </c>
      <c r="M573" s="23">
        <f t="shared" si="3935"/>
        <v>82.871293375394345</v>
      </c>
      <c r="N573" s="35">
        <f t="shared" ref="N573" si="3968">N567/N553*100</f>
        <v>2.7392739273927393</v>
      </c>
      <c r="O573" s="23">
        <f t="shared" si="3937"/>
        <v>94.15973597359735</v>
      </c>
      <c r="P573" s="35">
        <f t="shared" ref="P573" si="3969">P567/P553*100</f>
        <v>2.6734563971992364</v>
      </c>
      <c r="Q573" s="23" t="str">
        <f t="shared" si="3939"/>
        <v>NM</v>
      </c>
      <c r="R573" s="35">
        <f>R567/R553*100</f>
        <v>2.8871391076115493</v>
      </c>
      <c r="S573" s="23">
        <f t="shared" si="3940"/>
        <v>17.955285709768209</v>
      </c>
      <c r="T573" s="35">
        <f>T567/T553*100</f>
        <v>2.8772164603546337</v>
      </c>
      <c r="U573" s="23">
        <f t="shared" si="3941"/>
        <v>15.452863029420104</v>
      </c>
      <c r="V573" s="35">
        <f>V567/V553*100</f>
        <v>2.8663446054750406</v>
      </c>
      <c r="W573" s="23">
        <f t="shared" si="3942"/>
        <v>4.6388452360165422</v>
      </c>
      <c r="X573" s="35">
        <f>X567/X553*100</f>
        <v>3.2923179248420351</v>
      </c>
      <c r="Y573" s="23">
        <f t="shared" si="3943"/>
        <v>23.148368093496117</v>
      </c>
      <c r="Z573" s="35">
        <f>Z567/Z553*100</f>
        <v>3.5751117222413198</v>
      </c>
      <c r="AA573" s="23">
        <f>IF(ISERROR((Z573/R573-1)*100),"NA",IF(((Z573/R573-1)*100)&gt;100,"NM",IF(((Z573/R573-1)*100)&lt;-50,"NM",(Z573/R573-1)*100)))</f>
        <v>23.828869652176586</v>
      </c>
      <c r="AB573" s="35">
        <f>AB567/AB553*100</f>
        <v>3.91173520561685</v>
      </c>
      <c r="AC573" s="23">
        <f>IF(ISERROR((AB573/T573-1)*100),"NA",IF(((AB573/T573-1)*100)&gt;100,"NM",IF(((AB573/T573-1)*100)&lt;-50,"NM",(AB573/T573-1)*100)))</f>
        <v>35.955541041729823</v>
      </c>
      <c r="AD573" s="35">
        <f>AD567/AD553*100</f>
        <v>3.9280958721704402</v>
      </c>
      <c r="AE573" s="23">
        <f>IF(ISERROR((AD573/V573-1)*100),"NA",IF(((AD573/V573-1)*100)&gt;100,"NM",IF(((AD573/V573-1)*100)&lt;-50,"NM",(AD573/V573-1)*100)))</f>
        <v>37.041996439204674</v>
      </c>
      <c r="AF573" s="35">
        <f>AF567/AF553*100</f>
        <v>3.180914512922465</v>
      </c>
      <c r="AG573" s="23">
        <f>IF(ISERROR((AF573/X573-1)*100),"NA",IF(((AF573/X573-1)*100)&gt;100,"NM",IF(((AF573/X573-1)*100)&lt;-50,"NM",(AF573/X573-1)*100)))</f>
        <v>-3.3837379761833097</v>
      </c>
      <c r="AH573" s="35">
        <f>AH567/AH553*100</f>
        <v>4.1020337814546703</v>
      </c>
      <c r="AI573" s="23">
        <f>IF(ISERROR((AH573/Z573-1)*100),"NA",IF(((AH573/Z573-1)*100)&gt;100,"NM",IF(((AH573/Z573-1)*100)&lt;-50,"NM",(AH573/Z573-1)*100)))</f>
        <v>14.738617983188806</v>
      </c>
      <c r="AJ573" s="35">
        <f>AJ567/AJ553*100</f>
        <v>4.5374604291241658</v>
      </c>
      <c r="AK573" s="23">
        <f>IF(ISERROR((AJ573/AB573-1)*100),"NA",IF(((AJ573/AB573-1)*100)&gt;100,"NM",IF(((AJ573/AB573-1)*100)&lt;-50,"NM",(AJ573/AB573-1)*100)))</f>
        <v>15.996103790687034</v>
      </c>
      <c r="AL573" s="35">
        <f>AL567/AL553*100</f>
        <v>4.2636930141029854</v>
      </c>
      <c r="AM573" s="23">
        <f>IF(ISERROR((AL573/AD573-1)*100),"NA",IF(((AL573/AD573-1)*100)&gt;100,"NM",IF(((AL573/AD573-1)*100)&lt;-50,"NM",(AL573/AD573-1)*100)))</f>
        <v>8.5435069014013987</v>
      </c>
      <c r="AN573" s="409">
        <f t="shared" ref="AN573" si="3970">AN567/AN553*100</f>
        <v>4.5640326975476837</v>
      </c>
      <c r="AO573" s="23">
        <f>IF(ISERROR((AN573/AF573-1)*100),"NA",IF(((AN573/AF573-1)*100)&gt;100,"NM",IF(((AN573/AF573-1)*100)&lt;-50,"NM",(AN573/AF573-1)*100)))</f>
        <v>43.481777929155307</v>
      </c>
      <c r="AP573" s="409">
        <f t="shared" ref="AP573" si="3971">AP567/AP553*100</f>
        <v>4.3194192377495462</v>
      </c>
      <c r="AQ573" s="23">
        <f t="shared" si="3946"/>
        <v>5.2994555353902184</v>
      </c>
      <c r="AR573" s="409">
        <f t="shared" ref="AR573" si="3972">AR567/AR553*100</f>
        <v>4.2999656002751969</v>
      </c>
      <c r="AS573" s="23">
        <f t="shared" si="3948"/>
        <v>-5.2340914606016975</v>
      </c>
      <c r="AT573" s="409">
        <f t="shared" ref="AT573" si="3973">AT567/AT553*100</f>
        <v>4.39521800281294</v>
      </c>
      <c r="AU573" s="23">
        <f t="shared" si="3950"/>
        <v>3.0847668505896264</v>
      </c>
      <c r="AV573" s="409">
        <f t="shared" ref="AV573" si="3974">AV567/AV553*100</f>
        <v>5.0768203072812295</v>
      </c>
      <c r="AW573" s="23">
        <f t="shared" si="3952"/>
        <v>11.235406135654413</v>
      </c>
      <c r="AX573" s="409">
        <f t="shared" ref="AX573" si="3975">AX567/AX553*100</f>
        <v>4.8197072474116389</v>
      </c>
      <c r="AY573" s="23">
        <f t="shared" si="3954"/>
        <v>11.582298038815676</v>
      </c>
      <c r="AZ573" s="409">
        <f t="shared" ref="AZ573" si="3976">AZ567/AZ553*100</f>
        <v>5.0321199143468949</v>
      </c>
      <c r="BA573" s="23">
        <f t="shared" si="3956"/>
        <v>17.02698072805142</v>
      </c>
      <c r="BB573" s="409">
        <f t="shared" ref="BB573:BD573" si="3977">BB567/BB553*100</f>
        <v>4.6345811051693406</v>
      </c>
      <c r="BC573" s="23">
        <f t="shared" si="3958"/>
        <v>5.4459893048128372</v>
      </c>
      <c r="BD573" s="409" t="e">
        <f t="shared" si="3977"/>
        <v>#DIV/0!</v>
      </c>
      <c r="BE573" s="23" t="str">
        <f t="shared" si="3959"/>
        <v>NA</v>
      </c>
      <c r="BF573" s="587" t="e">
        <f t="shared" ref="BF573:BH573" si="3978">BD573</f>
        <v>#DIV/0!</v>
      </c>
      <c r="BG573" s="23" t="str">
        <f t="shared" si="3960"/>
        <v>NA</v>
      </c>
      <c r="BH573" s="587" t="e">
        <f t="shared" si="3978"/>
        <v>#DIV/0!</v>
      </c>
      <c r="BI573" s="23"/>
      <c r="BJ573" s="114"/>
      <c r="BK573" s="23"/>
      <c r="BL573" s="114"/>
      <c r="BM573" s="23" t="str">
        <f t="shared" si="3961"/>
        <v>NA</v>
      </c>
      <c r="BN573" s="35"/>
      <c r="BO573" s="138"/>
      <c r="BP573" s="35"/>
      <c r="BQ573" s="113"/>
      <c r="BR573" s="113"/>
      <c r="BS573" s="113"/>
      <c r="BT573" s="35"/>
      <c r="BU573" s="37">
        <f>BU567/BU553*100</f>
        <v>1.1873543123543122</v>
      </c>
      <c r="BV573" s="23" t="str">
        <f>IF(ISERROR((BU573/BS573-1)*100),"NA",IF(((BU573/BS573-1)*100)&gt;100,"NM",IF(((BU573/BS573-1)*100)&lt;-50,"NM",(BU573/BS573-1)*100)))</f>
        <v>NA</v>
      </c>
      <c r="BW573" s="37">
        <f>BW567/BW553*100</f>
        <v>2.583837273227048</v>
      </c>
      <c r="BX573" s="23" t="str">
        <f>IF(ISERROR((BW573/BU573-1)*100),"NA",IF(((BW573/BU573-1)*100)&gt;100,"NM",IF(((BW573/BU573-1)*100)&lt;-50,"NM",(BW573/BU573-1)*100)))</f>
        <v>NM</v>
      </c>
      <c r="BY573" s="37">
        <f>BY567/BY553*100</f>
        <v>2.979669108568606</v>
      </c>
      <c r="BZ573" s="23">
        <f>IF(ISERROR((BY573/BW573-1)*100),"NA",IF(((BY573/BW573-1)*100)&gt;100,"NM",IF(((BY573/BW573-1)*100)&lt;-50,"NM",(BY573/BW573-1)*100)))</f>
        <v>15.31953422311263</v>
      </c>
      <c r="CA573" s="37">
        <f>CA567/CA553*100</f>
        <v>3.6487166582788126</v>
      </c>
      <c r="CB573" s="23">
        <f>IF(ISERROR((CA573/BY573-1)*100),"NA",IF(((CA573/BY573-1)*100)&gt;100,"NM",IF(((CA573/BY573-1)*100)&lt;-50,"NM",(CA573/BY573-1)*100)))</f>
        <v>22.45375326361685</v>
      </c>
      <c r="CC573" s="37">
        <f>CC567/CC553*100</f>
        <v>4.3652485292863838</v>
      </c>
      <c r="CD573" s="23">
        <f>IF(ISERROR((CC573/CA573-1)*100),"NA",IF(((CC573/CA573-1)*100)&gt;100,"NM",IF(((CC573/CA573-1)*100)&lt;-50,"NM",(CC573/CA573-1)*100)))</f>
        <v>19.637914864717843</v>
      </c>
      <c r="CE573" s="37">
        <f>CE567/CE553*100</f>
        <v>4.5304347826086948</v>
      </c>
      <c r="CF573" s="23">
        <f>IF(ISERROR((CE573/CC573-1)*100),"NA",IF(((CE573/CC573-1)*100)&gt;100,"NM",IF(((CE573/CC573-1)*100)&lt;-50,"NM",(CE573/CC573-1)*100)))</f>
        <v>3.7841202445652034</v>
      </c>
      <c r="CG573" s="37">
        <f>CG567/CG553*100</f>
        <v>4.8287345385347287</v>
      </c>
      <c r="CH573" s="23">
        <f>IF(ISERROR((CG573/CE573-1)*100),"NA",IF(((CG573/CE573-1)*100)&gt;100,"NM",IF(((CG573/CE573-1)*100)&lt;-50,"NM",(CG573/CE573-1)*100)))</f>
        <v>6.5843516183289541</v>
      </c>
      <c r="CI573" s="411" t="e">
        <f>CI567/CI553*100</f>
        <v>#DIV/0!</v>
      </c>
      <c r="CJ573" s="23"/>
      <c r="CK573" s="114"/>
      <c r="CL573" s="23"/>
      <c r="CM573" s="114"/>
      <c r="CN573" s="23"/>
      <c r="CO573" s="114"/>
      <c r="CP573" s="23"/>
      <c r="CQ573" s="114"/>
      <c r="CR573" s="23" t="str">
        <f>IF(ISERROR((CQ573/CO573-1)*100),"NA",IF(((CQ573/CO573-1)*100)&gt;100,"NM",IF(((CQ573/CO573-1)*100)&lt;-50,"NM",(CQ573/CO573-1)*100)))</f>
        <v>NA</v>
      </c>
      <c r="CS573" s="23" t="str">
        <f>IF(ISERROR(((CQ573/CG573)^0.2-1)*100),"NA",IF((((CQ573/CG573)^0.2-1)*100)&gt;100,"NM",IF((((CQ573/CG573)^0.2-1)*100)&lt;-50,"NM",((CQ573/CG573)^0.2-1)*100)))</f>
        <v>NM</v>
      </c>
    </row>
    <row r="574" spans="1:97" ht="12.75" hidden="1" customHeight="1" outlineLevel="1" x14ac:dyDescent="0.2">
      <c r="A574" s="4" t="s">
        <v>127</v>
      </c>
      <c r="B574" s="35">
        <f t="shared" ref="B574" si="3979">B568/B566*100</f>
        <v>113.4387351778656</v>
      </c>
      <c r="C574" s="59"/>
      <c r="D574" s="35">
        <f t="shared" ref="D574" si="3980">D568/D566*100</f>
        <v>116.41221374045803</v>
      </c>
      <c r="E574" s="59"/>
      <c r="F574" s="35">
        <f t="shared" ref="F574" si="3981">F568/F566*100</f>
        <v>4.032258064516129</v>
      </c>
      <c r="G574" s="59"/>
      <c r="H574" s="35">
        <f t="shared" ref="H574" si="3982">H568/H566*100</f>
        <v>-559.71223021582728</v>
      </c>
      <c r="I574" s="59"/>
      <c r="J574" s="35">
        <f t="shared" ref="J574" si="3983">J568/J566*100</f>
        <v>242.92035398230087</v>
      </c>
      <c r="K574" s="23" t="str">
        <f t="shared" si="3933"/>
        <v>NM</v>
      </c>
      <c r="L574" s="35">
        <f t="shared" ref="L574" si="3984">L568/L566*100</f>
        <v>261.26126126126127</v>
      </c>
      <c r="M574" s="23" t="str">
        <f t="shared" si="3935"/>
        <v>NM</v>
      </c>
      <c r="N574" s="35">
        <f t="shared" ref="N574" si="3985">N568/N566*100</f>
        <v>227.96610169491521</v>
      </c>
      <c r="O574" s="23" t="str">
        <f t="shared" si="3937"/>
        <v>NM</v>
      </c>
      <c r="P574" s="35">
        <f>P568/P566*100</f>
        <v>452.07373271889406</v>
      </c>
      <c r="Q574" s="23" t="str">
        <f t="shared" si="3939"/>
        <v>NM</v>
      </c>
      <c r="R574" s="35">
        <f>R568/R566*100</f>
        <v>210.50228310502285</v>
      </c>
      <c r="S574" s="23">
        <f t="shared" si="3940"/>
        <v>-13.345143931265635</v>
      </c>
      <c r="T574" s="35">
        <f>T568/T566*100</f>
        <v>171.55172413793105</v>
      </c>
      <c r="U574" s="23">
        <f t="shared" si="3941"/>
        <v>-34.337098692033287</v>
      </c>
      <c r="V574" s="35">
        <f>V568/V566*100</f>
        <v>62.666666666666671</v>
      </c>
      <c r="W574" s="23" t="str">
        <f t="shared" si="3942"/>
        <v>NM</v>
      </c>
      <c r="X574" s="35">
        <f>X568/X566*100</f>
        <v>102.72727272727271</v>
      </c>
      <c r="Y574" s="23" t="str">
        <f t="shared" si="3943"/>
        <v>NM</v>
      </c>
      <c r="Z574" s="35">
        <f>Z568/Z566*100</f>
        <v>167.2064777327935</v>
      </c>
      <c r="AA574" s="23">
        <f>IF(ISERROR((Z574/R574-1)*100),"NA",IF(((Z574/R574-1)*100)&gt;100,"NM",IF(((Z574/R574-1)*100)&lt;-50,"NM",(Z574/R574-1)*100)))</f>
        <v>-20.567855480516762</v>
      </c>
      <c r="AB574" s="35">
        <f>AB568/AB566*100</f>
        <v>157.08502024291496</v>
      </c>
      <c r="AC574" s="23">
        <f>IF(ISERROR((AB574/T574-1)*100),"NA",IF(((AB574/T574-1)*100)&gt;100,"NM",IF(((AB574/T574-1)*100)&lt;-50,"NM",(AB574/T574-1)*100)))</f>
        <v>-8.4328525217179156</v>
      </c>
      <c r="AD574" s="35">
        <f>AD568/AD566*100</f>
        <v>136.72566371681415</v>
      </c>
      <c r="AE574" s="23" t="str">
        <f>IF(ISERROR((AD574/V574-1)*100),"NA",IF(((AD574/V574-1)*100)&gt;100,"NM",IF(((AD574/V574-1)*100)&lt;-50,"NM",(AD574/V574-1)*100)))</f>
        <v>NM</v>
      </c>
      <c r="AF574" s="35">
        <f>AF568/AF566*100</f>
        <v>227.82608695652172</v>
      </c>
      <c r="AG574" s="23" t="str">
        <f>IF(ISERROR((AF574/X574-1)*100),"NA",IF(((AF574/X574-1)*100)&gt;100,"NM",IF(((AF574/X574-1)*100)&lt;-50,"NM",(AF574/X574-1)*100)))</f>
        <v>NM</v>
      </c>
      <c r="AH574" s="35">
        <f>AH568/AH566*100</f>
        <v>157.48031496062993</v>
      </c>
      <c r="AI574" s="23">
        <f>IF(ISERROR((AH574/Z574-1)*100),"NA",IF(((AH574/Z574-1)*100)&gt;100,"NM",IF(((AH574/Z574-1)*100)&lt;-50,"NM",(AH574/Z574-1)*100)))</f>
        <v>-5.8168576385578818</v>
      </c>
      <c r="AJ574" s="35">
        <f>AJ568/AJ566*100</f>
        <v>165.47619047619048</v>
      </c>
      <c r="AK574" s="23">
        <f>IF(ISERROR((AJ574/AB574-1)*100),"NA",IF(((AJ574/AB574-1)*100)&gt;100,"NM",IF(((AJ574/AB574-1)*100)&lt;-50,"NM",(AJ574/AB574-1)*100)))</f>
        <v>5.34180166912126</v>
      </c>
      <c r="AL574" s="35">
        <f>AL568/AL566*100</f>
        <v>290.32258064516134</v>
      </c>
      <c r="AM574" s="23" t="str">
        <f>IF(ISERROR((AL574/AD574-1)*100),"NA",IF(((AL574/AD574-1)*100)&gt;100,"NM",IF(((AL574/AD574-1)*100)&lt;-50,"NM",(AL574/AD574-1)*100)))</f>
        <v>NM</v>
      </c>
      <c r="AN574" s="409">
        <f t="shared" ref="AN574" si="3986">AN568/AN566*100</f>
        <v>201.6260162601626</v>
      </c>
      <c r="AO574" s="23">
        <f>IF(ISERROR((AN574/AF574-1)*100),"NA",IF(((AN574/AF574-1)*100)&gt;100,"NM",IF(((AN574/AF574-1)*100)&lt;-50,"NM",(AN574/AF574-1)*100)))</f>
        <v>-11.500031030844649</v>
      </c>
      <c r="AP574" s="409">
        <f t="shared" ref="AP574" si="3987">AP568/AP566*100</f>
        <v>155.47703180212014</v>
      </c>
      <c r="AQ574" s="23">
        <f t="shared" si="3946"/>
        <v>-1.2720848056537171</v>
      </c>
      <c r="AR574" s="409">
        <f t="shared" ref="AR574" si="3988">AR568/AR566*100</f>
        <v>160.53639846743292</v>
      </c>
      <c r="AS574" s="23">
        <f t="shared" si="3948"/>
        <v>-2.9851980484578045</v>
      </c>
      <c r="AT574" s="409">
        <f t="shared" ref="AT574" si="3989">AT568/AT566*100</f>
        <v>-23.507462686567155</v>
      </c>
      <c r="AU574" s="23" t="str">
        <f t="shared" si="3950"/>
        <v>NM</v>
      </c>
      <c r="AV574" s="409">
        <f t="shared" ref="AV574" si="3990">AV568/AV566*100</f>
        <v>159.53307392996109</v>
      </c>
      <c r="AW574" s="23">
        <f t="shared" si="3952"/>
        <v>-20.87674155893059</v>
      </c>
      <c r="AX574" s="409">
        <f t="shared" ref="AX574" si="3991">AX568/AX566*100</f>
        <v>108.52941176470587</v>
      </c>
      <c r="AY574" s="23">
        <f t="shared" si="3954"/>
        <v>-30.195855614973265</v>
      </c>
      <c r="AZ574" s="409">
        <f t="shared" ref="AZ574" si="3992">AZ568/AZ566*100</f>
        <v>123.99999999999997</v>
      </c>
      <c r="BA574" s="23">
        <f t="shared" si="3956"/>
        <v>-22.758949880668254</v>
      </c>
      <c r="BB574" s="409">
        <f t="shared" ref="BB574:BD574" si="3993">BB568/BB566*100</f>
        <v>112.93706293706292</v>
      </c>
      <c r="BC574" s="23" t="str">
        <f t="shared" si="3958"/>
        <v>NM</v>
      </c>
      <c r="BD574" s="409" t="e">
        <f t="shared" si="3993"/>
        <v>#DIV/0!</v>
      </c>
      <c r="BE574" s="23" t="str">
        <f t="shared" si="3959"/>
        <v>NA</v>
      </c>
      <c r="BF574" s="587">
        <v>165</v>
      </c>
      <c r="BG574" s="23">
        <f t="shared" si="3960"/>
        <v>52.032520325203265</v>
      </c>
      <c r="BH574" s="587">
        <v>165</v>
      </c>
      <c r="BI574" s="23"/>
      <c r="BJ574" s="114"/>
      <c r="BK574" s="23"/>
      <c r="BL574" s="114"/>
      <c r="BM574" s="23" t="str">
        <f t="shared" si="3961"/>
        <v>NA</v>
      </c>
      <c r="BN574" s="35"/>
      <c r="BO574" s="138"/>
      <c r="BP574" s="35"/>
      <c r="BQ574" s="37">
        <f>BQ568/BQ566*100</f>
        <v>199.51690821256039</v>
      </c>
      <c r="BR574" s="35"/>
      <c r="BS574" s="37">
        <f>BS568/BS566*100</f>
        <v>174.13622902270481</v>
      </c>
      <c r="BT574" s="35"/>
      <c r="BU574" s="37">
        <f>BU568/BU566*100</f>
        <v>-91.642651296829968</v>
      </c>
      <c r="BV574" s="23" t="str">
        <f>IF(ISERROR((BU574/BS574-1)*100),"NA",IF(((BU574/BS574-1)*100)&gt;100,"NM",IF(((BU574/BS574-1)*100)&lt;-50,"NM",(BU574/BS574-1)*100)))</f>
        <v>NM</v>
      </c>
      <c r="BW574" s="37">
        <f>BW568/BW566*100</f>
        <v>293.89567147613758</v>
      </c>
      <c r="BX574" s="23" t="str">
        <f>IF(ISERROR((BW574/BU574-1)*100),"NA",IF(((BW574/BU574-1)*100)&gt;100,"NM",IF(((BW574/BU574-1)*100)&lt;-50,"NM",(BW574/BU574-1)*100)))</f>
        <v>NM</v>
      </c>
      <c r="BY574" s="37">
        <f>BY568/BY566*100</f>
        <v>136.83035714285714</v>
      </c>
      <c r="BZ574" s="23" t="str">
        <f>IF(ISERROR((BY574/BW574-1)*100),"NA",IF(((BY574/BW574-1)*100)&gt;100,"NM",IF(((BY574/BW574-1)*100)&lt;-50,"NM",(BY574/BW574-1)*100)))</f>
        <v>NM</v>
      </c>
      <c r="CA574" s="37">
        <f>CA568/CA566*100</f>
        <v>172</v>
      </c>
      <c r="CB574" s="23">
        <f>IF(ISERROR((CA574/BY574-1)*100),"NA",IF(((CA574/BY574-1)*100)&gt;100,"NM",IF(((CA574/BY574-1)*100)&lt;-50,"NM",(CA574/BY574-1)*100)))</f>
        <v>25.70309951060359</v>
      </c>
      <c r="CC574" s="37">
        <f>CC568/CC566*100</f>
        <v>203.29999999999998</v>
      </c>
      <c r="CD574" s="23">
        <f>IF(ISERROR((CC574/CA574-1)*100),"NA",IF(((CC574/CA574-1)*100)&gt;100,"NM",IF(((CC574/CA574-1)*100)&lt;-50,"NM",(CC574/CA574-1)*100)))</f>
        <v>18.197674418604649</v>
      </c>
      <c r="CE574" s="37">
        <f>CE568/CE566*100</f>
        <v>112.81571562207671</v>
      </c>
      <c r="CF574" s="23">
        <f>IF(ISERROR((CE574/CC574-1)*100),"NA",IF(((CE574/CC574-1)*100)&gt;100,"NM",IF(((CE574/CC574-1)*100)&lt;-50,"NM",(CE574/CC574-1)*100)))</f>
        <v>-44.507764081615001</v>
      </c>
      <c r="CG574" s="37">
        <f>CG568/CG566*100</f>
        <v>114.90280777537795</v>
      </c>
      <c r="CH574" s="23">
        <f>IF(ISERROR((CG574/CE574-1)*100),"NA",IF(((CG574/CE574-1)*100)&gt;100,"NM",IF(((CG574/CE574-1)*100)&lt;-50,"NM",(CG574/CE574-1)*100)))</f>
        <v>1.8500012536310395</v>
      </c>
      <c r="CI574" s="411" t="e">
        <f>CI568/CI566*100</f>
        <v>#DIV/0!</v>
      </c>
      <c r="CJ574" s="23"/>
      <c r="CK574" s="114"/>
      <c r="CL574" s="23"/>
      <c r="CM574" s="114"/>
      <c r="CN574" s="23"/>
      <c r="CO574" s="114"/>
      <c r="CP574" s="23"/>
      <c r="CQ574" s="114"/>
      <c r="CR574" s="23" t="str">
        <f>IF(ISERROR((CQ574/CO574-1)*100),"NA",IF(((CQ574/CO574-1)*100)&gt;100,"NM",IF(((CQ574/CO574-1)*100)&lt;-50,"NM",(CQ574/CO574-1)*100)))</f>
        <v>NA</v>
      </c>
      <c r="CS574" s="23" t="str">
        <f>IF(ISERROR(((CQ574/CG574)^0.2-1)*100),"NA",IF((((CQ574/CG574)^0.2-1)*100)&gt;100,"NM",IF((((CQ574/CG574)^0.2-1)*100)&lt;-50,"NM",((CQ574/CG574)^0.2-1)*100)))</f>
        <v>NM</v>
      </c>
    </row>
    <row r="575" spans="1:97" ht="12.75" hidden="1" customHeight="1" outlineLevel="1" x14ac:dyDescent="0.2">
      <c r="B575" s="35"/>
      <c r="C575" s="60"/>
      <c r="D575" s="35"/>
      <c r="E575" s="60"/>
      <c r="F575" s="35"/>
      <c r="G575" s="60"/>
      <c r="H575" s="35"/>
      <c r="I575" s="60"/>
      <c r="J575" s="35"/>
      <c r="L575" s="35"/>
      <c r="N575" s="35"/>
      <c r="P575" s="35"/>
      <c r="R575" s="35"/>
      <c r="T575" s="35"/>
      <c r="V575" s="35"/>
      <c r="X575" s="35"/>
      <c r="Z575" s="35"/>
      <c r="AB575" s="35"/>
      <c r="AD575" s="35"/>
      <c r="AF575" s="35"/>
      <c r="AH575" s="35"/>
      <c r="AJ575" s="35"/>
      <c r="AL575" s="35"/>
      <c r="AN575" s="409"/>
      <c r="AP575" s="409"/>
      <c r="AR575" s="409"/>
      <c r="AT575" s="409"/>
      <c r="AV575" s="409"/>
      <c r="AX575" s="409"/>
      <c r="AZ575" s="409"/>
      <c r="BB575" s="409"/>
      <c r="BD575" s="409"/>
      <c r="BF575" s="409"/>
      <c r="BH575" s="409"/>
      <c r="BJ575" s="35"/>
      <c r="BL575" s="35"/>
      <c r="BN575" s="35"/>
      <c r="BO575" s="138"/>
      <c r="BP575" s="35"/>
      <c r="BQ575" s="35"/>
      <c r="BR575" s="35"/>
      <c r="BS575" s="35"/>
      <c r="BT575" s="35"/>
      <c r="BU575" s="37"/>
      <c r="BW575" s="37"/>
      <c r="BY575" s="37"/>
      <c r="CA575" s="37"/>
      <c r="CC575" s="37"/>
      <c r="CE575" s="37"/>
      <c r="CG575" s="37"/>
      <c r="CI575" s="411"/>
      <c r="CK575" s="37"/>
      <c r="CM575" s="37"/>
      <c r="CO575" s="37"/>
      <c r="CQ575" s="37"/>
    </row>
    <row r="576" spans="1:97" ht="12.75" hidden="1" customHeight="1" outlineLevel="1" x14ac:dyDescent="0.2">
      <c r="A576" s="3" t="s">
        <v>128</v>
      </c>
      <c r="B576" s="72">
        <f>B553-B569</f>
        <v>39.399999999999977</v>
      </c>
      <c r="C576" s="59"/>
      <c r="D576" s="72">
        <f>D553-D569</f>
        <v>63.900000000000034</v>
      </c>
      <c r="E576" s="59"/>
      <c r="F576" s="72">
        <f>F553-F569</f>
        <v>84.5</v>
      </c>
      <c r="G576" s="59"/>
      <c r="H576" s="72">
        <f>H553-H569</f>
        <v>199.9</v>
      </c>
      <c r="I576" s="59"/>
      <c r="J576" s="72">
        <f>J553-J569</f>
        <v>36.39999999999992</v>
      </c>
      <c r="K576" s="23">
        <f t="shared" ref="K576:K577" si="3994">IF(ISERROR((J576/B576-1)*100),"NA",IF(((J576/B576-1)*100)&gt;100,"NM",IF(((J576/B576-1)*100)&lt;-50,"NM",(J576/B576-1)*100)))</f>
        <v>-7.6142131979696881</v>
      </c>
      <c r="L576" s="72">
        <f>L553-L569</f>
        <v>27.100000000000023</v>
      </c>
      <c r="M576" s="23" t="str">
        <f t="shared" ref="M576:M577" si="3995">IF(ISERROR((L576/D576-1)*100),"NA",IF(((L576/D576-1)*100)&gt;100,"NM",IF(((L576/D576-1)*100)&lt;-50,"NM",(L576/D576-1)*100)))</f>
        <v>NM</v>
      </c>
      <c r="N576" s="72">
        <f>N553-N569</f>
        <v>32.600000000000023</v>
      </c>
      <c r="O576" s="23" t="str">
        <f t="shared" ref="O576:O577" si="3996">IF(ISERROR((N576/F576-1)*100),"NA",IF(((N576/F576-1)*100)&gt;100,"NM",IF(((N576/F576-1)*100)&lt;-50,"NM",(N576/F576-1)*100)))</f>
        <v>NM</v>
      </c>
      <c r="P576" s="72">
        <f>P553-P569</f>
        <v>6.3000000000000114</v>
      </c>
      <c r="Q576" s="23" t="str">
        <f t="shared" ref="Q576:Q577" si="3997">IF(ISERROR((P576/H576-1)*100),"NA",IF(((P576/H576-1)*100)&gt;100,"NM",IF(((P576/H576-1)*100)&lt;-50,"NM",(P576/H576-1)*100)))</f>
        <v>NM</v>
      </c>
      <c r="R576" s="72">
        <f>R553-R569</f>
        <v>54.299999999999955</v>
      </c>
      <c r="S576" s="23">
        <f t="shared" ref="S576:S577" si="3998">IF(ISERROR((R576/J576-1)*100),"NA",IF(((R576/J576-1)*100)&gt;100,"NM",IF(((R576/J576-1)*100)&lt;-50,"NM",(R576/J576-1)*100)))</f>
        <v>49.175824175824381</v>
      </c>
      <c r="T576" s="73">
        <f>T553-T569</f>
        <v>59.499999999999972</v>
      </c>
      <c r="U576" s="23" t="str">
        <f t="shared" ref="U576:U577" si="3999">IF(ISERROR((T576/L576-1)*100),"NA",IF(((T576/L576-1)*100)&gt;100,"NM",IF(((T576/L576-1)*100)&lt;-50,"NM",(T576/L576-1)*100)))</f>
        <v>NM</v>
      </c>
      <c r="V576" s="73">
        <f>V553-V569</f>
        <v>96.9</v>
      </c>
      <c r="W576" s="23" t="str">
        <f t="shared" ref="W576:W577" si="4000">IF(ISERROR((V576/N576-1)*100),"NA",IF(((V576/N576-1)*100)&gt;100,"NM",IF(((V576/N576-1)*100)&lt;-50,"NM",(V576/N576-1)*100)))</f>
        <v>NM</v>
      </c>
      <c r="X576" s="73">
        <f>X553-X569</f>
        <v>83.200000000000045</v>
      </c>
      <c r="Y576" s="23" t="str">
        <f t="shared" ref="Y576:Y577" si="4001">IF(ISERROR((X576/P576-1)*100),"NA",IF(((X576/P576-1)*100)&gt;100,"NM",IF(((X576/P576-1)*100)&lt;-50,"NM",(X576/P576-1)*100)))</f>
        <v>NM</v>
      </c>
      <c r="Z576" s="73">
        <f>Z553-Z569</f>
        <v>54.800000000000068</v>
      </c>
      <c r="AA576" s="23">
        <f>IF(ISERROR((Z576/R576-1)*100),"NA",IF(((Z576/R576-1)*100)&gt;100,"NM",IF(((Z576/R576-1)*100)&lt;-50,"NM",(Z576/R576-1)*100)))</f>
        <v>0.92081031307571504</v>
      </c>
      <c r="AB576" s="73">
        <f>AB553-AB569</f>
        <v>64.200000000000045</v>
      </c>
      <c r="AC576" s="23">
        <f>IF(ISERROR((AB576/T576-1)*100),"NA",IF(((AB576/T576-1)*100)&gt;100,"NM",IF(((AB576/T576-1)*100)&lt;-50,"NM",(AB576/T576-1)*100)))</f>
        <v>7.8991596638656736</v>
      </c>
      <c r="AD576" s="73">
        <f>AD553-AD569</f>
        <v>78.299999999999955</v>
      </c>
      <c r="AE576" s="23">
        <f>IF(ISERROR((AD576/V576-1)*100),"NA",IF(((AD576/V576-1)*100)&gt;100,"NM",IF(((AD576/V576-1)*100)&lt;-50,"NM",(AD576/V576-1)*100)))</f>
        <v>-19.195046439628538</v>
      </c>
      <c r="AF576" s="73">
        <f>AF553-AF569</f>
        <v>64.700000000000017</v>
      </c>
      <c r="AG576" s="23">
        <f>IF(ISERROR((AF576/X576-1)*100),"NA",IF(((AF576/X576-1)*100)&gt;100,"NM",IF(((AF576/X576-1)*100)&lt;-50,"NM",(AF576/X576-1)*100)))</f>
        <v>-22.235576923076948</v>
      </c>
      <c r="AH576" s="73">
        <f>AH553-AH569</f>
        <v>68.600000000000023</v>
      </c>
      <c r="AI576" s="23">
        <f>IF(ISERROR((AH576/Z576-1)*100),"NA",IF(((AH576/Z576-1)*100)&gt;100,"NM",IF(((AH576/Z576-1)*100)&lt;-50,"NM",(AH576/Z576-1)*100)))</f>
        <v>25.182481751824692</v>
      </c>
      <c r="AJ576" s="73">
        <f>AJ553-AJ569</f>
        <v>60.999999999999943</v>
      </c>
      <c r="AK576" s="23">
        <f>IF(ISERROR((AJ576/AB576-1)*100),"NA",IF(((AJ576/AB576-1)*100)&gt;100,"NM",IF(((AJ576/AB576-1)*100)&lt;-50,"NM",(AJ576/AB576-1)*100)))</f>
        <v>-4.984423676012617</v>
      </c>
      <c r="AL576" s="73">
        <f>AL553-AL569</f>
        <v>50.599999999999966</v>
      </c>
      <c r="AM576" s="23">
        <f>IF(ISERROR((AL576/AD576-1)*100),"NA",IF(((AL576/AD576-1)*100)&gt;100,"NM",IF(((AL576/AD576-1)*100)&lt;-50,"NM",(AL576/AD576-1)*100)))</f>
        <v>-35.376756066411239</v>
      </c>
      <c r="AN576" s="73">
        <f>AN553-AN569</f>
        <v>62.900000000000034</v>
      </c>
      <c r="AO576" s="23">
        <f>IF(ISERROR((AN576/AF576-1)*100),"NA",IF(((AN576/AF576-1)*100)&gt;100,"NM",IF(((AN576/AF576-1)*100)&lt;-50,"NM",(AN576/AF576-1)*100)))</f>
        <v>-2.7820710973724627</v>
      </c>
      <c r="AP576" s="73">
        <f>AP553-AP569</f>
        <v>50.999999999999972</v>
      </c>
      <c r="AQ576" s="23">
        <f t="shared" ref="AQ576:AQ577" si="4002">IF(ISERROR((AP576/AH576-1)*100),"NA",IF(((AP576/AH576-1)*100)&gt;100,"NM",IF(((AP576/AH576-1)*100)&lt;-50,"NM",(AP576/AH576-1)*100)))</f>
        <v>-25.655976676384906</v>
      </c>
      <c r="AR576" s="73">
        <f>AR553-AR569</f>
        <v>72.600000000000051</v>
      </c>
      <c r="AS576" s="23">
        <f t="shared" ref="AS576:AS577" si="4003">IF(ISERROR((AR576/AJ576-1)*100),"NA",IF(((AR576/AJ576-1)*100)&gt;100,"NM",IF(((AR576/AJ576-1)*100)&lt;-50,"NM",(AR576/AJ576-1)*100)))</f>
        <v>19.016393442623137</v>
      </c>
      <c r="AT576" s="73">
        <f>AT553-AT569</f>
        <v>113.29999999999995</v>
      </c>
      <c r="AU576" s="23" t="str">
        <f t="shared" ref="AU576:AU577" si="4004">IF(ISERROR((AT576/AL576-1)*100),"NA",IF(((AT576/AL576-1)*100)&gt;100,"NM",IF(((AT576/AL576-1)*100)&lt;-50,"NM",(AT576/AL576-1)*100)))</f>
        <v>NM</v>
      </c>
      <c r="AV576" s="73">
        <f>AV553-AV569</f>
        <v>84.6</v>
      </c>
      <c r="AW576" s="23">
        <f t="shared" ref="AW576:AW577" si="4005">IF(ISERROR((AV576/AN576-1)*100),"NA",IF(((AV576/AN576-1)*100)&gt;100,"NM",IF(((AV576/AN576-1)*100)&lt;-50,"NM",(AV576/AN576-1)*100)))</f>
        <v>34.499205087440309</v>
      </c>
      <c r="AX576" s="73">
        <f>AX553-AX569</f>
        <v>63.500000000000028</v>
      </c>
      <c r="AY576" s="23">
        <f t="shared" ref="AY576:AY577" si="4006">IF(ISERROR((AX576/AP576-1)*100),"NA",IF(((AX576/AP576-1)*100)&gt;100,"NM",IF(((AX576/AP576-1)*100)&lt;-50,"NM",(AX576/AP576-1)*100)))</f>
        <v>24.509803921568761</v>
      </c>
      <c r="AZ576" s="73">
        <f t="shared" ref="AZ576" si="4007">AZ553-AZ569</f>
        <v>65.800000000000011</v>
      </c>
      <c r="BA576" s="23">
        <f t="shared" ref="BA576:BA577" si="4008">IF(ISERROR((AZ576/AR576-1)*100),"NA",IF(((AZ576/AR576-1)*100)&gt;100,"NM",IF(((AZ576/AR576-1)*100)&lt;-50,"NM",(AZ576/AR576-1)*100)))</f>
        <v>-9.3663911845730539</v>
      </c>
      <c r="BB576" s="73">
        <f t="shared" ref="BB576:BD576" si="4009">BB553-BB569</f>
        <v>74.400000000000034</v>
      </c>
      <c r="BC576" s="23">
        <f t="shared" ref="BC576:BC577" si="4010">IF(ISERROR((BB576/AT576-1)*100),"NA",IF(((BB576/AT576-1)*100)&gt;100,"NM",IF(((BB576/AT576-1)*100)&lt;-50,"NM",(BB576/AT576-1)*100)))</f>
        <v>-34.333627537510978</v>
      </c>
      <c r="BD576" s="73">
        <f t="shared" si="4009"/>
        <v>0</v>
      </c>
      <c r="BE576" s="23" t="str">
        <f t="shared" ref="BE576:BE577" si="4011">IF(ISERROR((BD576/AV576-1)*100),"NA",IF(((BD576/AV576-1)*100)&gt;100,"NM",IF(((BD576/AV576-1)*100)&lt;-50,"NM",(BD576/AV576-1)*100)))</f>
        <v>NM</v>
      </c>
      <c r="BF576" s="72" t="e">
        <f t="shared" ref="BF576" si="4012">BF553-BF569</f>
        <v>#DIV/0!</v>
      </c>
      <c r="BG576" s="23" t="str">
        <f t="shared" ref="BG576:BG577" si="4013">IF(ISERROR((BF576/AX576-1)*100),"NA",IF(((BF576/AX576-1)*100)&gt;100,"NM",IF(((BF576/AX576-1)*100)&lt;-50,"NM",(BF576/AX576-1)*100)))</f>
        <v>NA</v>
      </c>
      <c r="BH576" s="72" t="e">
        <f t="shared" ref="BH576" si="4014">BH553-BH569</f>
        <v>#DIV/0!</v>
      </c>
      <c r="BI576" s="23"/>
      <c r="BJ576" s="72"/>
      <c r="BK576" s="23"/>
      <c r="BL576" s="72"/>
      <c r="BM576" s="23" t="str">
        <f t="shared" ref="BM576:BM577" si="4015">IF(ISERROR((BL576/BD576-1)*100),"NA",IF(((BL576/BD576-1)*100)&gt;100,"NM",IF(((BL576/BD576-1)*100)&lt;-50,"NM",(BL576/BD576-1)*100)))</f>
        <v>NA</v>
      </c>
      <c r="BN576" s="35"/>
      <c r="BO576" s="137"/>
      <c r="BP576" s="35"/>
      <c r="BQ576" s="73">
        <f>BQ551-BQ569</f>
        <v>48.699999999999989</v>
      </c>
      <c r="BR576" s="35"/>
      <c r="BS576" s="73">
        <f>BS551-BS569</f>
        <v>115.00000000000006</v>
      </c>
      <c r="BT576" s="35"/>
      <c r="BU576" s="72">
        <f>BU553-BU569</f>
        <v>387.70000000000016</v>
      </c>
      <c r="BV576" s="23" t="str">
        <f>IF(ISERROR((BU576/BS576-1)*100),"NA",IF(((BU576/BS576-1)*100)&gt;100,"NM",IF(((BU576/BS576-1)*100)&lt;-50,"NM",(BU576/BS576-1)*100)))</f>
        <v>NM</v>
      </c>
      <c r="BW576" s="72">
        <f>BW553-BW569</f>
        <v>102.40000000000009</v>
      </c>
      <c r="BX576" s="23" t="str">
        <f>IF(ISERROR((BW576/BU576-1)*100),"NA",IF(((BW576/BU576-1)*100)&gt;100,"NM",IF(((BW576/BU576-1)*100)&lt;-50,"NM",(BW576/BU576-1)*100)))</f>
        <v>NM</v>
      </c>
      <c r="BY576" s="72">
        <f>BY553-BY569</f>
        <v>293.89999999999998</v>
      </c>
      <c r="BZ576" s="23" t="str">
        <f>IF(ISERROR((BY576/BW576-1)*100),"NA",IF(((BY576/BW576-1)*100)&gt;100,"NM",IF(((BY576/BW576-1)*100)&lt;-50,"NM",(BY576/BW576-1)*100)))</f>
        <v>NM</v>
      </c>
      <c r="CA576" s="72">
        <f>CA553-CA569</f>
        <v>262.00000000000011</v>
      </c>
      <c r="CB576" s="23">
        <f>IF(ISERROR((CA576/BY576-1)*100),"NA",IF(((CA576/BY576-1)*100)&gt;100,"NM",IF(((CA576/BY576-1)*100)&lt;-50,"NM",(CA576/BY576-1)*100)))</f>
        <v>-10.854031983667866</v>
      </c>
      <c r="CC576" s="72">
        <f>CC553-CC569</f>
        <v>243.10000000000014</v>
      </c>
      <c r="CD576" s="23">
        <f>IF(ISERROR((CC576/CA576-1)*100),"NA",IF(((CC576/CA576-1)*100)&gt;100,"NM",IF(((CC576/CA576-1)*100)&lt;-50,"NM",(CC576/CA576-1)*100)))</f>
        <v>-7.2137404580152609</v>
      </c>
      <c r="CE576" s="72">
        <f>CE553-CE569</f>
        <v>321.5</v>
      </c>
      <c r="CF576" s="23">
        <f>IF(ISERROR((CE576/CC576-1)*100),"NA",IF(((CE576/CC576-1)*100)&gt;100,"NM",IF(((CE576/CC576-1)*100)&lt;-50,"NM",(CE576/CC576-1)*100)))</f>
        <v>32.250102838338066</v>
      </c>
      <c r="CG576" s="72">
        <f>CG553-CG569</f>
        <v>203.70000000000005</v>
      </c>
      <c r="CH576" s="23">
        <f>IF(ISERROR((CG576/CE576-1)*100),"NA",IF(((CG576/CE576-1)*100)&gt;100,"NM",IF(((CG576/CE576-1)*100)&lt;-50,"NM",(CG576/CE576-1)*100)))</f>
        <v>-36.640746500777588</v>
      </c>
      <c r="CI576" s="72" t="e">
        <f>CI553-CI569</f>
        <v>#DIV/0!</v>
      </c>
      <c r="CJ576" s="23"/>
      <c r="CK576" s="72"/>
      <c r="CL576" s="23"/>
      <c r="CM576" s="72"/>
      <c r="CN576" s="23"/>
      <c r="CO576" s="72"/>
      <c r="CP576" s="23"/>
      <c r="CQ576" s="72"/>
      <c r="CR576" s="23" t="str">
        <f>IF(ISERROR((CQ576/CO576-1)*100),"NA",IF(((CQ576/CO576-1)*100)&gt;100,"NM",IF(((CQ576/CO576-1)*100)&lt;-50,"NM",(CQ576/CO576-1)*100)))</f>
        <v>NA</v>
      </c>
      <c r="CS576" s="23" t="str">
        <f>IF(ISERROR(((CQ576/CG576)^0.2-1)*100),"NA",IF((((CQ576/CG576)^0.2-1)*100)&gt;100,"NM",IF((((CQ576/CG576)^0.2-1)*100)&lt;-50,"NM",((CQ576/CG576)^0.2-1)*100)))</f>
        <v>NM</v>
      </c>
    </row>
    <row r="577" spans="1:105" ht="12.75" hidden="1" customHeight="1" outlineLevel="1" x14ac:dyDescent="0.2">
      <c r="A577" s="4" t="s">
        <v>129</v>
      </c>
      <c r="B577" s="35">
        <f t="shared" ref="B577" si="4016">B576/B553*100</f>
        <v>11.490230387868177</v>
      </c>
      <c r="C577" s="59"/>
      <c r="D577" s="35">
        <f t="shared" ref="D577" si="4017">D576/D553*100</f>
        <v>17.416189697465256</v>
      </c>
      <c r="E577" s="59"/>
      <c r="F577" s="35">
        <f t="shared" ref="F577" si="4018">F576/F553*100</f>
        <v>23.843115124153499</v>
      </c>
      <c r="G577" s="59"/>
      <c r="H577" s="35">
        <f t="shared" ref="H577" si="4019">H576/H553*100</f>
        <v>64.776409591704464</v>
      </c>
      <c r="I577" s="59"/>
      <c r="J577" s="35">
        <f t="shared" ref="J577" si="4020">J576/J553*100</f>
        <v>10.734296667649639</v>
      </c>
      <c r="K577" s="23">
        <f t="shared" si="3994"/>
        <v>-6.5789257021049981</v>
      </c>
      <c r="L577" s="35">
        <f t="shared" ref="L577" si="4021">L576/L553*100</f>
        <v>8.548895899053635</v>
      </c>
      <c r="M577" s="23" t="str">
        <f t="shared" si="3995"/>
        <v>NM</v>
      </c>
      <c r="N577" s="35">
        <f t="shared" ref="N577" si="4022">N576/N553*100</f>
        <v>10.759075907590766</v>
      </c>
      <c r="O577" s="23" t="str">
        <f t="shared" si="3996"/>
        <v>NM</v>
      </c>
      <c r="P577" s="35">
        <f t="shared" ref="P577" si="4023">P576/P553*100</f>
        <v>2.0050922978994308</v>
      </c>
      <c r="Q577" s="23" t="str">
        <f t="shared" si="3997"/>
        <v>NM</v>
      </c>
      <c r="R577" s="35">
        <f t="shared" ref="R577" si="4024">R576/R553*100</f>
        <v>17.814960629921249</v>
      </c>
      <c r="S577" s="23">
        <f t="shared" si="3998"/>
        <v>65.962998615557893</v>
      </c>
      <c r="T577" s="35">
        <f t="shared" ref="T577" si="4025">T576/T553*100</f>
        <v>19.906323185011701</v>
      </c>
      <c r="U577" s="23" t="str">
        <f t="shared" si="3999"/>
        <v>NM</v>
      </c>
      <c r="V577" s="35">
        <f t="shared" ref="V577" si="4026">V576/V553*100</f>
        <v>31.207729468599037</v>
      </c>
      <c r="W577" s="23" t="str">
        <f t="shared" si="4000"/>
        <v>NM</v>
      </c>
      <c r="X577" s="35">
        <f t="shared" ref="X577" si="4027">X576/X553*100</f>
        <v>27.668772863318935</v>
      </c>
      <c r="Y577" s="23" t="str">
        <f t="shared" si="4001"/>
        <v>NM</v>
      </c>
      <c r="Z577" s="35">
        <f t="shared" ref="Z577" si="4028">Z576/Z553*100</f>
        <v>18.838088690271594</v>
      </c>
      <c r="AA577" s="23">
        <f>IF(ISERROR((Z577/R577-1)*100),"NA",IF(((Z577/R577-1)*100)&gt;100,"NM",IF(((Z577/R577-1)*100)&lt;-50,"NM",(Z577/R577-1)*100)))</f>
        <v>5.7430834768837036</v>
      </c>
      <c r="AB577" s="35">
        <f t="shared" ref="AB577" si="4029">AB576/AB553*100</f>
        <v>21.464393179538629</v>
      </c>
      <c r="AC577" s="23">
        <f>IF(ISERROR((AB577/T577-1)*100),"NA",IF(((AB577/T577-1)*100)&gt;100,"NM",IF(((AB577/T577-1)*100)&lt;-50,"NM",(AB577/T577-1)*100)))</f>
        <v>7.8270104430941068</v>
      </c>
      <c r="AD577" s="35">
        <f t="shared" ref="AD577" si="4030">AD576/AD553*100</f>
        <v>26.065246338215697</v>
      </c>
      <c r="AE577" s="23">
        <f>IF(ISERROR((AD577/V577-1)*100),"NA",IF(((AD577/V577-1)*100)&gt;100,"NM",IF(((AD577/V577-1)*100)&lt;-50,"NM",(AD577/V577-1)*100)))</f>
        <v>-16.478235417791819</v>
      </c>
      <c r="AF577" s="35">
        <f t="shared" ref="AF577" si="4031">AF576/AF553*100</f>
        <v>21.43803843605037</v>
      </c>
      <c r="AG577" s="23">
        <f>IF(ISERROR((AF577/X577-1)*100),"NA",IF(((AF577/X577-1)*100)&gt;100,"NM",IF(((AF577/X577-1)*100)&lt;-50,"NM",(AF577/X577-1)*100)))</f>
        <v>-22.519012527399717</v>
      </c>
      <c r="AH577" s="35">
        <f t="shared" ref="AH577" si="4032">AH576/AH553*100</f>
        <v>23.647018269562224</v>
      </c>
      <c r="AI577" s="23">
        <f>IF(ISERROR((AH577/Z577-1)*100),"NA",IF(((AH577/Z577-1)*100)&gt;100,"NM",IF(((AH577/Z577-1)*100)&lt;-50,"NM",(AH577/Z577-1)*100)))</f>
        <v>25.527693697365738</v>
      </c>
      <c r="AJ577" s="35">
        <f t="shared" ref="AJ577" si="4033">AJ576/AJ553*100</f>
        <v>21.456208230742156</v>
      </c>
      <c r="AK577" s="23">
        <f>IF(ISERROR((AJ577/AB577-1)*100),"NA",IF(((AJ577/AB577-1)*100)&gt;100,"NM",IF(((AJ577/AB577-1)*100)&lt;-50,"NM",(AJ577/AB577-1)*100)))</f>
        <v>-3.8132682009739405E-2</v>
      </c>
      <c r="AL577" s="35">
        <f t="shared" ref="AL577" si="4034">AL576/AL553*100</f>
        <v>16.595605116431607</v>
      </c>
      <c r="AM577" s="23">
        <f>IF(ISERROR((AL577/AD577-1)*100),"NA",IF(((AL577/AD577-1)*100)&gt;100,"NM",IF(((AL577/AD577-1)*100)&lt;-50,"NM",(AL577/AD577-1)*100)))</f>
        <v>-36.33052647540157</v>
      </c>
      <c r="AN577" s="409">
        <f t="shared" ref="AN577" si="4035">AN576/AN553*100</f>
        <v>21.423705722070853</v>
      </c>
      <c r="AO577" s="23">
        <f>IF(ISERROR((AN577/AF577-1)*100),"NA",IF(((AN577/AF577-1)*100)&gt;100,"NM",IF(((AN577/AF577-1)*100)&lt;-50,"NM",(AN577/AF577-1)*100)))</f>
        <v>-6.6856461808628698E-2</v>
      </c>
      <c r="AP577" s="409">
        <f t="shared" ref="AP577" si="4036">AP576/AP553*100</f>
        <v>18.511796733212329</v>
      </c>
      <c r="AQ577" s="23">
        <f t="shared" si="4002"/>
        <v>-21.716148217129806</v>
      </c>
      <c r="AR577" s="409">
        <f t="shared" ref="AR577" si="4037">AR576/AR553*100</f>
        <v>24.974200206398361</v>
      </c>
      <c r="AS577" s="23">
        <f t="shared" si="4003"/>
        <v>16.396149486541955</v>
      </c>
      <c r="AT577" s="409">
        <f t="shared" ref="AT577" si="4038">AT576/AT553*100</f>
        <v>39.838255977496473</v>
      </c>
      <c r="AU577" s="23" t="str">
        <f t="shared" si="4004"/>
        <v>NM</v>
      </c>
      <c r="AV577" s="409">
        <f t="shared" ref="AV577" si="4039">AV576/AV553*100</f>
        <v>28.256513026052104</v>
      </c>
      <c r="AW577" s="23">
        <f t="shared" si="4005"/>
        <v>31.893676064370347</v>
      </c>
      <c r="AX577" s="409">
        <f t="shared" ref="AX577" si="4040">AX576/AX553*100</f>
        <v>22.670474830417717</v>
      </c>
      <c r="AY577" s="23">
        <f t="shared" si="4006"/>
        <v>22.465015995687953</v>
      </c>
      <c r="AZ577" s="409">
        <f t="shared" ref="AZ577" si="4041">AZ576/AZ553*100</f>
        <v>23.48322626695218</v>
      </c>
      <c r="BA577" s="23">
        <f t="shared" si="4008"/>
        <v>-5.9700568071212823</v>
      </c>
      <c r="BB577" s="409">
        <f t="shared" ref="BB577:BD577" si="4042">BB576/BB553*100</f>
        <v>26.524064171123008</v>
      </c>
      <c r="BC577" s="23">
        <f t="shared" si="4010"/>
        <v>-33.420619150331987</v>
      </c>
      <c r="BD577" s="409" t="e">
        <f t="shared" si="4042"/>
        <v>#DIV/0!</v>
      </c>
      <c r="BE577" s="23" t="str">
        <f t="shared" si="4011"/>
        <v>NA</v>
      </c>
      <c r="BF577" s="409" t="e">
        <f t="shared" ref="BF577" si="4043">BF576/BF553*100</f>
        <v>#DIV/0!</v>
      </c>
      <c r="BG577" s="23" t="str">
        <f t="shared" si="4013"/>
        <v>NA</v>
      </c>
      <c r="BH577" s="409" t="e">
        <f t="shared" ref="BH577" si="4044">BH576/BH553*100</f>
        <v>#DIV/0!</v>
      </c>
      <c r="BI577" s="23"/>
      <c r="BJ577" s="35"/>
      <c r="BK577" s="23"/>
      <c r="BL577" s="35"/>
      <c r="BM577" s="23" t="str">
        <f t="shared" si="4015"/>
        <v>NA</v>
      </c>
      <c r="BN577" s="35"/>
      <c r="BO577" s="138"/>
      <c r="BP577" s="35"/>
      <c r="BQ577" s="113"/>
      <c r="BR577" s="113"/>
      <c r="BS577" s="113"/>
      <c r="BT577" s="35"/>
      <c r="BU577" s="37">
        <f>BU576/BU553*100</f>
        <v>28.241550116550123</v>
      </c>
      <c r="BV577" s="23" t="str">
        <f>IF(ISERROR((BU577/BS577-1)*100),"NA",IF(((BU577/BS577-1)*100)&gt;100,"NM",IF(((BU577/BS577-1)*100)&lt;-50,"NM",(BU577/BS577-1)*100)))</f>
        <v>NA</v>
      </c>
      <c r="BW577" s="37">
        <f>BW576/BW553*100</f>
        <v>8.0420953428100272</v>
      </c>
      <c r="BX577" s="23" t="str">
        <f>IF(ISERROR((BW577/BU577-1)*100),"NA",IF(((BW577/BU577-1)*100)&gt;100,"NM",IF(((BW577/BU577-1)*100)&lt;-50,"NM",(BW577/BU577-1)*100)))</f>
        <v>NM</v>
      </c>
      <c r="BY577" s="37">
        <f>BY576/BY553*100</f>
        <v>24.191291464318045</v>
      </c>
      <c r="BZ577" s="23" t="str">
        <f>IF(ISERROR((BY577/BW577-1)*100),"NA",IF(((BY577/BW577-1)*100)&gt;100,"NM",IF(((BY577/BW577-1)*100)&lt;-50,"NM",(BY577/BW577-1)*100)))</f>
        <v>NM</v>
      </c>
      <c r="CA577" s="37">
        <f>CA576/CA553*100</f>
        <v>21.976178493541358</v>
      </c>
      <c r="CB577" s="23">
        <f>IF(ISERROR((CA577/BY577-1)*100),"NA",IF(((CA577/BY577-1)*100)&gt;100,"NM",IF(((CA577/BY577-1)*100)&lt;-50,"NM",(CA577/BY577-1)*100)))</f>
        <v>-9.1566544681748852</v>
      </c>
      <c r="CC577" s="37">
        <f>CC576/CC553*100</f>
        <v>20.726404638076573</v>
      </c>
      <c r="CD577" s="23">
        <f>IF(ISERROR((CC577/CA577-1)*100),"NA",IF(((CC577/CA577-1)*100)&gt;100,"NM",IF(((CC577/CA577-1)*100)&lt;-50,"NM",(CC577/CA577-1)*100)))</f>
        <v>-5.6869480552867007</v>
      </c>
      <c r="CE577" s="37">
        <f>CE576/CE553*100</f>
        <v>27.956521739130437</v>
      </c>
      <c r="CF577" s="23">
        <f>IF(ISERROR((CE577/CC577-1)*100),"NA",IF(((CE577/CC577-1)*100)&gt;100,"NM",IF(((CE577/CC577-1)*100)&lt;-50,"NM",(CE577/CC577-1)*100)))</f>
        <v>34.883604886162381</v>
      </c>
      <c r="CG577" s="37">
        <f>CG576/CG553*100</f>
        <v>24.226926736441492</v>
      </c>
      <c r="CH577" s="23">
        <f>IF(ISERROR((CG577/CE577-1)*100),"NA",IF(((CG577/CE577-1)*100)&gt;100,"NM",IF(((CG577/CE577-1)*100)&lt;-50,"NM",(CG577/CE577-1)*100)))</f>
        <v>-13.340697521282385</v>
      </c>
      <c r="CI577" s="411" t="e">
        <f>CI576/CI553*100</f>
        <v>#DIV/0!</v>
      </c>
      <c r="CJ577" s="23"/>
      <c r="CK577" s="37"/>
      <c r="CL577" s="23"/>
      <c r="CM577" s="37"/>
      <c r="CN577" s="23"/>
      <c r="CO577" s="37"/>
      <c r="CP577" s="23"/>
      <c r="CQ577" s="37"/>
      <c r="CR577" s="23" t="str">
        <f>IF(ISERROR((CQ577/CO577-1)*100),"NA",IF(((CQ577/CO577-1)*100)&gt;100,"NM",IF(((CQ577/CO577-1)*100)&lt;-50,"NM",(CQ577/CO577-1)*100)))</f>
        <v>NA</v>
      </c>
      <c r="CS577" s="23" t="str">
        <f>IF(ISERROR(((CQ577/CG577)^0.2-1)*100),"NA",IF((((CQ577/CG577)^0.2-1)*100)&gt;100,"NM",IF((((CQ577/CG577)^0.2-1)*100)&lt;-50,"NM",((CQ577/CG577)^0.2-1)*100)))</f>
        <v>NM</v>
      </c>
    </row>
    <row r="578" spans="1:105" ht="12.75" hidden="1" customHeight="1" outlineLevel="1" x14ac:dyDescent="0.2">
      <c r="B578" s="35"/>
      <c r="C578" s="60"/>
      <c r="D578" s="35"/>
      <c r="E578" s="60"/>
      <c r="F578" s="35"/>
      <c r="G578" s="60"/>
      <c r="H578" s="35"/>
      <c r="I578" s="60"/>
      <c r="J578" s="35"/>
      <c r="L578" s="35"/>
      <c r="N578" s="35"/>
      <c r="P578" s="35"/>
      <c r="R578" s="35"/>
      <c r="T578" s="35"/>
      <c r="V578" s="35"/>
      <c r="X578" s="35"/>
      <c r="Z578" s="35"/>
      <c r="AB578" s="35"/>
      <c r="AD578" s="35"/>
      <c r="AF578" s="35"/>
      <c r="AH578" s="35"/>
      <c r="AJ578" s="35"/>
      <c r="AL578" s="35"/>
      <c r="AN578" s="409"/>
      <c r="AP578" s="409"/>
      <c r="AR578" s="409"/>
      <c r="AT578" s="409"/>
      <c r="AV578" s="409"/>
      <c r="AX578" s="409"/>
      <c r="AZ578" s="409"/>
      <c r="BB578" s="409"/>
      <c r="BD578" s="409"/>
      <c r="BF578" s="409"/>
      <c r="BH578" s="409"/>
      <c r="BJ578" s="35"/>
      <c r="BL578" s="35"/>
      <c r="BN578" s="35"/>
      <c r="BO578" s="138"/>
      <c r="BP578" s="35"/>
      <c r="BQ578" s="35"/>
      <c r="BR578" s="35"/>
      <c r="BS578" s="35"/>
      <c r="BT578" s="35"/>
      <c r="BU578" s="37"/>
      <c r="BW578" s="37"/>
      <c r="BY578" s="37"/>
      <c r="CA578" s="37"/>
      <c r="CC578" s="37"/>
      <c r="CE578" s="37"/>
      <c r="CG578" s="37"/>
      <c r="CI578" s="411"/>
      <c r="CK578" s="37"/>
      <c r="CM578" s="37"/>
      <c r="CO578" s="37"/>
      <c r="CQ578" s="37"/>
    </row>
    <row r="579" spans="1:105" ht="12.75" hidden="1" customHeight="1" outlineLevel="1" x14ac:dyDescent="0.2">
      <c r="A579" s="12" t="s">
        <v>163</v>
      </c>
      <c r="B579" s="49">
        <v>12.7</v>
      </c>
      <c r="C579" s="59"/>
      <c r="D579" s="49">
        <v>22.2</v>
      </c>
      <c r="E579" s="59"/>
      <c r="F579" s="49">
        <v>53.3</v>
      </c>
      <c r="G579" s="59"/>
      <c r="H579" s="49">
        <v>177.9</v>
      </c>
      <c r="I579" s="59"/>
      <c r="J579" s="49">
        <v>-20.3</v>
      </c>
      <c r="K579" s="23" t="str">
        <f>IF(ISERROR((J579/B579-1)*100),"NA",IF(((J579/B579-1)*100)&gt;100,"NM",IF(((J579/B579-1)*100)&lt;-50,"NM",(J579/B579-1)*100)))</f>
        <v>NM</v>
      </c>
      <c r="L579" s="49">
        <v>-8.6</v>
      </c>
      <c r="M579" s="23" t="str">
        <f>IF(ISERROR((L579/D579-1)*100),"NA",IF(((L579/D579-1)*100)&gt;100,"NM",IF(((L579/D579-1)*100)&lt;-50,"NM",(L579/D579-1)*100)))</f>
        <v>NM</v>
      </c>
      <c r="N579" s="49">
        <v>-12.9</v>
      </c>
      <c r="O579" s="23" t="str">
        <f>IF(ISERROR((N579/F579-1)*100),"NA",IF(((N579/F579-1)*100)&gt;100,"NM",IF(((N579/F579-1)*100)&lt;-50,"NM",(N579/F579-1)*100)))</f>
        <v>NM</v>
      </c>
      <c r="P579" s="48">
        <v>-44.4</v>
      </c>
      <c r="Q579" s="23" t="str">
        <f>IF(ISERROR((P579/H579-1)*100),"NA",IF(((P579/H579-1)*100)&gt;100,"NM",IF(((P579/H579-1)*100)&lt;-50,"NM",(P579/H579-1)*100)))</f>
        <v>NM</v>
      </c>
      <c r="R579" s="48">
        <v>7</v>
      </c>
      <c r="S579" s="23" t="str">
        <f>IF(ISERROR((R579/J579-1)*100),"NA",IF(((R579/J579-1)*100)&gt;100,"NM",IF(((R579/J579-1)*100)&lt;-50,"NM",(R579/J579-1)*100)))</f>
        <v>NM</v>
      </c>
      <c r="T579" s="48">
        <f>16.9-R579</f>
        <v>9.8999999999999986</v>
      </c>
      <c r="U579" s="23" t="str">
        <f>IF(ISERROR((T579/L579-1)*100),"NA",IF(((T579/L579-1)*100)&gt;100,"NM",IF(((T579/L579-1)*100)&lt;-50,"NM",(T579/L579-1)*100)))</f>
        <v>NM</v>
      </c>
      <c r="V579" s="48">
        <f>56.5-T579-R579</f>
        <v>39.6</v>
      </c>
      <c r="W579" s="23" t="str">
        <f>IF(ISERROR((V579/N579-1)*100),"NA",IF(((V579/N579-1)*100)&gt;100,"NM",IF(((V579/N579-1)*100)&lt;-50,"NM",(V579/N579-1)*100)))</f>
        <v>NM</v>
      </c>
      <c r="X579" s="48">
        <v>26.8</v>
      </c>
      <c r="Y579" s="23" t="str">
        <f>IF(ISERROR((X579/P579-1)*100),"NA",IF(((X579/P579-1)*100)&gt;100,"NM",IF(((X579/P579-1)*100)&lt;-50,"NM",(X579/P579-1)*100)))</f>
        <v>NM</v>
      </c>
      <c r="Z579" s="48">
        <v>3.2</v>
      </c>
      <c r="AA579" s="23" t="str">
        <f>IF(ISERROR((Z579/R579-1)*100),"NA",IF(((Z579/R579-1)*100)&gt;100,"NM",IF(((Z579/R579-1)*100)&lt;-50,"NM",(Z579/R579-1)*100)))</f>
        <v>NM</v>
      </c>
      <c r="AB579" s="48">
        <v>6.5</v>
      </c>
      <c r="AC579" s="23">
        <f>IF(ISERROR((AB579/T579-1)*100),"NA",IF(((AB579/T579-1)*100)&gt;100,"NM",IF(((AB579/T579-1)*100)&lt;-50,"NM",(AB579/T579-1)*100)))</f>
        <v>-34.343434343434332</v>
      </c>
      <c r="AD579" s="48">
        <v>17.8</v>
      </c>
      <c r="AE579" s="23" t="str">
        <f>IF(ISERROR((AD579/V579-1)*100),"NA",IF(((AD579/V579-1)*100)&gt;100,"NM",IF(((AD579/V579-1)*100)&lt;-50,"NM",(AD579/V579-1)*100)))</f>
        <v>NM</v>
      </c>
      <c r="AF579" s="49">
        <v>-1.1000000000000001</v>
      </c>
      <c r="AG579" s="23" t="str">
        <f>IF(ISERROR((AF579/X579-1)*100),"NA",IF(((AF579/X579-1)*100)&gt;100,"NM",IF(((AF579/X579-1)*100)&lt;-50,"NM",(AF579/X579-1)*100)))</f>
        <v>NM</v>
      </c>
      <c r="AH579" s="49">
        <v>9.5</v>
      </c>
      <c r="AI579" s="23" t="str">
        <f>IF(ISERROR((AH579/Z579-1)*100),"NA",IF(((AH579/Z579-1)*100)&gt;100,"NM",IF(((AH579/Z579-1)*100)&lt;-50,"NM",(AH579/Z579-1)*100)))</f>
        <v>NM</v>
      </c>
      <c r="AJ579" s="49">
        <v>5</v>
      </c>
      <c r="AK579" s="23">
        <f>IF(ISERROR((AJ579/AB579-1)*100),"NA",IF(((AJ579/AB579-1)*100)&gt;100,"NM",IF(((AJ579/AB579-1)*100)&lt;-50,"NM",(AJ579/AB579-1)*100)))</f>
        <v>-23.076923076923073</v>
      </c>
      <c r="AL579" s="49">
        <v>-12.9</v>
      </c>
      <c r="AM579" s="23" t="str">
        <f>IF(ISERROR((AL579/AD579-1)*100),"NA",IF(((AL579/AD579-1)*100)&gt;100,"NM",IF(((AL579/AD579-1)*100)&lt;-50,"NM",(AL579/AD579-1)*100)))</f>
        <v>NM</v>
      </c>
      <c r="AN579" s="158">
        <v>10.9</v>
      </c>
      <c r="AO579" s="23" t="str">
        <f>IF(ISERROR((AN579/AF579-1)*100),"NA",IF(((AN579/AF579-1)*100)&gt;100,"NM",IF(((AN579/AF579-1)*100)&lt;-50,"NM",(AN579/AF579-1)*100)))</f>
        <v>NM</v>
      </c>
      <c r="AP579" s="158">
        <v>8</v>
      </c>
      <c r="AQ579" s="23">
        <f t="shared" ref="AQ579:AQ580" si="4045">IF(ISERROR((AP579/AH579-1)*100),"NA",IF(((AP579/AH579-1)*100)&gt;100,"NM",IF(((AP579/AH579-1)*100)&lt;-50,"NM",(AP579/AH579-1)*100)))</f>
        <v>-15.789473684210531</v>
      </c>
      <c r="AR579" s="158">
        <v>14.4</v>
      </c>
      <c r="AS579" s="23" t="str">
        <f t="shared" ref="AS579:AS580" si="4046">IF(ISERROR((AR579/AJ579-1)*100),"NA",IF(((AR579/AJ579-1)*100)&gt;100,"NM",IF(((AR579/AJ579-1)*100)&lt;-50,"NM",(AR579/AJ579-1)*100)))</f>
        <v>NM</v>
      </c>
      <c r="AT579" s="158">
        <v>56.4</v>
      </c>
      <c r="AU579" s="23" t="str">
        <f t="shared" ref="AU579:AU580" si="4047">IF(ISERROR((AT579/AL579-1)*100),"NA",IF(((AT579/AL579-1)*100)&gt;100,"NM",IF(((AT579/AL579-1)*100)&lt;-50,"NM",(AT579/AL579-1)*100)))</f>
        <v>NM</v>
      </c>
      <c r="AV579" s="158">
        <v>13.8</v>
      </c>
      <c r="AW579" s="23">
        <f t="shared" ref="AW579:AW580" si="4048">IF(ISERROR((AV579/AN579-1)*100),"NA",IF(((AV579/AN579-1)*100)&gt;100,"NM",IF(((AV579/AN579-1)*100)&lt;-50,"NM",(AV579/AN579-1)*100)))</f>
        <v>26.605504587155959</v>
      </c>
      <c r="AX579" s="158">
        <v>7.5</v>
      </c>
      <c r="AY579" s="23">
        <f t="shared" ref="AY579:AY580" si="4049">IF(ISERROR((AX579/AP579-1)*100),"NA",IF(((AX579/AP579-1)*100)&gt;100,"NM",IF(((AX579/AP579-1)*100)&lt;-50,"NM",(AX579/AP579-1)*100)))</f>
        <v>-6.25</v>
      </c>
      <c r="AZ579" s="158">
        <v>7</v>
      </c>
      <c r="BA579" s="23" t="str">
        <f t="shared" ref="BA579:BA580" si="4050">IF(ISERROR((AZ579/AR579-1)*100),"NA",IF(((AZ579/AR579-1)*100)&gt;100,"NM",IF(((AZ579/AR579-1)*100)&lt;-50,"NM",(AZ579/AR579-1)*100)))</f>
        <v>NM</v>
      </c>
      <c r="BB579" s="158">
        <v>13</v>
      </c>
      <c r="BC579" s="23" t="str">
        <f t="shared" ref="BC579:BC580" si="4051">IF(ISERROR((BB579/AT579-1)*100),"NA",IF(((BB579/AT579-1)*100)&gt;100,"NM",IF(((BB579/AT579-1)*100)&lt;-50,"NM",(BB579/AT579-1)*100)))</f>
        <v>NM</v>
      </c>
      <c r="BD579" s="158"/>
      <c r="BE579" s="23" t="str">
        <f t="shared" ref="BE579:BE580" si="4052">IF(ISERROR((BD579/AV579-1)*100),"NA",IF(((BD579/AV579-1)*100)&gt;100,"NM",IF(((BD579/AV579-1)*100)&lt;-50,"NM",(BD579/AV579-1)*100)))</f>
        <v>NM</v>
      </c>
      <c r="BF579" s="287">
        <v>0</v>
      </c>
      <c r="BG579" s="23" t="str">
        <f t="shared" ref="BG579:BG580" si="4053">IF(ISERROR((BF579/AX579-1)*100),"NA",IF(((BF579/AX579-1)*100)&gt;100,"NM",IF(((BF579/AX579-1)*100)&lt;-50,"NM",(BF579/AX579-1)*100)))</f>
        <v>NM</v>
      </c>
      <c r="BH579" s="287">
        <v>0</v>
      </c>
      <c r="BI579" s="23"/>
      <c r="BJ579" s="48"/>
      <c r="BK579" s="23"/>
      <c r="BL579" s="48"/>
      <c r="BM579" s="23" t="str">
        <f t="shared" ref="BM579:BM580" si="4054">IF(ISERROR((BL579/BD579-1)*100),"NA",IF(((BL579/BD579-1)*100)&gt;100,"NM",IF(((BL579/BD579-1)*100)&lt;-50,"NM",(BL579/BD579-1)*100)))</f>
        <v>NA</v>
      </c>
      <c r="BN579" s="35"/>
      <c r="BO579" s="137"/>
      <c r="BP579" s="35"/>
      <c r="BQ579" s="48">
        <v>6</v>
      </c>
      <c r="BR579" s="35"/>
      <c r="BS579" s="48">
        <v>-10.199999999999999</v>
      </c>
      <c r="BT579" s="35"/>
      <c r="BU579" s="56">
        <f>B579+D579+F579+H579</f>
        <v>266.10000000000002</v>
      </c>
      <c r="BV579" s="23" t="str">
        <f t="shared" ref="BV579:BV584" si="4055">IF(ISERROR((BU579/BS579-1)*100),"NA",IF(((BU579/BS579-1)*100)&gt;100,"NM",IF(((BU579/BS579-1)*100)&lt;-50,"NM",(BU579/BS579-1)*100)))</f>
        <v>NM</v>
      </c>
      <c r="BW579" s="56">
        <f>J579+L579+N579+P579</f>
        <v>-86.199999999999989</v>
      </c>
      <c r="BX579" s="23" t="str">
        <f t="shared" ref="BX579:BX584" si="4056">IF(ISERROR((BW579/BU579-1)*100),"NA",IF(((BW579/BU579-1)*100)&gt;100,"NM",IF(((BW579/BU579-1)*100)&lt;-50,"NM",(BW579/BU579-1)*100)))</f>
        <v>NM</v>
      </c>
      <c r="BY579" s="56">
        <f>R579+T579+V579+X579</f>
        <v>83.3</v>
      </c>
      <c r="BZ579" s="23" t="str">
        <f>IF(ISERROR((BY579/BW579-1)*100),"NA",IF(((BY579/BW579-1)*100)&gt;100,"NM",IF(((BY579/BW579-1)*100)&lt;-50,"NM",(BY579/BW579-1)*100)))</f>
        <v>NM</v>
      </c>
      <c r="CA579" s="56">
        <f>Z579+AB579+AD579+AF579</f>
        <v>26.4</v>
      </c>
      <c r="CB579" s="23" t="str">
        <f>IF(ISERROR((CA579/BY579-1)*100),"NA",IF(((CA579/BY579-1)*100)&gt;100,"NM",IF(((CA579/BY579-1)*100)&lt;-50,"NM",(CA579/BY579-1)*100)))</f>
        <v>NM</v>
      </c>
      <c r="CC579" s="56">
        <f>AH579+AJ579+AL579+AN579</f>
        <v>12.5</v>
      </c>
      <c r="CD579" s="23" t="str">
        <f>IF(ISERROR((CC579/CA579-1)*100),"NA",IF(((CC579/CA579-1)*100)&gt;100,"NM",IF(((CC579/CA579-1)*100)&lt;-50,"NM",(CC579/CA579-1)*100)))</f>
        <v>NM</v>
      </c>
      <c r="CE579" s="56">
        <f>AP579+AR579+AT579+AV579</f>
        <v>92.6</v>
      </c>
      <c r="CF579" s="23" t="str">
        <f>IF(ISERROR((CE579/CC579-1)*100),"NA",IF(((CE579/CC579-1)*100)&gt;100,"NM",IF(((CE579/CC579-1)*100)&lt;-50,"NM",(CE579/CC579-1)*100)))</f>
        <v>NM</v>
      </c>
      <c r="CG579" s="56">
        <f>AX579+AZ579+BB579+BD579</f>
        <v>27.5</v>
      </c>
      <c r="CH579" s="23" t="str">
        <f>IF(ISERROR((CG579/CE579-1)*100),"NA",IF(((CG579/CE579-1)*100)&gt;100,"NM",IF(((CG579/CE579-1)*100)&lt;-50,"NM",(CG579/CE579-1)*100)))</f>
        <v>NM</v>
      </c>
      <c r="CI579" s="413">
        <f>BF579+BH579+BJ579+BL579</f>
        <v>0</v>
      </c>
      <c r="CJ579" s="23"/>
      <c r="CK579" s="49"/>
      <c r="CL579" s="23"/>
      <c r="CM579" s="49"/>
      <c r="CN579" s="23"/>
      <c r="CO579" s="49"/>
      <c r="CP579" s="23"/>
      <c r="CQ579" s="49"/>
      <c r="CR579" s="23" t="str">
        <f>IF(ISERROR((CQ579/CO579-1)*100),"NA",IF(((CQ579/CO579-1)*100)&gt;100,"NM",IF(((CQ579/CO579-1)*100)&lt;-50,"NM",(CQ579/CO579-1)*100)))</f>
        <v>NA</v>
      </c>
      <c r="CS579" s="23" t="str">
        <f t="shared" ref="CS579:CS584" si="4057">IF(ISERROR(((CQ579/CG579)^0.2-1)*100),"NA",IF((((CQ579/CG579)^0.2-1)*100)&gt;100,"NM",IF((((CQ579/CG579)^0.2-1)*100)&lt;-50,"NM",((CQ579/CG579)^0.2-1)*100)))</f>
        <v>NM</v>
      </c>
    </row>
    <row r="580" spans="1:105" ht="12.75" hidden="1" customHeight="1" outlineLevel="1" x14ac:dyDescent="0.2">
      <c r="A580" s="12" t="s">
        <v>164</v>
      </c>
      <c r="B580" s="49">
        <v>0</v>
      </c>
      <c r="C580" s="59"/>
      <c r="D580" s="49">
        <v>0</v>
      </c>
      <c r="E580" s="59"/>
      <c r="F580" s="49">
        <v>0</v>
      </c>
      <c r="G580" s="59"/>
      <c r="H580" s="49">
        <v>0</v>
      </c>
      <c r="I580" s="59"/>
      <c r="J580" s="49">
        <v>7.6</v>
      </c>
      <c r="K580" s="23" t="str">
        <f>IF(ISERROR((J580/B580-1)*100),"NA",IF(((J580/B580-1)*100)&gt;100,"NM",IF(((J580/B580-1)*100)&lt;-50,"NM",(J580/B580-1)*100)))</f>
        <v>NA</v>
      </c>
      <c r="L580" s="49">
        <v>-18.5</v>
      </c>
      <c r="M580" s="23" t="str">
        <f>IF(ISERROR((L580/D580-1)*100),"NA",IF(((L580/D580-1)*100)&gt;100,"NM",IF(((L580/D580-1)*100)&lt;-50,"NM",(L580/D580-1)*100)))</f>
        <v>NA</v>
      </c>
      <c r="N580" s="49">
        <v>-0.3</v>
      </c>
      <c r="O580" s="23" t="str">
        <f>IF(ISERROR((N580/F580-1)*100),"NA",IF(((N580/F580-1)*100)&gt;100,"NM",IF(((N580/F580-1)*100)&lt;-50,"NM",(N580/F580-1)*100)))</f>
        <v>NA</v>
      </c>
      <c r="P580" s="48">
        <v>0</v>
      </c>
      <c r="Q580" s="23" t="str">
        <f>IF(ISERROR((P580/H580-1)*100),"NA",IF(((P580/H580-1)*100)&gt;100,"NM",IF(((P580/H580-1)*100)&lt;-50,"NM",(P580/H580-1)*100)))</f>
        <v>NA</v>
      </c>
      <c r="R580" s="48">
        <v>0</v>
      </c>
      <c r="S580" s="23" t="str">
        <f>IF(ISERROR((R580/J580-1)*100),"NA",IF(((R580/J580-1)*100)&gt;100,"NM",IF(((R580/J580-1)*100)&lt;-50,"NM",(R580/J580-1)*100)))</f>
        <v>NM</v>
      </c>
      <c r="T580" s="48">
        <v>0</v>
      </c>
      <c r="U580" s="23" t="str">
        <f>IF(ISERROR((T580/L580-1)*100),"NA",IF(((T580/L580-1)*100)&gt;100,"NM",IF(((T580/L580-1)*100)&lt;-50,"NM",(T580/L580-1)*100)))</f>
        <v>NM</v>
      </c>
      <c r="V580" s="48">
        <v>0</v>
      </c>
      <c r="W580" s="23" t="str">
        <f>IF(ISERROR((V580/N580-1)*100),"NA",IF(((V580/N580-1)*100)&gt;100,"NM",IF(((V580/N580-1)*100)&lt;-50,"NM",(V580/N580-1)*100)))</f>
        <v>NM</v>
      </c>
      <c r="X580" s="48">
        <v>0</v>
      </c>
      <c r="Y580" s="23" t="str">
        <f>IF(ISERROR((X580/P580-1)*100),"NA",IF(((X580/P580-1)*100)&gt;100,"NM",IF(((X580/P580-1)*100)&lt;-50,"NM",(X580/P580-1)*100)))</f>
        <v>NA</v>
      </c>
      <c r="Z580" s="48">
        <v>0</v>
      </c>
      <c r="AA580" s="23" t="str">
        <f>IF(ISERROR((Z580/R580-1)*100),"NA",IF(((Z580/R580-1)*100)&gt;100,"NM",IF(((Z580/R580-1)*100)&lt;-50,"NM",(Z580/R580-1)*100)))</f>
        <v>NA</v>
      </c>
      <c r="AB580" s="48">
        <v>0</v>
      </c>
      <c r="AC580" s="23" t="str">
        <f>IF(ISERROR((AB580/T580-1)*100),"NA",IF(((AB580/T580-1)*100)&gt;100,"NM",IF(((AB580/T580-1)*100)&lt;-50,"NM",(AB580/T580-1)*100)))</f>
        <v>NA</v>
      </c>
      <c r="AD580" s="48">
        <v>0</v>
      </c>
      <c r="AE580" s="23" t="str">
        <f>IF(ISERROR((AD580/V580-1)*100),"NA",IF(((AD580/V580-1)*100)&gt;100,"NM",IF(((AD580/V580-1)*100)&lt;-50,"NM",(AD580/V580-1)*100)))</f>
        <v>NA</v>
      </c>
      <c r="AF580" s="49">
        <v>0</v>
      </c>
      <c r="AG580" s="23" t="str">
        <f>IF(ISERROR((AF580/X580-1)*100),"NA",IF(((AF580/X580-1)*100)&gt;100,"NM",IF(((AF580/X580-1)*100)&lt;-50,"NM",(AF580/X580-1)*100)))</f>
        <v>NA</v>
      </c>
      <c r="AH580" s="49">
        <v>0</v>
      </c>
      <c r="AI580" s="23" t="str">
        <f>IF(ISERROR((AH580/Z580-1)*100),"NA",IF(((AH580/Z580-1)*100)&gt;100,"NM",IF(((AH580/Z580-1)*100)&lt;-50,"NM",(AH580/Z580-1)*100)))</f>
        <v>NA</v>
      </c>
      <c r="AJ580" s="49">
        <v>0</v>
      </c>
      <c r="AK580" s="23" t="str">
        <f>IF(ISERROR((AJ580/AB580-1)*100),"NA",IF(((AJ580/AB580-1)*100)&gt;100,"NM",IF(((AJ580/AB580-1)*100)&lt;-50,"NM",(AJ580/AB580-1)*100)))</f>
        <v>NA</v>
      </c>
      <c r="AL580" s="49">
        <v>0</v>
      </c>
      <c r="AM580" s="23" t="str">
        <f>IF(ISERROR((AL580/AD580-1)*100),"NA",IF(((AL580/AD580-1)*100)&gt;100,"NM",IF(((AL580/AD580-1)*100)&lt;-50,"NM",(AL580/AD580-1)*100)))</f>
        <v>NA</v>
      </c>
      <c r="AN580" s="158">
        <v>0</v>
      </c>
      <c r="AO580" s="23" t="str">
        <f>IF(ISERROR((AN580/AF580-1)*100),"NA",IF(((AN580/AF580-1)*100)&gt;100,"NM",IF(((AN580/AF580-1)*100)&lt;-50,"NM",(AN580/AF580-1)*100)))</f>
        <v>NA</v>
      </c>
      <c r="AP580" s="158">
        <v>0</v>
      </c>
      <c r="AQ580" s="23" t="str">
        <f t="shared" si="4045"/>
        <v>NA</v>
      </c>
      <c r="AR580" s="158">
        <v>0</v>
      </c>
      <c r="AS580" s="23" t="str">
        <f t="shared" si="4046"/>
        <v>NA</v>
      </c>
      <c r="AT580" s="158">
        <v>0</v>
      </c>
      <c r="AU580" s="23" t="str">
        <f t="shared" si="4047"/>
        <v>NA</v>
      </c>
      <c r="AV580" s="158">
        <v>0</v>
      </c>
      <c r="AW580" s="23" t="str">
        <f t="shared" si="4048"/>
        <v>NA</v>
      </c>
      <c r="AX580" s="158">
        <v>0</v>
      </c>
      <c r="AY580" s="23" t="str">
        <f t="shared" si="4049"/>
        <v>NA</v>
      </c>
      <c r="AZ580" s="158">
        <v>0</v>
      </c>
      <c r="BA580" s="23" t="str">
        <f t="shared" si="4050"/>
        <v>NA</v>
      </c>
      <c r="BB580" s="158">
        <v>0</v>
      </c>
      <c r="BC580" s="23" t="str">
        <f t="shared" si="4051"/>
        <v>NA</v>
      </c>
      <c r="BD580" s="158">
        <v>0</v>
      </c>
      <c r="BE580" s="23" t="str">
        <f t="shared" si="4052"/>
        <v>NA</v>
      </c>
      <c r="BF580" s="287">
        <v>0</v>
      </c>
      <c r="BG580" s="23" t="str">
        <f t="shared" si="4053"/>
        <v>NA</v>
      </c>
      <c r="BH580" s="287">
        <v>0</v>
      </c>
      <c r="BI580" s="23"/>
      <c r="BJ580" s="48"/>
      <c r="BK580" s="23"/>
      <c r="BL580" s="48"/>
      <c r="BM580" s="23" t="str">
        <f t="shared" si="4054"/>
        <v>NA</v>
      </c>
      <c r="BN580" s="35"/>
      <c r="BO580" s="137"/>
      <c r="BP580" s="35"/>
      <c r="BQ580" s="48">
        <v>0</v>
      </c>
      <c r="BR580" s="35"/>
      <c r="BS580" s="48">
        <v>0</v>
      </c>
      <c r="BT580" s="35"/>
      <c r="BU580" s="56">
        <f>B580+D580+F580+H580</f>
        <v>0</v>
      </c>
      <c r="BV580" s="23" t="str">
        <f t="shared" si="4055"/>
        <v>NA</v>
      </c>
      <c r="BW580" s="56">
        <f>J580+L580+N580+P580</f>
        <v>-11.200000000000001</v>
      </c>
      <c r="BX580" s="23" t="str">
        <f t="shared" si="4056"/>
        <v>NA</v>
      </c>
      <c r="BY580" s="56">
        <f>R580+T580+V580+X580</f>
        <v>0</v>
      </c>
      <c r="BZ580" s="23" t="str">
        <f>IF(ISERROR((BY580/BW580-1)*100),"NA",IF(((BY580/BW580-1)*100)&gt;100,"NM",IF(((BY580/BW580-1)*100)&lt;-50,"NM",(BY580/BW580-1)*100)))</f>
        <v>NM</v>
      </c>
      <c r="CA580" s="56">
        <f>Z580+AB580+AD580+AF580</f>
        <v>0</v>
      </c>
      <c r="CB580" s="23" t="str">
        <f>IF(ISERROR((CA580/BY580-1)*100),"NA",IF(((CA580/BY580-1)*100)&gt;100,"NM",IF(((CA580/BY580-1)*100)&lt;-50,"NM",(CA580/BY580-1)*100)))</f>
        <v>NA</v>
      </c>
      <c r="CC580" s="56">
        <f>AH580+AJ580+AL580+AN580</f>
        <v>0</v>
      </c>
      <c r="CD580" s="23" t="str">
        <f>IF(ISERROR((CC580/CA580-1)*100),"NA",IF(((CC580/CA580-1)*100)&gt;100,"NM",IF(((CC580/CA580-1)*100)&lt;-50,"NM",(CC580/CA580-1)*100)))</f>
        <v>NA</v>
      </c>
      <c r="CE580" s="56">
        <f>AP580+AR580+AT580+AV580</f>
        <v>0</v>
      </c>
      <c r="CF580" s="23" t="str">
        <f>IF(ISERROR((CE580/CC580-1)*100),"NA",IF(((CE580/CC580-1)*100)&gt;100,"NM",IF(((CE580/CC580-1)*100)&lt;-50,"NM",(CE580/CC580-1)*100)))</f>
        <v>NA</v>
      </c>
      <c r="CG580" s="56">
        <f>AX580+AZ580+BB580+BD580</f>
        <v>0</v>
      </c>
      <c r="CH580" s="23" t="str">
        <f>IF(ISERROR((CG580/CE580-1)*100),"NA",IF(((CG580/CE580-1)*100)&gt;100,"NM",IF(((CG580/CE580-1)*100)&lt;-50,"NM",(CG580/CE580-1)*100)))</f>
        <v>NA</v>
      </c>
      <c r="CI580" s="413">
        <f>BF580+BH580+BJ580+BL580</f>
        <v>0</v>
      </c>
      <c r="CJ580" s="23"/>
      <c r="CK580" s="49"/>
      <c r="CL580" s="23"/>
      <c r="CM580" s="49"/>
      <c r="CN580" s="23"/>
      <c r="CO580" s="49"/>
      <c r="CP580" s="23"/>
      <c r="CQ580" s="49"/>
      <c r="CR580" s="23" t="str">
        <f>IF(ISERROR((CQ580/CO580-1)*100),"NA",IF(((CQ580/CO580-1)*100)&gt;100,"NM",IF(((CQ580/CO580-1)*100)&lt;-50,"NM",(CQ580/CO580-1)*100)))</f>
        <v>NA</v>
      </c>
      <c r="CS580" s="23" t="str">
        <f t="shared" si="4057"/>
        <v>NA</v>
      </c>
    </row>
    <row r="581" spans="1:105" ht="12.75" hidden="1" customHeight="1" outlineLevel="1" x14ac:dyDescent="0.2">
      <c r="A581" s="12" t="s">
        <v>14</v>
      </c>
      <c r="B581" s="49"/>
      <c r="C581" s="59"/>
      <c r="D581" s="49"/>
      <c r="E581" s="59"/>
      <c r="F581" s="49"/>
      <c r="G581" s="59"/>
      <c r="H581" s="49"/>
      <c r="I581" s="59"/>
      <c r="J581" s="49"/>
      <c r="K581" s="23"/>
      <c r="L581" s="49"/>
      <c r="M581" s="23"/>
      <c r="N581" s="49"/>
      <c r="O581" s="23"/>
      <c r="P581" s="48"/>
      <c r="Q581" s="23"/>
      <c r="R581" s="48">
        <f>(13*0.5/4)</f>
        <v>1.625</v>
      </c>
      <c r="S581" s="23"/>
      <c r="T581" s="48">
        <f>11.1-6</f>
        <v>5.0999999999999996</v>
      </c>
      <c r="U581" s="23"/>
      <c r="V581" s="48">
        <f>52.7-V579</f>
        <v>13.100000000000001</v>
      </c>
      <c r="W581" s="23"/>
      <c r="X581" s="48">
        <v>0.8</v>
      </c>
      <c r="Y581" s="23"/>
      <c r="Z581" s="48">
        <v>0</v>
      </c>
      <c r="AA581" s="23"/>
      <c r="AB581" s="48">
        <v>0</v>
      </c>
      <c r="AC581" s="23"/>
      <c r="AD581" s="48">
        <v>6.22</v>
      </c>
      <c r="AE581" s="23"/>
      <c r="AF581" s="49">
        <v>2.8</v>
      </c>
      <c r="AG581" s="23"/>
      <c r="AH581" s="49">
        <v>-1.78</v>
      </c>
      <c r="AI581" s="23"/>
      <c r="AJ581" s="49"/>
      <c r="AK581" s="23"/>
      <c r="AL581" s="49">
        <f>-0.612/0.68</f>
        <v>-0.89999999999999991</v>
      </c>
      <c r="AM581" s="23"/>
      <c r="AN581" s="510">
        <v>0</v>
      </c>
      <c r="AO581" s="23"/>
      <c r="AP581" s="510">
        <v>0</v>
      </c>
      <c r="AQ581" s="23"/>
      <c r="AR581" s="510">
        <v>0</v>
      </c>
      <c r="AS581" s="23"/>
      <c r="AT581" s="510">
        <v>5</v>
      </c>
      <c r="AU581" s="23"/>
      <c r="AV581" s="510">
        <v>4.5</v>
      </c>
      <c r="AW581" s="23"/>
      <c r="AX581" s="510">
        <v>1</v>
      </c>
      <c r="AY581" s="23"/>
      <c r="AZ581" s="510">
        <v>4</v>
      </c>
      <c r="BA581" s="23"/>
      <c r="BB581" s="510">
        <f>3+2</f>
        <v>5</v>
      </c>
      <c r="BC581" s="23"/>
      <c r="BD581" s="510"/>
      <c r="BE581" s="23"/>
      <c r="BF581" s="287"/>
      <c r="BG581" s="23"/>
      <c r="BH581" s="287"/>
      <c r="BI581" s="23"/>
      <c r="BJ581" s="48"/>
      <c r="BK581" s="23"/>
      <c r="BL581" s="48"/>
      <c r="BM581" s="23"/>
      <c r="BN581" s="35"/>
      <c r="BO581" s="137"/>
      <c r="BP581" s="35"/>
      <c r="BQ581" s="48"/>
      <c r="BR581" s="35"/>
      <c r="BS581" s="48"/>
      <c r="BT581" s="35"/>
      <c r="BU581" s="56">
        <f>B581+D581+F581+H581</f>
        <v>0</v>
      </c>
      <c r="BV581" s="23" t="str">
        <f t="shared" si="4055"/>
        <v>NA</v>
      </c>
      <c r="BW581" s="56">
        <f>J581+L581+N581+P581</f>
        <v>0</v>
      </c>
      <c r="BX581" s="23" t="str">
        <f t="shared" si="4056"/>
        <v>NA</v>
      </c>
      <c r="BY581" s="56">
        <f>R581+T581+V581+X581</f>
        <v>20.625000000000004</v>
      </c>
      <c r="BZ581" s="23"/>
      <c r="CA581" s="56">
        <f>Z581+AB581+AD581+AF581</f>
        <v>9.02</v>
      </c>
      <c r="CB581" s="23"/>
      <c r="CC581" s="56">
        <f>AH581+AJ581+AL581+AN581</f>
        <v>-2.6799999999999997</v>
      </c>
      <c r="CD581" s="23"/>
      <c r="CE581" s="56">
        <f>AP581+AR581+AT581+AV581</f>
        <v>9.5</v>
      </c>
      <c r="CF581" s="23"/>
      <c r="CG581" s="56">
        <f>AX581+AZ581+BB581+BD581</f>
        <v>10</v>
      </c>
      <c r="CH581" s="23"/>
      <c r="CI581" s="413">
        <f>BF581+BH581+BJ581+BL581</f>
        <v>0</v>
      </c>
      <c r="CJ581" s="23"/>
      <c r="CK581" s="49"/>
      <c r="CL581" s="23"/>
      <c r="CM581" s="49"/>
      <c r="CN581" s="23"/>
      <c r="CO581" s="49"/>
      <c r="CP581" s="23"/>
      <c r="CQ581" s="49"/>
      <c r="CR581" s="23"/>
      <c r="CS581" s="23" t="str">
        <f t="shared" si="4057"/>
        <v>NM</v>
      </c>
    </row>
    <row r="582" spans="1:105" ht="12.75" hidden="1" customHeight="1" outlineLevel="1" x14ac:dyDescent="0.2">
      <c r="A582" s="4" t="s">
        <v>12</v>
      </c>
      <c r="B582" s="36">
        <f>B579+B580+B581</f>
        <v>12.7</v>
      </c>
      <c r="C582" s="59"/>
      <c r="D582" s="36">
        <f>D579+D580+D581</f>
        <v>22.2</v>
      </c>
      <c r="E582" s="59"/>
      <c r="F582" s="36">
        <f>F579+F580+F581</f>
        <v>53.3</v>
      </c>
      <c r="G582" s="59"/>
      <c r="H582" s="36">
        <f>H579+H580+H581</f>
        <v>177.9</v>
      </c>
      <c r="I582" s="59"/>
      <c r="J582" s="36">
        <f>J579+J580+J581</f>
        <v>-12.700000000000001</v>
      </c>
      <c r="K582" s="23" t="str">
        <f>IF(ISERROR((J582/B582-1)*100),"NA",IF(((J582/B582-1)*100)&gt;100,"NM",IF(((J582/B582-1)*100)&lt;-50,"NM",(J582/B582-1)*100)))</f>
        <v>NM</v>
      </c>
      <c r="L582" s="36">
        <f>L579+L580+L581</f>
        <v>-27.1</v>
      </c>
      <c r="M582" s="23" t="str">
        <f>IF(ISERROR((L582/D582-1)*100),"NA",IF(((L582/D582-1)*100)&gt;100,"NM",IF(((L582/D582-1)*100)&lt;-50,"NM",(L582/D582-1)*100)))</f>
        <v>NM</v>
      </c>
      <c r="N582" s="36">
        <f>N579+N580+N581</f>
        <v>-13.200000000000001</v>
      </c>
      <c r="O582" s="23" t="str">
        <f>IF(ISERROR((N582/F582-1)*100),"NA",IF(((N582/F582-1)*100)&gt;100,"NM",IF(((N582/F582-1)*100)&lt;-50,"NM",(N582/F582-1)*100)))</f>
        <v>NM</v>
      </c>
      <c r="P582" s="36">
        <f>P579+P580+P581</f>
        <v>-44.4</v>
      </c>
      <c r="Q582" s="23" t="str">
        <f>IF(ISERROR((P582/H582-1)*100),"NA",IF(((P582/H582-1)*100)&gt;100,"NM",IF(((P582/H582-1)*100)&lt;-50,"NM",(P582/H582-1)*100)))</f>
        <v>NM</v>
      </c>
      <c r="R582" s="36">
        <f>R579+R580+R581</f>
        <v>8.625</v>
      </c>
      <c r="S582" s="23" t="str">
        <f>IF(ISERROR((R582/J582-1)*100),"NA",IF(((R582/J582-1)*100)&gt;100,"NM",IF(((R582/J582-1)*100)&lt;-50,"NM",(R582/J582-1)*100)))</f>
        <v>NM</v>
      </c>
      <c r="T582" s="36">
        <f>T579+T580+T581</f>
        <v>14.999999999999998</v>
      </c>
      <c r="U582" s="23" t="str">
        <f>IF(ISERROR((T582/L582-1)*100),"NA",IF(((T582/L582-1)*100)&gt;100,"NM",IF(((T582/L582-1)*100)&lt;-50,"NM",(T582/L582-1)*100)))</f>
        <v>NM</v>
      </c>
      <c r="V582" s="36">
        <f>V579+V580+V581</f>
        <v>52.7</v>
      </c>
      <c r="W582" s="23" t="str">
        <f>IF(ISERROR((V582/N582-1)*100),"NA",IF(((V582/N582-1)*100)&gt;100,"NM",IF(((V582/N582-1)*100)&lt;-50,"NM",(V582/N582-1)*100)))</f>
        <v>NM</v>
      </c>
      <c r="X582" s="36">
        <f>X579+X580+X581</f>
        <v>27.6</v>
      </c>
      <c r="Y582" s="23" t="str">
        <f>IF(ISERROR((X582/P582-1)*100),"NA",IF(((X582/P582-1)*100)&gt;100,"NM",IF(((X582/P582-1)*100)&lt;-50,"NM",(X582/P582-1)*100)))</f>
        <v>NM</v>
      </c>
      <c r="Z582" s="36">
        <f>Z579+Z580+Z581</f>
        <v>3.2</v>
      </c>
      <c r="AA582" s="23" t="str">
        <f>IF(ISERROR((Z582/R582-1)*100),"NA",IF(((Z582/R582-1)*100)&gt;100,"NM",IF(((Z582/R582-1)*100)&lt;-50,"NM",(Z582/R582-1)*100)))</f>
        <v>NM</v>
      </c>
      <c r="AB582" s="36">
        <f>AB579+AB580+AB581</f>
        <v>6.5</v>
      </c>
      <c r="AC582" s="23" t="str">
        <f>IF(ISERROR((AB582/T582-1)*100),"NA",IF(((AB582/T582-1)*100)&gt;100,"NM",IF(((AB582/T582-1)*100)&lt;-50,"NM",(AB582/T582-1)*100)))</f>
        <v>NM</v>
      </c>
      <c r="AD582" s="36">
        <f>AD579+AD580+AD581</f>
        <v>24.02</v>
      </c>
      <c r="AE582" s="23" t="str">
        <f>IF(ISERROR((AD582/V582-1)*100),"NA",IF(((AD582/V582-1)*100)&gt;100,"NM",IF(((AD582/V582-1)*100)&lt;-50,"NM",(AD582/V582-1)*100)))</f>
        <v>NM</v>
      </c>
      <c r="AF582" s="36">
        <f>AF579+AF580+AF581</f>
        <v>1.6999999999999997</v>
      </c>
      <c r="AG582" s="23" t="str">
        <f>IF(ISERROR((AF582/X582-1)*100),"NA",IF(((AF582/X582-1)*100)&gt;100,"NM",IF(((AF582/X582-1)*100)&lt;-50,"NM",(AF582/X582-1)*100)))</f>
        <v>NM</v>
      </c>
      <c r="AH582" s="36">
        <f>AH579+AH580+AH581</f>
        <v>7.72</v>
      </c>
      <c r="AI582" s="23" t="str">
        <f>IF(ISERROR((AH582/Z582-1)*100),"NA",IF(((AH582/Z582-1)*100)&gt;100,"NM",IF(((AH582/Z582-1)*100)&lt;-50,"NM",(AH582/Z582-1)*100)))</f>
        <v>NM</v>
      </c>
      <c r="AJ582" s="36">
        <f>AJ579+AJ580+AJ581</f>
        <v>5</v>
      </c>
      <c r="AK582" s="23">
        <f>IF(ISERROR((AJ582/AB582-1)*100),"NA",IF(((AJ582/AB582-1)*100)&gt;100,"NM",IF(((AJ582/AB582-1)*100)&lt;-50,"NM",(AJ582/AB582-1)*100)))</f>
        <v>-23.076923076923073</v>
      </c>
      <c r="AL582" s="36">
        <f>AL579+AL580+AL581</f>
        <v>-13.8</v>
      </c>
      <c r="AM582" s="23" t="str">
        <f>IF(ISERROR((AL582/AD582-1)*100),"NA",IF(((AL582/AD582-1)*100)&gt;100,"NM",IF(((AL582/AD582-1)*100)&lt;-50,"NM",(AL582/AD582-1)*100)))</f>
        <v>NM</v>
      </c>
      <c r="AN582" s="410">
        <f t="shared" ref="AN582" si="4058">AN579+AN580+AN581</f>
        <v>10.9</v>
      </c>
      <c r="AO582" s="23" t="str">
        <f>IF(ISERROR((AN582/AF582-1)*100),"NA",IF(((AN582/AF582-1)*100)&gt;100,"NM",IF(((AN582/AF582-1)*100)&lt;-50,"NM",(AN582/AF582-1)*100)))</f>
        <v>NM</v>
      </c>
      <c r="AP582" s="410">
        <f t="shared" ref="AP582" si="4059">AP579+AP580+AP581</f>
        <v>8</v>
      </c>
      <c r="AQ582" s="23">
        <f t="shared" ref="AQ582:AQ584" si="4060">IF(ISERROR((AP582/AH582-1)*100),"NA",IF(((AP582/AH582-1)*100)&gt;100,"NM",IF(((AP582/AH582-1)*100)&lt;-50,"NM",(AP582/AH582-1)*100)))</f>
        <v>3.62694300518136</v>
      </c>
      <c r="AR582" s="410">
        <f t="shared" ref="AR582" si="4061">AR579+AR580+AR581</f>
        <v>14.4</v>
      </c>
      <c r="AS582" s="23" t="str">
        <f t="shared" ref="AS582:AS584" si="4062">IF(ISERROR((AR582/AJ582-1)*100),"NA",IF(((AR582/AJ582-1)*100)&gt;100,"NM",IF(((AR582/AJ582-1)*100)&lt;-50,"NM",(AR582/AJ582-1)*100)))</f>
        <v>NM</v>
      </c>
      <c r="AT582" s="410">
        <f t="shared" ref="AT582" si="4063">AT579+AT580+AT581</f>
        <v>61.4</v>
      </c>
      <c r="AU582" s="23" t="str">
        <f t="shared" ref="AU582:AU584" si="4064">IF(ISERROR((AT582/AL582-1)*100),"NA",IF(((AT582/AL582-1)*100)&gt;100,"NM",IF(((AT582/AL582-1)*100)&lt;-50,"NM",(AT582/AL582-1)*100)))</f>
        <v>NM</v>
      </c>
      <c r="AV582" s="410">
        <f t="shared" ref="AV582" si="4065">AV579+AV580+AV581</f>
        <v>18.3</v>
      </c>
      <c r="AW582" s="23">
        <f t="shared" ref="AW582:AW584" si="4066">IF(ISERROR((AV582/AN582-1)*100),"NA",IF(((AV582/AN582-1)*100)&gt;100,"NM",IF(((AV582/AN582-1)*100)&lt;-50,"NM",(AV582/AN582-1)*100)))</f>
        <v>67.88990825688073</v>
      </c>
      <c r="AX582" s="410">
        <f t="shared" ref="AX582" si="4067">AX579+AX580+AX581</f>
        <v>8.5</v>
      </c>
      <c r="AY582" s="23">
        <f t="shared" ref="AY582:AY584" si="4068">IF(ISERROR((AX582/AP582-1)*100),"NA",IF(((AX582/AP582-1)*100)&gt;100,"NM",IF(((AX582/AP582-1)*100)&lt;-50,"NM",(AX582/AP582-1)*100)))</f>
        <v>6.25</v>
      </c>
      <c r="AZ582" s="410">
        <f t="shared" ref="AZ582" si="4069">AZ579+AZ580+AZ581</f>
        <v>11</v>
      </c>
      <c r="BA582" s="23">
        <f t="shared" ref="BA582:BA584" si="4070">IF(ISERROR((AZ582/AR582-1)*100),"NA",IF(((AZ582/AR582-1)*100)&gt;100,"NM",IF(((AZ582/AR582-1)*100)&lt;-50,"NM",(AZ582/AR582-1)*100)))</f>
        <v>-23.611111111111114</v>
      </c>
      <c r="BB582" s="410">
        <f t="shared" ref="BB582:BD582" si="4071">BB579+BB580+BB581</f>
        <v>18</v>
      </c>
      <c r="BC582" s="23" t="str">
        <f t="shared" ref="BC582:BC584" si="4072">IF(ISERROR((BB582/AT582-1)*100),"NA",IF(((BB582/AT582-1)*100)&gt;100,"NM",IF(((BB582/AT582-1)*100)&lt;-50,"NM",(BB582/AT582-1)*100)))</f>
        <v>NM</v>
      </c>
      <c r="BD582" s="410">
        <f t="shared" si="4071"/>
        <v>0</v>
      </c>
      <c r="BE582" s="23" t="str">
        <f t="shared" ref="BE582:BE584" si="4073">IF(ISERROR((BD582/AV582-1)*100),"NA",IF(((BD582/AV582-1)*100)&gt;100,"NM",IF(((BD582/AV582-1)*100)&lt;-50,"NM",(BD582/AV582-1)*100)))</f>
        <v>NM</v>
      </c>
      <c r="BF582" s="410">
        <f t="shared" ref="BF582" si="4074">BF579+BF580+BF581</f>
        <v>0</v>
      </c>
      <c r="BG582" s="23" t="str">
        <f t="shared" ref="BG582:BG584" si="4075">IF(ISERROR((BF582/AX582-1)*100),"NA",IF(((BF582/AX582-1)*100)&gt;100,"NM",IF(((BF582/AX582-1)*100)&lt;-50,"NM",(BF582/AX582-1)*100)))</f>
        <v>NM</v>
      </c>
      <c r="BH582" s="410">
        <f t="shared" ref="BH582" si="4076">BH579+BH580+BH581</f>
        <v>0</v>
      </c>
      <c r="BI582" s="23"/>
      <c r="BJ582" s="36"/>
      <c r="BK582" s="23"/>
      <c r="BL582" s="36"/>
      <c r="BM582" s="23" t="str">
        <f t="shared" ref="BM582:BM584" si="4077">IF(ISERROR((BL582/BD582-1)*100),"NA",IF(((BL582/BD582-1)*100)&gt;100,"NM",IF(((BL582/BD582-1)*100)&lt;-50,"NM",(BL582/BD582-1)*100)))</f>
        <v>NA</v>
      </c>
      <c r="BN582" s="35"/>
      <c r="BO582" s="137"/>
      <c r="BP582" s="35"/>
      <c r="BQ582" s="56">
        <f>BQ579+BQ580</f>
        <v>6</v>
      </c>
      <c r="BR582" s="37"/>
      <c r="BS582" s="56">
        <f>BS579+BS580</f>
        <v>-10.199999999999999</v>
      </c>
      <c r="BT582" s="35"/>
      <c r="BU582" s="36">
        <f>BU579+BU580+BU581</f>
        <v>266.10000000000002</v>
      </c>
      <c r="BV582" s="23" t="str">
        <f t="shared" si="4055"/>
        <v>NM</v>
      </c>
      <c r="BW582" s="36">
        <f>BW579+BW580+BW581</f>
        <v>-97.399999999999991</v>
      </c>
      <c r="BX582" s="23" t="str">
        <f t="shared" si="4056"/>
        <v>NM</v>
      </c>
      <c r="BY582" s="36">
        <f>BY579+BY580+BY581</f>
        <v>103.925</v>
      </c>
      <c r="BZ582" s="23" t="str">
        <f>IF(ISERROR((BY582/BW582-1)*100),"NA",IF(((BY582/BW582-1)*100)&gt;100,"NM",IF(((BY582/BW582-1)*100)&lt;-50,"NM",(BY582/BW582-1)*100)))</f>
        <v>NM</v>
      </c>
      <c r="CA582" s="36">
        <f>CA579+CA580+CA581</f>
        <v>35.42</v>
      </c>
      <c r="CB582" s="23" t="str">
        <f>IF(ISERROR((CA582/BY582-1)*100),"NA",IF(((CA582/BY582-1)*100)&gt;100,"NM",IF(((CA582/BY582-1)*100)&lt;-50,"NM",(CA582/BY582-1)*100)))</f>
        <v>NM</v>
      </c>
      <c r="CC582" s="36">
        <f>CC579+CC580+CC581</f>
        <v>9.82</v>
      </c>
      <c r="CD582" s="23" t="str">
        <f>IF(ISERROR((CC582/CA582-1)*100),"NA",IF(((CC582/CA582-1)*100)&gt;100,"NM",IF(((CC582/CA582-1)*100)&lt;-50,"NM",(CC582/CA582-1)*100)))</f>
        <v>NM</v>
      </c>
      <c r="CE582" s="36">
        <f>CE579+CE580+CE581</f>
        <v>102.1</v>
      </c>
      <c r="CF582" s="23" t="str">
        <f>IF(ISERROR((CE582/CC582-1)*100),"NA",IF(((CE582/CC582-1)*100)&gt;100,"NM",IF(((CE582/CC582-1)*100)&lt;-50,"NM",(CE582/CC582-1)*100)))</f>
        <v>NM</v>
      </c>
      <c r="CG582" s="36">
        <f>CG579+CG580+CG581</f>
        <v>37.5</v>
      </c>
      <c r="CH582" s="23" t="str">
        <f>IF(ISERROR((CG582/CE582-1)*100),"NA",IF(((CG582/CE582-1)*100)&gt;100,"NM",IF(((CG582/CE582-1)*100)&lt;-50,"NM",(CG582/CE582-1)*100)))</f>
        <v>NM</v>
      </c>
      <c r="CI582" s="410">
        <f>CI579+CI580+CI581</f>
        <v>0</v>
      </c>
      <c r="CJ582" s="23"/>
      <c r="CK582" s="36"/>
      <c r="CL582" s="23"/>
      <c r="CM582" s="36"/>
      <c r="CN582" s="23"/>
      <c r="CO582" s="36"/>
      <c r="CP582" s="23"/>
      <c r="CQ582" s="36"/>
      <c r="CR582" s="23" t="str">
        <f>IF(ISERROR((CQ582/CO582-1)*100),"NA",IF(((CQ582/CO582-1)*100)&gt;100,"NM",IF(((CQ582/CO582-1)*100)&lt;-50,"NM",(CQ582/CO582-1)*100)))</f>
        <v>NA</v>
      </c>
      <c r="CS582" s="23" t="str">
        <f t="shared" si="4057"/>
        <v>NM</v>
      </c>
    </row>
    <row r="583" spans="1:105" ht="12.75" hidden="1" customHeight="1" outlineLevel="1" x14ac:dyDescent="0.2">
      <c r="A583" s="3" t="s">
        <v>130</v>
      </c>
      <c r="B583" s="72">
        <f t="shared" ref="B583" si="4078">B576-B582</f>
        <v>26.699999999999978</v>
      </c>
      <c r="C583" s="59"/>
      <c r="D583" s="72">
        <f t="shared" ref="D583" si="4079">D576-D582</f>
        <v>41.700000000000031</v>
      </c>
      <c r="E583" s="59"/>
      <c r="F583" s="72">
        <f t="shared" ref="F583" si="4080">F576-F582</f>
        <v>31.200000000000003</v>
      </c>
      <c r="G583" s="59"/>
      <c r="H583" s="72">
        <f t="shared" ref="H583" si="4081">H576-H582</f>
        <v>22</v>
      </c>
      <c r="I583" s="59"/>
      <c r="J583" s="72">
        <f t="shared" ref="J583" si="4082">J576-J582</f>
        <v>49.099999999999923</v>
      </c>
      <c r="K583" s="23">
        <f>IF(ISERROR((J583/B583-1)*100),"NA",IF(((J583/B583-1)*100)&gt;100,"NM",IF(((J583/B583-1)*100)&lt;-50,"NM",(J583/B583-1)*100)))</f>
        <v>83.8951310861422</v>
      </c>
      <c r="L583" s="72">
        <f t="shared" ref="L583" si="4083">L576-L582</f>
        <v>54.200000000000024</v>
      </c>
      <c r="M583" s="23">
        <f>IF(ISERROR((L583/D583-1)*100),"NA",IF(((L583/D583-1)*100)&gt;100,"NM",IF(((L583/D583-1)*100)&lt;-50,"NM",(L583/D583-1)*100)))</f>
        <v>29.976019184652248</v>
      </c>
      <c r="N583" s="72">
        <f t="shared" ref="N583" si="4084">N576-N582</f>
        <v>45.800000000000026</v>
      </c>
      <c r="O583" s="23">
        <f>IF(ISERROR((N583/F583-1)*100),"NA",IF(((N583/F583-1)*100)&gt;100,"NM",IF(((N583/F583-1)*100)&lt;-50,"NM",(N583/F583-1)*100)))</f>
        <v>46.794871794871874</v>
      </c>
      <c r="P583" s="72">
        <f t="shared" ref="P583" si="4085">P576-P582</f>
        <v>50.70000000000001</v>
      </c>
      <c r="Q583" s="23" t="str">
        <f>IF(ISERROR((P583/H583-1)*100),"NA",IF(((P583/H583-1)*100)&gt;100,"NM",IF(((P583/H583-1)*100)&lt;-50,"NM",(P583/H583-1)*100)))</f>
        <v>NM</v>
      </c>
      <c r="R583" s="72">
        <f t="shared" ref="R583" si="4086">R576-R582</f>
        <v>45.674999999999955</v>
      </c>
      <c r="S583" s="23">
        <f>IF(ISERROR((R583/J583-1)*100),"NA",IF(((R583/J583-1)*100)&gt;100,"NM",IF(((R583/J583-1)*100)&lt;-50,"NM",(R583/J583-1)*100)))</f>
        <v>-6.9755600814663481</v>
      </c>
      <c r="T583" s="72">
        <f t="shared" ref="T583" si="4087">T576-T582</f>
        <v>44.499999999999972</v>
      </c>
      <c r="U583" s="23">
        <f>IF(ISERROR((T583/L583-1)*100),"NA",IF(((T583/L583-1)*100)&gt;100,"NM",IF(((T583/L583-1)*100)&lt;-50,"NM",(T583/L583-1)*100)))</f>
        <v>-17.896678966789757</v>
      </c>
      <c r="V583" s="72">
        <f t="shared" ref="V583" si="4088">V576-V582</f>
        <v>44.2</v>
      </c>
      <c r="W583" s="23">
        <f>IF(ISERROR((V583/N583-1)*100),"NA",IF(((V583/N583-1)*100)&gt;100,"NM",IF(((V583/N583-1)*100)&lt;-50,"NM",(V583/N583-1)*100)))</f>
        <v>-3.4934497816594412</v>
      </c>
      <c r="X583" s="72">
        <f t="shared" ref="X583" si="4089">X576-X582</f>
        <v>55.600000000000044</v>
      </c>
      <c r="Y583" s="23">
        <f>IF(ISERROR((X583/P583-1)*100),"NA",IF(((X583/P583-1)*100)&gt;100,"NM",IF(((X583/P583-1)*100)&lt;-50,"NM",(X583/P583-1)*100)))</f>
        <v>9.664694280078967</v>
      </c>
      <c r="Z583" s="72">
        <f t="shared" ref="Z583" si="4090">Z576-Z582</f>
        <v>51.600000000000065</v>
      </c>
      <c r="AA583" s="23">
        <f>IF(ISERROR((Z583/R583-1)*100),"NA",IF(((Z583/R583-1)*100)&gt;100,"NM",IF(((Z583/R583-1)*100)&lt;-50,"NM",(Z583/R583-1)*100)))</f>
        <v>12.972085385878751</v>
      </c>
      <c r="AB583" s="72">
        <f t="shared" ref="AB583" si="4091">AB576-AB582</f>
        <v>57.700000000000045</v>
      </c>
      <c r="AC583" s="23">
        <f>IF(ISERROR((AB583/T583-1)*100),"NA",IF(((AB583/T583-1)*100)&gt;100,"NM",IF(((AB583/T583-1)*100)&lt;-50,"NM",(AB583/T583-1)*100)))</f>
        <v>29.662921348314786</v>
      </c>
      <c r="AD583" s="72">
        <f t="shared" ref="AD583" si="4092">AD576-AD582</f>
        <v>54.279999999999959</v>
      </c>
      <c r="AE583" s="23">
        <f>IF(ISERROR((AD583/V583-1)*100),"NA",IF(((AD583/V583-1)*100)&gt;100,"NM",IF(((AD583/V583-1)*100)&lt;-50,"NM",(AD583/V583-1)*100)))</f>
        <v>22.805429864253291</v>
      </c>
      <c r="AF583" s="72">
        <f t="shared" ref="AF583" si="4093">AF576-AF582</f>
        <v>63.000000000000014</v>
      </c>
      <c r="AG583" s="23">
        <f>IF(ISERROR((AF583/X583-1)*100),"NA",IF(((AF583/X583-1)*100)&gt;100,"NM",IF(((AF583/X583-1)*100)&lt;-50,"NM",(AF583/X583-1)*100)))</f>
        <v>13.309352517985552</v>
      </c>
      <c r="AH583" s="72">
        <f t="shared" ref="AH583" si="4094">AH576-AH582</f>
        <v>60.880000000000024</v>
      </c>
      <c r="AI583" s="23">
        <f>IF(ISERROR((AH583/Z583-1)*100),"NA",IF(((AH583/Z583-1)*100)&gt;100,"NM",IF(((AH583/Z583-1)*100)&lt;-50,"NM",(AH583/Z583-1)*100)))</f>
        <v>17.984496124030901</v>
      </c>
      <c r="AJ583" s="72">
        <f t="shared" ref="AJ583" si="4095">AJ576-AJ582</f>
        <v>55.999999999999943</v>
      </c>
      <c r="AK583" s="23">
        <f>IF(ISERROR((AJ583/AB583-1)*100),"NA",IF(((AJ583/AB583-1)*100)&gt;100,"NM",IF(((AJ583/AB583-1)*100)&lt;-50,"NM",(AJ583/AB583-1)*100)))</f>
        <v>-2.9462738301561542</v>
      </c>
      <c r="AL583" s="72">
        <f t="shared" ref="AL583" si="4096">AL576-AL582</f>
        <v>64.399999999999963</v>
      </c>
      <c r="AM583" s="23">
        <f>IF(ISERROR((AL583/AD583-1)*100),"NA",IF(((AL583/AD583-1)*100)&gt;100,"NM",IF(((AL583/AD583-1)*100)&lt;-50,"NM",(AL583/AD583-1)*100)))</f>
        <v>18.644067796610187</v>
      </c>
      <c r="AN583" s="72">
        <f t="shared" ref="AN583" si="4097">AN576-AN582</f>
        <v>52.000000000000036</v>
      </c>
      <c r="AO583" s="23">
        <f>IF(ISERROR((AN583/AF583-1)*100),"NA",IF(((AN583/AF583-1)*100)&gt;100,"NM",IF(((AN583/AF583-1)*100)&lt;-50,"NM",(AN583/AF583-1)*100)))</f>
        <v>-17.46031746031742</v>
      </c>
      <c r="AP583" s="72">
        <f t="shared" ref="AP583" si="4098">AP576-AP582</f>
        <v>42.999999999999972</v>
      </c>
      <c r="AQ583" s="23">
        <f t="shared" si="4060"/>
        <v>-29.369250985545413</v>
      </c>
      <c r="AR583" s="72">
        <f t="shared" ref="AR583" si="4099">AR576-AR582</f>
        <v>58.200000000000053</v>
      </c>
      <c r="AS583" s="23">
        <f t="shared" si="4062"/>
        <v>3.9285714285716367</v>
      </c>
      <c r="AT583" s="72">
        <f t="shared" ref="AT583" si="4100">AT576-AT582</f>
        <v>51.899999999999956</v>
      </c>
      <c r="AU583" s="23">
        <f t="shared" si="4064"/>
        <v>-19.40993788819878</v>
      </c>
      <c r="AV583" s="72">
        <f t="shared" ref="AV583" si="4101">AV576-AV582</f>
        <v>66.3</v>
      </c>
      <c r="AW583" s="23">
        <f t="shared" si="4066"/>
        <v>27.499999999999901</v>
      </c>
      <c r="AX583" s="72">
        <f t="shared" ref="AX583" si="4102">AX576-AX582</f>
        <v>55.000000000000028</v>
      </c>
      <c r="AY583" s="23">
        <f t="shared" si="4068"/>
        <v>27.906976744186206</v>
      </c>
      <c r="AZ583" s="72">
        <f t="shared" ref="AZ583" si="4103">AZ576-AZ582</f>
        <v>54.800000000000011</v>
      </c>
      <c r="BA583" s="23">
        <f t="shared" si="4070"/>
        <v>-5.8419243986254976</v>
      </c>
      <c r="BB583" s="72">
        <f t="shared" ref="BB583:BD583" si="4104">BB576-BB582</f>
        <v>56.400000000000034</v>
      </c>
      <c r="BC583" s="23">
        <f t="shared" si="4072"/>
        <v>8.6705202312140415</v>
      </c>
      <c r="BD583" s="72">
        <f t="shared" si="4104"/>
        <v>0</v>
      </c>
      <c r="BE583" s="23" t="str">
        <f t="shared" si="4073"/>
        <v>NM</v>
      </c>
      <c r="BF583" s="72" t="e">
        <f t="shared" ref="BF583" si="4105">BF576-BF582</f>
        <v>#DIV/0!</v>
      </c>
      <c r="BG583" s="23" t="str">
        <f t="shared" si="4075"/>
        <v>NA</v>
      </c>
      <c r="BH583" s="72" t="e">
        <f t="shared" ref="BH583" si="4106">BH576-BH582</f>
        <v>#DIV/0!</v>
      </c>
      <c r="BI583" s="23"/>
      <c r="BJ583" s="72"/>
      <c r="BK583" s="23"/>
      <c r="BL583" s="72"/>
      <c r="BM583" s="23" t="str">
        <f t="shared" si="4077"/>
        <v>NA</v>
      </c>
      <c r="BN583" s="35"/>
      <c r="BO583" s="137"/>
      <c r="BP583" s="35"/>
      <c r="BQ583" s="73">
        <f>BQ576-BQ582</f>
        <v>42.699999999999989</v>
      </c>
      <c r="BR583" s="37"/>
      <c r="BS583" s="73">
        <f>BS576-BS582</f>
        <v>125.20000000000006</v>
      </c>
      <c r="BT583" s="35"/>
      <c r="BU583" s="73">
        <f>BU576-BU582</f>
        <v>121.60000000000014</v>
      </c>
      <c r="BV583" s="23">
        <f t="shared" si="4055"/>
        <v>-2.8753993610223016</v>
      </c>
      <c r="BW583" s="73">
        <f>BW576-BW582</f>
        <v>199.80000000000007</v>
      </c>
      <c r="BX583" s="23">
        <f t="shared" si="4056"/>
        <v>64.309210526315667</v>
      </c>
      <c r="BY583" s="73">
        <f>BY576-BY582</f>
        <v>189.97499999999997</v>
      </c>
      <c r="BZ583" s="23">
        <f>IF(ISERROR((BY583/BW583-1)*100),"NA",IF(((BY583/BW583-1)*100)&gt;100,"NM",IF(((BY583/BW583-1)*100)&lt;-50,"NM",(BY583/BW583-1)*100)))</f>
        <v>-4.917417417417469</v>
      </c>
      <c r="CA583" s="73">
        <f>CA576-CA582</f>
        <v>226.5800000000001</v>
      </c>
      <c r="CB583" s="23">
        <f>IF(ISERROR((CA583/BY583-1)*100),"NA",IF(((CA583/BY583-1)*100)&gt;100,"NM",IF(((CA583/BY583-1)*100)&lt;-50,"NM",(CA583/BY583-1)*100)))</f>
        <v>19.268324779576339</v>
      </c>
      <c r="CC583" s="73">
        <f>CC576-CC582</f>
        <v>233.28000000000014</v>
      </c>
      <c r="CD583" s="23">
        <f>IF(ISERROR((CC583/CA583-1)*100),"NA",IF(((CC583/CA583-1)*100)&gt;100,"NM",IF(((CC583/CA583-1)*100)&lt;-50,"NM",(CC583/CA583-1)*100)))</f>
        <v>2.9570129755494889</v>
      </c>
      <c r="CE583" s="73">
        <f>CE576-CE582</f>
        <v>219.4</v>
      </c>
      <c r="CF583" s="23">
        <f>IF(ISERROR((CE583/CC583-1)*100),"NA",IF(((CE583/CC583-1)*100)&gt;100,"NM",IF(((CE583/CC583-1)*100)&lt;-50,"NM",(CE583/CC583-1)*100)))</f>
        <v>-5.9499314128944274</v>
      </c>
      <c r="CG583" s="73">
        <f>CG576-CG582</f>
        <v>166.20000000000005</v>
      </c>
      <c r="CH583" s="23">
        <f>IF(ISERROR((CG583/CE583-1)*100),"NA",IF(((CG583/CE583-1)*100)&gt;100,"NM",IF(((CG583/CE583-1)*100)&lt;-50,"NM",(CG583/CE583-1)*100)))</f>
        <v>-24.247948951686393</v>
      </c>
      <c r="CI583" s="73" t="e">
        <f>CI576-CI582</f>
        <v>#DIV/0!</v>
      </c>
      <c r="CJ583" s="23"/>
      <c r="CK583" s="73"/>
      <c r="CL583" s="23"/>
      <c r="CM583" s="73"/>
      <c r="CN583" s="23"/>
      <c r="CO583" s="73"/>
      <c r="CP583" s="23"/>
      <c r="CQ583" s="73"/>
      <c r="CR583" s="23" t="str">
        <f>IF(ISERROR((CQ583/CO583-1)*100),"NA",IF(((CQ583/CO583-1)*100)&gt;100,"NM",IF(((CQ583/CO583-1)*100)&lt;-50,"NM",(CQ583/CO583-1)*100)))</f>
        <v>NA</v>
      </c>
      <c r="CS583" s="23" t="str">
        <f t="shared" si="4057"/>
        <v>NM</v>
      </c>
    </row>
    <row r="584" spans="1:105" ht="12.75" hidden="1" customHeight="1" outlineLevel="1" x14ac:dyDescent="0.2">
      <c r="A584" s="4" t="s">
        <v>131</v>
      </c>
      <c r="B584" s="35">
        <f t="shared" ref="B584" si="4107">B583/B553*100</f>
        <v>7.7865266841644729</v>
      </c>
      <c r="C584" s="59"/>
      <c r="D584" s="35">
        <f t="shared" ref="D584" si="4108">D583/D553*100</f>
        <v>11.365494685200336</v>
      </c>
      <c r="E584" s="59"/>
      <c r="F584" s="35">
        <f t="shared" ref="F584" si="4109">F583/F553*100</f>
        <v>8.8036117381489856</v>
      </c>
      <c r="G584" s="59"/>
      <c r="H584" s="35">
        <f t="shared" ref="H584" si="4110">H583/H553*100</f>
        <v>7.1289695398574198</v>
      </c>
      <c r="I584" s="59"/>
      <c r="J584" s="35">
        <f t="shared" ref="J584" si="4111">J583/J553*100</f>
        <v>14.479504570923011</v>
      </c>
      <c r="K584" s="23">
        <f>IF(ISERROR((J584/B584-1)*100),"NA",IF(((J584/B584-1)*100)&gt;100,"NM",IF(((J584/B584-1)*100)&lt;-50,"NM",(J584/B584-1)*100)))</f>
        <v>85.955884545674337</v>
      </c>
      <c r="L584" s="35">
        <f t="shared" ref="L584" si="4112">L583/L553*100</f>
        <v>17.097791798107263</v>
      </c>
      <c r="M584" s="23">
        <f>IF(ISERROR((L584/D584-1)*100),"NA",IF(((L584/D584-1)*100)&gt;100,"NM",IF(((L584/D584-1)*100)&lt;-50,"NM",(L584/D584-1)*100)))</f>
        <v>50.43596668406596</v>
      </c>
      <c r="N584" s="35">
        <f t="shared" ref="N584" si="4113">N583/N553*100</f>
        <v>15.115511551155125</v>
      </c>
      <c r="O584" s="23">
        <f>IF(ISERROR((N584/F584-1)*100),"NA",IF(((N584/F584-1)*100)&gt;100,"NM",IF(((N584/F584-1)*100)&lt;-50,"NM",(N584/F584-1)*100)))</f>
        <v>71.696708132351787</v>
      </c>
      <c r="P584" s="35">
        <f t="shared" ref="P584" si="4114">P583/P553*100</f>
        <v>16.136218968809679</v>
      </c>
      <c r="Q584" s="23" t="str">
        <f>IF(ISERROR((P584/H584-1)*100),"NA",IF(((P584/H584-1)*100)&gt;100,"NM",IF(((P584/H584-1)*100)&lt;-50,"NM",(P584/H584-1)*100)))</f>
        <v>NM</v>
      </c>
      <c r="R584" s="35">
        <f t="shared" ref="R584" si="4115">R583/R553*100</f>
        <v>14.985236220472428</v>
      </c>
      <c r="S584" s="23">
        <f>IF(ISERROR((R584/J584-1)*100),"NA",IF(((R584/J584-1)*100)&gt;100,"NM",IF(((R584/J584-1)*100)&lt;-50,"NM",(R584/J584-1)*100)))</f>
        <v>3.4927413923056649</v>
      </c>
      <c r="T584" s="35">
        <f t="shared" ref="T584" si="4116">T583/T553*100</f>
        <v>14.887922382067572</v>
      </c>
      <c r="U584" s="23">
        <f>IF(ISERROR((T584/L584-1)*100),"NA",IF(((T584/L584-1)*100)&gt;100,"NM",IF(((T584/L584-1)*100)&lt;-50,"NM",(T584/L584-1)*100)))</f>
        <v>-12.924882008940619</v>
      </c>
      <c r="V584" s="35">
        <f t="shared" ref="V584" si="4117">V583/V553*100</f>
        <v>14.23510466988728</v>
      </c>
      <c r="W584" s="23">
        <f>IF(ISERROR((V584/N584-1)*100),"NA",IF(((V584/N584-1)*100)&gt;100,"NM",IF(((V584/N584-1)*100)&lt;-50,"NM",(V584/N584-1)*100)))</f>
        <v>-5.8245258738898853</v>
      </c>
      <c r="X584" s="35">
        <f t="shared" ref="X584" si="4118">X583/X553*100</f>
        <v>18.490189557698713</v>
      </c>
      <c r="Y584" s="23">
        <f>IF(ISERROR((X584/P584-1)*100),"NA",IF(((X584/P584-1)*100)&gt;100,"NM",IF(((X584/P584-1)*100)&lt;-50,"NM",(X584/P584-1)*100)))</f>
        <v>14.588117535087463</v>
      </c>
      <c r="Z584" s="35">
        <f t="shared" ref="Z584" si="4119">Z583/Z553*100</f>
        <v>17.738054314197338</v>
      </c>
      <c r="AA584" s="23">
        <f>IF(ISERROR((Z584/R584-1)*100),"NA",IF(((Z584/R584-1)*100)&gt;100,"NM",IF(((Z584/R584-1)*100)&lt;-50,"NM",(Z584/R584-1)*100)))</f>
        <v>18.370201531852292</v>
      </c>
      <c r="AB584" s="35">
        <f t="shared" ref="AB584" si="4120">AB583/AB553*100</f>
        <v>19.291206954195935</v>
      </c>
      <c r="AC584" s="23">
        <f>IF(ISERROR((AB584/T584-1)*100),"NA",IF(((AB584/T584-1)*100)&gt;100,"NM",IF(((AB584/T584-1)*100)&lt;-50,"NM",(AB584/T584-1)*100)))</f>
        <v>29.576219294588068</v>
      </c>
      <c r="AD584" s="35">
        <f t="shared" ref="AD584" si="4121">AD583/AD553*100</f>
        <v>18.069241011984008</v>
      </c>
      <c r="AE584" s="23">
        <f>IF(ISERROR((AD584/V584-1)*100),"NA",IF(((AD584/V584-1)*100)&gt;100,"NM",IF(((AD584/V584-1)*100)&lt;-50,"NM",(AD584/V584-1)*100)))</f>
        <v>26.93437407739896</v>
      </c>
      <c r="AF584" s="35">
        <f t="shared" ref="AF584" si="4122">AF583/AF553*100</f>
        <v>20.874751491053679</v>
      </c>
      <c r="AG584" s="23">
        <f>IF(ISERROR((AF584/X584-1)*100),"NA",IF(((AF584/X584-1)*100)&gt;100,"NM",IF(((AF584/X584-1)*100)&lt;-50,"NM",(AF584/X584-1)*100)))</f>
        <v>12.896362830212915</v>
      </c>
      <c r="AH584" s="35">
        <f t="shared" ref="AH584" si="4123">AH583/AH553*100</f>
        <v>20.985866942433653</v>
      </c>
      <c r="AI584" s="23">
        <f>IF(ISERROR((AH584/Z584-1)*100),"NA",IF(((AH584/Z584-1)*100)&gt;100,"NM",IF(((AH584/Z584-1)*100)&lt;-50,"NM",(AH584/Z584-1)*100)))</f>
        <v>18.309858402208199</v>
      </c>
      <c r="AJ584" s="35">
        <f t="shared" ref="AJ584" si="4124">AJ583/AJ553*100</f>
        <v>19.697502638058374</v>
      </c>
      <c r="AK584" s="23">
        <f>IF(ISERROR((AJ584/AB584-1)*100),"NA",IF(((AJ584/AB584-1)*100)&gt;100,"NM",IF(((AJ584/AB584-1)*100)&lt;-50,"NM",(AJ584/AB584-1)*100)))</f>
        <v>2.1061185276127548</v>
      </c>
      <c r="AL584" s="35">
        <f t="shared" ref="AL584" si="4125">AL583/AL553*100</f>
        <v>21.121679239094775</v>
      </c>
      <c r="AM584" s="23">
        <f>IF(ISERROR((AL584/AD584-1)*100),"NA",IF(((AL584/AD584-1)*100)&gt;100,"NM",IF(((AL584/AD584-1)*100)&lt;-50,"NM",(AL584/AD584-1)*100)))</f>
        <v>16.893007432278463</v>
      </c>
      <c r="AN584" s="409">
        <f t="shared" ref="AN584" si="4126">AN583/AN553*100</f>
        <v>17.711171662125352</v>
      </c>
      <c r="AO584" s="23">
        <f>IF(ISERROR((AN584/AF584-1)*100),"NA",IF(((AN584/AF584-1)*100)&gt;100,"NM",IF(((AN584/AF584-1)*100)&lt;-50,"NM",(AN584/AF584-1)*100)))</f>
        <v>-15.155053847151889</v>
      </c>
      <c r="AP584" s="409">
        <f t="shared" ref="AP584" si="4127">AP583/AP553*100</f>
        <v>15.607985480943729</v>
      </c>
      <c r="AQ584" s="23">
        <f t="shared" si="4060"/>
        <v>-25.626205847211338</v>
      </c>
      <c r="AR584" s="409">
        <f t="shared" ref="AR584" si="4128">AR583/AR553*100</f>
        <v>20.020639834881333</v>
      </c>
      <c r="AS584" s="23">
        <f t="shared" si="4062"/>
        <v>1.6404983045851251</v>
      </c>
      <c r="AT584" s="409">
        <f t="shared" ref="AT584" si="4129">AT583/AT553*100</f>
        <v>18.248945147679311</v>
      </c>
      <c r="AU584" s="23">
        <f t="shared" si="4064"/>
        <v>-13.600879261996512</v>
      </c>
      <c r="AV584" s="409">
        <f t="shared" ref="AV584" si="4130">AV583/AV553*100</f>
        <v>22.14428857715431</v>
      </c>
      <c r="AW584" s="23">
        <f t="shared" si="4066"/>
        <v>25.030060120240407</v>
      </c>
      <c r="AX584" s="409">
        <f t="shared" ref="AX584" si="4131">AX583/AX553*100</f>
        <v>19.635844341306687</v>
      </c>
      <c r="AY584" s="23">
        <f t="shared" si="4068"/>
        <v>25.80639804720921</v>
      </c>
      <c r="AZ584" s="409">
        <f t="shared" ref="AZ584" si="4132">AZ583/AZ553*100</f>
        <v>19.557458957887228</v>
      </c>
      <c r="BA584" s="23">
        <f t="shared" si="4070"/>
        <v>-2.3135168546767448</v>
      </c>
      <c r="BB584" s="409">
        <f t="shared" ref="BB584:BD584" si="4133">BB583/BB553*100</f>
        <v>20.106951871657767</v>
      </c>
      <c r="BC584" s="23">
        <f t="shared" si="4072"/>
        <v>10.181447250471543</v>
      </c>
      <c r="BD584" s="409" t="e">
        <f t="shared" si="4133"/>
        <v>#DIV/0!</v>
      </c>
      <c r="BE584" s="23" t="str">
        <f t="shared" si="4073"/>
        <v>NA</v>
      </c>
      <c r="BF584" s="409" t="e">
        <f t="shared" ref="BF584" si="4134">BF583/BF553*100</f>
        <v>#DIV/0!</v>
      </c>
      <c r="BG584" s="23" t="str">
        <f t="shared" si="4075"/>
        <v>NA</v>
      </c>
      <c r="BH584" s="409" t="e">
        <f t="shared" ref="BH584" si="4135">BH583/BH553*100</f>
        <v>#DIV/0!</v>
      </c>
      <c r="BI584" s="23"/>
      <c r="BJ584" s="35"/>
      <c r="BK584" s="23"/>
      <c r="BL584" s="35"/>
      <c r="BM584" s="23" t="str">
        <f t="shared" si="4077"/>
        <v>NA</v>
      </c>
      <c r="BN584" s="35"/>
      <c r="BO584" s="138"/>
      <c r="BP584" s="35"/>
      <c r="BQ584" s="113"/>
      <c r="BR584" s="113"/>
      <c r="BS584" s="113"/>
      <c r="BT584" s="35"/>
      <c r="BU584" s="35">
        <f>BU583/BU553*100</f>
        <v>8.8578088578088661</v>
      </c>
      <c r="BV584" s="23" t="str">
        <f t="shared" si="4055"/>
        <v>NA</v>
      </c>
      <c r="BW584" s="35">
        <f>BW583/BW553*100</f>
        <v>15.6915102489594</v>
      </c>
      <c r="BX584" s="23">
        <f t="shared" si="4056"/>
        <v>77.148892021146736</v>
      </c>
      <c r="BY584" s="35">
        <f>BY583/BY553*100</f>
        <v>15.637089472384554</v>
      </c>
      <c r="CA584" s="35">
        <f>CA583/CA553*100</f>
        <v>19.005200469719853</v>
      </c>
      <c r="CB584" s="23">
        <f>IF(ISERROR((CA584/BY584-1)*100),"NA",IF(((CA584/BY584-1)*100)&gt;100,"NM",IF(((CA584/BY584-1)*100)&lt;-50,"NM",(CA584/BY584-1)*100)))</f>
        <v>21.53924490413295</v>
      </c>
      <c r="CC584" s="35">
        <f>CC583/CC553*100</f>
        <v>19.889163611561099</v>
      </c>
      <c r="CD584" s="23">
        <f>IF(ISERROR((CC584/CA584-1)*100),"NA",IF(((CC584/CA584-1)*100)&gt;100,"NM",IF(((CC584/CA584-1)*100)&lt;-50,"NM",(CC584/CA584-1)*100)))</f>
        <v>4.6511645233609844</v>
      </c>
      <c r="CE584" s="35">
        <f>CE583/CE553*100</f>
        <v>19.078260869565216</v>
      </c>
      <c r="CF584" s="23">
        <f>IF(ISERROR((CE584/CC584-1)*100),"NA",IF(((CE584/CC584-1)*100)&gt;100,"NM",IF(((CE584/CC584-1)*100)&lt;-50,"NM",(CE584/CC584-1)*100)))</f>
        <v>-4.0771083079859771</v>
      </c>
      <c r="CG584" s="35">
        <f>CG583/CG553*100</f>
        <v>19.766888677450055</v>
      </c>
      <c r="CH584" s="23">
        <f>IF(ISERROR((CG584/CE584-1)*100),"NA",IF(((CG584/CE584-1)*100)&gt;100,"NM",IF(((CG584/CE584-1)*100)&lt;-50,"NM",(CG584/CE584-1)*100)))</f>
        <v>3.6094894214565354</v>
      </c>
      <c r="CI584" s="409" t="e">
        <f>CI583/CI553*100</f>
        <v>#DIV/0!</v>
      </c>
      <c r="CJ584" s="23"/>
      <c r="CK584" s="35"/>
      <c r="CL584" s="23"/>
      <c r="CM584" s="35"/>
      <c r="CN584" s="23"/>
      <c r="CO584" s="35"/>
      <c r="CP584" s="23"/>
      <c r="CQ584" s="35"/>
      <c r="CR584" s="23" t="str">
        <f>IF(ISERROR((CQ584/CO584-1)*100),"NA",IF(((CQ584/CO584-1)*100)&gt;100,"NM",IF(((CQ584/CO584-1)*100)&lt;-50,"NM",(CQ584/CO584-1)*100)))</f>
        <v>NA</v>
      </c>
      <c r="CS584" s="23" t="str">
        <f t="shared" si="4057"/>
        <v>NM</v>
      </c>
    </row>
    <row r="585" spans="1:105" ht="12.75" hidden="1" customHeight="1" outlineLevel="1" x14ac:dyDescent="0.2">
      <c r="B585" s="35"/>
      <c r="C585" s="59"/>
      <c r="D585" s="35"/>
      <c r="E585" s="59"/>
      <c r="F585" s="35"/>
      <c r="G585" s="59"/>
      <c r="H585" s="35"/>
      <c r="I585" s="59"/>
      <c r="J585" s="35"/>
      <c r="K585" s="23"/>
      <c r="L585" s="35"/>
      <c r="M585" s="23"/>
      <c r="N585" s="35"/>
      <c r="O585" s="23"/>
      <c r="P585" s="35"/>
      <c r="Q585" s="23"/>
      <c r="R585" s="35"/>
      <c r="S585" s="23"/>
      <c r="T585" s="35"/>
      <c r="U585" s="23"/>
      <c r="V585" s="35"/>
      <c r="W585" s="23"/>
      <c r="X585" s="35"/>
      <c r="Y585" s="23"/>
      <c r="Z585" s="35"/>
      <c r="AA585" s="23"/>
      <c r="AB585" s="35"/>
      <c r="AC585" s="23"/>
      <c r="AD585" s="35"/>
      <c r="AE585" s="23"/>
      <c r="AF585" s="35"/>
      <c r="AG585" s="23"/>
      <c r="AH585" s="35"/>
      <c r="AI585" s="23"/>
      <c r="AJ585" s="35"/>
      <c r="AK585" s="23"/>
      <c r="AL585" s="35"/>
      <c r="AM585" s="23"/>
      <c r="AN585" s="409"/>
      <c r="AO585" s="23"/>
      <c r="AP585" s="409"/>
      <c r="AQ585" s="23"/>
      <c r="AR585" s="409"/>
      <c r="AS585" s="23"/>
      <c r="AT585" s="409"/>
      <c r="AU585" s="23"/>
      <c r="AV585" s="409"/>
      <c r="AW585" s="23"/>
      <c r="AX585" s="409"/>
      <c r="AY585" s="23"/>
      <c r="AZ585" s="409"/>
      <c r="BA585" s="23"/>
      <c r="BB585" s="409"/>
      <c r="BC585" s="23"/>
      <c r="BD585" s="409"/>
      <c r="BE585" s="23"/>
      <c r="BF585" s="409"/>
      <c r="BG585" s="23"/>
      <c r="BH585" s="409"/>
      <c r="BI585" s="23"/>
      <c r="BJ585" s="35"/>
      <c r="BK585" s="23"/>
      <c r="BL585" s="35"/>
      <c r="BM585" s="23"/>
      <c r="BN585" s="35"/>
      <c r="BO585" s="138"/>
      <c r="BP585" s="35"/>
      <c r="BQ585" s="113"/>
      <c r="BR585" s="113"/>
      <c r="BS585" s="113"/>
      <c r="BT585" s="35"/>
      <c r="BU585" s="35"/>
      <c r="BV585" s="23"/>
      <c r="BW585" s="35"/>
      <c r="BX585" s="23"/>
      <c r="BY585" s="35"/>
      <c r="BZ585" s="23"/>
      <c r="CA585" s="35"/>
      <c r="CB585" s="23"/>
      <c r="CC585" s="35"/>
      <c r="CD585" s="23"/>
      <c r="CE585" s="35"/>
      <c r="CF585" s="23"/>
      <c r="CG585" s="35"/>
      <c r="CH585" s="23"/>
      <c r="CI585" s="409"/>
      <c r="CJ585" s="23"/>
      <c r="CK585" s="35"/>
      <c r="CL585" s="23"/>
      <c r="CM585" s="35"/>
      <c r="CN585" s="23"/>
      <c r="CO585" s="35"/>
      <c r="CP585" s="23"/>
      <c r="CQ585" s="35"/>
      <c r="CR585" s="23"/>
      <c r="CS585" s="23"/>
    </row>
    <row r="586" spans="1:105" ht="12.75" hidden="1" customHeight="1" outlineLevel="1" x14ac:dyDescent="0.2">
      <c r="A586" s="3" t="s">
        <v>506</v>
      </c>
      <c r="B586" s="115"/>
      <c r="C586" s="59"/>
      <c r="D586" s="115"/>
      <c r="E586" s="59"/>
      <c r="F586" s="115"/>
      <c r="G586" s="59"/>
      <c r="H586" s="115"/>
      <c r="I586" s="59"/>
      <c r="J586" s="115"/>
      <c r="K586" s="23"/>
      <c r="L586" s="115"/>
      <c r="M586" s="23"/>
      <c r="N586" s="115"/>
      <c r="O586" s="23"/>
      <c r="P586" s="115"/>
      <c r="Q586" s="23"/>
      <c r="R586" s="526"/>
      <c r="S586" s="23"/>
      <c r="T586" s="526"/>
      <c r="U586" s="23"/>
      <c r="V586" s="526"/>
      <c r="W586" s="23" t="str">
        <f t="shared" ref="W586:W589" si="4136">IF(ISERROR((V586/N586-1)*100),"NA",IF(((V586/N586-1)*100)&gt;100,"NM",IF(((V586/N586-1)*100)&lt;-50,"NM",(V586/N586-1)*100)))</f>
        <v>NA</v>
      </c>
      <c r="X586" s="526">
        <v>7.3</v>
      </c>
      <c r="Y586" s="23" t="str">
        <f t="shared" ref="Y586:Y589" si="4137">IF(ISERROR((X586/P586-1)*100),"NA",IF(((X586/P586-1)*100)&gt;100,"NM",IF(((X586/P586-1)*100)&lt;-50,"NM",(X586/P586-1)*100)))</f>
        <v>NA</v>
      </c>
      <c r="Z586" s="526">
        <v>7.5</v>
      </c>
      <c r="AA586" s="23" t="str">
        <f t="shared" ref="AA586:AA589" si="4138">IF(ISERROR((Z586/R586-1)*100),"NA",IF(((Z586/R586-1)*100)&gt;100,"NM",IF(((Z586/R586-1)*100)&lt;-50,"NM",(Z586/R586-1)*100)))</f>
        <v>NA</v>
      </c>
      <c r="AB586" s="526">
        <v>7.8</v>
      </c>
      <c r="AC586" s="23" t="str">
        <f t="shared" ref="AC586:AC589" si="4139">IF(ISERROR((AB586/T586-1)*100),"NA",IF(((AB586/T586-1)*100)&gt;100,"NM",IF(((AB586/T586-1)*100)&lt;-50,"NM",(AB586/T586-1)*100)))</f>
        <v>NA</v>
      </c>
      <c r="AD586" s="526">
        <v>8.6</v>
      </c>
      <c r="AE586" s="23" t="str">
        <f t="shared" ref="AE586:AE589" si="4140">IF(ISERROR((AD586/V586-1)*100),"NA",IF(((AD586/V586-1)*100)&gt;100,"NM",IF(((AD586/V586-1)*100)&lt;-50,"NM",(AD586/V586-1)*100)))</f>
        <v>NA</v>
      </c>
      <c r="AF586" s="526">
        <v>9</v>
      </c>
      <c r="AG586" s="23">
        <f t="shared" ref="AG586:AG589" si="4141">IF(ISERROR((AF586/X586-1)*100),"NA",IF(((AF586/X586-1)*100)&gt;100,"NM",IF(((AF586/X586-1)*100)&lt;-50,"NM",(AF586/X586-1)*100)))</f>
        <v>23.287671232876718</v>
      </c>
      <c r="AH586" s="526">
        <v>9.5</v>
      </c>
      <c r="AI586" s="23">
        <f t="shared" ref="AI586:AI589" si="4142">IF(ISERROR((AH586/Z586-1)*100),"NA",IF(((AH586/Z586-1)*100)&gt;100,"NM",IF(((AH586/Z586-1)*100)&lt;-50,"NM",(AH586/Z586-1)*100)))</f>
        <v>26.666666666666661</v>
      </c>
      <c r="AJ586" s="526">
        <v>9.5</v>
      </c>
      <c r="AK586" s="23">
        <f t="shared" ref="AK586:AK589" si="4143">IF(ISERROR((AJ586/AB586-1)*100),"NA",IF(((AJ586/AB586-1)*100)&gt;100,"NM",IF(((AJ586/AB586-1)*100)&lt;-50,"NM",(AJ586/AB586-1)*100)))</f>
        <v>21.794871794871806</v>
      </c>
      <c r="AL586" s="526">
        <v>9.6999999999999993</v>
      </c>
      <c r="AM586" s="23">
        <f t="shared" ref="AM586:AM589" si="4144">IF(ISERROR((AL586/AD586-1)*100),"NA",IF(((AL586/AD586-1)*100)&gt;100,"NM",IF(((AL586/AD586-1)*100)&lt;-50,"NM",(AL586/AD586-1)*100)))</f>
        <v>12.790697674418606</v>
      </c>
      <c r="AN586" s="526">
        <v>9.3000000000000007</v>
      </c>
      <c r="AO586" s="23">
        <f t="shared" ref="AO586:AO589" si="4145">IF(ISERROR((AN586/AF586-1)*100),"NA",IF(((AN586/AF586-1)*100)&gt;100,"NM",IF(((AN586/AF586-1)*100)&lt;-50,"NM",(AN586/AF586-1)*100)))</f>
        <v>3.3333333333333437</v>
      </c>
      <c r="AP586" s="526">
        <v>8.6999999999999993</v>
      </c>
      <c r="AQ586" s="23">
        <f t="shared" ref="AQ586:AQ589" si="4146">IF(ISERROR((AP586/AH586-1)*100),"NA",IF(((AP586/AH586-1)*100)&gt;100,"NM",IF(((AP586/AH586-1)*100)&lt;-50,"NM",(AP586/AH586-1)*100)))</f>
        <v>-8.4210526315789522</v>
      </c>
      <c r="AR586" s="530">
        <v>8.9</v>
      </c>
      <c r="AS586" s="23">
        <f t="shared" ref="AS586:AS589" si="4147">IF(ISERROR((AR586/AJ586-1)*100),"NA",IF(((AR586/AJ586-1)*100)&gt;100,"NM",IF(((AR586/AJ586-1)*100)&lt;-50,"NM",(AR586/AJ586-1)*100)))</f>
        <v>-6.315789473684208</v>
      </c>
      <c r="AT586" s="530">
        <v>8.9</v>
      </c>
      <c r="AU586" s="23">
        <f t="shared" ref="AU586:AU589" si="4148">IF(ISERROR((AT586/AL586-1)*100),"NA",IF(((AT586/AL586-1)*100)&gt;100,"NM",IF(((AT586/AL586-1)*100)&lt;-50,"NM",(AT586/AL586-1)*100)))</f>
        <v>-8.2474226804123631</v>
      </c>
      <c r="AV586" s="530">
        <v>9.8000000000000007</v>
      </c>
      <c r="AW586" s="23"/>
      <c r="AX586" s="530">
        <v>10.6</v>
      </c>
      <c r="AY586" s="23"/>
      <c r="AZ586" s="530">
        <v>10.9</v>
      </c>
      <c r="BA586" s="23"/>
      <c r="BB586" s="530">
        <v>11.2</v>
      </c>
      <c r="BC586" s="23"/>
      <c r="BD586" s="530"/>
      <c r="BE586" s="23"/>
      <c r="BF586" s="533" t="e">
        <f t="shared" ref="BF586:BH586" si="4149">((BF583+BD583+BB583+AZ583)*0.68)/BF589*100</f>
        <v>#DIV/0!</v>
      </c>
      <c r="BG586" s="23"/>
      <c r="BH586" s="533" t="e">
        <f t="shared" si="4149"/>
        <v>#DIV/0!</v>
      </c>
      <c r="BI586" s="23"/>
      <c r="BJ586" s="533"/>
      <c r="BK586" s="23"/>
      <c r="BL586" s="533"/>
      <c r="BM586" s="23"/>
      <c r="BN586" s="35"/>
      <c r="BO586" s="138"/>
      <c r="BP586" s="35"/>
      <c r="BQ586" s="113"/>
      <c r="BR586" s="113"/>
      <c r="BS586" s="113"/>
      <c r="BT586" s="35"/>
      <c r="BU586" s="115"/>
      <c r="BV586" s="23"/>
      <c r="BW586" s="115"/>
      <c r="BX586" s="23"/>
      <c r="BY586" s="533">
        <f>X586</f>
        <v>7.3</v>
      </c>
      <c r="BZ586" s="23">
        <f>IF(ISERROR((BY584/BW584-1)*100),"NA",IF(((BY584/BW584-1)*100)&gt;100,"NM",IF(((BY584/BW584-1)*100)&lt;-50,"NM",(BY584/BW584-1)*100)))</f>
        <v>-0.34681669075451449</v>
      </c>
      <c r="CA586" s="533">
        <f>AF586</f>
        <v>9</v>
      </c>
      <c r="CB586" s="23">
        <f t="shared" ref="CB586:CB589" si="4150">IF(ISERROR((CA586/BY586-1)*100),"NA",IF(((CA586/BY586-1)*100)&gt;100,"NM",IF(((CA586/BY586-1)*100)&lt;-50,"NM",(CA586/BY586-1)*100)))</f>
        <v>23.287671232876718</v>
      </c>
      <c r="CC586" s="533">
        <f>AN586</f>
        <v>9.3000000000000007</v>
      </c>
      <c r="CD586" s="23">
        <f t="shared" ref="CD586:CD589" si="4151">IF(ISERROR((CC586/CA586-1)*100),"NA",IF(((CC586/CA586-1)*100)&gt;100,"NM",IF(((CC586/CA586-1)*100)&lt;-50,"NM",(CC586/CA586-1)*100)))</f>
        <v>3.3333333333333437</v>
      </c>
      <c r="CE586" s="533">
        <f>AV586</f>
        <v>9.8000000000000007</v>
      </c>
      <c r="CF586" s="23"/>
      <c r="CG586" s="533">
        <f>BD586</f>
        <v>0</v>
      </c>
      <c r="CH586" s="23"/>
      <c r="CI586" s="533">
        <f>BL586</f>
        <v>0</v>
      </c>
      <c r="CJ586" s="23"/>
      <c r="CK586" s="409"/>
      <c r="CL586" s="23"/>
      <c r="CM586" s="409"/>
      <c r="CN586" s="23"/>
      <c r="CO586" s="409"/>
      <c r="CP586" s="23"/>
      <c r="CQ586" s="409"/>
      <c r="CR586" s="23"/>
      <c r="CS586" s="23" t="str">
        <f>IF(ISERROR(((CQ586/CG586)^0.2-1)*100),"NA",IF((((CQ586/CG586)^0.2-1)*100)&gt;100,"NM",IF((((CQ586/CG586)^0.2-1)*100)&lt;-50,"NM",((CQ586/CG586)^0.2-1)*100)))</f>
        <v>NA</v>
      </c>
    </row>
    <row r="587" spans="1:105" ht="12.75" hidden="1" customHeight="1" outlineLevel="1" x14ac:dyDescent="0.2">
      <c r="A587" s="408" t="s">
        <v>503</v>
      </c>
      <c r="B587" s="115"/>
      <c r="C587" s="59"/>
      <c r="D587" s="115"/>
      <c r="E587" s="59"/>
      <c r="F587" s="115"/>
      <c r="G587" s="59"/>
      <c r="H587" s="115"/>
      <c r="I587" s="59"/>
      <c r="J587" s="115"/>
      <c r="K587" s="23"/>
      <c r="L587" s="115"/>
      <c r="M587" s="23"/>
      <c r="N587" s="115"/>
      <c r="O587" s="23"/>
      <c r="P587" s="115"/>
      <c r="Q587" s="23"/>
      <c r="R587" s="115"/>
      <c r="S587" s="23"/>
      <c r="T587" s="529"/>
      <c r="U587" s="23"/>
      <c r="V587" s="529"/>
      <c r="W587" s="23" t="str">
        <f t="shared" si="4136"/>
        <v>NA</v>
      </c>
      <c r="X587" s="48">
        <v>1810</v>
      </c>
      <c r="Y587" s="23" t="str">
        <f t="shared" si="4137"/>
        <v>NA</v>
      </c>
      <c r="Z587" s="529">
        <f t="shared" ref="Z587" si="4152">X588</f>
        <v>1713</v>
      </c>
      <c r="AA587" s="23" t="str">
        <f t="shared" si="4138"/>
        <v>NA</v>
      </c>
      <c r="AB587" s="529">
        <f t="shared" ref="AB587" si="4153">Z588</f>
        <v>1702</v>
      </c>
      <c r="AC587" s="23" t="str">
        <f t="shared" si="4139"/>
        <v>NA</v>
      </c>
      <c r="AD587" s="529">
        <f t="shared" ref="AD587" si="4154">AB588</f>
        <v>1696</v>
      </c>
      <c r="AE587" s="23" t="str">
        <f t="shared" si="4140"/>
        <v>NA</v>
      </c>
      <c r="AF587" s="529">
        <f t="shared" ref="AF587" si="4155">AD588</f>
        <v>1694</v>
      </c>
      <c r="AG587" s="23">
        <f t="shared" si="4141"/>
        <v>-6.4088397790055263</v>
      </c>
      <c r="AH587" s="529">
        <f t="shared" ref="AH587" si="4156">AF588</f>
        <v>1660</v>
      </c>
      <c r="AI587" s="23">
        <f t="shared" si="4142"/>
        <v>-3.0939871570344391</v>
      </c>
      <c r="AJ587" s="529">
        <f t="shared" ref="AJ587" si="4157">AH588</f>
        <v>1664</v>
      </c>
      <c r="AK587" s="23">
        <f t="shared" si="4143"/>
        <v>-2.2326674500587562</v>
      </c>
      <c r="AL587" s="529">
        <f t="shared" ref="AL587" si="4158">AJ588</f>
        <v>1713</v>
      </c>
      <c r="AM587" s="23">
        <f t="shared" si="4144"/>
        <v>1.0023584905660465</v>
      </c>
      <c r="AN587" s="529">
        <f t="shared" ref="AN587" si="4159">AL588</f>
        <v>1722</v>
      </c>
      <c r="AO587" s="23">
        <f t="shared" si="4145"/>
        <v>1.6528925619834656</v>
      </c>
      <c r="AP587" s="529">
        <f t="shared" ref="AP587" si="4160">AN588</f>
        <v>1656</v>
      </c>
      <c r="AQ587" s="23">
        <f t="shared" si="4146"/>
        <v>-0.24096385542168308</v>
      </c>
      <c r="AR587" s="527">
        <f t="shared" ref="AR587" si="4161">AP588</f>
        <v>1615</v>
      </c>
      <c r="AS587" s="23">
        <f t="shared" si="4147"/>
        <v>-2.9447115384615419</v>
      </c>
      <c r="AT587" s="527">
        <f t="shared" ref="AT587" si="4162">AR588</f>
        <v>1546</v>
      </c>
      <c r="AU587" s="23">
        <f t="shared" si="4148"/>
        <v>-9.7489784004670117</v>
      </c>
      <c r="AV587" s="527">
        <f>AT588</f>
        <v>1508</v>
      </c>
      <c r="AW587" s="23"/>
      <c r="AX587" s="527">
        <f>AV588</f>
        <v>1497</v>
      </c>
      <c r="AY587" s="23"/>
      <c r="AZ587" s="527">
        <f>AX588</f>
        <v>1477</v>
      </c>
      <c r="BA587" s="23"/>
      <c r="BB587" s="527">
        <f>AZ588</f>
        <v>1478</v>
      </c>
      <c r="BC587" s="23"/>
      <c r="BD587" s="527">
        <f>BB588</f>
        <v>1484</v>
      </c>
      <c r="BE587" s="23"/>
      <c r="BF587" s="527">
        <f t="shared" ref="BF587:BH587" si="4163">BD588</f>
        <v>0</v>
      </c>
      <c r="BG587" s="23"/>
      <c r="BH587" s="527">
        <f t="shared" si="4163"/>
        <v>0</v>
      </c>
      <c r="BI587" s="23"/>
      <c r="BJ587" s="529"/>
      <c r="BK587" s="23"/>
      <c r="BL587" s="529"/>
      <c r="BM587" s="23"/>
      <c r="BN587" s="35"/>
      <c r="BO587" s="138"/>
      <c r="BP587" s="35"/>
      <c r="BQ587" s="113"/>
      <c r="BR587" s="113"/>
      <c r="BS587" s="113"/>
      <c r="BT587" s="35"/>
      <c r="BU587" s="115"/>
      <c r="BV587" s="23"/>
      <c r="BW587" s="115"/>
      <c r="BX587" s="23"/>
      <c r="BY587" s="527">
        <f>X587</f>
        <v>1810</v>
      </c>
      <c r="BZ587" s="23" t="str">
        <f t="shared" ref="BZ587:BZ589" si="4164">IF(ISERROR((BY587/BW587-1)*100),"NA",IF(((BY587/BW587-1)*100)&gt;100,"NM",IF(((BY587/BW587-1)*100)&lt;-50,"NM",(BY587/BW587-1)*100)))</f>
        <v>NA</v>
      </c>
      <c r="CA587" s="527">
        <f>AF587</f>
        <v>1694</v>
      </c>
      <c r="CB587" s="23">
        <f t="shared" si="4150"/>
        <v>-6.4088397790055263</v>
      </c>
      <c r="CC587" s="527">
        <f>AN587</f>
        <v>1722</v>
      </c>
      <c r="CD587" s="23">
        <f t="shared" si="4151"/>
        <v>1.6528925619834656</v>
      </c>
      <c r="CE587" s="527">
        <f>AV587</f>
        <v>1508</v>
      </c>
      <c r="CF587" s="23"/>
      <c r="CG587" s="527">
        <f>BD587</f>
        <v>1484</v>
      </c>
      <c r="CH587" s="23"/>
      <c r="CI587" s="527">
        <f>BL587</f>
        <v>0</v>
      </c>
      <c r="CJ587" s="23"/>
      <c r="CK587" s="410"/>
      <c r="CL587" s="23"/>
      <c r="CM587" s="410"/>
      <c r="CN587" s="23"/>
      <c r="CO587" s="410"/>
      <c r="CP587" s="23"/>
      <c r="CQ587" s="410"/>
      <c r="CR587" s="23"/>
      <c r="CS587" s="23" t="str">
        <f>IF(ISERROR(((CQ587/CG587)^0.2-1)*100),"NA",IF((((CQ587/CG587)^0.2-1)*100)&gt;100,"NM",IF((((CQ587/CG587)^0.2-1)*100)&lt;-50,"NM",((CQ587/CG587)^0.2-1)*100)))</f>
        <v>NM</v>
      </c>
    </row>
    <row r="588" spans="1:105" ht="12.75" hidden="1" customHeight="1" outlineLevel="1" x14ac:dyDescent="0.2">
      <c r="A588" s="408" t="s">
        <v>504</v>
      </c>
      <c r="B588" s="115"/>
      <c r="C588" s="59"/>
      <c r="D588" s="115"/>
      <c r="E588" s="59"/>
      <c r="F588" s="115"/>
      <c r="G588" s="59"/>
      <c r="H588" s="115"/>
      <c r="I588" s="59"/>
      <c r="J588" s="115"/>
      <c r="K588" s="23"/>
      <c r="L588" s="115"/>
      <c r="M588" s="23"/>
      <c r="N588" s="115"/>
      <c r="O588" s="23"/>
      <c r="P588" s="115"/>
      <c r="Q588" s="23"/>
      <c r="R588" s="528"/>
      <c r="S588" s="23"/>
      <c r="T588" s="528"/>
      <c r="U588" s="23"/>
      <c r="V588" s="528"/>
      <c r="W588" s="23" t="str">
        <f t="shared" si="4136"/>
        <v>NA</v>
      </c>
      <c r="X588" s="528">
        <v>1713</v>
      </c>
      <c r="Y588" s="23" t="str">
        <f t="shared" si="4137"/>
        <v>NA</v>
      </c>
      <c r="Z588" s="528">
        <v>1702</v>
      </c>
      <c r="AA588" s="23" t="str">
        <f t="shared" si="4138"/>
        <v>NA</v>
      </c>
      <c r="AB588" s="528">
        <v>1696</v>
      </c>
      <c r="AC588" s="23" t="str">
        <f t="shared" si="4139"/>
        <v>NA</v>
      </c>
      <c r="AD588" s="528">
        <v>1694</v>
      </c>
      <c r="AE588" s="23" t="str">
        <f t="shared" si="4140"/>
        <v>NA</v>
      </c>
      <c r="AF588" s="528">
        <v>1660</v>
      </c>
      <c r="AG588" s="23">
        <f t="shared" si="4141"/>
        <v>-3.0939871570344391</v>
      </c>
      <c r="AH588" s="528">
        <v>1664</v>
      </c>
      <c r="AI588" s="23">
        <f t="shared" si="4142"/>
        <v>-2.2326674500587562</v>
      </c>
      <c r="AJ588" s="528">
        <v>1713</v>
      </c>
      <c r="AK588" s="23">
        <f t="shared" si="4143"/>
        <v>1.0023584905660465</v>
      </c>
      <c r="AL588" s="528">
        <v>1722</v>
      </c>
      <c r="AM588" s="23">
        <f t="shared" si="4144"/>
        <v>1.6528925619834656</v>
      </c>
      <c r="AN588" s="528">
        <v>1656</v>
      </c>
      <c r="AO588" s="23">
        <f t="shared" si="4145"/>
        <v>-0.24096385542168308</v>
      </c>
      <c r="AP588" s="528">
        <v>1615</v>
      </c>
      <c r="AQ588" s="23">
        <f t="shared" si="4146"/>
        <v>-2.9447115384615419</v>
      </c>
      <c r="AR588" s="528">
        <v>1546</v>
      </c>
      <c r="AS588" s="23">
        <f t="shared" si="4147"/>
        <v>-9.7489784004670117</v>
      </c>
      <c r="AT588" s="528">
        <v>1508</v>
      </c>
      <c r="AU588" s="23">
        <f t="shared" si="4148"/>
        <v>-12.427409988385596</v>
      </c>
      <c r="AV588" s="528">
        <v>1497</v>
      </c>
      <c r="AW588" s="23"/>
      <c r="AX588" s="528">
        <v>1477</v>
      </c>
      <c r="AY588" s="23"/>
      <c r="AZ588" s="528">
        <v>1478</v>
      </c>
      <c r="BA588" s="23"/>
      <c r="BB588" s="528">
        <v>1484</v>
      </c>
      <c r="BC588" s="23"/>
      <c r="BD588" s="528"/>
      <c r="BE588" s="23"/>
      <c r="BF588" s="528">
        <f>BF587*(1+0.045/4)</f>
        <v>0</v>
      </c>
      <c r="BG588" s="23"/>
      <c r="BH588" s="528">
        <f>BH587*(1+0.05/4)</f>
        <v>0</v>
      </c>
      <c r="BI588" s="23"/>
      <c r="BJ588" s="528"/>
      <c r="BK588" s="23"/>
      <c r="BL588" s="528"/>
      <c r="BM588" s="23"/>
      <c r="BN588" s="35"/>
      <c r="BO588" s="138"/>
      <c r="BP588" s="35"/>
      <c r="BQ588" s="113"/>
      <c r="BR588" s="113"/>
      <c r="BS588" s="113"/>
      <c r="BT588" s="35"/>
      <c r="BU588" s="115"/>
      <c r="BV588" s="23"/>
      <c r="BW588" s="115"/>
      <c r="BX588" s="23"/>
      <c r="BY588" s="527">
        <f>X588</f>
        <v>1713</v>
      </c>
      <c r="BZ588" s="23" t="str">
        <f t="shared" si="4164"/>
        <v>NA</v>
      </c>
      <c r="CA588" s="527">
        <f>AF588</f>
        <v>1660</v>
      </c>
      <c r="CB588" s="23">
        <f t="shared" si="4150"/>
        <v>-3.0939871570344391</v>
      </c>
      <c r="CC588" s="527">
        <f>AN588</f>
        <v>1656</v>
      </c>
      <c r="CD588" s="23">
        <f t="shared" si="4151"/>
        <v>-0.24096385542168308</v>
      </c>
      <c r="CE588" s="527">
        <f>AV588</f>
        <v>1497</v>
      </c>
      <c r="CF588" s="23"/>
      <c r="CG588" s="527">
        <f>BD588</f>
        <v>0</v>
      </c>
      <c r="CH588" s="23"/>
      <c r="CI588" s="527">
        <f>BL588</f>
        <v>0</v>
      </c>
      <c r="CJ588" s="23"/>
      <c r="CK588" s="538"/>
      <c r="CL588" s="23"/>
      <c r="CM588" s="538"/>
      <c r="CN588" s="23"/>
      <c r="CO588" s="538"/>
      <c r="CP588" s="23"/>
      <c r="CQ588" s="538"/>
      <c r="CR588" s="23"/>
      <c r="CS588" s="23" t="str">
        <f>IF(ISERROR(((CQ588/CG588)^0.2-1)*100),"NA",IF((((CQ588/CG588)^0.2-1)*100)&gt;100,"NM",IF((((CQ588/CG588)^0.2-1)*100)&lt;-50,"NM",((CQ588/CG588)^0.2-1)*100)))</f>
        <v>NA</v>
      </c>
    </row>
    <row r="589" spans="1:105" ht="12.75" hidden="1" customHeight="1" outlineLevel="1" x14ac:dyDescent="0.2">
      <c r="A589" s="408" t="s">
        <v>505</v>
      </c>
      <c r="B589" s="115"/>
      <c r="C589" s="59"/>
      <c r="D589" s="115"/>
      <c r="E589" s="59"/>
      <c r="F589" s="115"/>
      <c r="G589" s="59"/>
      <c r="H589" s="115"/>
      <c r="I589" s="59"/>
      <c r="J589" s="115"/>
      <c r="K589" s="23"/>
      <c r="L589" s="115"/>
      <c r="M589" s="23"/>
      <c r="N589" s="115"/>
      <c r="O589" s="23"/>
      <c r="P589" s="115"/>
      <c r="Q589" s="23"/>
      <c r="R589" s="528"/>
      <c r="S589" s="23"/>
      <c r="T589" s="528"/>
      <c r="U589" s="23"/>
      <c r="V589" s="528"/>
      <c r="W589" s="23" t="str">
        <f t="shared" si="4136"/>
        <v>NA</v>
      </c>
      <c r="X589" s="528">
        <v>1762</v>
      </c>
      <c r="Y589" s="23" t="str">
        <f t="shared" si="4137"/>
        <v>NA</v>
      </c>
      <c r="Z589" s="528">
        <v>1755</v>
      </c>
      <c r="AA589" s="23" t="str">
        <f t="shared" si="4138"/>
        <v>NA</v>
      </c>
      <c r="AB589" s="528">
        <v>1736</v>
      </c>
      <c r="AC589" s="23" t="str">
        <f t="shared" si="4139"/>
        <v>NA</v>
      </c>
      <c r="AD589" s="528">
        <v>1713</v>
      </c>
      <c r="AE589" s="23" t="str">
        <f t="shared" si="4140"/>
        <v>NA</v>
      </c>
      <c r="AF589" s="528">
        <v>1694</v>
      </c>
      <c r="AG589" s="23">
        <f t="shared" si="4141"/>
        <v>-3.8592508513053403</v>
      </c>
      <c r="AH589" s="528">
        <v>1683</v>
      </c>
      <c r="AI589" s="23">
        <f t="shared" si="4142"/>
        <v>-4.1025641025640986</v>
      </c>
      <c r="AJ589" s="528">
        <v>1680</v>
      </c>
      <c r="AK589" s="23">
        <f t="shared" si="4143"/>
        <v>-3.2258064516129004</v>
      </c>
      <c r="AL589" s="528">
        <v>1686</v>
      </c>
      <c r="AM589" s="23">
        <f t="shared" si="4144"/>
        <v>-1.5761821366024553</v>
      </c>
      <c r="AN589" s="528">
        <v>1689</v>
      </c>
      <c r="AO589" s="23">
        <f t="shared" si="4145"/>
        <v>-0.29515938606847758</v>
      </c>
      <c r="AP589" s="528">
        <v>1683</v>
      </c>
      <c r="AQ589" s="23">
        <f t="shared" si="4146"/>
        <v>0</v>
      </c>
      <c r="AR589" s="528">
        <v>1656</v>
      </c>
      <c r="AS589" s="23">
        <f t="shared" si="4147"/>
        <v>-1.4285714285714235</v>
      </c>
      <c r="AT589" s="528">
        <v>1608</v>
      </c>
      <c r="AU589" s="23">
        <f t="shared" si="4148"/>
        <v>-4.6263345195729499</v>
      </c>
      <c r="AV589" s="528">
        <v>1561</v>
      </c>
      <c r="AW589" s="23"/>
      <c r="AX589" s="528">
        <v>1524</v>
      </c>
      <c r="AY589" s="23"/>
      <c r="AZ589" s="528">
        <v>1499</v>
      </c>
      <c r="BA589" s="23"/>
      <c r="BB589" s="528">
        <v>1487</v>
      </c>
      <c r="BC589" s="23"/>
      <c r="BD589" s="528"/>
      <c r="BE589" s="23"/>
      <c r="BF589" s="528">
        <f t="shared" ref="BF589:BH589" si="4165">AVERAGE(BD588,BB588,AZ588,AX588,BF588)</f>
        <v>1109.75</v>
      </c>
      <c r="BG589" s="23"/>
      <c r="BH589" s="528">
        <f t="shared" si="4165"/>
        <v>740.5</v>
      </c>
      <c r="BI589" s="23"/>
      <c r="BJ589" s="528"/>
      <c r="BK589" s="23"/>
      <c r="BL589" s="528"/>
      <c r="BM589" s="23"/>
      <c r="BN589" s="35"/>
      <c r="BO589" s="138"/>
      <c r="BP589" s="35"/>
      <c r="BQ589" s="113"/>
      <c r="BR589" s="113"/>
      <c r="BS589" s="113"/>
      <c r="BT589" s="35"/>
      <c r="BU589" s="115"/>
      <c r="BV589" s="23"/>
      <c r="BW589" s="115"/>
      <c r="BX589" s="23"/>
      <c r="BY589" s="527">
        <f>X589</f>
        <v>1762</v>
      </c>
      <c r="BZ589" s="23" t="str">
        <f t="shared" si="4164"/>
        <v>NA</v>
      </c>
      <c r="CA589" s="527">
        <f>AF589</f>
        <v>1694</v>
      </c>
      <c r="CB589" s="23">
        <f t="shared" si="4150"/>
        <v>-3.8592508513053403</v>
      </c>
      <c r="CC589" s="527">
        <f>AN589</f>
        <v>1689</v>
      </c>
      <c r="CD589" s="23">
        <f t="shared" si="4151"/>
        <v>-0.29515938606847758</v>
      </c>
      <c r="CE589" s="527">
        <f>AV589</f>
        <v>1561</v>
      </c>
      <c r="CF589" s="23"/>
      <c r="CG589" s="527">
        <f>BD589</f>
        <v>0</v>
      </c>
      <c r="CH589" s="23"/>
      <c r="CI589" s="527">
        <f>BL589</f>
        <v>0</v>
      </c>
      <c r="CJ589" s="23"/>
      <c r="CK589" s="410"/>
      <c r="CL589" s="23"/>
      <c r="CM589" s="410"/>
      <c r="CN589" s="23"/>
      <c r="CO589" s="410"/>
      <c r="CP589" s="23"/>
      <c r="CQ589" s="410"/>
      <c r="CR589" s="23"/>
      <c r="CS589" s="23" t="str">
        <f>IF(ISERROR(((CQ589/CG589)^0.2-1)*100),"NA",IF((((CQ589/CG589)^0.2-1)*100)&gt;100,"NM",IF((((CQ589/CG589)^0.2-1)*100)&lt;-50,"NM",((CQ589/CG589)^0.2-1)*100)))</f>
        <v>NA</v>
      </c>
    </row>
    <row r="590" spans="1:105" ht="12.75" hidden="1" customHeight="1" outlineLevel="1" x14ac:dyDescent="0.2">
      <c r="J590" s="5"/>
      <c r="L590" s="5"/>
      <c r="N590" s="5"/>
      <c r="P590" s="5"/>
      <c r="R590" s="5"/>
      <c r="T590" s="5"/>
      <c r="V590" s="5"/>
      <c r="X590" s="5"/>
      <c r="Z590" s="5"/>
      <c r="AB590" s="5"/>
      <c r="AD590" s="5"/>
      <c r="AF590" s="5"/>
      <c r="AH590" s="5"/>
      <c r="AJ590" s="5"/>
      <c r="AL590" s="5"/>
      <c r="AN590" s="475"/>
      <c r="AP590" s="475"/>
      <c r="AR590" s="475"/>
      <c r="AT590" s="475"/>
      <c r="AV590" s="475"/>
      <c r="AX590" s="475"/>
      <c r="AZ590" s="475"/>
      <c r="BB590" s="475"/>
      <c r="BD590" s="475"/>
      <c r="BF590" s="5"/>
      <c r="BH590" s="5"/>
      <c r="BJ590" s="5"/>
      <c r="BL590" s="5"/>
      <c r="BN590" s="10"/>
      <c r="BO590" s="136"/>
      <c r="BP590" s="10"/>
      <c r="BQ590" s="10"/>
      <c r="BR590" s="5"/>
      <c r="BS590" s="5"/>
      <c r="BT590" s="5"/>
      <c r="BU590" s="5"/>
      <c r="BW590" s="5"/>
    </row>
    <row r="591" spans="1:105" s="129" customFormat="1" ht="12.75" hidden="1" customHeight="1" outlineLevel="2" x14ac:dyDescent="0.2">
      <c r="A591" s="126" t="s">
        <v>275</v>
      </c>
      <c r="B591" s="127"/>
      <c r="C591" s="128"/>
      <c r="D591" s="127"/>
      <c r="E591" s="128"/>
      <c r="F591" s="127"/>
      <c r="G591" s="128"/>
      <c r="H591" s="127"/>
      <c r="I591" s="128"/>
      <c r="K591" s="130"/>
      <c r="M591" s="130"/>
      <c r="O591" s="130"/>
      <c r="Q591" s="130"/>
      <c r="S591" s="130"/>
      <c r="U591" s="130"/>
      <c r="W591" s="130"/>
      <c r="Y591" s="130"/>
      <c r="AA591" s="130"/>
      <c r="AC591" s="130"/>
      <c r="AE591" s="130"/>
      <c r="AG591" s="130"/>
      <c r="AI591" s="130"/>
      <c r="AK591" s="130"/>
      <c r="AM591" s="130"/>
      <c r="AO591" s="130"/>
      <c r="AQ591" s="130"/>
      <c r="AS591" s="130"/>
      <c r="AU591" s="130"/>
      <c r="AW591" s="130"/>
      <c r="AY591" s="130"/>
      <c r="BA591" s="130"/>
      <c r="BC591" s="130"/>
      <c r="BE591" s="130"/>
      <c r="BG591" s="130"/>
      <c r="BI591" s="130"/>
      <c r="BK591" s="130"/>
      <c r="BM591" s="130"/>
      <c r="BO591" s="135"/>
      <c r="BV591" s="130"/>
      <c r="BX591" s="130"/>
      <c r="BZ591" s="130"/>
      <c r="CB591" s="130"/>
      <c r="CD591" s="130"/>
      <c r="CF591" s="130"/>
      <c r="CH591" s="130"/>
      <c r="CJ591" s="130"/>
      <c r="CL591" s="130"/>
      <c r="CN591" s="130"/>
      <c r="CP591" s="130"/>
      <c r="CR591" s="130"/>
      <c r="CS591" s="130"/>
      <c r="CV591"/>
      <c r="CW591"/>
      <c r="CX591"/>
      <c r="CY591"/>
      <c r="CZ591"/>
      <c r="DA591"/>
    </row>
    <row r="592" spans="1:105" ht="12.75" hidden="1" customHeight="1" outlineLevel="2" x14ac:dyDescent="0.2">
      <c r="J592" s="5"/>
      <c r="L592" s="5"/>
      <c r="N592" s="5"/>
      <c r="P592" s="5"/>
      <c r="R592" s="5"/>
      <c r="T592" s="5"/>
      <c r="V592" s="5"/>
      <c r="X592" s="5"/>
      <c r="Z592" s="5"/>
      <c r="AB592" s="5"/>
      <c r="AD592" s="5"/>
      <c r="AF592" s="5"/>
      <c r="AH592" s="5"/>
      <c r="AJ592" s="5"/>
      <c r="AL592" s="5"/>
      <c r="AN592" s="475"/>
      <c r="AP592" s="475"/>
      <c r="AR592" s="475"/>
      <c r="AT592" s="475"/>
      <c r="AV592" s="475"/>
      <c r="AX592" s="475"/>
      <c r="AZ592" s="475"/>
      <c r="BB592" s="475"/>
      <c r="BD592" s="475"/>
      <c r="BF592" s="5"/>
      <c r="BH592" s="5"/>
      <c r="BJ592" s="5"/>
      <c r="BL592" s="5"/>
      <c r="BN592" s="10"/>
      <c r="BO592" s="136"/>
      <c r="BP592" s="10"/>
      <c r="BQ592" s="10"/>
      <c r="BR592" s="5"/>
      <c r="BS592" s="5"/>
      <c r="BT592" s="5"/>
      <c r="BU592" s="5"/>
      <c r="BW592" s="5"/>
    </row>
    <row r="593" spans="1:97" ht="12.75" hidden="1" customHeight="1" outlineLevel="2" x14ac:dyDescent="0.2">
      <c r="A593" s="3" t="s">
        <v>100</v>
      </c>
      <c r="J593" s="5"/>
      <c r="L593" s="5"/>
      <c r="N593" s="5"/>
      <c r="P593" s="5"/>
      <c r="R593" s="5"/>
      <c r="T593" s="5"/>
      <c r="V593" s="5"/>
      <c r="X593" s="5"/>
      <c r="Z593" s="5"/>
      <c r="AB593" s="5"/>
      <c r="AD593" s="5"/>
      <c r="AF593" s="5"/>
      <c r="AH593" s="5"/>
      <c r="AJ593" s="5"/>
      <c r="AL593" s="5"/>
      <c r="AN593" s="475"/>
      <c r="AP593" s="475"/>
      <c r="AR593" s="475"/>
      <c r="AT593" s="475"/>
      <c r="AV593" s="475"/>
      <c r="AX593" s="475"/>
      <c r="AZ593" s="475"/>
      <c r="BB593" s="475"/>
      <c r="BD593" s="475"/>
      <c r="BF593" s="5"/>
      <c r="BH593" s="5"/>
      <c r="BJ593" s="5"/>
      <c r="BL593" s="5"/>
      <c r="BN593" s="10"/>
      <c r="BO593" s="136"/>
      <c r="BP593" s="10"/>
      <c r="BQ593" s="10"/>
      <c r="BR593" s="5"/>
      <c r="BS593" s="5"/>
      <c r="BT593" s="5"/>
      <c r="BU593" s="5"/>
      <c r="BW593" s="5"/>
    </row>
    <row r="594" spans="1:97" ht="12.75" hidden="1" customHeight="1" outlineLevel="2" x14ac:dyDescent="0.2">
      <c r="A594" s="12" t="s">
        <v>327</v>
      </c>
      <c r="J594" s="48">
        <f>42.9+8.2</f>
        <v>51.099999999999994</v>
      </c>
      <c r="K594" s="23" t="str">
        <f>IF(ISERROR((J594/B594-1)*100),"NA",IF(((J594/B594-1)*100)&gt;100,"NM",IF(((J594/B594-1)*100)&lt;-50,"NM",(J594/B594-1)*100)))</f>
        <v>NA</v>
      </c>
      <c r="L594" s="48">
        <f>30.1+7.6</f>
        <v>37.700000000000003</v>
      </c>
      <c r="M594" s="23" t="str">
        <f>IF(ISERROR((L594/D594-1)*100),"NA",IF(((L594/D594-1)*100)&gt;100,"NM",IF(((L594/D594-1)*100)&lt;-50,"NM",(L594/D594-1)*100)))</f>
        <v>NA</v>
      </c>
      <c r="N594" s="48">
        <f>29.6+8.3</f>
        <v>37.900000000000006</v>
      </c>
      <c r="O594" s="23" t="str">
        <f>IF(ISERROR((N594/F594-1)*100),"NA",IF(((N594/F594-1)*100)&gt;100,"NM",IF(((N594/F594-1)*100)&lt;-50,"NM",(N594/F594-1)*100)))</f>
        <v>NA</v>
      </c>
      <c r="P594" s="49">
        <f>23.7+10.9</f>
        <v>34.6</v>
      </c>
      <c r="Q594" s="23" t="str">
        <f>IF(ISERROR((P594/H594-1)*100),"NA",IF(((P594/H594-1)*100)&gt;100,"NM",IF(((P594/H594-1)*100)&lt;-50,"NM",(P594/H594-1)*100)))</f>
        <v>NA</v>
      </c>
      <c r="R594" s="49">
        <f>38+6</f>
        <v>44</v>
      </c>
      <c r="S594" s="23">
        <f>IF(ISERROR((R594/J594-1)*100),"NA",IF(((R594/J594-1)*100)&gt;100,"NM",IF(((R594/J594-1)*100)&lt;-50,"NM",(R594/J594-1)*100)))</f>
        <v>-13.894324853228957</v>
      </c>
      <c r="T594" s="49">
        <f>26+6</f>
        <v>32</v>
      </c>
      <c r="U594" s="23"/>
      <c r="V594" s="49">
        <f>22.8+7.1</f>
        <v>29.9</v>
      </c>
      <c r="W594" s="23"/>
      <c r="X594" s="49">
        <f>21.1+5.5</f>
        <v>26.6</v>
      </c>
      <c r="Y594" s="23"/>
      <c r="Z594" s="443">
        <f>17.2+5.9</f>
        <v>23.1</v>
      </c>
      <c r="AA594" s="23">
        <f t="shared" ref="AA594" si="4166">IF(ISERROR((Z594/R594-1)*100),"NA",IF(((Z594/R594-1)*100)&gt;100,"NM",IF(((Z594/R594-1)*100)&lt;-50,"NM",(Z594/R594-1)*100)))</f>
        <v>-47.5</v>
      </c>
      <c r="AB594" s="443">
        <f>16.6+6.2</f>
        <v>22.8</v>
      </c>
      <c r="AC594" s="23">
        <f t="shared" ref="AC594" si="4167">IF(ISERROR((AB594/T594-1)*100),"NA",IF(((AB594/T594-1)*100)&gt;100,"NM",IF(((AB594/T594-1)*100)&lt;-50,"NM",(AB594/T594-1)*100)))</f>
        <v>-28.749999999999996</v>
      </c>
      <c r="AD594" s="443">
        <f>18.4+6</f>
        <v>24.4</v>
      </c>
      <c r="AE594" s="23">
        <f t="shared" ref="AE594" si="4168">IF(ISERROR((AD594/V594-1)*100),"NA",IF(((AD594/V594-1)*100)&gt;100,"NM",IF(((AD594/V594-1)*100)&lt;-50,"NM",(AD594/V594-1)*100)))</f>
        <v>-18.394648829431436</v>
      </c>
      <c r="AF594" s="443">
        <f>20.6+5.7</f>
        <v>26.3</v>
      </c>
      <c r="AG594" s="23">
        <f t="shared" ref="AG594" si="4169">IF(ISERROR((AF594/X594-1)*100),"NA",IF(((AF594/X594-1)*100)&gt;100,"NM",IF(((AF594/X594-1)*100)&lt;-50,"NM",(AF594/X594-1)*100)))</f>
        <v>-1.1278195488721776</v>
      </c>
      <c r="AH594" s="443">
        <f>15+5.5</f>
        <v>20.5</v>
      </c>
      <c r="AI594" s="23"/>
      <c r="AJ594" s="443">
        <f>13.8+2.5</f>
        <v>16.3</v>
      </c>
      <c r="AK594" s="23"/>
      <c r="AL594" s="443">
        <f>13.7+0.3</f>
        <v>14</v>
      </c>
      <c r="AM594" s="23"/>
      <c r="AN594" s="443">
        <f>12.2+0.3</f>
        <v>12.5</v>
      </c>
      <c r="AO594" s="23"/>
      <c r="AP594" s="443">
        <f>12.7</f>
        <v>12.7</v>
      </c>
      <c r="AQ594" s="23"/>
      <c r="AR594" s="443">
        <v>15</v>
      </c>
      <c r="AS594" s="23"/>
      <c r="AT594" s="443">
        <v>9.8000000000000007</v>
      </c>
      <c r="AU594" s="23"/>
      <c r="AV594" s="443"/>
      <c r="AW594" s="23"/>
      <c r="AX594" s="443"/>
      <c r="AY594" s="23"/>
      <c r="AZ594" s="443"/>
      <c r="BA594" s="23"/>
      <c r="BB594" s="443"/>
      <c r="BC594" s="23"/>
      <c r="BD594" s="443"/>
      <c r="BE594" s="23"/>
      <c r="BF594" s="49"/>
      <c r="BG594" s="23"/>
      <c r="BH594" s="49"/>
      <c r="BI594" s="23"/>
      <c r="BJ594" s="49"/>
      <c r="BK594" s="23"/>
      <c r="BL594" s="49"/>
      <c r="BM594" s="23"/>
      <c r="BN594" s="10"/>
      <c r="BO594" s="136"/>
      <c r="BP594" s="10"/>
      <c r="BQ594" s="506"/>
      <c r="BR594" s="475"/>
      <c r="BS594" s="475"/>
      <c r="BT594" s="475"/>
      <c r="BU594" s="475"/>
      <c r="BV594" s="23"/>
      <c r="BW594" s="413">
        <f>J594+L594+N594+P594</f>
        <v>161.30000000000001</v>
      </c>
      <c r="BX594" s="23" t="str">
        <f t="shared" ref="BX594:BX601" si="4170">IF(ISERROR((BW594/BU594-1)*100),"NA",IF(((BW594/BU594-1)*100)&gt;100,"NM",IF(((BW594/BU594-1)*100)&lt;-50,"NM",(BW594/BU594-1)*100)))</f>
        <v>NA</v>
      </c>
      <c r="BY594" s="413">
        <f>R594+T594+V594+X594</f>
        <v>132.5</v>
      </c>
      <c r="BZ594" s="23">
        <f t="shared" ref="BZ594:CD601" si="4171">IF(ISERROR((BY594/BW594-1)*100),"NA",IF(((BY594/BW594-1)*100)&gt;100,"NM",IF(((BY594/BW594-1)*100)&lt;-50,"NM",(BY594/BW594-1)*100)))</f>
        <v>-17.85492870427775</v>
      </c>
      <c r="CA594" s="413">
        <f>Z594+AB594+AD594+AF594</f>
        <v>96.600000000000009</v>
      </c>
      <c r="CB594" s="23">
        <f t="shared" si="4171"/>
        <v>-27.094339622641506</v>
      </c>
      <c r="CC594" s="413">
        <f>AH594+AJ594+AL594+AN594</f>
        <v>63.3</v>
      </c>
      <c r="CD594" s="23">
        <f t="shared" si="4171"/>
        <v>-34.472049689441</v>
      </c>
      <c r="CE594" s="413">
        <f>AP594+AR594+AT594+AV594</f>
        <v>37.5</v>
      </c>
      <c r="CF594" s="23"/>
      <c r="CG594" s="56"/>
      <c r="CH594" s="23"/>
      <c r="CI594" s="56"/>
      <c r="CJ594" s="23"/>
      <c r="CK594" s="48"/>
      <c r="CL594" s="23"/>
      <c r="CM594" s="48"/>
      <c r="CN594" s="23"/>
      <c r="CO594" s="48"/>
      <c r="CP594" s="23"/>
      <c r="CQ594" s="48"/>
      <c r="CR594" s="23"/>
      <c r="CS594" s="23"/>
    </row>
    <row r="595" spans="1:97" ht="12.75" hidden="1" customHeight="1" outlineLevel="2" x14ac:dyDescent="0.2">
      <c r="A595" s="12" t="s">
        <v>328</v>
      </c>
      <c r="J595" s="48">
        <f>17.4+7</f>
        <v>24.4</v>
      </c>
      <c r="K595" s="23"/>
      <c r="L595" s="48">
        <f>17.4-1.3</f>
        <v>16.099999999999998</v>
      </c>
      <c r="M595" s="23"/>
      <c r="N595" s="48">
        <f>16.6-2.7</f>
        <v>13.900000000000002</v>
      </c>
      <c r="O595" s="23"/>
      <c r="P595" s="49">
        <f>16.1-6.8</f>
        <v>9.3000000000000007</v>
      </c>
      <c r="Q595" s="23"/>
      <c r="R595" s="49">
        <f>13.5+6.8</f>
        <v>20.3</v>
      </c>
      <c r="S595" s="23"/>
      <c r="T595" s="49">
        <f>12.7-7.3</f>
        <v>5.3999999999999995</v>
      </c>
      <c r="U595" s="23"/>
      <c r="V595" s="49">
        <f>11.9-0.8</f>
        <v>11.1</v>
      </c>
      <c r="W595" s="23"/>
      <c r="X595" s="49">
        <f>24.6--0.6</f>
        <v>25.200000000000003</v>
      </c>
      <c r="Y595" s="23"/>
      <c r="Z595" s="49">
        <f>8.8+6.7</f>
        <v>15.5</v>
      </c>
      <c r="AA595" s="23"/>
      <c r="AB595" s="49">
        <f>7.5+1.4</f>
        <v>8.9</v>
      </c>
      <c r="AC595" s="23"/>
      <c r="AD595" s="49">
        <f>7.5+0.4</f>
        <v>7.9</v>
      </c>
      <c r="AE595" s="23"/>
      <c r="AF595" s="49">
        <f>19.5+1.1</f>
        <v>20.6</v>
      </c>
      <c r="AG595" s="23"/>
      <c r="AH595" s="49">
        <f>7.2-3.4</f>
        <v>3.8000000000000003</v>
      </c>
      <c r="AI595" s="23"/>
      <c r="AJ595" s="49">
        <f>7.7+0.8</f>
        <v>8.5</v>
      </c>
      <c r="AK595" s="23"/>
      <c r="AL595" s="49">
        <f>7.2+1.2</f>
        <v>8.4</v>
      </c>
      <c r="AM595" s="23"/>
      <c r="AN595" s="158">
        <f>7.6+0.8</f>
        <v>8.4</v>
      </c>
      <c r="AO595" s="23"/>
      <c r="AP595" s="158">
        <f>8.3</f>
        <v>8.3000000000000007</v>
      </c>
      <c r="AQ595" s="23"/>
      <c r="AR595" s="158">
        <v>10</v>
      </c>
      <c r="AS595" s="23"/>
      <c r="AT595" s="158">
        <v>14.3</v>
      </c>
      <c r="AU595" s="23"/>
      <c r="AV595" s="158"/>
      <c r="AW595" s="23"/>
      <c r="AX595" s="158"/>
      <c r="AY595" s="23"/>
      <c r="AZ595" s="158"/>
      <c r="BA595" s="23"/>
      <c r="BB595" s="158"/>
      <c r="BC595" s="23"/>
      <c r="BD595" s="158"/>
      <c r="BE595" s="23"/>
      <c r="BF595" s="49"/>
      <c r="BG595" s="23"/>
      <c r="BH595" s="49"/>
      <c r="BI595" s="23"/>
      <c r="BJ595" s="49"/>
      <c r="BK595" s="23"/>
      <c r="BL595" s="49"/>
      <c r="BM595" s="23"/>
      <c r="BN595" s="10"/>
      <c r="BO595" s="136"/>
      <c r="BP595" s="10"/>
      <c r="BQ595" s="506"/>
      <c r="BR595" s="475"/>
      <c r="BS595" s="475"/>
      <c r="BT595" s="475"/>
      <c r="BU595" s="475"/>
      <c r="BV595" s="23"/>
      <c r="BW595" s="413">
        <f>J595+L595+N595+P595</f>
        <v>63.7</v>
      </c>
      <c r="BX595" s="23" t="str">
        <f t="shared" si="4170"/>
        <v>NA</v>
      </c>
      <c r="BY595" s="413">
        <f>R595+T595+V595+X595</f>
        <v>62</v>
      </c>
      <c r="BZ595" s="23">
        <f t="shared" si="4171"/>
        <v>-2.6687598116169609</v>
      </c>
      <c r="CA595" s="413">
        <f>Z595+AB595+AD595+AF595</f>
        <v>52.9</v>
      </c>
      <c r="CB595" s="23">
        <f t="shared" si="4171"/>
        <v>-14.677419354838717</v>
      </c>
      <c r="CC595" s="413">
        <f>AH595+AJ595+AL595+AN595</f>
        <v>29.1</v>
      </c>
      <c r="CD595" s="23">
        <f t="shared" si="4171"/>
        <v>-44.990548204158785</v>
      </c>
      <c r="CE595" s="413">
        <f>AP595+AR595+AT595+AV595</f>
        <v>32.6</v>
      </c>
      <c r="CF595" s="23"/>
      <c r="CG595" s="56"/>
      <c r="CH595" s="23"/>
      <c r="CI595" s="56"/>
      <c r="CJ595" s="23"/>
      <c r="CK595" s="48"/>
      <c r="CL595" s="23"/>
      <c r="CM595" s="48"/>
      <c r="CN595" s="23"/>
      <c r="CO595" s="48"/>
      <c r="CP595" s="23"/>
      <c r="CQ595" s="48"/>
      <c r="CR595" s="23"/>
      <c r="CS595" s="23"/>
    </row>
    <row r="596" spans="1:97" ht="12.75" hidden="1" customHeight="1" outlineLevel="2" x14ac:dyDescent="0.2">
      <c r="A596" s="4" t="s">
        <v>18</v>
      </c>
      <c r="B596" s="48">
        <v>31.2</v>
      </c>
      <c r="C596" s="59"/>
      <c r="D596" s="48">
        <v>40.700000000000003</v>
      </c>
      <c r="E596" s="59"/>
      <c r="F596" s="48">
        <v>34.9</v>
      </c>
      <c r="G596" s="59"/>
      <c r="H596" s="48">
        <v>24.8</v>
      </c>
      <c r="I596" s="59"/>
      <c r="J596" s="36">
        <f>J594-J595</f>
        <v>26.699999999999996</v>
      </c>
      <c r="K596" s="23">
        <f t="shared" ref="K596:Y601" si="4172">IF(ISERROR((J596/B596-1)*100),"NA",IF(((J596/B596-1)*100)&gt;100,"NM",IF(((J596/B596-1)*100)&lt;-50,"NM",(J596/B596-1)*100)))</f>
        <v>-14.423076923076938</v>
      </c>
      <c r="L596" s="36">
        <f>L594-L595</f>
        <v>21.600000000000005</v>
      </c>
      <c r="M596" s="23">
        <f t="shared" si="4172"/>
        <v>-46.928746928746925</v>
      </c>
      <c r="N596" s="36">
        <f>N594-N595</f>
        <v>24.000000000000004</v>
      </c>
      <c r="O596" s="23">
        <f t="shared" si="4172"/>
        <v>-31.232091690544394</v>
      </c>
      <c r="P596" s="36">
        <f>P594-P595</f>
        <v>25.3</v>
      </c>
      <c r="Q596" s="23">
        <f t="shared" si="4172"/>
        <v>2.0161290322580738</v>
      </c>
      <c r="R596" s="36">
        <f>R594-R595</f>
        <v>23.7</v>
      </c>
      <c r="S596" s="23">
        <f t="shared" si="4172"/>
        <v>-11.235955056179758</v>
      </c>
      <c r="T596" s="36">
        <f>T594-T595</f>
        <v>26.6</v>
      </c>
      <c r="U596" s="23">
        <f>IF(ISERROR((T596/L596-1)*100),"NA",IF(((T596/L596-1)*100)&gt;100,"NM",IF(((T596/L596-1)*100)&lt;-50,"NM",(T596/L596-1)*100)))</f>
        <v>23.148148148148117</v>
      </c>
      <c r="V596" s="36">
        <f>V594-V595</f>
        <v>18.799999999999997</v>
      </c>
      <c r="W596" s="23">
        <f>IF(ISERROR((V596/N596-1)*100),"NA",IF(((V596/N596-1)*100)&gt;100,"NM",IF(((V596/N596-1)*100)&lt;-50,"NM",(V596/N596-1)*100)))</f>
        <v>-21.666666666666689</v>
      </c>
      <c r="X596" s="36">
        <f>X594-X595</f>
        <v>1.3999999999999986</v>
      </c>
      <c r="Y596" s="23" t="str">
        <f t="shared" si="4172"/>
        <v>NM</v>
      </c>
      <c r="Z596" s="36">
        <f>Z594-Z595</f>
        <v>7.6000000000000014</v>
      </c>
      <c r="AA596" s="23" t="str">
        <f t="shared" ref="AA596:AA601" si="4173">IF(ISERROR((Z596/R596-1)*100),"NA",IF(((Z596/R596-1)*100)&gt;100,"NM",IF(((Z596/R596-1)*100)&lt;-50,"NM",(Z596/R596-1)*100)))</f>
        <v>NM</v>
      </c>
      <c r="AB596" s="36">
        <f>AB594-AB595</f>
        <v>13.9</v>
      </c>
      <c r="AC596" s="23">
        <f t="shared" ref="AC596:AC601" si="4174">IF(ISERROR((AB596/T596-1)*100),"NA",IF(((AB596/T596-1)*100)&gt;100,"NM",IF(((AB596/T596-1)*100)&lt;-50,"NM",(AB596/T596-1)*100)))</f>
        <v>-47.744360902255643</v>
      </c>
      <c r="AD596" s="36">
        <f>AD594-AD595</f>
        <v>16.5</v>
      </c>
      <c r="AE596" s="23">
        <f t="shared" ref="AE596:AE601" si="4175">IF(ISERROR((AD596/V596-1)*100),"NA",IF(((AD596/V596-1)*100)&gt;100,"NM",IF(((AD596/V596-1)*100)&lt;-50,"NM",(AD596/V596-1)*100)))</f>
        <v>-12.234042553191472</v>
      </c>
      <c r="AF596" s="36">
        <f>AF594-AF595</f>
        <v>5.6999999999999993</v>
      </c>
      <c r="AG596" s="23" t="str">
        <f t="shared" ref="AG596:AG601" si="4176">IF(ISERROR((AF596/X596-1)*100),"NA",IF(((AF596/X596-1)*100)&gt;100,"NM",IF(((AF596/X596-1)*100)&lt;-50,"NM",(AF596/X596-1)*100)))</f>
        <v>NM</v>
      </c>
      <c r="AH596" s="36">
        <f>AH594-AH595</f>
        <v>16.7</v>
      </c>
      <c r="AI596" s="23" t="str">
        <f t="shared" ref="AI596:AI601" si="4177">IF(ISERROR((AH596/Z596-1)*100),"NA",IF(((AH596/Z596-1)*100)&gt;100,"NM",IF(((AH596/Z596-1)*100)&lt;-50,"NM",(AH596/Z596-1)*100)))</f>
        <v>NM</v>
      </c>
      <c r="AJ596" s="36">
        <f>AJ594-AJ595</f>
        <v>7.8000000000000007</v>
      </c>
      <c r="AK596" s="23">
        <f t="shared" ref="AK596:AK601" si="4178">IF(ISERROR((AJ596/AB596-1)*100),"NA",IF(((AJ596/AB596-1)*100)&gt;100,"NM",IF(((AJ596/AB596-1)*100)&lt;-50,"NM",(AJ596/AB596-1)*100)))</f>
        <v>-43.884892086330929</v>
      </c>
      <c r="AL596" s="36">
        <f>AL594-AL595</f>
        <v>5.6</v>
      </c>
      <c r="AM596" s="23" t="str">
        <f t="shared" ref="AM596:AM601" si="4179">IF(ISERROR((AL596/AD596-1)*100),"NA",IF(((AL596/AD596-1)*100)&gt;100,"NM",IF(((AL596/AD596-1)*100)&lt;-50,"NM",(AL596/AD596-1)*100)))</f>
        <v>NM</v>
      </c>
      <c r="AN596" s="410">
        <f t="shared" ref="AN596:AP596" si="4180">AN594-AN595</f>
        <v>4.0999999999999996</v>
      </c>
      <c r="AO596" s="23">
        <f t="shared" ref="AO596:AO601" si="4181">IF(ISERROR((AN596/AF596-1)*100),"NA",IF(((AN596/AF596-1)*100)&gt;100,"NM",IF(((AN596/AF596-1)*100)&lt;-50,"NM",(AN596/AF596-1)*100)))</f>
        <v>-28.07017543859649</v>
      </c>
      <c r="AP596" s="410">
        <f t="shared" si="4180"/>
        <v>4.3999999999999986</v>
      </c>
      <c r="AQ596" s="23" t="str">
        <f t="shared" ref="AQ596:AQ601" si="4182">IF(ISERROR((AP596/AH596-1)*100),"NA",IF(((AP596/AH596-1)*100)&gt;100,"NM",IF(((AP596/AH596-1)*100)&lt;-50,"NM",(AP596/AH596-1)*100)))</f>
        <v>NM</v>
      </c>
      <c r="AR596" s="410">
        <f t="shared" ref="AR596:AT596" si="4183">AR594-AR595</f>
        <v>5</v>
      </c>
      <c r="AS596" s="23">
        <f t="shared" ref="AS596:AS601" si="4184">IF(ISERROR((AR596/AJ596-1)*100),"NA",IF(((AR596/AJ596-1)*100)&gt;100,"NM",IF(((AR596/AJ596-1)*100)&lt;-50,"NM",(AR596/AJ596-1)*100)))</f>
        <v>-35.897435897435905</v>
      </c>
      <c r="AT596" s="410">
        <f t="shared" si="4183"/>
        <v>-4.5</v>
      </c>
      <c r="AU596" s="23" t="str">
        <f t="shared" ref="AU596:AU601" si="4185">IF(ISERROR((AT596/AL596-1)*100),"NA",IF(((AT596/AL596-1)*100)&gt;100,"NM",IF(((AT596/AL596-1)*100)&lt;-50,"NM",(AT596/AL596-1)*100)))</f>
        <v>NM</v>
      </c>
      <c r="AV596" s="410"/>
      <c r="AW596" s="23" t="str">
        <f t="shared" ref="AW596:AW601" si="4186">IF(ISERROR((AV596/AN596-1)*100),"NA",IF(((AV596/AN596-1)*100)&gt;100,"NM",IF(((AV596/AN596-1)*100)&lt;-50,"NM",(AV596/AN596-1)*100)))</f>
        <v>NM</v>
      </c>
      <c r="AX596" s="410"/>
      <c r="AY596" s="23"/>
      <c r="AZ596" s="410"/>
      <c r="BA596" s="23"/>
      <c r="BB596" s="410"/>
      <c r="BC596" s="23"/>
      <c r="BD596" s="410"/>
      <c r="BE596" s="23"/>
      <c r="BF596" s="56"/>
      <c r="BG596" s="23"/>
      <c r="BH596" s="56"/>
      <c r="BI596" s="23"/>
      <c r="BJ596" s="56"/>
      <c r="BK596" s="23"/>
      <c r="BL596" s="56"/>
      <c r="BM596" s="23"/>
      <c r="BN596" s="10"/>
      <c r="BO596" s="137"/>
      <c r="BP596" s="10"/>
      <c r="BQ596" s="506"/>
      <c r="BR596" s="506"/>
      <c r="BS596" s="506"/>
      <c r="BT596" s="506"/>
      <c r="BU596" s="413">
        <f>B596+D596+F596+H596</f>
        <v>131.60000000000002</v>
      </c>
      <c r="BV596" s="23" t="str">
        <f t="shared" ref="BV596:BV601" si="4187">IF(ISERROR((BU596/BS596-1)*100),"NA",IF(((BU596/BS596-1)*100)&gt;100,"NM",IF(((BU596/BS596-1)*100)&lt;-50,"NM",(BU596/BS596-1)*100)))</f>
        <v>NA</v>
      </c>
      <c r="BW596" s="410">
        <f>BW594-BW595</f>
        <v>97.600000000000009</v>
      </c>
      <c r="BX596" s="23">
        <f t="shared" si="4170"/>
        <v>-25.835866261398177</v>
      </c>
      <c r="BY596" s="410">
        <f>BY594-BY595</f>
        <v>70.5</v>
      </c>
      <c r="BZ596" s="23">
        <f t="shared" si="4171"/>
        <v>-27.766393442622959</v>
      </c>
      <c r="CA596" s="410">
        <f>CA594-CA595</f>
        <v>43.70000000000001</v>
      </c>
      <c r="CB596" s="23">
        <f t="shared" si="4171"/>
        <v>-38.014184397163106</v>
      </c>
      <c r="CC596" s="410">
        <f>CC594-CC595</f>
        <v>34.199999999999996</v>
      </c>
      <c r="CD596" s="23">
        <f t="shared" si="4171"/>
        <v>-21.739130434782638</v>
      </c>
      <c r="CE596" s="410">
        <f>CE594-CE595</f>
        <v>4.8999999999999986</v>
      </c>
      <c r="CF596" s="23"/>
      <c r="CG596" s="36"/>
      <c r="CH596" s="23"/>
      <c r="CI596" s="36"/>
      <c r="CJ596" s="23"/>
      <c r="CK596" s="36"/>
      <c r="CL596" s="23"/>
      <c r="CM596" s="36"/>
      <c r="CN596" s="23"/>
      <c r="CO596" s="36"/>
      <c r="CP596" s="23"/>
      <c r="CQ596" s="36"/>
      <c r="CR596" s="23"/>
      <c r="CS596" s="23"/>
    </row>
    <row r="597" spans="1:97" ht="12.75" hidden="1" customHeight="1" outlineLevel="2" x14ac:dyDescent="0.2">
      <c r="A597" s="4" t="s">
        <v>101</v>
      </c>
      <c r="B597" s="48">
        <v>3.3</v>
      </c>
      <c r="C597" s="59"/>
      <c r="D597" s="48">
        <v>2.5</v>
      </c>
      <c r="E597" s="59"/>
      <c r="F597" s="48">
        <v>1.6</v>
      </c>
      <c r="G597" s="59"/>
      <c r="H597" s="48">
        <v>2.2999999999999998</v>
      </c>
      <c r="I597" s="59"/>
      <c r="J597" s="48">
        <v>0.1</v>
      </c>
      <c r="K597" s="23" t="str">
        <f t="shared" si="4172"/>
        <v>NM</v>
      </c>
      <c r="L597" s="48">
        <v>0</v>
      </c>
      <c r="M597" s="23" t="str">
        <f t="shared" si="4172"/>
        <v>NM</v>
      </c>
      <c r="N597" s="48">
        <v>0</v>
      </c>
      <c r="O597" s="23" t="str">
        <f t="shared" si="4172"/>
        <v>NM</v>
      </c>
      <c r="P597" s="49">
        <v>0.1</v>
      </c>
      <c r="Q597" s="23" t="str">
        <f t="shared" si="4172"/>
        <v>NM</v>
      </c>
      <c r="R597" s="49">
        <v>0</v>
      </c>
      <c r="S597" s="23" t="str">
        <f t="shared" si="4172"/>
        <v>NM</v>
      </c>
      <c r="T597" s="49">
        <v>0</v>
      </c>
      <c r="U597" s="23" t="str">
        <f t="shared" si="4172"/>
        <v>NA</v>
      </c>
      <c r="V597" s="49">
        <v>0</v>
      </c>
      <c r="W597" s="23" t="str">
        <f t="shared" si="4172"/>
        <v>NA</v>
      </c>
      <c r="X597" s="49">
        <v>0</v>
      </c>
      <c r="Y597" s="23" t="str">
        <f t="shared" si="4172"/>
        <v>NM</v>
      </c>
      <c r="Z597" s="49">
        <v>0</v>
      </c>
      <c r="AA597" s="23" t="str">
        <f t="shared" si="4173"/>
        <v>NA</v>
      </c>
      <c r="AB597" s="49">
        <v>0</v>
      </c>
      <c r="AC597" s="23" t="str">
        <f t="shared" si="4174"/>
        <v>NA</v>
      </c>
      <c r="AD597" s="49">
        <v>0</v>
      </c>
      <c r="AE597" s="23" t="str">
        <f t="shared" si="4175"/>
        <v>NA</v>
      </c>
      <c r="AF597" s="49">
        <v>0</v>
      </c>
      <c r="AG597" s="23" t="str">
        <f t="shared" si="4176"/>
        <v>NA</v>
      </c>
      <c r="AH597" s="49">
        <v>0</v>
      </c>
      <c r="AI597" s="23" t="str">
        <f t="shared" si="4177"/>
        <v>NA</v>
      </c>
      <c r="AJ597" s="49">
        <v>0</v>
      </c>
      <c r="AK597" s="23" t="str">
        <f t="shared" si="4178"/>
        <v>NA</v>
      </c>
      <c r="AL597" s="49">
        <v>0</v>
      </c>
      <c r="AM597" s="23" t="str">
        <f t="shared" si="4179"/>
        <v>NA</v>
      </c>
      <c r="AN597" s="158">
        <v>0</v>
      </c>
      <c r="AO597" s="23" t="str">
        <f t="shared" si="4181"/>
        <v>NA</v>
      </c>
      <c r="AP597" s="158">
        <v>0</v>
      </c>
      <c r="AQ597" s="23" t="str">
        <f t="shared" si="4182"/>
        <v>NA</v>
      </c>
      <c r="AR597" s="158">
        <v>0</v>
      </c>
      <c r="AS597" s="23" t="str">
        <f t="shared" si="4184"/>
        <v>NA</v>
      </c>
      <c r="AT597" s="158">
        <v>0</v>
      </c>
      <c r="AU597" s="23" t="str">
        <f t="shared" si="4185"/>
        <v>NA</v>
      </c>
      <c r="AV597" s="158"/>
      <c r="AW597" s="23" t="str">
        <f t="shared" si="4186"/>
        <v>NA</v>
      </c>
      <c r="AX597" s="158"/>
      <c r="AY597" s="23"/>
      <c r="AZ597" s="158"/>
      <c r="BA597" s="23"/>
      <c r="BB597" s="158"/>
      <c r="BC597" s="23"/>
      <c r="BD597" s="158"/>
      <c r="BE597" s="23"/>
      <c r="BF597" s="49"/>
      <c r="BG597" s="23"/>
      <c r="BH597" s="49"/>
      <c r="BI597" s="23"/>
      <c r="BJ597" s="49"/>
      <c r="BK597" s="23"/>
      <c r="BL597" s="49"/>
      <c r="BM597" s="23"/>
      <c r="BN597" s="10"/>
      <c r="BO597" s="137"/>
      <c r="BP597" s="10"/>
      <c r="BQ597" s="506"/>
      <c r="BR597" s="506"/>
      <c r="BS597" s="506"/>
      <c r="BT597" s="506"/>
      <c r="BU597" s="413">
        <f>B597+D597+F597+H597</f>
        <v>9.6999999999999993</v>
      </c>
      <c r="BV597" s="23" t="str">
        <f t="shared" si="4187"/>
        <v>NA</v>
      </c>
      <c r="BW597" s="413">
        <f>J597+L597+N597+P597</f>
        <v>0.2</v>
      </c>
      <c r="BX597" s="23" t="str">
        <f t="shared" si="4170"/>
        <v>NM</v>
      </c>
      <c r="BY597" s="413">
        <f>R597+T597+V597+X597</f>
        <v>0</v>
      </c>
      <c r="BZ597" s="23" t="str">
        <f t="shared" si="4171"/>
        <v>NM</v>
      </c>
      <c r="CA597" s="413">
        <f>Z597+AB597+AD597+AF597</f>
        <v>0</v>
      </c>
      <c r="CB597" s="23" t="str">
        <f t="shared" si="4171"/>
        <v>NA</v>
      </c>
      <c r="CC597" s="413">
        <f>AH597+AJ597+AL597+AN597</f>
        <v>0</v>
      </c>
      <c r="CD597" s="23" t="str">
        <f t="shared" si="4171"/>
        <v>NA</v>
      </c>
      <c r="CE597" s="413">
        <f>AP597+AR597+AT597+AV597</f>
        <v>0</v>
      </c>
      <c r="CF597" s="23"/>
      <c r="CG597" s="56"/>
      <c r="CH597" s="23"/>
      <c r="CI597" s="56"/>
      <c r="CJ597" s="23"/>
      <c r="CK597" s="48"/>
      <c r="CL597" s="23"/>
      <c r="CM597" s="48"/>
      <c r="CN597" s="23"/>
      <c r="CO597" s="48"/>
      <c r="CP597" s="23"/>
      <c r="CQ597" s="48"/>
      <c r="CR597" s="23"/>
      <c r="CS597" s="23"/>
    </row>
    <row r="598" spans="1:97" ht="12.75" hidden="1" customHeight="1" outlineLevel="2" x14ac:dyDescent="0.2">
      <c r="A598" s="4" t="s">
        <v>209</v>
      </c>
      <c r="B598" s="48">
        <v>-7.8</v>
      </c>
      <c r="C598" s="59"/>
      <c r="D598" s="48">
        <v>-10.199999999999999</v>
      </c>
      <c r="E598" s="59"/>
      <c r="F598" s="48">
        <v>-8.4</v>
      </c>
      <c r="G598" s="59"/>
      <c r="H598" s="48">
        <v>4</v>
      </c>
      <c r="I598" s="59"/>
      <c r="J598" s="48">
        <f>0.6-0.5+1.7+0.4</f>
        <v>2.1999999999999997</v>
      </c>
      <c r="K598" s="23" t="str">
        <f t="shared" si="4172"/>
        <v>NM</v>
      </c>
      <c r="L598" s="48">
        <f>0.6-0.4+1.3-0.3</f>
        <v>1.2</v>
      </c>
      <c r="M598" s="23" t="str">
        <f t="shared" si="4172"/>
        <v>NM</v>
      </c>
      <c r="N598" s="48">
        <f>0.5-0.2+1.2+1.1</f>
        <v>2.6</v>
      </c>
      <c r="O598" s="23" t="str">
        <f t="shared" si="4172"/>
        <v>NM</v>
      </c>
      <c r="P598" s="49">
        <f>0.6-0.4+0.9+2.4</f>
        <v>3.5</v>
      </c>
      <c r="Q598" s="23">
        <f t="shared" si="4172"/>
        <v>-12.5</v>
      </c>
      <c r="R598" s="49">
        <f>0.6+0.9-0.3+0.3</f>
        <v>1.5</v>
      </c>
      <c r="S598" s="23">
        <f t="shared" si="4172"/>
        <v>-31.818181818181813</v>
      </c>
      <c r="T598" s="49">
        <f>0.6+1.1-0.3+0.2</f>
        <v>1.6</v>
      </c>
      <c r="U598" s="23">
        <f t="shared" si="4172"/>
        <v>33.33333333333335</v>
      </c>
      <c r="V598" s="49">
        <f>0.6+0.4-0.3+0.1</f>
        <v>0.79999999999999993</v>
      </c>
      <c r="W598" s="23" t="str">
        <f t="shared" si="4172"/>
        <v>NM</v>
      </c>
      <c r="X598" s="49">
        <f>0.6-0.3-0.1+0.2</f>
        <v>0.4</v>
      </c>
      <c r="Y598" s="23" t="str">
        <f t="shared" si="4172"/>
        <v>NM</v>
      </c>
      <c r="Z598" s="49">
        <f>0.6-0.2+1.9+0.2</f>
        <v>2.5</v>
      </c>
      <c r="AA598" s="23">
        <f t="shared" si="4173"/>
        <v>66.666666666666671</v>
      </c>
      <c r="AB598" s="49">
        <f>0.6-0.2+0.9-0.1</f>
        <v>1.2</v>
      </c>
      <c r="AC598" s="23">
        <f t="shared" si="4174"/>
        <v>-25.000000000000011</v>
      </c>
      <c r="AD598" s="49">
        <f>0.6-0.4+0.6+0.2</f>
        <v>1</v>
      </c>
      <c r="AE598" s="23">
        <f t="shared" si="4175"/>
        <v>25</v>
      </c>
      <c r="AF598" s="49">
        <f>0.5-0.2+1.1</f>
        <v>1.4000000000000001</v>
      </c>
      <c r="AG598" s="23" t="str">
        <f t="shared" si="4176"/>
        <v>NM</v>
      </c>
      <c r="AH598" s="49">
        <f>-0.1+1.2+0.3</f>
        <v>1.4</v>
      </c>
      <c r="AI598" s="23">
        <f t="shared" si="4177"/>
        <v>-44.000000000000007</v>
      </c>
      <c r="AJ598" s="49">
        <f>-0.3+0.1-0.1</f>
        <v>-0.3</v>
      </c>
      <c r="AK598" s="23" t="str">
        <f t="shared" si="4178"/>
        <v>NM</v>
      </c>
      <c r="AL598" s="49">
        <f>-0.2+0.8+0.3</f>
        <v>0.90000000000000013</v>
      </c>
      <c r="AM598" s="23">
        <f t="shared" si="4179"/>
        <v>-9.9999999999999858</v>
      </c>
      <c r="AN598" s="158">
        <f>-0.2+0.7+0.8</f>
        <v>1.3</v>
      </c>
      <c r="AO598" s="23">
        <f t="shared" si="4181"/>
        <v>-7.1428571428571512</v>
      </c>
      <c r="AP598" s="158">
        <f>1.7+1.4</f>
        <v>3.0999999999999996</v>
      </c>
      <c r="AQ598" s="23" t="str">
        <f t="shared" si="4182"/>
        <v>NM</v>
      </c>
      <c r="AR598" s="158">
        <f>0+0.4</f>
        <v>0.4</v>
      </c>
      <c r="AS598" s="23" t="str">
        <f t="shared" si="4184"/>
        <v>NM</v>
      </c>
      <c r="AT598" s="158">
        <f>0.1+0.5</f>
        <v>0.6</v>
      </c>
      <c r="AU598" s="23">
        <f t="shared" si="4185"/>
        <v>-33.33333333333335</v>
      </c>
      <c r="AV598" s="158"/>
      <c r="AW598" s="23" t="str">
        <f t="shared" si="4186"/>
        <v>NM</v>
      </c>
      <c r="AX598" s="158"/>
      <c r="AY598" s="23"/>
      <c r="AZ598" s="158"/>
      <c r="BA598" s="23"/>
      <c r="BB598" s="158"/>
      <c r="BC598" s="23"/>
      <c r="BD598" s="158"/>
      <c r="BE598" s="23"/>
      <c r="BF598" s="49"/>
      <c r="BG598" s="23"/>
      <c r="BH598" s="49"/>
      <c r="BI598" s="23"/>
      <c r="BJ598" s="49"/>
      <c r="BK598" s="23"/>
      <c r="BL598" s="49"/>
      <c r="BM598" s="23"/>
      <c r="BN598" s="10"/>
      <c r="BO598" s="137"/>
      <c r="BP598" s="10"/>
      <c r="BQ598" s="506"/>
      <c r="BR598" s="506"/>
      <c r="BS598" s="506"/>
      <c r="BT598" s="506"/>
      <c r="BU598" s="413">
        <f>B598+D598+F598+H598</f>
        <v>-22.4</v>
      </c>
      <c r="BV598" s="23" t="str">
        <f t="shared" si="4187"/>
        <v>NA</v>
      </c>
      <c r="BW598" s="413">
        <f>J598+L598+N598+P598</f>
        <v>9.5</v>
      </c>
      <c r="BX598" s="23" t="str">
        <f t="shared" si="4170"/>
        <v>NM</v>
      </c>
      <c r="BY598" s="413">
        <f>R598+T598+V598+X598</f>
        <v>4.3</v>
      </c>
      <c r="BZ598" s="23" t="str">
        <f t="shared" si="4171"/>
        <v>NM</v>
      </c>
      <c r="CA598" s="413">
        <f>Z598+AB598+AD598+AF598</f>
        <v>6.1000000000000005</v>
      </c>
      <c r="CB598" s="23">
        <f t="shared" si="4171"/>
        <v>41.86046511627908</v>
      </c>
      <c r="CC598" s="413">
        <f>AH598+AJ598+AL598+AN598</f>
        <v>3.3</v>
      </c>
      <c r="CD598" s="23">
        <f t="shared" si="4171"/>
        <v>-45.9016393442623</v>
      </c>
      <c r="CE598" s="413">
        <f>AP598+AR598+AT598+AV598</f>
        <v>4.0999999999999996</v>
      </c>
      <c r="CF598" s="23"/>
      <c r="CG598" s="56"/>
      <c r="CH598" s="23"/>
      <c r="CI598" s="56"/>
      <c r="CJ598" s="23"/>
      <c r="CK598" s="48"/>
      <c r="CL598" s="23"/>
      <c r="CM598" s="48"/>
      <c r="CN598" s="23"/>
      <c r="CO598" s="48"/>
      <c r="CP598" s="23"/>
      <c r="CQ598" s="48"/>
      <c r="CR598" s="23"/>
      <c r="CS598" s="23"/>
    </row>
    <row r="599" spans="1:97" ht="12.75" hidden="1" customHeight="1" outlineLevel="2" x14ac:dyDescent="0.2">
      <c r="A599" s="4" t="s">
        <v>103</v>
      </c>
      <c r="B599" s="36">
        <f>SUM(B596:B598)</f>
        <v>26.7</v>
      </c>
      <c r="C599" s="59"/>
      <c r="D599" s="36">
        <f>SUM(D596:D598)</f>
        <v>33</v>
      </c>
      <c r="E599" s="59"/>
      <c r="F599" s="36">
        <f>SUM(F596:F598)</f>
        <v>28.1</v>
      </c>
      <c r="G599" s="59"/>
      <c r="H599" s="36">
        <f>SUM(H596:H598)</f>
        <v>31.1</v>
      </c>
      <c r="I599" s="59"/>
      <c r="J599" s="36">
        <f>SUM(J596:J598)</f>
        <v>28.999999999999996</v>
      </c>
      <c r="K599" s="23">
        <f t="shared" si="4172"/>
        <v>8.6142322097378266</v>
      </c>
      <c r="L599" s="36">
        <f>SUM(L596:L598)</f>
        <v>22.800000000000004</v>
      </c>
      <c r="M599" s="23">
        <f t="shared" si="4172"/>
        <v>-30.909090909090896</v>
      </c>
      <c r="N599" s="36">
        <f>SUM(N596:N598)</f>
        <v>26.600000000000005</v>
      </c>
      <c r="O599" s="23">
        <f t="shared" si="4172"/>
        <v>-5.338078291814929</v>
      </c>
      <c r="P599" s="56">
        <f>SUM(P596:P598)</f>
        <v>28.900000000000002</v>
      </c>
      <c r="Q599" s="23">
        <f t="shared" si="4172"/>
        <v>-7.0739549839228255</v>
      </c>
      <c r="R599" s="56">
        <f>R596+R597+R598</f>
        <v>25.2</v>
      </c>
      <c r="S599" s="23">
        <f t="shared" si="4172"/>
        <v>-13.103448275862062</v>
      </c>
      <c r="T599" s="56">
        <f>T596+T597+T598</f>
        <v>28.200000000000003</v>
      </c>
      <c r="U599" s="23">
        <f t="shared" si="4172"/>
        <v>23.684210526315773</v>
      </c>
      <c r="V599" s="56">
        <f>V596+V597+V598</f>
        <v>19.599999999999998</v>
      </c>
      <c r="W599" s="23">
        <f t="shared" si="4172"/>
        <v>-26.315789473684237</v>
      </c>
      <c r="X599" s="56">
        <f>X596+X597+X598</f>
        <v>1.7999999999999985</v>
      </c>
      <c r="Y599" s="23" t="str">
        <f t="shared" si="4172"/>
        <v>NM</v>
      </c>
      <c r="Z599" s="56">
        <f>Z596+Z597+Z598</f>
        <v>10.100000000000001</v>
      </c>
      <c r="AA599" s="23" t="str">
        <f t="shared" si="4173"/>
        <v>NM</v>
      </c>
      <c r="AB599" s="56">
        <f>AB596+AB597+AB598</f>
        <v>15.1</v>
      </c>
      <c r="AC599" s="23">
        <f t="shared" si="4174"/>
        <v>-46.453900709219866</v>
      </c>
      <c r="AD599" s="56">
        <f>AD596+AD597+AD598</f>
        <v>17.5</v>
      </c>
      <c r="AE599" s="23">
        <f t="shared" si="4175"/>
        <v>-10.71428571428571</v>
      </c>
      <c r="AF599" s="56">
        <f>AF596+AF597+AF598</f>
        <v>7.1</v>
      </c>
      <c r="AG599" s="23" t="str">
        <f t="shared" si="4176"/>
        <v>NM</v>
      </c>
      <c r="AH599" s="56">
        <f>AH596+AH597+AH598</f>
        <v>18.099999999999998</v>
      </c>
      <c r="AI599" s="23">
        <f t="shared" si="4177"/>
        <v>79.207920792079165</v>
      </c>
      <c r="AJ599" s="56">
        <f>AJ596+AJ597+AJ598</f>
        <v>7.5000000000000009</v>
      </c>
      <c r="AK599" s="23" t="str">
        <f t="shared" si="4178"/>
        <v>NM</v>
      </c>
      <c r="AL599" s="56">
        <f>AL596+AL597+AL598</f>
        <v>6.5</v>
      </c>
      <c r="AM599" s="23" t="str">
        <f t="shared" si="4179"/>
        <v>NM</v>
      </c>
      <c r="AN599" s="413">
        <f t="shared" ref="AN599:AP599" si="4188">AN596+AN597+AN598</f>
        <v>5.3999999999999995</v>
      </c>
      <c r="AO599" s="23">
        <f t="shared" si="4181"/>
        <v>-23.943661971830988</v>
      </c>
      <c r="AP599" s="413">
        <f t="shared" si="4188"/>
        <v>7.4999999999999982</v>
      </c>
      <c r="AQ599" s="23" t="str">
        <f t="shared" si="4182"/>
        <v>NM</v>
      </c>
      <c r="AR599" s="413">
        <f t="shared" ref="AR599:AT599" si="4189">AR596+AR597+AR598</f>
        <v>5.4</v>
      </c>
      <c r="AS599" s="23">
        <f t="shared" si="4184"/>
        <v>-28.000000000000004</v>
      </c>
      <c r="AT599" s="413">
        <f t="shared" si="4189"/>
        <v>-3.9</v>
      </c>
      <c r="AU599" s="23" t="str">
        <f t="shared" si="4185"/>
        <v>NM</v>
      </c>
      <c r="AV599" s="413"/>
      <c r="AW599" s="23" t="str">
        <f t="shared" si="4186"/>
        <v>NM</v>
      </c>
      <c r="AX599" s="413"/>
      <c r="AY599" s="23"/>
      <c r="AZ599" s="413"/>
      <c r="BA599" s="23"/>
      <c r="BB599" s="413"/>
      <c r="BC599" s="23"/>
      <c r="BD599" s="413"/>
      <c r="BE599" s="23"/>
      <c r="BF599" s="56"/>
      <c r="BG599" s="23"/>
      <c r="BH599" s="56"/>
      <c r="BI599" s="23"/>
      <c r="BJ599" s="56"/>
      <c r="BK599" s="23"/>
      <c r="BL599" s="56"/>
      <c r="BM599" s="23"/>
      <c r="BN599" s="10"/>
      <c r="BO599" s="137"/>
      <c r="BP599" s="10"/>
      <c r="BQ599" s="506"/>
      <c r="BR599" s="506"/>
      <c r="BS599" s="410"/>
      <c r="BT599" s="506"/>
      <c r="BU599" s="410">
        <f>SUM(BU596:BU598)</f>
        <v>118.9</v>
      </c>
      <c r="BV599" s="23" t="str">
        <f t="shared" si="4187"/>
        <v>NA</v>
      </c>
      <c r="BW599" s="410">
        <f>SUM(BW596:BW598)</f>
        <v>107.30000000000001</v>
      </c>
      <c r="BX599" s="23">
        <f t="shared" si="4170"/>
        <v>-9.7560975609756078</v>
      </c>
      <c r="BY599" s="413">
        <f>BY596+BY597+BY598</f>
        <v>74.8</v>
      </c>
      <c r="BZ599" s="23">
        <f t="shared" si="4171"/>
        <v>-30.288909599254431</v>
      </c>
      <c r="CA599" s="413">
        <f>CA596+CA597+CA598</f>
        <v>49.800000000000011</v>
      </c>
      <c r="CB599" s="23">
        <f t="shared" si="4171"/>
        <v>-33.422459893048106</v>
      </c>
      <c r="CC599" s="413">
        <f>CC596+CC597+CC598</f>
        <v>37.499999999999993</v>
      </c>
      <c r="CD599" s="23">
        <f t="shared" si="4171"/>
        <v>-24.698795180722922</v>
      </c>
      <c r="CE599" s="413">
        <f>CE596+CE597+CE598</f>
        <v>8.9999999999999982</v>
      </c>
      <c r="CF599" s="23"/>
      <c r="CG599" s="56"/>
      <c r="CH599" s="23"/>
      <c r="CI599" s="56"/>
      <c r="CJ599" s="23"/>
      <c r="CK599" s="56"/>
      <c r="CL599" s="23"/>
      <c r="CM599" s="56"/>
      <c r="CN599" s="23"/>
      <c r="CO599" s="56"/>
      <c r="CP599" s="23"/>
      <c r="CQ599" s="56"/>
      <c r="CR599" s="23"/>
      <c r="CS599" s="23"/>
    </row>
    <row r="600" spans="1:97" ht="12.75" hidden="1" customHeight="1" outlineLevel="2" x14ac:dyDescent="0.2">
      <c r="A600" s="31" t="s">
        <v>102</v>
      </c>
      <c r="B600" s="56"/>
      <c r="C600" s="59"/>
      <c r="D600" s="56"/>
      <c r="E600" s="59"/>
      <c r="F600" s="56"/>
      <c r="G600" s="59"/>
      <c r="H600" s="56"/>
      <c r="I600" s="59"/>
      <c r="J600" s="56">
        <f>J595</f>
        <v>24.4</v>
      </c>
      <c r="K600" s="23" t="str">
        <f t="shared" si="4172"/>
        <v>NA</v>
      </c>
      <c r="L600" s="56">
        <f>L595</f>
        <v>16.099999999999998</v>
      </c>
      <c r="M600" s="23" t="str">
        <f t="shared" si="4172"/>
        <v>NA</v>
      </c>
      <c r="N600" s="56">
        <f>N595</f>
        <v>13.900000000000002</v>
      </c>
      <c r="O600" s="23" t="str">
        <f t="shared" si="4172"/>
        <v>NA</v>
      </c>
      <c r="P600" s="56">
        <f>P595</f>
        <v>9.3000000000000007</v>
      </c>
      <c r="Q600" s="23" t="str">
        <f t="shared" si="4172"/>
        <v>NA</v>
      </c>
      <c r="R600" s="56">
        <f>R595</f>
        <v>20.3</v>
      </c>
      <c r="S600" s="23">
        <f t="shared" si="4172"/>
        <v>-16.803278688524582</v>
      </c>
      <c r="T600" s="56">
        <f>T595</f>
        <v>5.3999999999999995</v>
      </c>
      <c r="U600" s="23" t="str">
        <f t="shared" si="4172"/>
        <v>NM</v>
      </c>
      <c r="V600" s="56">
        <f>V595</f>
        <v>11.1</v>
      </c>
      <c r="W600" s="23">
        <f t="shared" si="4172"/>
        <v>-20.143884892086351</v>
      </c>
      <c r="X600" s="56">
        <f>X595</f>
        <v>25.200000000000003</v>
      </c>
      <c r="Y600" s="23" t="str">
        <f t="shared" si="4172"/>
        <v>NM</v>
      </c>
      <c r="Z600" s="56">
        <f>Z595</f>
        <v>15.5</v>
      </c>
      <c r="AA600" s="23">
        <f t="shared" si="4173"/>
        <v>-23.645320197044338</v>
      </c>
      <c r="AB600" s="56">
        <f>AB595</f>
        <v>8.9</v>
      </c>
      <c r="AC600" s="23">
        <f t="shared" si="4174"/>
        <v>64.814814814814838</v>
      </c>
      <c r="AD600" s="56">
        <f>AD595</f>
        <v>7.9</v>
      </c>
      <c r="AE600" s="23">
        <f t="shared" si="4175"/>
        <v>-28.828828828828822</v>
      </c>
      <c r="AF600" s="56">
        <f>AF595</f>
        <v>20.6</v>
      </c>
      <c r="AG600" s="23">
        <f t="shared" si="4176"/>
        <v>-18.253968253968257</v>
      </c>
      <c r="AH600" s="56">
        <f>AH595</f>
        <v>3.8000000000000003</v>
      </c>
      <c r="AI600" s="23" t="str">
        <f t="shared" si="4177"/>
        <v>NM</v>
      </c>
      <c r="AJ600" s="56">
        <f>AJ595</f>
        <v>8.5</v>
      </c>
      <c r="AK600" s="23">
        <f t="shared" si="4178"/>
        <v>-4.4943820224719104</v>
      </c>
      <c r="AL600" s="56">
        <f>AL595</f>
        <v>8.4</v>
      </c>
      <c r="AM600" s="23">
        <f t="shared" si="4179"/>
        <v>6.3291139240506222</v>
      </c>
      <c r="AN600" s="413">
        <f t="shared" ref="AN600:AP600" si="4190">AN595</f>
        <v>8.4</v>
      </c>
      <c r="AO600" s="23" t="str">
        <f t="shared" si="4181"/>
        <v>NM</v>
      </c>
      <c r="AP600" s="413">
        <f t="shared" si="4190"/>
        <v>8.3000000000000007</v>
      </c>
      <c r="AQ600" s="23" t="str">
        <f t="shared" si="4182"/>
        <v>NM</v>
      </c>
      <c r="AR600" s="413">
        <f t="shared" ref="AR600:AT600" si="4191">AR595</f>
        <v>10</v>
      </c>
      <c r="AS600" s="23">
        <f t="shared" si="4184"/>
        <v>17.647058823529417</v>
      </c>
      <c r="AT600" s="413">
        <f t="shared" si="4191"/>
        <v>14.3</v>
      </c>
      <c r="AU600" s="23">
        <f t="shared" si="4185"/>
        <v>70.238095238095227</v>
      </c>
      <c r="AV600" s="413"/>
      <c r="AW600" s="23" t="str">
        <f t="shared" si="4186"/>
        <v>NM</v>
      </c>
      <c r="AX600" s="413"/>
      <c r="AY600" s="23"/>
      <c r="AZ600" s="413"/>
      <c r="BA600" s="23"/>
      <c r="BB600" s="413"/>
      <c r="BC600" s="23"/>
      <c r="BD600" s="413"/>
      <c r="BE600" s="23"/>
      <c r="BF600" s="56"/>
      <c r="BG600" s="23"/>
      <c r="BH600" s="56"/>
      <c r="BI600" s="23"/>
      <c r="BJ600" s="56"/>
      <c r="BK600" s="23"/>
      <c r="BL600" s="56"/>
      <c r="BM600" s="23"/>
      <c r="BN600" s="35"/>
      <c r="BO600" s="137"/>
      <c r="BP600" s="35"/>
      <c r="BQ600" s="287"/>
      <c r="BR600" s="409"/>
      <c r="BS600" s="287"/>
      <c r="BT600" s="409"/>
      <c r="BU600" s="413"/>
      <c r="BV600" s="23" t="str">
        <f t="shared" si="4187"/>
        <v>NA</v>
      </c>
      <c r="BW600" s="413">
        <f>BW595</f>
        <v>63.7</v>
      </c>
      <c r="BX600" s="23" t="str">
        <f t="shared" si="4170"/>
        <v>NA</v>
      </c>
      <c r="BY600" s="413">
        <f>BY595</f>
        <v>62</v>
      </c>
      <c r="BZ600" s="23">
        <f t="shared" si="4171"/>
        <v>-2.6687598116169609</v>
      </c>
      <c r="CA600" s="413">
        <f>CA595</f>
        <v>52.9</v>
      </c>
      <c r="CB600" s="23">
        <f t="shared" si="4171"/>
        <v>-14.677419354838717</v>
      </c>
      <c r="CC600" s="413">
        <f>CC595</f>
        <v>29.1</v>
      </c>
      <c r="CD600" s="23">
        <f t="shared" si="4171"/>
        <v>-44.990548204158785</v>
      </c>
      <c r="CE600" s="413">
        <f>CE595</f>
        <v>32.6</v>
      </c>
      <c r="CF600" s="23"/>
      <c r="CG600" s="56"/>
      <c r="CH600" s="23"/>
      <c r="CI600" s="56"/>
      <c r="CJ600" s="23"/>
      <c r="CK600" s="56"/>
      <c r="CL600" s="23"/>
      <c r="CM600" s="56"/>
      <c r="CN600" s="23"/>
      <c r="CO600" s="56"/>
      <c r="CP600" s="23"/>
      <c r="CQ600" s="56"/>
      <c r="CR600" s="23"/>
      <c r="CS600" s="23"/>
    </row>
    <row r="601" spans="1:97" ht="12.75" hidden="1" customHeight="1" outlineLevel="2" x14ac:dyDescent="0.2">
      <c r="A601" s="4" t="s">
        <v>15</v>
      </c>
      <c r="B601" s="36">
        <f>B599+B600</f>
        <v>26.7</v>
      </c>
      <c r="C601" s="59"/>
      <c r="D601" s="36">
        <f>D599+D600</f>
        <v>33</v>
      </c>
      <c r="E601" s="59"/>
      <c r="F601" s="36">
        <f>F599+F600</f>
        <v>28.1</v>
      </c>
      <c r="G601" s="59"/>
      <c r="H601" s="36">
        <f>H599+H600</f>
        <v>31.1</v>
      </c>
      <c r="I601" s="59"/>
      <c r="J601" s="36">
        <f>J599+J600</f>
        <v>53.399999999999991</v>
      </c>
      <c r="K601" s="23">
        <f t="shared" si="4172"/>
        <v>99.999999999999972</v>
      </c>
      <c r="L601" s="36">
        <f>L599+L600</f>
        <v>38.900000000000006</v>
      </c>
      <c r="M601" s="23">
        <f t="shared" si="4172"/>
        <v>17.878787878787893</v>
      </c>
      <c r="N601" s="36">
        <f>N599+N600</f>
        <v>40.500000000000007</v>
      </c>
      <c r="O601" s="23">
        <f t="shared" si="4172"/>
        <v>44.128113879003571</v>
      </c>
      <c r="P601" s="56">
        <f>P599+P600</f>
        <v>38.200000000000003</v>
      </c>
      <c r="Q601" s="23">
        <f t="shared" si="4172"/>
        <v>22.829581993569125</v>
      </c>
      <c r="R601" s="56">
        <f>R599+R600</f>
        <v>45.5</v>
      </c>
      <c r="S601" s="23">
        <f t="shared" si="4172"/>
        <v>-14.794007490636696</v>
      </c>
      <c r="T601" s="56">
        <f>T599+T600</f>
        <v>33.6</v>
      </c>
      <c r="U601" s="23">
        <f t="shared" si="4172"/>
        <v>-13.624678663239088</v>
      </c>
      <c r="V601" s="56">
        <f>V599+V600</f>
        <v>30.699999999999996</v>
      </c>
      <c r="W601" s="23">
        <f t="shared" si="4172"/>
        <v>-24.19753086419756</v>
      </c>
      <c r="X601" s="56">
        <f>X599+X600</f>
        <v>27</v>
      </c>
      <c r="Y601" s="23">
        <f t="shared" si="4172"/>
        <v>-29.319371727748699</v>
      </c>
      <c r="Z601" s="56">
        <f>Z599+Z600</f>
        <v>25.6</v>
      </c>
      <c r="AA601" s="23">
        <f t="shared" si="4173"/>
        <v>-43.736263736263737</v>
      </c>
      <c r="AB601" s="56">
        <f>AB599+AB600</f>
        <v>24</v>
      </c>
      <c r="AC601" s="23">
        <f t="shared" si="4174"/>
        <v>-28.571428571428569</v>
      </c>
      <c r="AD601" s="56">
        <f>AD599+AD600</f>
        <v>25.4</v>
      </c>
      <c r="AE601" s="23">
        <f t="shared" si="4175"/>
        <v>-17.263843648208464</v>
      </c>
      <c r="AF601" s="56">
        <f>AF599+AF600</f>
        <v>27.700000000000003</v>
      </c>
      <c r="AG601" s="23">
        <f t="shared" si="4176"/>
        <v>2.592592592592613</v>
      </c>
      <c r="AH601" s="56">
        <f>AH599+AH600</f>
        <v>21.9</v>
      </c>
      <c r="AI601" s="23">
        <f t="shared" si="4177"/>
        <v>-14.453125000000011</v>
      </c>
      <c r="AJ601" s="56">
        <f>AJ599+AJ600</f>
        <v>16</v>
      </c>
      <c r="AK601" s="23">
        <f t="shared" si="4178"/>
        <v>-33.333333333333336</v>
      </c>
      <c r="AL601" s="56">
        <f>AL599+AL600</f>
        <v>14.9</v>
      </c>
      <c r="AM601" s="23">
        <f t="shared" si="4179"/>
        <v>-41.338582677165348</v>
      </c>
      <c r="AN601" s="413">
        <f t="shared" ref="AN601:AP601" si="4192">AN599+AN600</f>
        <v>13.8</v>
      </c>
      <c r="AO601" s="23" t="str">
        <f t="shared" si="4181"/>
        <v>NM</v>
      </c>
      <c r="AP601" s="413">
        <f t="shared" si="4192"/>
        <v>15.799999999999999</v>
      </c>
      <c r="AQ601" s="23">
        <f t="shared" si="4182"/>
        <v>-27.853881278538818</v>
      </c>
      <c r="AR601" s="413">
        <f t="shared" ref="AR601:AT601" si="4193">AR599+AR600</f>
        <v>15.4</v>
      </c>
      <c r="AS601" s="23">
        <f t="shared" si="4184"/>
        <v>-3.7499999999999978</v>
      </c>
      <c r="AT601" s="413">
        <f t="shared" si="4193"/>
        <v>10.4</v>
      </c>
      <c r="AU601" s="23">
        <f t="shared" si="4185"/>
        <v>-30.201342281879196</v>
      </c>
      <c r="AV601" s="413"/>
      <c r="AW601" s="23" t="str">
        <f t="shared" si="4186"/>
        <v>NM</v>
      </c>
      <c r="AX601" s="413"/>
      <c r="AY601" s="23"/>
      <c r="AZ601" s="413"/>
      <c r="BA601" s="23"/>
      <c r="BB601" s="413"/>
      <c r="BC601" s="23"/>
      <c r="BD601" s="413"/>
      <c r="BE601" s="23"/>
      <c r="BF601" s="56"/>
      <c r="BG601" s="23"/>
      <c r="BH601" s="56"/>
      <c r="BI601" s="23"/>
      <c r="BJ601" s="56"/>
      <c r="BK601" s="23"/>
      <c r="BL601" s="56"/>
      <c r="BM601" s="23"/>
      <c r="BN601" s="10"/>
      <c r="BO601" s="137"/>
      <c r="BP601" s="10"/>
      <c r="BQ601" s="580"/>
      <c r="BR601" s="580"/>
      <c r="BS601" s="580"/>
      <c r="BT601" s="484"/>
      <c r="BU601" s="413">
        <f>BU599+BU600</f>
        <v>118.9</v>
      </c>
      <c r="BV601" s="23" t="str">
        <f t="shared" si="4187"/>
        <v>NA</v>
      </c>
      <c r="BW601" s="413">
        <f>BW599+BW600</f>
        <v>171</v>
      </c>
      <c r="BX601" s="23">
        <f t="shared" si="4170"/>
        <v>43.818334735071488</v>
      </c>
      <c r="BY601" s="413">
        <f>BY599+BY600</f>
        <v>136.80000000000001</v>
      </c>
      <c r="BZ601" s="23">
        <f t="shared" si="4171"/>
        <v>-19.999999999999996</v>
      </c>
      <c r="CA601" s="413">
        <f>CA599+CA600</f>
        <v>102.70000000000002</v>
      </c>
      <c r="CB601" s="23">
        <f t="shared" si="4171"/>
        <v>-24.92690058479532</v>
      </c>
      <c r="CC601" s="413">
        <f>CC599+CC600</f>
        <v>66.599999999999994</v>
      </c>
      <c r="CD601" s="23">
        <f t="shared" si="4171"/>
        <v>-35.150925024342762</v>
      </c>
      <c r="CE601" s="413">
        <f>CE599+CE600</f>
        <v>41.6</v>
      </c>
      <c r="CF601" s="23"/>
      <c r="CG601" s="56"/>
      <c r="CH601" s="23"/>
      <c r="CI601" s="56"/>
      <c r="CJ601" s="23"/>
      <c r="CK601" s="56"/>
      <c r="CL601" s="23"/>
      <c r="CM601" s="56"/>
      <c r="CN601" s="23"/>
      <c r="CO601" s="56"/>
      <c r="CP601" s="23"/>
      <c r="CQ601" s="56"/>
      <c r="CR601" s="23"/>
      <c r="CS601" s="23"/>
    </row>
    <row r="602" spans="1:97" ht="12.75" hidden="1" customHeight="1" outlineLevel="2" x14ac:dyDescent="0.2">
      <c r="B602" s="36"/>
      <c r="C602" s="60"/>
      <c r="D602" s="36"/>
      <c r="E602" s="60"/>
      <c r="F602" s="36"/>
      <c r="G602" s="60"/>
      <c r="H602" s="36"/>
      <c r="I602" s="60"/>
      <c r="J602" s="36"/>
      <c r="L602" s="36"/>
      <c r="N602" s="36"/>
      <c r="P602" s="56"/>
      <c r="R602" s="56"/>
      <c r="T602" s="56"/>
      <c r="V602" s="56"/>
      <c r="X602" s="56"/>
      <c r="Z602" s="56"/>
      <c r="AB602" s="56"/>
      <c r="AD602" s="56"/>
      <c r="AF602" s="56"/>
      <c r="AH602" s="56"/>
      <c r="AI602" s="177"/>
      <c r="AJ602" s="56"/>
      <c r="AK602" s="177"/>
      <c r="AL602" s="56"/>
      <c r="AM602" s="177"/>
      <c r="AN602" s="413"/>
      <c r="AP602" s="413"/>
      <c r="AR602" s="413"/>
      <c r="AT602" s="413"/>
      <c r="AV602" s="413"/>
      <c r="AX602" s="413"/>
      <c r="AZ602" s="413"/>
      <c r="BB602" s="413"/>
      <c r="BD602" s="413"/>
      <c r="BF602" s="56"/>
      <c r="BH602" s="56"/>
      <c r="BJ602" s="56"/>
      <c r="BL602" s="56"/>
      <c r="BN602" s="10"/>
      <c r="BO602" s="137"/>
      <c r="BP602" s="10"/>
      <c r="BQ602" s="506"/>
      <c r="BR602" s="506"/>
      <c r="BS602" s="506"/>
      <c r="BT602" s="506"/>
      <c r="BU602" s="413"/>
      <c r="BW602" s="410"/>
      <c r="BY602" s="410"/>
      <c r="CA602" s="410"/>
      <c r="CC602" s="410"/>
      <c r="CE602" s="410"/>
      <c r="CG602" s="36"/>
      <c r="CI602" s="36"/>
      <c r="CK602" s="36"/>
      <c r="CM602" s="36"/>
      <c r="CO602" s="36"/>
      <c r="CQ602" s="36"/>
    </row>
    <row r="603" spans="1:97" ht="12.75" hidden="1" customHeight="1" outlineLevel="2" x14ac:dyDescent="0.2">
      <c r="A603" s="3" t="s">
        <v>124</v>
      </c>
      <c r="B603" s="36"/>
      <c r="C603" s="60"/>
      <c r="D603" s="36"/>
      <c r="E603" s="60"/>
      <c r="F603" s="36"/>
      <c r="G603" s="60"/>
      <c r="H603" s="36"/>
      <c r="I603" s="60"/>
      <c r="J603" s="36"/>
      <c r="L603" s="36"/>
      <c r="N603" s="36"/>
      <c r="P603" s="56"/>
      <c r="R603" s="56"/>
      <c r="T603" s="56"/>
      <c r="V603" s="56"/>
      <c r="X603" s="56"/>
      <c r="Z603" s="56"/>
      <c r="AB603" s="56"/>
      <c r="AD603" s="56"/>
      <c r="AF603" s="56"/>
      <c r="AH603" s="56"/>
      <c r="AI603" s="177"/>
      <c r="AJ603" s="56"/>
      <c r="AK603" s="177"/>
      <c r="AL603" s="56"/>
      <c r="AM603" s="177"/>
      <c r="AN603" s="413"/>
      <c r="AP603" s="413"/>
      <c r="AR603" s="413"/>
      <c r="AT603" s="413"/>
      <c r="AV603" s="413"/>
      <c r="AX603" s="413"/>
      <c r="AZ603" s="413"/>
      <c r="BB603" s="413"/>
      <c r="BD603" s="413"/>
      <c r="BF603" s="56"/>
      <c r="BH603" s="56"/>
      <c r="BJ603" s="56"/>
      <c r="BL603" s="56"/>
      <c r="BN603" s="10"/>
      <c r="BO603" s="137"/>
      <c r="BP603" s="10"/>
      <c r="BQ603" s="506"/>
      <c r="BR603" s="506"/>
      <c r="BS603" s="506"/>
      <c r="BT603" s="506"/>
      <c r="BU603" s="413"/>
      <c r="BW603" s="410"/>
      <c r="BY603" s="410"/>
      <c r="CA603" s="410"/>
      <c r="CC603" s="410"/>
      <c r="CE603" s="410"/>
      <c r="CG603" s="36"/>
      <c r="CI603" s="36"/>
      <c r="CK603" s="36"/>
      <c r="CM603" s="36"/>
      <c r="CO603" s="36"/>
      <c r="CQ603" s="36"/>
    </row>
    <row r="604" spans="1:97" ht="12.75" hidden="1" customHeight="1" outlineLevel="2" x14ac:dyDescent="0.2">
      <c r="A604" s="4" t="s">
        <v>215</v>
      </c>
      <c r="B604" s="48"/>
      <c r="C604" s="59"/>
      <c r="D604" s="48"/>
      <c r="E604" s="59"/>
      <c r="F604" s="48"/>
      <c r="G604" s="59"/>
      <c r="H604" s="48"/>
      <c r="I604" s="59"/>
      <c r="J604" s="36">
        <f>J595</f>
        <v>24.4</v>
      </c>
      <c r="K604" s="23"/>
      <c r="L604" s="36">
        <f>L595</f>
        <v>16.099999999999998</v>
      </c>
      <c r="M604" s="23"/>
      <c r="N604" s="36">
        <f>N595</f>
        <v>13.900000000000002</v>
      </c>
      <c r="O604" s="23"/>
      <c r="P604" s="36">
        <f>P595</f>
        <v>9.3000000000000007</v>
      </c>
      <c r="Q604" s="23"/>
      <c r="R604" s="36">
        <f>R595</f>
        <v>20.3</v>
      </c>
      <c r="S604" s="23"/>
      <c r="T604" s="36">
        <f>T595</f>
        <v>5.3999999999999995</v>
      </c>
      <c r="U604" s="23" t="str">
        <f>IF(ISERROR((T604/L604-1)*100),"NA",IF(((T604/L604-1)*100)&gt;100,"NM",IF(((T604/L604-1)*100)&lt;-50,"NM",(T604/L604-1)*100)))</f>
        <v>NM</v>
      </c>
      <c r="V604" s="36">
        <f>V595</f>
        <v>11.1</v>
      </c>
      <c r="W604" s="23">
        <f>IF(ISERROR((V604/N604-1)*100),"NA",IF(((V604/N604-1)*100)&gt;100,"NM",IF(((V604/N604-1)*100)&lt;-50,"NM",(V604/N604-1)*100)))</f>
        <v>-20.143884892086351</v>
      </c>
      <c r="X604" s="36">
        <f>X595</f>
        <v>25.200000000000003</v>
      </c>
      <c r="Y604" s="23" t="str">
        <f>IF(ISERROR((X604/P604-1)*100),"NA",IF(((X604/P604-1)*100)&gt;100,"NM",IF(((X604/P604-1)*100)&lt;-50,"NM",(X604/P604-1)*100)))</f>
        <v>NM</v>
      </c>
      <c r="Z604" s="36">
        <f>Z595</f>
        <v>15.5</v>
      </c>
      <c r="AA604" s="23">
        <f>IF(ISERROR((Z604/R604-1)*100),"NA",IF(((Z604/R604-1)*100)&gt;100,"NM",IF(((Z604/R604-1)*100)&lt;-50,"NM",(Z604/R604-1)*100)))</f>
        <v>-23.645320197044338</v>
      </c>
      <c r="AB604" s="36">
        <f>AB595</f>
        <v>8.9</v>
      </c>
      <c r="AC604" s="23">
        <f>IF(ISERROR((AB604/T604-1)*100),"NA",IF(((AB604/T604-1)*100)&gt;100,"NM",IF(((AB604/T604-1)*100)&lt;-50,"NM",(AB604/T604-1)*100)))</f>
        <v>64.814814814814838</v>
      </c>
      <c r="AD604" s="36">
        <f>AD595</f>
        <v>7.9</v>
      </c>
      <c r="AE604" s="23">
        <f>IF(ISERROR((AD604/V604-1)*100),"NA",IF(((AD604/V604-1)*100)&gt;100,"NM",IF(((AD604/V604-1)*100)&lt;-50,"NM",(AD604/V604-1)*100)))</f>
        <v>-28.828828828828822</v>
      </c>
      <c r="AF604" s="36">
        <f>AF595</f>
        <v>20.6</v>
      </c>
      <c r="AG604" s="23">
        <f>IF(ISERROR((AF604/X604-1)*100),"NA",IF(((AF604/X604-1)*100)&gt;100,"NM",IF(((AF604/X604-1)*100)&lt;-50,"NM",(AF604/X604-1)*100)))</f>
        <v>-18.253968253968257</v>
      </c>
      <c r="AH604" s="36">
        <f>AH595</f>
        <v>3.8000000000000003</v>
      </c>
      <c r="AI604" s="23" t="str">
        <f>IF(ISERROR((AH604/Z604-1)*100),"NA",IF(((AH604/Z604-1)*100)&gt;100,"NM",IF(((AH604/Z604-1)*100)&lt;-50,"NM",(AH604/Z604-1)*100)))</f>
        <v>NM</v>
      </c>
      <c r="AJ604" s="36">
        <f>AJ595</f>
        <v>8.5</v>
      </c>
      <c r="AK604" s="23">
        <f>IF(ISERROR((AJ604/AB604-1)*100),"NA",IF(((AJ604/AB604-1)*100)&gt;100,"NM",IF(((AJ604/AB604-1)*100)&lt;-50,"NM",(AJ604/AB604-1)*100)))</f>
        <v>-4.4943820224719104</v>
      </c>
      <c r="AL604" s="36">
        <f>AL595</f>
        <v>8.4</v>
      </c>
      <c r="AM604" s="23">
        <f>IF(ISERROR((AL604/AD604-1)*100),"NA",IF(((AL604/AD604-1)*100)&gt;100,"NM",IF(((AL604/AD604-1)*100)&lt;-50,"NM",(AL604/AD604-1)*100)))</f>
        <v>6.3291139240506222</v>
      </c>
      <c r="AN604" s="410">
        <f t="shared" ref="AN604" si="4194">AN595</f>
        <v>8.4</v>
      </c>
      <c r="AO604" s="23" t="str">
        <f>IF(ISERROR((AN604/AF604-1)*100),"NA",IF(((AN604/AF604-1)*100)&gt;100,"NM",IF(((AN604/AF604-1)*100)&lt;-50,"NM",(AN604/AF604-1)*100)))</f>
        <v>NM</v>
      </c>
      <c r="AP604" s="410">
        <f>AP595</f>
        <v>8.3000000000000007</v>
      </c>
      <c r="AQ604" s="23" t="str">
        <f t="shared" ref="AQ604:AQ608" si="4195">IF(ISERROR((AP604/AH604-1)*100),"NA",IF(((AP604/AH604-1)*100)&gt;100,"NM",IF(((AP604/AH604-1)*100)&lt;-50,"NM",(AP604/AH604-1)*100)))</f>
        <v>NM</v>
      </c>
      <c r="AR604" s="410">
        <f>AR595</f>
        <v>10</v>
      </c>
      <c r="AS604" s="23">
        <f t="shared" ref="AS604:AS608" si="4196">IF(ISERROR((AR604/AJ604-1)*100),"NA",IF(((AR604/AJ604-1)*100)&gt;100,"NM",IF(((AR604/AJ604-1)*100)&lt;-50,"NM",(AR604/AJ604-1)*100)))</f>
        <v>17.647058823529417</v>
      </c>
      <c r="AT604" s="410">
        <f>AT595</f>
        <v>14.3</v>
      </c>
      <c r="AU604" s="23">
        <f t="shared" ref="AU604:AU608" si="4197">IF(ISERROR((AT604/AL604-1)*100),"NA",IF(((AT604/AL604-1)*100)&gt;100,"NM",IF(((AT604/AL604-1)*100)&lt;-50,"NM",(AT604/AL604-1)*100)))</f>
        <v>70.238095238095227</v>
      </c>
      <c r="AV604" s="410"/>
      <c r="AW604" s="23" t="str">
        <f t="shared" ref="AW604:AW608" si="4198">IF(ISERROR((AV604/AN604-1)*100),"NA",IF(((AV604/AN604-1)*100)&gt;100,"NM",IF(((AV604/AN604-1)*100)&lt;-50,"NM",(AV604/AN604-1)*100)))</f>
        <v>NM</v>
      </c>
      <c r="AX604" s="410"/>
      <c r="AY604" s="23"/>
      <c r="AZ604" s="410"/>
      <c r="BA604" s="23"/>
      <c r="BB604" s="410"/>
      <c r="BC604" s="23"/>
      <c r="BD604" s="410"/>
      <c r="BE604" s="23"/>
      <c r="BF604" s="56"/>
      <c r="BG604" s="23"/>
      <c r="BH604" s="56"/>
      <c r="BI604" s="23"/>
      <c r="BJ604" s="56"/>
      <c r="BK604" s="23"/>
      <c r="BL604" s="56"/>
      <c r="BM604" s="23"/>
      <c r="BN604" s="10"/>
      <c r="BO604" s="137"/>
      <c r="BP604" s="10"/>
      <c r="BQ604" s="506"/>
      <c r="BR604" s="506"/>
      <c r="BS604" s="506"/>
      <c r="BT604" s="506"/>
      <c r="BU604" s="413"/>
      <c r="BV604" s="23"/>
      <c r="BW604" s="410">
        <f>BW595</f>
        <v>63.7</v>
      </c>
      <c r="BX604" s="23"/>
      <c r="BY604" s="410">
        <f>BY595</f>
        <v>62</v>
      </c>
      <c r="BZ604" s="23">
        <f>IF(ISERROR((BY604/BW604-1)*100),"NA",IF(((BY604/BW604-1)*100)&gt;100,"NM",IF(((BY604/BW604-1)*100)&lt;-50,"NM",(BY604/BW604-1)*100)))</f>
        <v>-2.6687598116169609</v>
      </c>
      <c r="CA604" s="410">
        <f>CA595</f>
        <v>52.9</v>
      </c>
      <c r="CB604" s="23">
        <f>IF(ISERROR((CA604/BY604-1)*100),"NA",IF(((CA604/BY604-1)*100)&gt;100,"NM",IF(((CA604/BY604-1)*100)&lt;-50,"NM",(CA604/BY604-1)*100)))</f>
        <v>-14.677419354838717</v>
      </c>
      <c r="CC604" s="410">
        <f>CC595</f>
        <v>29.1</v>
      </c>
      <c r="CD604" s="23">
        <f>IF(ISERROR((CC604/CA604-1)*100),"NA",IF(((CC604/CA604-1)*100)&gt;100,"NM",IF(((CC604/CA604-1)*100)&lt;-50,"NM",(CC604/CA604-1)*100)))</f>
        <v>-44.990548204158785</v>
      </c>
      <c r="CE604" s="410">
        <f>CE595</f>
        <v>32.6</v>
      </c>
      <c r="CF604" s="23"/>
      <c r="CG604" s="36"/>
      <c r="CH604" s="23"/>
      <c r="CI604" s="36"/>
      <c r="CJ604" s="23"/>
      <c r="CK604" s="36"/>
      <c r="CL604" s="23"/>
      <c r="CM604" s="36"/>
      <c r="CN604" s="23"/>
      <c r="CO604" s="36"/>
      <c r="CP604" s="23"/>
      <c r="CQ604" s="36"/>
      <c r="CR604" s="23"/>
      <c r="CS604" s="23"/>
    </row>
    <row r="605" spans="1:97" ht="12.75" hidden="1" customHeight="1" outlineLevel="2" x14ac:dyDescent="0.2">
      <c r="A605" s="4" t="s">
        <v>218</v>
      </c>
      <c r="B605" s="48">
        <v>10.9</v>
      </c>
      <c r="C605" s="59"/>
      <c r="D605" s="48">
        <v>14</v>
      </c>
      <c r="E605" s="59"/>
      <c r="F605" s="48">
        <v>7</v>
      </c>
      <c r="G605" s="59"/>
      <c r="H605" s="48">
        <v>15.9</v>
      </c>
      <c r="I605" s="59"/>
      <c r="J605" s="48">
        <f>2.8+0.6+1.2</f>
        <v>4.5999999999999996</v>
      </c>
      <c r="K605" s="23" t="str">
        <f>IF(ISERROR((J605/B605-1)*100),"NA",IF(((J605/B605-1)*100)&gt;100,"NM",IF(((J605/B605-1)*100)&lt;-50,"NM",(J605/B605-1)*100)))</f>
        <v>NM</v>
      </c>
      <c r="L605" s="48">
        <f>3.2+0.6-21</f>
        <v>-17.2</v>
      </c>
      <c r="M605" s="23" t="str">
        <f>IF(ISERROR((L605/D605-1)*100),"NA",IF(((L605/D605-1)*100)&gt;100,"NM",IF(((L605/D605-1)*100)&lt;-50,"NM",(L605/D605-1)*100)))</f>
        <v>NM</v>
      </c>
      <c r="N605" s="48">
        <f>2.6+0.6+1.5</f>
        <v>4.7</v>
      </c>
      <c r="O605" s="23">
        <f>IF(ISERROR((N605/F605-1)*100),"NA",IF(((N605/F605-1)*100)&gt;100,"NM",IF(((N605/F605-1)*100)&lt;-50,"NM",(N605/F605-1)*100)))</f>
        <v>-32.857142857142854</v>
      </c>
      <c r="P605" s="49">
        <f>2.9+0.1+1.9</f>
        <v>4.9000000000000004</v>
      </c>
      <c r="Q605" s="23" t="str">
        <f>IF(ISERROR((P605/H605-1)*100),"NA",IF(((P605/H605-1)*100)&gt;100,"NM",IF(((P605/H605-1)*100)&lt;-50,"NM",(P605/H605-1)*100)))</f>
        <v>NM</v>
      </c>
      <c r="R605" s="49">
        <f>2.6+1.1</f>
        <v>3.7</v>
      </c>
      <c r="S605" s="23">
        <f>IF(ISERROR((R605/J605-1)*100),"NA",IF(((R605/J605-1)*100)&gt;100,"NM",IF(((R605/J605-1)*100)&lt;-50,"NM",(R605/J605-1)*100)))</f>
        <v>-19.565217391304333</v>
      </c>
      <c r="T605" s="49">
        <f>2.6+7.5</f>
        <v>10.1</v>
      </c>
      <c r="U605" s="23" t="str">
        <f>IF(ISERROR((T605/L605-1)*100),"NA",IF(((T605/L605-1)*100)&gt;100,"NM",IF(((T605/L605-1)*100)&lt;-50,"NM",(T605/L605-1)*100)))</f>
        <v>NM</v>
      </c>
      <c r="V605" s="49">
        <f>2.4+2.6</f>
        <v>5</v>
      </c>
      <c r="W605" s="23">
        <f>IF(ISERROR((V605/N605-1)*100),"NA",IF(((V605/N605-1)*100)&gt;100,"NM",IF(((V605/N605-1)*100)&lt;-50,"NM",(V605/N605-1)*100)))</f>
        <v>6.3829787234042534</v>
      </c>
      <c r="X605" s="49">
        <f>2.5+2.5</f>
        <v>5</v>
      </c>
      <c r="Y605" s="23">
        <f>IF(ISERROR((X605/P605-1)*100),"NA",IF(((X605/P605-1)*100)&gt;100,"NM",IF(((X605/P605-1)*100)&lt;-50,"NM",(X605/P605-1)*100)))</f>
        <v>2.0408163265306145</v>
      </c>
      <c r="Z605" s="49">
        <f>3.3+5.8</f>
        <v>9.1</v>
      </c>
      <c r="AA605" s="23" t="str">
        <f>IF(ISERROR((Z605/R605-1)*100),"NA",IF(((Z605/R605-1)*100)&gt;100,"NM",IF(((Z605/R605-1)*100)&lt;-50,"NM",(Z605/R605-1)*100)))</f>
        <v>NM</v>
      </c>
      <c r="AB605" s="49">
        <f>2.8+1.7</f>
        <v>4.5</v>
      </c>
      <c r="AC605" s="23" t="str">
        <f>IF(ISERROR((AB605/T605-1)*100),"NA",IF(((AB605/T605-1)*100)&gt;100,"NM",IF(((AB605/T605-1)*100)&lt;-50,"NM",(AB605/T605-1)*100)))</f>
        <v>NM</v>
      </c>
      <c r="AD605" s="49">
        <f>2.5+4.4</f>
        <v>6.9</v>
      </c>
      <c r="AE605" s="23">
        <f>IF(ISERROR((AD605/V605-1)*100),"NA",IF(((AD605/V605-1)*100)&gt;100,"NM",IF(((AD605/V605-1)*100)&lt;-50,"NM",(AD605/V605-1)*100)))</f>
        <v>38.000000000000014</v>
      </c>
      <c r="AF605" s="49">
        <f>2.3+1.9</f>
        <v>4.1999999999999993</v>
      </c>
      <c r="AG605" s="23">
        <f>IF(ISERROR((AF605/X605-1)*100),"NA",IF(((AF605/X605-1)*100)&gt;100,"NM",IF(((AF605/X605-1)*100)&lt;-50,"NM",(AF605/X605-1)*100)))</f>
        <v>-16.000000000000014</v>
      </c>
      <c r="AH605" s="49">
        <f>2.6+1.7</f>
        <v>4.3</v>
      </c>
      <c r="AI605" s="23" t="str">
        <f>IF(ISERROR((AH605/Z605-1)*100),"NA",IF(((AH605/Z605-1)*100)&gt;100,"NM",IF(((AH605/Z605-1)*100)&lt;-50,"NM",(AH605/Z605-1)*100)))</f>
        <v>NM</v>
      </c>
      <c r="AJ605" s="49">
        <f>2.6+0.9</f>
        <v>3.5</v>
      </c>
      <c r="AK605" s="23">
        <f>IF(ISERROR((AJ605/AB605-1)*100),"NA",IF(((AJ605/AB605-1)*100)&gt;100,"NM",IF(((AJ605/AB605-1)*100)&lt;-50,"NM",(AJ605/AB605-1)*100)))</f>
        <v>-22.222222222222221</v>
      </c>
      <c r="AL605" s="49">
        <f>2.3+1.6</f>
        <v>3.9</v>
      </c>
      <c r="AM605" s="23">
        <f>IF(ISERROR((AL605/AD605-1)*100),"NA",IF(((AL605/AD605-1)*100)&gt;100,"NM",IF(((AL605/AD605-1)*100)&lt;-50,"NM",(AL605/AD605-1)*100)))</f>
        <v>-43.478260869565219</v>
      </c>
      <c r="AN605" s="158">
        <f>2.3+1.1</f>
        <v>3.4</v>
      </c>
      <c r="AO605" s="23">
        <f>IF(ISERROR((AN605/AF605-1)*100),"NA",IF(((AN605/AF605-1)*100)&gt;100,"NM",IF(((AN605/AF605-1)*100)&lt;-50,"NM",(AN605/AF605-1)*100)))</f>
        <v>-19.047619047619037</v>
      </c>
      <c r="AP605" s="158">
        <v>3.7</v>
      </c>
      <c r="AQ605" s="23">
        <f t="shared" si="4195"/>
        <v>-13.953488372093014</v>
      </c>
      <c r="AR605" s="158">
        <v>3.5</v>
      </c>
      <c r="AS605" s="23">
        <f t="shared" si="4196"/>
        <v>0</v>
      </c>
      <c r="AT605" s="158">
        <v>3</v>
      </c>
      <c r="AU605" s="23">
        <f t="shared" si="4197"/>
        <v>-23.076923076923073</v>
      </c>
      <c r="AV605" s="158"/>
      <c r="AW605" s="23" t="str">
        <f t="shared" si="4198"/>
        <v>NM</v>
      </c>
      <c r="AX605" s="158"/>
      <c r="AY605" s="23"/>
      <c r="AZ605" s="158"/>
      <c r="BA605" s="23"/>
      <c r="BB605" s="158"/>
      <c r="BC605" s="23"/>
      <c r="BD605" s="158"/>
      <c r="BE605" s="23"/>
      <c r="BF605" s="49"/>
      <c r="BG605" s="23"/>
      <c r="BH605" s="49"/>
      <c r="BI605" s="23"/>
      <c r="BJ605" s="49"/>
      <c r="BK605" s="23"/>
      <c r="BL605" s="49"/>
      <c r="BM605" s="23"/>
      <c r="BN605" s="10"/>
      <c r="BO605" s="137"/>
      <c r="BP605" s="10"/>
      <c r="BQ605" s="506"/>
      <c r="BR605" s="506"/>
      <c r="BS605" s="506"/>
      <c r="BT605" s="506"/>
      <c r="BU605" s="413">
        <f>B605+D605+F605+H605</f>
        <v>47.8</v>
      </c>
      <c r="BV605" s="23" t="str">
        <f>IF(ISERROR((BU605/BS605-1)*100),"NA",IF(((BU605/BS605-1)*100)&gt;100,"NM",IF(((BU605/BS605-1)*100)&lt;-50,"NM",(BU605/BS605-1)*100)))</f>
        <v>NA</v>
      </c>
      <c r="BW605" s="413">
        <f>J605+L605+N605+P605</f>
        <v>-2.9999999999999991</v>
      </c>
      <c r="BX605" s="23" t="str">
        <f>IF(ISERROR((BW605/BU605-1)*100),"NA",IF(((BW605/BU605-1)*100)&gt;100,"NM",IF(((BW605/BU605-1)*100)&lt;-50,"NM",(BW605/BU605-1)*100)))</f>
        <v>NM</v>
      </c>
      <c r="BY605" s="413">
        <f>R605+T605+V605+X605</f>
        <v>23.8</v>
      </c>
      <c r="BZ605" s="23" t="str">
        <f>IF(ISERROR((BY605/BW605-1)*100),"NA",IF(((BY605/BW605-1)*100)&gt;100,"NM",IF(((BY605/BW605-1)*100)&lt;-50,"NM",(BY605/BW605-1)*100)))</f>
        <v>NM</v>
      </c>
      <c r="CA605" s="413">
        <f>Z605+AB605+AD605+AF605</f>
        <v>24.7</v>
      </c>
      <c r="CB605" s="23">
        <f>IF(ISERROR((CA605/BY605-1)*100),"NA",IF(((CA605/BY605-1)*100)&gt;100,"NM",IF(((CA605/BY605-1)*100)&lt;-50,"NM",(CA605/BY605-1)*100)))</f>
        <v>3.7815126050420034</v>
      </c>
      <c r="CC605" s="413">
        <f>AH605+AJ605+AL605+AN605</f>
        <v>15.1</v>
      </c>
      <c r="CD605" s="23">
        <f>IF(ISERROR((CC605/CA605-1)*100),"NA",IF(((CC605/CA605-1)*100)&gt;100,"NM",IF(((CC605/CA605-1)*100)&lt;-50,"NM",(CC605/CA605-1)*100)))</f>
        <v>-38.866396761133601</v>
      </c>
      <c r="CE605" s="413">
        <f>AP605+AR605+AT605+AV605</f>
        <v>10.199999999999999</v>
      </c>
      <c r="CF605" s="23"/>
      <c r="CG605" s="56"/>
      <c r="CH605" s="23"/>
      <c r="CI605" s="56"/>
      <c r="CJ605" s="23"/>
      <c r="CK605" s="287"/>
      <c r="CL605" s="23"/>
      <c r="CM605" s="287"/>
      <c r="CN605" s="23"/>
      <c r="CO605" s="287"/>
      <c r="CP605" s="23"/>
      <c r="CQ605" s="287"/>
      <c r="CR605" s="23"/>
      <c r="CS605" s="23"/>
    </row>
    <row r="606" spans="1:97" ht="12.75" hidden="1" customHeight="1" outlineLevel="2" x14ac:dyDescent="0.2">
      <c r="A606" s="4" t="s">
        <v>162</v>
      </c>
      <c r="B606" s="48">
        <v>0.2</v>
      </c>
      <c r="C606" s="59"/>
      <c r="D606" s="48">
        <v>0.2</v>
      </c>
      <c r="E606" s="59"/>
      <c r="F606" s="48">
        <v>0.2</v>
      </c>
      <c r="G606" s="59"/>
      <c r="H606" s="48">
        <v>0.2</v>
      </c>
      <c r="I606" s="59"/>
      <c r="J606" s="48">
        <v>0</v>
      </c>
      <c r="K606" s="23" t="str">
        <f>IF(ISERROR((J606/B606-1)*100),"NA",IF(((J606/B606-1)*100)&gt;100,"NM",IF(((J606/B606-1)*100)&lt;-50,"NM",(J606/B606-1)*100)))</f>
        <v>NM</v>
      </c>
      <c r="L606" s="48">
        <v>0</v>
      </c>
      <c r="M606" s="23" t="str">
        <f>IF(ISERROR((L606/D606-1)*100),"NA",IF(((L606/D606-1)*100)&gt;100,"NM",IF(((L606/D606-1)*100)&lt;-50,"NM",(L606/D606-1)*100)))</f>
        <v>NM</v>
      </c>
      <c r="N606" s="48">
        <v>0</v>
      </c>
      <c r="O606" s="23" t="str">
        <f>IF(ISERROR((N606/F606-1)*100),"NA",IF(((N606/F606-1)*100)&gt;100,"NM",IF(((N606/F606-1)*100)&lt;-50,"NM",(N606/F606-1)*100)))</f>
        <v>NM</v>
      </c>
      <c r="P606" s="49">
        <v>0</v>
      </c>
      <c r="Q606" s="23" t="str">
        <f>IF(ISERROR((P606/H606-1)*100),"NA",IF(((P606/H606-1)*100)&gt;100,"NM",IF(((P606/H606-1)*100)&lt;-50,"NM",(P606/H606-1)*100)))</f>
        <v>NM</v>
      </c>
      <c r="R606" s="49">
        <v>0</v>
      </c>
      <c r="S606" s="23" t="str">
        <f>IF(ISERROR((R606/J606-1)*100),"NA",IF(((R606/J606-1)*100)&gt;100,"NM",IF(((R606/J606-1)*100)&lt;-50,"NM",(R606/J606-1)*100)))</f>
        <v>NA</v>
      </c>
      <c r="T606" s="49">
        <v>0</v>
      </c>
      <c r="U606" s="23" t="str">
        <f>IF(ISERROR((T606/L606-1)*100),"NA",IF(((T606/L606-1)*100)&gt;100,"NM",IF(((T606/L606-1)*100)&lt;-50,"NM",(T606/L606-1)*100)))</f>
        <v>NA</v>
      </c>
      <c r="V606" s="49">
        <v>0</v>
      </c>
      <c r="W606" s="23" t="str">
        <f>IF(ISERROR((V606/N606-1)*100),"NA",IF(((V606/N606-1)*100)&gt;100,"NM",IF(((V606/N606-1)*100)&lt;-50,"NM",(V606/N606-1)*100)))</f>
        <v>NA</v>
      </c>
      <c r="X606" s="49">
        <v>0</v>
      </c>
      <c r="Y606" s="23" t="str">
        <f>IF(ISERROR((X606/P606-1)*100),"NA",IF(((X606/P606-1)*100)&gt;100,"NM",IF(((X606/P606-1)*100)&lt;-50,"NM",(X606/P606-1)*100)))</f>
        <v>NA</v>
      </c>
      <c r="Z606" s="49">
        <v>0</v>
      </c>
      <c r="AA606" s="23" t="str">
        <f>IF(ISERROR((Z606/R606-1)*100),"NA",IF(((Z606/R606-1)*100)&gt;100,"NM",IF(((Z606/R606-1)*100)&lt;-50,"NM",(Z606/R606-1)*100)))</f>
        <v>NA</v>
      </c>
      <c r="AB606" s="49">
        <v>0</v>
      </c>
      <c r="AC606" s="23" t="str">
        <f>IF(ISERROR((AB606/T606-1)*100),"NA",IF(((AB606/T606-1)*100)&gt;100,"NM",IF(((AB606/T606-1)*100)&lt;-50,"NM",(AB606/T606-1)*100)))</f>
        <v>NA</v>
      </c>
      <c r="AD606" s="49">
        <v>0</v>
      </c>
      <c r="AE606" s="23" t="str">
        <f>IF(ISERROR((AD606/V606-1)*100),"NA",IF(((AD606/V606-1)*100)&gt;100,"NM",IF(((AD606/V606-1)*100)&lt;-50,"NM",(AD606/V606-1)*100)))</f>
        <v>NA</v>
      </c>
      <c r="AF606" s="49">
        <v>0</v>
      </c>
      <c r="AG606" s="23" t="str">
        <f>IF(ISERROR((AF606/X606-1)*100),"NA",IF(((AF606/X606-1)*100)&gt;100,"NM",IF(((AF606/X606-1)*100)&lt;-50,"NM",(AF606/X606-1)*100)))</f>
        <v>NA</v>
      </c>
      <c r="AH606" s="49">
        <v>0</v>
      </c>
      <c r="AI606" s="23" t="str">
        <f>IF(ISERROR((AH606/Z606-1)*100),"NA",IF(((AH606/Z606-1)*100)&gt;100,"NM",IF(((AH606/Z606-1)*100)&lt;-50,"NM",(AH606/Z606-1)*100)))</f>
        <v>NA</v>
      </c>
      <c r="AJ606" s="49">
        <v>0</v>
      </c>
      <c r="AK606" s="23" t="str">
        <f>IF(ISERROR((AJ606/AB606-1)*100),"NA",IF(((AJ606/AB606-1)*100)&gt;100,"NM",IF(((AJ606/AB606-1)*100)&lt;-50,"NM",(AJ606/AB606-1)*100)))</f>
        <v>NA</v>
      </c>
      <c r="AL606" s="49">
        <v>0</v>
      </c>
      <c r="AM606" s="23" t="str">
        <f>IF(ISERROR((AL606/AD606-1)*100),"NA",IF(((AL606/AD606-1)*100)&gt;100,"NM",IF(((AL606/AD606-1)*100)&lt;-50,"NM",(AL606/AD606-1)*100)))</f>
        <v>NA</v>
      </c>
      <c r="AN606" s="158">
        <v>0</v>
      </c>
      <c r="AO606" s="23" t="str">
        <f>IF(ISERROR((AN606/AF606-1)*100),"NA",IF(((AN606/AF606-1)*100)&gt;100,"NM",IF(((AN606/AF606-1)*100)&lt;-50,"NM",(AN606/AF606-1)*100)))</f>
        <v>NA</v>
      </c>
      <c r="AP606" s="158">
        <v>0</v>
      </c>
      <c r="AQ606" s="23" t="str">
        <f t="shared" si="4195"/>
        <v>NA</v>
      </c>
      <c r="AR606" s="158">
        <v>0</v>
      </c>
      <c r="AS606" s="23" t="str">
        <f t="shared" si="4196"/>
        <v>NA</v>
      </c>
      <c r="AT606" s="158">
        <v>0</v>
      </c>
      <c r="AU606" s="23" t="str">
        <f t="shared" si="4197"/>
        <v>NA</v>
      </c>
      <c r="AV606" s="158"/>
      <c r="AW606" s="23" t="str">
        <f t="shared" si="4198"/>
        <v>NA</v>
      </c>
      <c r="AX606" s="158"/>
      <c r="AY606" s="23"/>
      <c r="AZ606" s="158"/>
      <c r="BA606" s="23"/>
      <c r="BB606" s="158"/>
      <c r="BC606" s="23"/>
      <c r="BD606" s="158"/>
      <c r="BE606" s="23"/>
      <c r="BF606" s="49"/>
      <c r="BG606" s="23"/>
      <c r="BH606" s="49"/>
      <c r="BI606" s="23"/>
      <c r="BJ606" s="49"/>
      <c r="BK606" s="23"/>
      <c r="BL606" s="49"/>
      <c r="BM606" s="23"/>
      <c r="BN606" s="10"/>
      <c r="BO606" s="137"/>
      <c r="BP606" s="10"/>
      <c r="BQ606" s="506"/>
      <c r="BR606" s="506"/>
      <c r="BS606" s="506"/>
      <c r="BT606" s="506"/>
      <c r="BU606" s="413">
        <f>B606+D606+F606+H606</f>
        <v>0.8</v>
      </c>
      <c r="BV606" s="23" t="str">
        <f>IF(ISERROR((BU606/BS606-1)*100),"NA",IF(((BU606/BS606-1)*100)&gt;100,"NM",IF(((BU606/BS606-1)*100)&lt;-50,"NM",(BU606/BS606-1)*100)))</f>
        <v>NA</v>
      </c>
      <c r="BW606" s="413">
        <f>J606+L606+N606+P606</f>
        <v>0</v>
      </c>
      <c r="BX606" s="23" t="str">
        <f>IF(ISERROR((BW606/BU606-1)*100),"NA",IF(((BW606/BU606-1)*100)&gt;100,"NM",IF(((BW606/BU606-1)*100)&lt;-50,"NM",(BW606/BU606-1)*100)))</f>
        <v>NM</v>
      </c>
      <c r="BY606" s="413">
        <f>R606+T606+V606+X606</f>
        <v>0</v>
      </c>
      <c r="BZ606" s="23" t="str">
        <f>IF(ISERROR((BY606/BW606-1)*100),"NA",IF(((BY606/BW606-1)*100)&gt;100,"NM",IF(((BY606/BW606-1)*100)&lt;-50,"NM",(BY606/BW606-1)*100)))</f>
        <v>NA</v>
      </c>
      <c r="CA606" s="413">
        <f>Z606+AB606+AD606+AF606</f>
        <v>0</v>
      </c>
      <c r="CB606" s="23" t="str">
        <f>IF(ISERROR((CA606/BY606-1)*100),"NA",IF(((CA606/BY606-1)*100)&gt;100,"NM",IF(((CA606/BY606-1)*100)&lt;-50,"NM",(CA606/BY606-1)*100)))</f>
        <v>NA</v>
      </c>
      <c r="CC606" s="413">
        <f>AH606+AJ606+AL606+AN606</f>
        <v>0</v>
      </c>
      <c r="CD606" s="23" t="str">
        <f>IF(ISERROR((CC606/CA606-1)*100),"NA",IF(((CC606/CA606-1)*100)&gt;100,"NM",IF(((CC606/CA606-1)*100)&lt;-50,"NM",(CC606/CA606-1)*100)))</f>
        <v>NA</v>
      </c>
      <c r="CE606" s="413">
        <f>AP606+AR606+AT606+AV606</f>
        <v>0</v>
      </c>
      <c r="CF606" s="23"/>
      <c r="CG606" s="56"/>
      <c r="CH606" s="23"/>
      <c r="CI606" s="56"/>
      <c r="CJ606" s="23"/>
      <c r="CK606" s="48"/>
      <c r="CL606" s="23"/>
      <c r="CM606" s="48"/>
      <c r="CN606" s="23"/>
      <c r="CO606" s="48"/>
      <c r="CP606" s="23"/>
      <c r="CQ606" s="48"/>
      <c r="CR606" s="23"/>
      <c r="CS606" s="23"/>
    </row>
    <row r="607" spans="1:97" ht="12.75" hidden="1" customHeight="1" outlineLevel="2" x14ac:dyDescent="0.2">
      <c r="A607" s="4" t="s">
        <v>185</v>
      </c>
      <c r="B607" s="48"/>
      <c r="C607" s="59"/>
      <c r="D607" s="48"/>
      <c r="E607" s="59"/>
      <c r="F607" s="48"/>
      <c r="G607" s="59"/>
      <c r="H607" s="48"/>
      <c r="I607" s="59"/>
      <c r="J607" s="48">
        <v>0.1</v>
      </c>
      <c r="K607" s="23"/>
      <c r="L607" s="48">
        <v>0.2</v>
      </c>
      <c r="M607" s="23"/>
      <c r="N607" s="48">
        <v>0.1</v>
      </c>
      <c r="O607" s="23"/>
      <c r="P607" s="49">
        <v>0.2</v>
      </c>
      <c r="Q607" s="23"/>
      <c r="R607" s="49">
        <v>0.1</v>
      </c>
      <c r="S607" s="23"/>
      <c r="T607" s="49">
        <v>0.1</v>
      </c>
      <c r="U607" s="23">
        <f>IF(ISERROR((T607/L607-1)*100),"NA",IF(((T607/L607-1)*100)&gt;100,"NM",IF(((T607/L607-1)*100)&lt;-50,"NM",(T607/L607-1)*100)))</f>
        <v>-50</v>
      </c>
      <c r="V607" s="49">
        <v>0.1</v>
      </c>
      <c r="W607" s="23">
        <f>IF(ISERROR((V607/N607-1)*100),"NA",IF(((V607/N607-1)*100)&gt;100,"NM",IF(((V607/N607-1)*100)&lt;-50,"NM",(V607/N607-1)*100)))</f>
        <v>0</v>
      </c>
      <c r="X607" s="49">
        <v>0.1</v>
      </c>
      <c r="Y607" s="23">
        <f>IF(ISERROR((X607/P607-1)*100),"NA",IF(((X607/P607-1)*100)&gt;100,"NM",IF(((X607/P607-1)*100)&lt;-50,"NM",(X607/P607-1)*100)))</f>
        <v>-50</v>
      </c>
      <c r="Z607" s="49">
        <v>0.1</v>
      </c>
      <c r="AA607" s="23">
        <f>IF(ISERROR((Z607/R607-1)*100),"NA",IF(((Z607/R607-1)*100)&gt;100,"NM",IF(((Z607/R607-1)*100)&lt;-50,"NM",(Z607/R607-1)*100)))</f>
        <v>0</v>
      </c>
      <c r="AB607" s="49">
        <v>0.1</v>
      </c>
      <c r="AC607" s="23">
        <f>IF(ISERROR((AB607/T607-1)*100),"NA",IF(((AB607/T607-1)*100)&gt;100,"NM",IF(((AB607/T607-1)*100)&lt;-50,"NM",(AB607/T607-1)*100)))</f>
        <v>0</v>
      </c>
      <c r="AD607" s="49">
        <v>0.1</v>
      </c>
      <c r="AE607" s="23">
        <f>IF(ISERROR((AD607/V607-1)*100),"NA",IF(((AD607/V607-1)*100)&gt;100,"NM",IF(((AD607/V607-1)*100)&lt;-50,"NM",(AD607/V607-1)*100)))</f>
        <v>0</v>
      </c>
      <c r="AF607" s="49">
        <v>0.1</v>
      </c>
      <c r="AG607" s="23">
        <f>IF(ISERROR((AF607/X607-1)*100),"NA",IF(((AF607/X607-1)*100)&gt;100,"NM",IF(((AF607/X607-1)*100)&lt;-50,"NM",(AF607/X607-1)*100)))</f>
        <v>0</v>
      </c>
      <c r="AH607" s="49">
        <v>0</v>
      </c>
      <c r="AI607" s="23" t="str">
        <f>IF(ISERROR((AH607/Z607-1)*100),"NA",IF(((AH607/Z607-1)*100)&gt;100,"NM",IF(((AH607/Z607-1)*100)&lt;-50,"NM",(AH607/Z607-1)*100)))</f>
        <v>NM</v>
      </c>
      <c r="AJ607" s="49">
        <v>0</v>
      </c>
      <c r="AK607" s="23" t="str">
        <f>IF(ISERROR((AJ607/AB607-1)*100),"NA",IF(((AJ607/AB607-1)*100)&gt;100,"NM",IF(((AJ607/AB607-1)*100)&lt;-50,"NM",(AJ607/AB607-1)*100)))</f>
        <v>NM</v>
      </c>
      <c r="AL607" s="49">
        <v>0</v>
      </c>
      <c r="AM607" s="23" t="str">
        <f>IF(ISERROR((AL607/AD607-1)*100),"NA",IF(((AL607/AD607-1)*100)&gt;100,"NM",IF(((AL607/AD607-1)*100)&lt;-50,"NM",(AL607/AD607-1)*100)))</f>
        <v>NM</v>
      </c>
      <c r="AN607" s="158">
        <v>0</v>
      </c>
      <c r="AO607" s="23" t="str">
        <f>IF(ISERROR((AN607/AF607-1)*100),"NA",IF(((AN607/AF607-1)*100)&gt;100,"NM",IF(((AN607/AF607-1)*100)&lt;-50,"NM",(AN607/AF607-1)*100)))</f>
        <v>NM</v>
      </c>
      <c r="AP607" s="158">
        <v>0</v>
      </c>
      <c r="AQ607" s="23" t="str">
        <f t="shared" si="4195"/>
        <v>NA</v>
      </c>
      <c r="AR607" s="158">
        <v>0</v>
      </c>
      <c r="AS607" s="23" t="str">
        <f t="shared" si="4196"/>
        <v>NA</v>
      </c>
      <c r="AT607" s="158">
        <v>0</v>
      </c>
      <c r="AU607" s="23" t="str">
        <f t="shared" si="4197"/>
        <v>NA</v>
      </c>
      <c r="AV607" s="158"/>
      <c r="AW607" s="23" t="str">
        <f t="shared" si="4198"/>
        <v>NA</v>
      </c>
      <c r="AX607" s="158"/>
      <c r="AY607" s="23"/>
      <c r="AZ607" s="158"/>
      <c r="BA607" s="23"/>
      <c r="BB607" s="158"/>
      <c r="BC607" s="23"/>
      <c r="BD607" s="158"/>
      <c r="BE607" s="23"/>
      <c r="BF607" s="49"/>
      <c r="BG607" s="23"/>
      <c r="BH607" s="49"/>
      <c r="BI607" s="23"/>
      <c r="BJ607" s="49"/>
      <c r="BK607" s="23"/>
      <c r="BL607" s="49"/>
      <c r="BM607" s="23"/>
      <c r="BN607" s="10"/>
      <c r="BO607" s="137"/>
      <c r="BP607" s="10"/>
      <c r="BQ607" s="506"/>
      <c r="BR607" s="506"/>
      <c r="BS607" s="506"/>
      <c r="BT607" s="506"/>
      <c r="BU607" s="413"/>
      <c r="BV607" s="23"/>
      <c r="BW607" s="413">
        <f>J607+L607+N607+P607</f>
        <v>0.60000000000000009</v>
      </c>
      <c r="BX607" s="23"/>
      <c r="BY607" s="413">
        <f>R607+T607+V607+X607</f>
        <v>0.4</v>
      </c>
      <c r="BZ607" s="23">
        <f>IF(ISERROR((BY607/BW607-1)*100),"NA",IF(((BY607/BW607-1)*100)&gt;100,"NM",IF(((BY607/BW607-1)*100)&lt;-50,"NM",(BY607/BW607-1)*100)))</f>
        <v>-33.333333333333336</v>
      </c>
      <c r="CA607" s="413">
        <f>Z607+AB607+AD607+AF607</f>
        <v>0.4</v>
      </c>
      <c r="CB607" s="23">
        <f>IF(ISERROR((CA607/BY607-1)*100),"NA",IF(((CA607/BY607-1)*100)&gt;100,"NM",IF(((CA607/BY607-1)*100)&lt;-50,"NM",(CA607/BY607-1)*100)))</f>
        <v>0</v>
      </c>
      <c r="CC607" s="413">
        <f>AH607+AJ607+AL607+AN607</f>
        <v>0</v>
      </c>
      <c r="CD607" s="23" t="str">
        <f>IF(ISERROR((CC607/CA607-1)*100),"NA",IF(((CC607/CA607-1)*100)&gt;100,"NM",IF(((CC607/CA607-1)*100)&lt;-50,"NM",(CC607/CA607-1)*100)))</f>
        <v>NM</v>
      </c>
      <c r="CE607" s="413">
        <f>AP607+AR607+AT607+AV607</f>
        <v>0</v>
      </c>
      <c r="CF607" s="23"/>
      <c r="CG607" s="56"/>
      <c r="CH607" s="23"/>
      <c r="CI607" s="56"/>
      <c r="CJ607" s="23"/>
      <c r="CK607" s="48"/>
      <c r="CL607" s="23"/>
      <c r="CM607" s="48"/>
      <c r="CN607" s="23"/>
      <c r="CO607" s="48"/>
      <c r="CP607" s="23"/>
      <c r="CQ607" s="48"/>
      <c r="CR607" s="23"/>
      <c r="CS607" s="23"/>
    </row>
    <row r="608" spans="1:97" ht="12.75" hidden="1" customHeight="1" outlineLevel="2" x14ac:dyDescent="0.2">
      <c r="A608" s="4" t="s">
        <v>11</v>
      </c>
      <c r="B608" s="36">
        <f>SUM(B604:B607)</f>
        <v>11.1</v>
      </c>
      <c r="C608" s="59"/>
      <c r="D608" s="36">
        <f>SUM(D604:D607)</f>
        <v>14.2</v>
      </c>
      <c r="E608" s="59"/>
      <c r="F608" s="36">
        <f>SUM(F604:F607)</f>
        <v>7.2</v>
      </c>
      <c r="G608" s="59"/>
      <c r="H608" s="36">
        <f>SUM(H604:H607)</f>
        <v>16.100000000000001</v>
      </c>
      <c r="I608" s="59"/>
      <c r="J608" s="36">
        <f>SUM(J604:J607)</f>
        <v>29.1</v>
      </c>
      <c r="K608" s="23" t="str">
        <f>IF(ISERROR((J608/B608-1)*100),"NA",IF(((J608/B608-1)*100)&gt;100,"NM",IF(((J608/B608-1)*100)&lt;-50,"NM",(J608/B608-1)*100)))</f>
        <v>NM</v>
      </c>
      <c r="L608" s="36">
        <f>SUM(L604:L607)</f>
        <v>-0.90000000000000147</v>
      </c>
      <c r="M608" s="23" t="str">
        <f>IF(ISERROR((L608/D608-1)*100),"NA",IF(((L608/D608-1)*100)&gt;100,"NM",IF(((L608/D608-1)*100)&lt;-50,"NM",(L608/D608-1)*100)))</f>
        <v>NM</v>
      </c>
      <c r="N608" s="36">
        <f>SUM(N604:N607)</f>
        <v>18.700000000000003</v>
      </c>
      <c r="O608" s="23" t="str">
        <f>IF(ISERROR((N608/F608-1)*100),"NA",IF(((N608/F608-1)*100)&gt;100,"NM",IF(((N608/F608-1)*100)&lt;-50,"NM",(N608/F608-1)*100)))</f>
        <v>NM</v>
      </c>
      <c r="P608" s="36">
        <f>SUM(P604:P607)</f>
        <v>14.4</v>
      </c>
      <c r="Q608" s="23">
        <f>IF(ISERROR((P608/H608-1)*100),"NA",IF(((P608/H608-1)*100)&gt;100,"NM",IF(((P608/H608-1)*100)&lt;-50,"NM",(P608/H608-1)*100)))</f>
        <v>-10.559006211180133</v>
      </c>
      <c r="R608" s="36">
        <f>SUM(R604:R607)</f>
        <v>24.1</v>
      </c>
      <c r="S608" s="23">
        <f>IF(ISERROR((R608/J608-1)*100),"NA",IF(((R608/J608-1)*100)&gt;100,"NM",IF(((R608/J608-1)*100)&lt;-50,"NM",(R608/J608-1)*100)))</f>
        <v>-17.182130584192436</v>
      </c>
      <c r="T608" s="36">
        <f>SUM(T604:T607)</f>
        <v>15.6</v>
      </c>
      <c r="U608" s="23" t="str">
        <f>IF(ISERROR((T608/L608-1)*100),"NA",IF(((T608/L608-1)*100)&gt;100,"NM",IF(((T608/L608-1)*100)&lt;-50,"NM",(T608/L608-1)*100)))</f>
        <v>NM</v>
      </c>
      <c r="V608" s="36">
        <f>SUM(V604:V607)</f>
        <v>16.200000000000003</v>
      </c>
      <c r="W608" s="23">
        <f>IF(ISERROR((V608/N608-1)*100),"NA",IF(((V608/N608-1)*100)&gt;100,"NM",IF(((V608/N608-1)*100)&lt;-50,"NM",(V608/N608-1)*100)))</f>
        <v>-13.36898395721925</v>
      </c>
      <c r="X608" s="36">
        <f>SUM(X604:X607)</f>
        <v>30.300000000000004</v>
      </c>
      <c r="Y608" s="23" t="str">
        <f>IF(ISERROR((X608/P608-1)*100),"NA",IF(((X608/P608-1)*100)&gt;100,"NM",IF(((X608/P608-1)*100)&lt;-50,"NM",(X608/P608-1)*100)))</f>
        <v>NM</v>
      </c>
      <c r="Z608" s="36">
        <f>SUM(Z604:Z607)</f>
        <v>24.700000000000003</v>
      </c>
      <c r="AA608" s="23">
        <f>IF(ISERROR((Z608/R608-1)*100),"NA",IF(((Z608/R608-1)*100)&gt;100,"NM",IF(((Z608/R608-1)*100)&lt;-50,"NM",(Z608/R608-1)*100)))</f>
        <v>2.4896265560166109</v>
      </c>
      <c r="AB608" s="36">
        <f>SUM(AB604:AB607)</f>
        <v>13.5</v>
      </c>
      <c r="AC608" s="23">
        <f>IF(ISERROR((AB608/T608-1)*100),"NA",IF(((AB608/T608-1)*100)&gt;100,"NM",IF(((AB608/T608-1)*100)&lt;-50,"NM",(AB608/T608-1)*100)))</f>
        <v>-13.461538461538458</v>
      </c>
      <c r="AD608" s="36">
        <f>SUM(AD604:AD607)</f>
        <v>14.9</v>
      </c>
      <c r="AE608" s="23">
        <f>IF(ISERROR((AD608/V608-1)*100),"NA",IF(((AD608/V608-1)*100)&gt;100,"NM",IF(((AD608/V608-1)*100)&lt;-50,"NM",(AD608/V608-1)*100)))</f>
        <v>-8.0246913580247039</v>
      </c>
      <c r="AF608" s="36">
        <f>SUM(AF604:AF607)</f>
        <v>24.900000000000002</v>
      </c>
      <c r="AG608" s="23">
        <f>IF(ISERROR((AF608/X608-1)*100),"NA",IF(((AF608/X608-1)*100)&gt;100,"NM",IF(((AF608/X608-1)*100)&lt;-50,"NM",(AF608/X608-1)*100)))</f>
        <v>-17.821782178217827</v>
      </c>
      <c r="AH608" s="36">
        <f>SUM(AH604:AH607)</f>
        <v>8.1</v>
      </c>
      <c r="AI608" s="23" t="str">
        <f>IF(ISERROR((AH608/Z608-1)*100),"NA",IF(((AH608/Z608-1)*100)&gt;100,"NM",IF(((AH608/Z608-1)*100)&lt;-50,"NM",(AH608/Z608-1)*100)))</f>
        <v>NM</v>
      </c>
      <c r="AJ608" s="36">
        <f>SUM(AJ604:AJ607)</f>
        <v>12</v>
      </c>
      <c r="AK608" s="23">
        <f>IF(ISERROR((AJ608/AB608-1)*100),"NA",IF(((AJ608/AB608-1)*100)&gt;100,"NM",IF(((AJ608/AB608-1)*100)&lt;-50,"NM",(AJ608/AB608-1)*100)))</f>
        <v>-11.111111111111116</v>
      </c>
      <c r="AL608" s="36">
        <f>SUM(AL604:AL607)</f>
        <v>12.3</v>
      </c>
      <c r="AM608" s="23">
        <f>IF(ISERROR((AL608/AD608-1)*100),"NA",IF(((AL608/AD608-1)*100)&gt;100,"NM",IF(((AL608/AD608-1)*100)&lt;-50,"NM",(AL608/AD608-1)*100)))</f>
        <v>-17.449664429530198</v>
      </c>
      <c r="AN608" s="410">
        <f t="shared" ref="AN608:AP608" si="4199">SUM(AN604:AN607)</f>
        <v>11.8</v>
      </c>
      <c r="AO608" s="23" t="str">
        <f>IF(ISERROR((AN608/AF608-1)*100),"NA",IF(((AN608/AF608-1)*100)&gt;100,"NM",IF(((AN608/AF608-1)*100)&lt;-50,"NM",(AN608/AF608-1)*100)))</f>
        <v>NM</v>
      </c>
      <c r="AP608" s="410">
        <f t="shared" si="4199"/>
        <v>12</v>
      </c>
      <c r="AQ608" s="23">
        <f t="shared" si="4195"/>
        <v>48.148148148148159</v>
      </c>
      <c r="AR608" s="410">
        <f t="shared" ref="AR608:AT608" si="4200">SUM(AR604:AR607)</f>
        <v>13.5</v>
      </c>
      <c r="AS608" s="23">
        <f t="shared" si="4196"/>
        <v>12.5</v>
      </c>
      <c r="AT608" s="410">
        <f t="shared" si="4200"/>
        <v>17.3</v>
      </c>
      <c r="AU608" s="23">
        <f t="shared" si="4197"/>
        <v>40.650406504065039</v>
      </c>
      <c r="AV608" s="410"/>
      <c r="AW608" s="23" t="str">
        <f t="shared" si="4198"/>
        <v>NM</v>
      </c>
      <c r="AX608" s="410"/>
      <c r="AY608" s="23"/>
      <c r="AZ608" s="410"/>
      <c r="BA608" s="23"/>
      <c r="BB608" s="410"/>
      <c r="BC608" s="23"/>
      <c r="BD608" s="410"/>
      <c r="BE608" s="23"/>
      <c r="BF608" s="56"/>
      <c r="BG608" s="23"/>
      <c r="BH608" s="56"/>
      <c r="BI608" s="23"/>
      <c r="BJ608" s="56"/>
      <c r="BK608" s="23"/>
      <c r="BL608" s="56"/>
      <c r="BM608" s="23"/>
      <c r="BN608" s="10"/>
      <c r="BO608" s="137"/>
      <c r="BP608" s="10"/>
      <c r="BQ608" s="506"/>
      <c r="BR608" s="506"/>
      <c r="BS608" s="506"/>
      <c r="BT608" s="506"/>
      <c r="BU608" s="410">
        <f>SUM(BU604:BU607)</f>
        <v>48.599999999999994</v>
      </c>
      <c r="BV608" s="23" t="str">
        <f>IF(ISERROR((BU608/BS608-1)*100),"NA",IF(((BU608/BS608-1)*100)&gt;100,"NM",IF(((BU608/BS608-1)*100)&lt;-50,"NM",(BU608/BS608-1)*100)))</f>
        <v>NA</v>
      </c>
      <c r="BW608" s="410">
        <f>SUM(BW604:BW607)</f>
        <v>61.300000000000004</v>
      </c>
      <c r="BX608" s="23">
        <f>IF(ISERROR((BW608/BU608-1)*100),"NA",IF(((BW608/BU608-1)*100)&gt;100,"NM",IF(((BW608/BU608-1)*100)&lt;-50,"NM",(BW608/BU608-1)*100)))</f>
        <v>26.131687242798375</v>
      </c>
      <c r="BY608" s="410">
        <f>SUM(BY604:BY607)</f>
        <v>86.2</v>
      </c>
      <c r="BZ608" s="23">
        <f>IF(ISERROR((BY608/BW608-1)*100),"NA",IF(((BY608/BW608-1)*100)&gt;100,"NM",IF(((BY608/BW608-1)*100)&lt;-50,"NM",(BY608/BW608-1)*100)))</f>
        <v>40.619902120717775</v>
      </c>
      <c r="CA608" s="410">
        <f>SUM(CA604:CA607)</f>
        <v>78</v>
      </c>
      <c r="CB608" s="23">
        <f>IF(ISERROR((CA608/BY608-1)*100),"NA",IF(((CA608/BY608-1)*100)&gt;100,"NM",IF(((CA608/BY608-1)*100)&lt;-50,"NM",(CA608/BY608-1)*100)))</f>
        <v>-9.5127610208816762</v>
      </c>
      <c r="CC608" s="410">
        <f>SUM(CC604:CC607)</f>
        <v>44.2</v>
      </c>
      <c r="CD608" s="23">
        <f>IF(ISERROR((CC608/CA608-1)*100),"NA",IF(((CC608/CA608-1)*100)&gt;100,"NM",IF(((CC608/CA608-1)*100)&lt;-50,"NM",(CC608/CA608-1)*100)))</f>
        <v>-43.333333333333336</v>
      </c>
      <c r="CE608" s="410">
        <f>SUM(CE604:CE607)</f>
        <v>42.8</v>
      </c>
      <c r="CF608" s="23"/>
      <c r="CG608" s="36"/>
      <c r="CH608" s="23"/>
      <c r="CI608" s="36"/>
      <c r="CJ608" s="23"/>
      <c r="CK608" s="36"/>
      <c r="CL608" s="23"/>
      <c r="CM608" s="36"/>
      <c r="CN608" s="23"/>
      <c r="CO608" s="36"/>
      <c r="CP608" s="23"/>
      <c r="CQ608" s="36"/>
      <c r="CR608" s="23"/>
      <c r="CS608" s="23"/>
    </row>
    <row r="609" spans="1:105" ht="12.75" hidden="1" customHeight="1" outlineLevel="2" x14ac:dyDescent="0.2">
      <c r="B609" s="36"/>
      <c r="C609" s="60"/>
      <c r="D609" s="36"/>
      <c r="E609" s="60"/>
      <c r="F609" s="36"/>
      <c r="G609" s="60"/>
      <c r="H609" s="36"/>
      <c r="I609" s="60"/>
      <c r="J609" s="36"/>
      <c r="L609" s="36"/>
      <c r="N609" s="36"/>
      <c r="P609" s="36"/>
      <c r="R609" s="36"/>
      <c r="T609" s="36"/>
      <c r="V609" s="36"/>
      <c r="X609" s="36"/>
      <c r="Z609" s="36"/>
      <c r="AB609" s="36"/>
      <c r="AD609" s="36"/>
      <c r="AF609" s="36"/>
      <c r="AH609" s="36"/>
      <c r="AJ609" s="36"/>
      <c r="AL609" s="36"/>
      <c r="AN609" s="410"/>
      <c r="AP609" s="410"/>
      <c r="AR609" s="410"/>
      <c r="AT609" s="410"/>
      <c r="AV609" s="410"/>
      <c r="AX609" s="410"/>
      <c r="AZ609" s="410"/>
      <c r="BB609" s="410"/>
      <c r="BD609" s="410"/>
      <c r="BF609" s="36"/>
      <c r="BH609" s="36"/>
      <c r="BJ609" s="36"/>
      <c r="BL609" s="36"/>
      <c r="BN609" s="10"/>
      <c r="BO609" s="137"/>
      <c r="BP609" s="10"/>
      <c r="BQ609" s="506"/>
      <c r="BR609" s="506"/>
      <c r="BS609" s="506"/>
      <c r="BT609" s="506"/>
      <c r="BU609" s="413"/>
      <c r="BW609" s="410"/>
      <c r="BY609" s="410"/>
      <c r="CA609" s="410"/>
      <c r="CC609" s="410"/>
      <c r="CE609" s="410"/>
      <c r="CG609" s="36"/>
      <c r="CI609" s="36"/>
      <c r="CK609" s="36"/>
      <c r="CM609" s="36"/>
      <c r="CO609" s="36"/>
      <c r="CQ609" s="36"/>
    </row>
    <row r="610" spans="1:105" ht="12.75" hidden="1" customHeight="1" outlineLevel="2" x14ac:dyDescent="0.2">
      <c r="A610" s="3" t="s">
        <v>128</v>
      </c>
      <c r="B610" s="72">
        <f>B601-B608</f>
        <v>15.6</v>
      </c>
      <c r="C610" s="59"/>
      <c r="D610" s="72">
        <f>D601-D608</f>
        <v>18.8</v>
      </c>
      <c r="E610" s="59"/>
      <c r="F610" s="72">
        <f>F601-F608</f>
        <v>20.900000000000002</v>
      </c>
      <c r="G610" s="59"/>
      <c r="H610" s="72">
        <f>H601-H608</f>
        <v>15</v>
      </c>
      <c r="I610" s="59"/>
      <c r="J610" s="72">
        <f>J601-J608</f>
        <v>24.29999999999999</v>
      </c>
      <c r="K610" s="23">
        <f t="shared" ref="K610:Y610" si="4201">IF(ISERROR((J610/B610-1)*100),"NA",IF(((J610/B610-1)*100)&gt;100,"NM",IF(((J610/B610-1)*100)&lt;-50,"NM",(J610/B610-1)*100)))</f>
        <v>55.769230769230703</v>
      </c>
      <c r="L610" s="72">
        <f>L601-L608</f>
        <v>39.800000000000004</v>
      </c>
      <c r="M610" s="23" t="str">
        <f t="shared" si="4201"/>
        <v>NM</v>
      </c>
      <c r="N610" s="72">
        <f>N601-N608</f>
        <v>21.800000000000004</v>
      </c>
      <c r="O610" s="23">
        <f t="shared" si="4201"/>
        <v>4.3062200956937913</v>
      </c>
      <c r="P610" s="72">
        <f>P601-P608</f>
        <v>23.800000000000004</v>
      </c>
      <c r="Q610" s="23">
        <f t="shared" si="4201"/>
        <v>58.666666666666686</v>
      </c>
      <c r="R610" s="72">
        <f>R601-R608</f>
        <v>21.4</v>
      </c>
      <c r="S610" s="23">
        <f t="shared" si="4201"/>
        <v>-11.934156378600791</v>
      </c>
      <c r="T610" s="72">
        <f>T601-T608</f>
        <v>18</v>
      </c>
      <c r="U610" s="23" t="str">
        <f t="shared" si="4201"/>
        <v>NM</v>
      </c>
      <c r="V610" s="72">
        <f>V601-V608</f>
        <v>14.499999999999993</v>
      </c>
      <c r="W610" s="23">
        <f t="shared" si="4201"/>
        <v>-33.486238532110136</v>
      </c>
      <c r="X610" s="72">
        <f>X601-X608</f>
        <v>-3.3000000000000043</v>
      </c>
      <c r="Y610" s="23" t="str">
        <f t="shared" si="4201"/>
        <v>NM</v>
      </c>
      <c r="Z610" s="72">
        <f>Z601-Z608</f>
        <v>0.89999999999999858</v>
      </c>
      <c r="AA610" s="23" t="str">
        <f>IF(ISERROR((Z610/R610-1)*100),"NA",IF(((Z610/R610-1)*100)&gt;100,"NM",IF(((Z610/R610-1)*100)&lt;-50,"NM",(Z610/R610-1)*100)))</f>
        <v>NM</v>
      </c>
      <c r="AB610" s="72">
        <f>AB601-AB608</f>
        <v>10.5</v>
      </c>
      <c r="AC610" s="23">
        <f>IF(ISERROR((AB610/T610-1)*100),"NA",IF(((AB610/T610-1)*100)&gt;100,"NM",IF(((AB610/T610-1)*100)&lt;-50,"NM",(AB610/T610-1)*100)))</f>
        <v>-41.666666666666664</v>
      </c>
      <c r="AD610" s="72">
        <f>AD601-AD608</f>
        <v>10.499999999999998</v>
      </c>
      <c r="AE610" s="23">
        <f>IF(ISERROR((AD610/V610-1)*100),"NA",IF(((AD610/V610-1)*100)&gt;100,"NM",IF(((AD610/V610-1)*100)&lt;-50,"NM",(AD610/V610-1)*100)))</f>
        <v>-27.586206896551701</v>
      </c>
      <c r="AF610" s="72">
        <f>AF601-AF608</f>
        <v>2.8000000000000007</v>
      </c>
      <c r="AG610" s="23" t="str">
        <f>IF(ISERROR((AF610/X610-1)*100),"NA",IF(((AF610/X610-1)*100)&gt;100,"NM",IF(((AF610/X610-1)*100)&lt;-50,"NM",(AF610/X610-1)*100)))</f>
        <v>NM</v>
      </c>
      <c r="AH610" s="72">
        <f>AH601-AH608</f>
        <v>13.799999999999999</v>
      </c>
      <c r="AI610" s="23" t="str">
        <f>IF(ISERROR((AH610/Z610-1)*100),"NA",IF(((AH610/Z610-1)*100)&gt;100,"NM",IF(((AH610/Z610-1)*100)&lt;-50,"NM",(AH610/Z610-1)*100)))</f>
        <v>NM</v>
      </c>
      <c r="AJ610" s="72">
        <f>AJ601-AJ608</f>
        <v>4</v>
      </c>
      <c r="AK610" s="23" t="str">
        <f>IF(ISERROR((AJ610/AB610-1)*100),"NA",IF(((AJ610/AB610-1)*100)&gt;100,"NM",IF(((AJ610/AB610-1)*100)&lt;-50,"NM",(AJ610/AB610-1)*100)))</f>
        <v>NM</v>
      </c>
      <c r="AL610" s="72">
        <f>AL601-AL608</f>
        <v>2.5999999999999996</v>
      </c>
      <c r="AM610" s="23" t="str">
        <f>IF(ISERROR((AL610/AD610-1)*100),"NA",IF(((AL610/AD610-1)*100)&gt;100,"NM",IF(((AL610/AD610-1)*100)&lt;-50,"NM",(AL610/AD610-1)*100)))</f>
        <v>NM</v>
      </c>
      <c r="AN610" s="72">
        <f t="shared" ref="AN610" si="4202">AN601-AN608</f>
        <v>2</v>
      </c>
      <c r="AO610" s="23">
        <f>IF(ISERROR((AN610/AF610-1)*100),"NA",IF(((AN610/AF610-1)*100)&gt;100,"NM",IF(((AN610/AF610-1)*100)&lt;-50,"NM",(AN610/AF610-1)*100)))</f>
        <v>-28.571428571428591</v>
      </c>
      <c r="AP610" s="72">
        <f>AP601-AP608</f>
        <v>3.7999999999999989</v>
      </c>
      <c r="AQ610" s="23" t="str">
        <f t="shared" ref="AQ610" si="4203">IF(ISERROR((AP610/AH610-1)*100),"NA",IF(((AP610/AH610-1)*100)&gt;100,"NM",IF(((AP610/AH610-1)*100)&lt;-50,"NM",(AP610/AH610-1)*100)))</f>
        <v>NM</v>
      </c>
      <c r="AR610" s="72">
        <f>AR601-AR608</f>
        <v>1.9000000000000004</v>
      </c>
      <c r="AS610" s="23" t="str">
        <f t="shared" ref="AS610" si="4204">IF(ISERROR((AR610/AJ610-1)*100),"NA",IF(((AR610/AJ610-1)*100)&gt;100,"NM",IF(((AR610/AJ610-1)*100)&lt;-50,"NM",(AR610/AJ610-1)*100)))</f>
        <v>NM</v>
      </c>
      <c r="AT610" s="72">
        <f>AT601-AT608</f>
        <v>-6.9</v>
      </c>
      <c r="AU610" s="23" t="str">
        <f t="shared" ref="AU610" si="4205">IF(ISERROR((AT610/AL610-1)*100),"NA",IF(((AT610/AL610-1)*100)&gt;100,"NM",IF(((AT610/AL610-1)*100)&lt;-50,"NM",(AT610/AL610-1)*100)))</f>
        <v>NM</v>
      </c>
      <c r="AV610" s="72"/>
      <c r="AW610" s="23" t="str">
        <f t="shared" ref="AW610" si="4206">IF(ISERROR((AV610/AN610-1)*100),"NA",IF(((AV610/AN610-1)*100)&gt;100,"NM",IF(((AV610/AN610-1)*100)&lt;-50,"NM",(AV610/AN610-1)*100)))</f>
        <v>NM</v>
      </c>
      <c r="AX610" s="72"/>
      <c r="AY610" s="23"/>
      <c r="AZ610" s="72"/>
      <c r="BA610" s="23"/>
      <c r="BB610" s="72"/>
      <c r="BC610" s="23"/>
      <c r="BD610" s="72"/>
      <c r="BE610" s="23"/>
      <c r="BF610" s="72"/>
      <c r="BG610" s="23"/>
      <c r="BH610" s="72"/>
      <c r="BI610" s="23"/>
      <c r="BJ610" s="72"/>
      <c r="BK610" s="23"/>
      <c r="BL610" s="72"/>
      <c r="BM610" s="23"/>
      <c r="BN610" s="10"/>
      <c r="BO610" s="137"/>
      <c r="BP610" s="10"/>
      <c r="BQ610" s="156">
        <v>8.6999999999999993</v>
      </c>
      <c r="BR610" s="506"/>
      <c r="BS610" s="156">
        <v>-10.5</v>
      </c>
      <c r="BT610" s="506"/>
      <c r="BU610" s="72">
        <f>BU601-BU608</f>
        <v>70.300000000000011</v>
      </c>
      <c r="BV610" s="23" t="str">
        <f>IF(ISERROR((BU610/BS610-1)*100),"NA",IF(((BU610/BS610-1)*100)&gt;100,"NM",IF(((BU610/BS610-1)*100)&lt;-50,"NM",(BU610/BS610-1)*100)))</f>
        <v>NM</v>
      </c>
      <c r="BW610" s="72">
        <f>BW601-BW608</f>
        <v>109.69999999999999</v>
      </c>
      <c r="BX610" s="23">
        <f>IF(ISERROR((BW610/BU610-1)*100),"NA",IF(((BW610/BU610-1)*100)&gt;100,"NM",IF(((BW610/BU610-1)*100)&lt;-50,"NM",(BW610/BU610-1)*100)))</f>
        <v>56.045519203413896</v>
      </c>
      <c r="BY610" s="72">
        <f>BY601-BY608</f>
        <v>50.600000000000009</v>
      </c>
      <c r="BZ610" s="23" t="str">
        <f>IF(ISERROR((BY610/BW610-1)*100),"NA",IF(((BY610/BW610-1)*100)&gt;100,"NM",IF(((BY610/BW610-1)*100)&lt;-50,"NM",(BY610/BW610-1)*100)))</f>
        <v>NM</v>
      </c>
      <c r="CA610" s="72">
        <f>CA601-CA608</f>
        <v>24.700000000000017</v>
      </c>
      <c r="CB610" s="23" t="str">
        <f>IF(ISERROR((CA610/BY610-1)*100),"NA",IF(((CA610/BY610-1)*100)&gt;100,"NM",IF(((CA610/BY610-1)*100)&lt;-50,"NM",(CA610/BY610-1)*100)))</f>
        <v>NM</v>
      </c>
      <c r="CC610" s="72">
        <f>CC601-CC608</f>
        <v>22.399999999999991</v>
      </c>
      <c r="CD610" s="23">
        <f>IF(ISERROR((CC610/CA610-1)*100),"NA",IF(((CC610/CA610-1)*100)&gt;100,"NM",IF(((CC610/CA610-1)*100)&lt;-50,"NM",(CC610/CA610-1)*100)))</f>
        <v>-9.311740890688359</v>
      </c>
      <c r="CE610" s="72">
        <f>CE601-CE608</f>
        <v>-1.1999999999999957</v>
      </c>
      <c r="CF610" s="23"/>
      <c r="CG610" s="72"/>
      <c r="CH610" s="23"/>
      <c r="CI610" s="72"/>
      <c r="CJ610" s="23"/>
      <c r="CK610" s="72"/>
      <c r="CL610" s="23"/>
      <c r="CM610" s="72"/>
      <c r="CN610" s="23"/>
      <c r="CO610" s="72"/>
      <c r="CP610" s="23"/>
      <c r="CQ610" s="72"/>
      <c r="CR610" s="23"/>
      <c r="CS610" s="23"/>
    </row>
    <row r="611" spans="1:105" ht="12.75" hidden="1" customHeight="1" outlineLevel="2" x14ac:dyDescent="0.2">
      <c r="B611" s="36"/>
      <c r="D611" s="36"/>
      <c r="F611" s="36"/>
      <c r="H611" s="36"/>
      <c r="J611" s="36"/>
      <c r="L611" s="36"/>
      <c r="N611" s="36"/>
      <c r="P611" s="36"/>
      <c r="R611" s="36"/>
      <c r="T611" s="36"/>
      <c r="V611" s="36"/>
      <c r="X611" s="36"/>
      <c r="Z611" s="36"/>
      <c r="AB611" s="36"/>
      <c r="AD611" s="36"/>
      <c r="AF611" s="36"/>
      <c r="AH611" s="36"/>
      <c r="AJ611" s="36"/>
      <c r="AL611" s="36"/>
      <c r="AN611" s="410"/>
      <c r="AP611" s="410"/>
      <c r="AR611" s="410"/>
      <c r="AT611" s="410"/>
      <c r="AV611" s="410"/>
      <c r="AX611" s="410"/>
      <c r="AZ611" s="410"/>
      <c r="BB611" s="410"/>
      <c r="BD611" s="410"/>
      <c r="BF611" s="36"/>
      <c r="BH611" s="36"/>
      <c r="BJ611" s="36"/>
      <c r="BL611" s="36"/>
      <c r="BN611" s="10"/>
      <c r="BO611" s="137"/>
      <c r="BP611" s="10"/>
      <c r="BQ611" s="506"/>
      <c r="BR611" s="475"/>
      <c r="BS611" s="475"/>
      <c r="BT611" s="475"/>
      <c r="BU611" s="410"/>
      <c r="BW611" s="410"/>
      <c r="BY611" s="410"/>
      <c r="CA611" s="410"/>
      <c r="CC611" s="410"/>
      <c r="CE611" s="410"/>
      <c r="CG611" s="36"/>
      <c r="CI611" s="36"/>
      <c r="CK611" s="36"/>
      <c r="CM611" s="36"/>
      <c r="CO611" s="36"/>
      <c r="CQ611" s="36"/>
    </row>
    <row r="612" spans="1:105" ht="12.75" hidden="1" customHeight="1" outlineLevel="2" x14ac:dyDescent="0.2">
      <c r="A612" s="4" t="s">
        <v>12</v>
      </c>
      <c r="B612" s="48">
        <v>0</v>
      </c>
      <c r="C612" s="59"/>
      <c r="D612" s="48">
        <v>0</v>
      </c>
      <c r="E612" s="59"/>
      <c r="F612" s="48">
        <v>0</v>
      </c>
      <c r="G612" s="59"/>
      <c r="H612" s="48">
        <v>0</v>
      </c>
      <c r="I612" s="59"/>
      <c r="J612" s="48">
        <v>0</v>
      </c>
      <c r="K612" s="23" t="str">
        <f t="shared" ref="K612:Y613" si="4207">IF(ISERROR((J612/B612-1)*100),"NA",IF(((J612/B612-1)*100)&gt;100,"NM",IF(((J612/B612-1)*100)&lt;-50,"NM",(J612/B612-1)*100)))</f>
        <v>NA</v>
      </c>
      <c r="L612" s="48">
        <v>0</v>
      </c>
      <c r="M612" s="23" t="str">
        <f t="shared" si="4207"/>
        <v>NA</v>
      </c>
      <c r="N612" s="48">
        <v>0</v>
      </c>
      <c r="O612" s="23" t="str">
        <f t="shared" si="4207"/>
        <v>NA</v>
      </c>
      <c r="P612" s="48">
        <v>0</v>
      </c>
      <c r="Q612" s="23" t="str">
        <f t="shared" si="4207"/>
        <v>NA</v>
      </c>
      <c r="R612" s="48">
        <v>0</v>
      </c>
      <c r="S612" s="23" t="str">
        <f t="shared" si="4207"/>
        <v>NA</v>
      </c>
      <c r="T612" s="48">
        <v>0</v>
      </c>
      <c r="U612" s="23" t="str">
        <f t="shared" si="4207"/>
        <v>NA</v>
      </c>
      <c r="V612" s="48">
        <v>0</v>
      </c>
      <c r="W612" s="23" t="str">
        <f t="shared" si="4207"/>
        <v>NA</v>
      </c>
      <c r="X612" s="48">
        <v>0</v>
      </c>
      <c r="Y612" s="23" t="str">
        <f t="shared" si="4207"/>
        <v>NA</v>
      </c>
      <c r="Z612" s="48">
        <v>0</v>
      </c>
      <c r="AA612" s="23" t="str">
        <f>IF(ISERROR((Z612/R612-1)*100),"NA",IF(((Z612/R612-1)*100)&gt;100,"NM",IF(((Z612/R612-1)*100)&lt;-50,"NM",(Z612/R612-1)*100)))</f>
        <v>NA</v>
      </c>
      <c r="AB612" s="48">
        <v>0</v>
      </c>
      <c r="AC612" s="23" t="str">
        <f>IF(ISERROR((AB612/T612-1)*100),"NA",IF(((AB612/T612-1)*100)&gt;100,"NM",IF(((AB612/T612-1)*100)&lt;-50,"NM",(AB612/T612-1)*100)))</f>
        <v>NA</v>
      </c>
      <c r="AD612" s="48">
        <v>0.63</v>
      </c>
      <c r="AE612" s="23" t="str">
        <f>IF(ISERROR((AD612/V612-1)*100),"NA",IF(((AD612/V612-1)*100)&gt;100,"NM",IF(((AD612/V612-1)*100)&lt;-50,"NM",(AD612/V612-1)*100)))</f>
        <v>NA</v>
      </c>
      <c r="AF612" s="48">
        <v>-0.4</v>
      </c>
      <c r="AG612" s="23" t="str">
        <f>IF(ISERROR((AF612/X612-1)*100),"NA",IF(((AF612/X612-1)*100)&gt;100,"NM",IF(((AF612/X612-1)*100)&lt;-50,"NM",(AF612/X612-1)*100)))</f>
        <v>NA</v>
      </c>
      <c r="AH612" s="49">
        <v>-0.28000000000000003</v>
      </c>
      <c r="AI612" s="23" t="str">
        <f>IF(ISERROR((AH612/Z612-1)*100),"NA",IF(((AH612/Z612-1)*100)&gt;100,"NM",IF(((AH612/Z612-1)*100)&lt;-50,"NM",(AH612/Z612-1)*100)))</f>
        <v>NA</v>
      </c>
      <c r="AJ612" s="49">
        <v>0</v>
      </c>
      <c r="AK612" s="23" t="str">
        <f>IF(ISERROR((AJ612/AB612-1)*100),"NA",IF(((AJ612/AB612-1)*100)&gt;100,"NM",IF(((AJ612/AB612-1)*100)&lt;-50,"NM",(AJ612/AB612-1)*100)))</f>
        <v>NA</v>
      </c>
      <c r="AL612" s="49">
        <v>0</v>
      </c>
      <c r="AM612" s="23" t="str">
        <f>IF(ISERROR((AL612/AD612-1)*100),"NA",IF(((AL612/AD612-1)*100)&gt;100,"NM",IF(((AL612/AD612-1)*100)&lt;-50,"NM",(AL612/AD612-1)*100)))</f>
        <v>NM</v>
      </c>
      <c r="AN612" s="158">
        <v>0</v>
      </c>
      <c r="AO612" s="23" t="str">
        <f>IF(ISERROR((AN612/AF612-1)*100),"NA",IF(((AN612/AF612-1)*100)&gt;100,"NM",IF(((AN612/AF612-1)*100)&lt;-50,"NM",(AN612/AF612-1)*100)))</f>
        <v>NM</v>
      </c>
      <c r="AP612" s="158">
        <v>0</v>
      </c>
      <c r="AQ612" s="23" t="str">
        <f t="shared" ref="AQ612:AQ613" si="4208">IF(ISERROR((AP612/AH612-1)*100),"NA",IF(((AP612/AH612-1)*100)&gt;100,"NM",IF(((AP612/AH612-1)*100)&lt;-50,"NM",(AP612/AH612-1)*100)))</f>
        <v>NM</v>
      </c>
      <c r="AR612" s="158">
        <v>0</v>
      </c>
      <c r="AS612" s="23" t="str">
        <f t="shared" ref="AS612:AS613" si="4209">IF(ISERROR((AR612/AJ612-1)*100),"NA",IF(((AR612/AJ612-1)*100)&gt;100,"NM",IF(((AR612/AJ612-1)*100)&lt;-50,"NM",(AR612/AJ612-1)*100)))</f>
        <v>NA</v>
      </c>
      <c r="AT612" s="158">
        <v>0</v>
      </c>
      <c r="AU612" s="23" t="str">
        <f t="shared" ref="AU612:AU613" si="4210">IF(ISERROR((AT612/AL612-1)*100),"NA",IF(((AT612/AL612-1)*100)&gt;100,"NM",IF(((AT612/AL612-1)*100)&lt;-50,"NM",(AT612/AL612-1)*100)))</f>
        <v>NA</v>
      </c>
      <c r="AV612" s="158"/>
      <c r="AW612" s="23" t="str">
        <f t="shared" ref="AW612:AW613" si="4211">IF(ISERROR((AV612/AN612-1)*100),"NA",IF(((AV612/AN612-1)*100)&gt;100,"NM",IF(((AV612/AN612-1)*100)&lt;-50,"NM",(AV612/AN612-1)*100)))</f>
        <v>NA</v>
      </c>
      <c r="AX612" s="158"/>
      <c r="AY612" s="23"/>
      <c r="AZ612" s="158"/>
      <c r="BA612" s="23"/>
      <c r="BB612" s="158"/>
      <c r="BC612" s="23"/>
      <c r="BD612" s="158"/>
      <c r="BE612" s="23"/>
      <c r="BF612" s="48"/>
      <c r="BG612" s="23"/>
      <c r="BH612" s="48"/>
      <c r="BI612" s="23"/>
      <c r="BJ612" s="48"/>
      <c r="BK612" s="23"/>
      <c r="BL612" s="48"/>
      <c r="BM612" s="23"/>
      <c r="BN612" s="10"/>
      <c r="BO612" s="137"/>
      <c r="BP612" s="10"/>
      <c r="BQ612" s="287">
        <v>0</v>
      </c>
      <c r="BR612" s="506"/>
      <c r="BS612" s="287">
        <v>0</v>
      </c>
      <c r="BT612" s="506"/>
      <c r="BU612" s="413">
        <f>B612+D612+F612+H612</f>
        <v>0</v>
      </c>
      <c r="BV612" s="23" t="str">
        <f>IF(ISERROR((BU612/BS612-1)*100),"NA",IF(((BU612/BS612-1)*100)&gt;100,"NM",IF(((BU612/BS612-1)*100)&lt;-50,"NM",(BU612/BS612-1)*100)))</f>
        <v>NA</v>
      </c>
      <c r="BW612" s="413">
        <f>J612+L612+N612+P612</f>
        <v>0</v>
      </c>
      <c r="BX612" s="23" t="str">
        <f>IF(ISERROR((BW612/BU612-1)*100),"NA",IF(((BW612/BU612-1)*100)&gt;100,"NM",IF(((BW612/BU612-1)*100)&lt;-50,"NM",(BW612/BU612-1)*100)))</f>
        <v>NA</v>
      </c>
      <c r="BY612" s="413">
        <f>R612+T612+V612+X612</f>
        <v>0</v>
      </c>
      <c r="BZ612" s="23" t="str">
        <f>IF(ISERROR((BY612/BW612-1)*100),"NA",IF(((BY612/BW612-1)*100)&gt;100,"NM",IF(((BY612/BW612-1)*100)&lt;-50,"NM",(BY612/BW612-1)*100)))</f>
        <v>NA</v>
      </c>
      <c r="CA612" s="413">
        <f>Z612+AB612+AD612+AF612</f>
        <v>0.22999999999999998</v>
      </c>
      <c r="CB612" s="23" t="str">
        <f>IF(ISERROR((CA612/BY612-1)*100),"NA",IF(((CA612/BY612-1)*100)&gt;100,"NM",IF(((CA612/BY612-1)*100)&lt;-50,"NM",(CA612/BY612-1)*100)))</f>
        <v>NA</v>
      </c>
      <c r="CC612" s="413">
        <f>AH612+AJ612+AL612+AN612</f>
        <v>-0.28000000000000003</v>
      </c>
      <c r="CD612" s="23" t="str">
        <f>IF(ISERROR((CC612/CA612-1)*100),"NA",IF(((CC612/CA612-1)*100)&gt;100,"NM",IF(((CC612/CA612-1)*100)&lt;-50,"NM",(CC612/CA612-1)*100)))</f>
        <v>NM</v>
      </c>
      <c r="CE612" s="413">
        <f>AP612+AR612+AT612+AV612</f>
        <v>0</v>
      </c>
      <c r="CF612" s="23"/>
      <c r="CG612" s="56"/>
      <c r="CH612" s="23"/>
      <c r="CI612" s="56"/>
      <c r="CJ612" s="23"/>
      <c r="CK612" s="48"/>
      <c r="CL612" s="23"/>
      <c r="CM612" s="48"/>
      <c r="CN612" s="23"/>
      <c r="CO612" s="48"/>
      <c r="CP612" s="23"/>
      <c r="CQ612" s="48"/>
      <c r="CR612" s="23"/>
      <c r="CS612" s="23"/>
    </row>
    <row r="613" spans="1:105" ht="12.75" hidden="1" customHeight="1" outlineLevel="2" x14ac:dyDescent="0.2">
      <c r="A613" s="3" t="s">
        <v>130</v>
      </c>
      <c r="B613" s="72">
        <f t="shared" ref="B613:Z613" si="4212">B610-B612</f>
        <v>15.6</v>
      </c>
      <c r="C613" s="59"/>
      <c r="D613" s="72">
        <f t="shared" si="4212"/>
        <v>18.8</v>
      </c>
      <c r="E613" s="59"/>
      <c r="F613" s="72">
        <f t="shared" si="4212"/>
        <v>20.900000000000002</v>
      </c>
      <c r="G613" s="59"/>
      <c r="H613" s="72">
        <f t="shared" si="4212"/>
        <v>15</v>
      </c>
      <c r="I613" s="59"/>
      <c r="J613" s="72">
        <f t="shared" si="4212"/>
        <v>24.29999999999999</v>
      </c>
      <c r="K613" s="23">
        <f t="shared" si="4207"/>
        <v>55.769230769230703</v>
      </c>
      <c r="L613" s="72">
        <f t="shared" si="4212"/>
        <v>39.800000000000004</v>
      </c>
      <c r="M613" s="23" t="str">
        <f t="shared" si="4207"/>
        <v>NM</v>
      </c>
      <c r="N613" s="72">
        <f t="shared" si="4212"/>
        <v>21.800000000000004</v>
      </c>
      <c r="O613" s="23">
        <f t="shared" si="4207"/>
        <v>4.3062200956937913</v>
      </c>
      <c r="P613" s="72">
        <f t="shared" si="4212"/>
        <v>23.800000000000004</v>
      </c>
      <c r="Q613" s="23">
        <f t="shared" si="4207"/>
        <v>58.666666666666686</v>
      </c>
      <c r="R613" s="72">
        <f t="shared" si="4212"/>
        <v>21.4</v>
      </c>
      <c r="S613" s="23">
        <f t="shared" si="4207"/>
        <v>-11.934156378600791</v>
      </c>
      <c r="T613" s="72">
        <f t="shared" si="4212"/>
        <v>18</v>
      </c>
      <c r="U613" s="23" t="str">
        <f t="shared" si="4207"/>
        <v>NM</v>
      </c>
      <c r="V613" s="72">
        <f t="shared" si="4212"/>
        <v>14.499999999999993</v>
      </c>
      <c r="W613" s="23">
        <f t="shared" si="4207"/>
        <v>-33.486238532110136</v>
      </c>
      <c r="X613" s="72">
        <f t="shared" si="4212"/>
        <v>-3.3000000000000043</v>
      </c>
      <c r="Y613" s="23" t="str">
        <f t="shared" si="4207"/>
        <v>NM</v>
      </c>
      <c r="Z613" s="72">
        <f t="shared" si="4212"/>
        <v>0.89999999999999858</v>
      </c>
      <c r="AA613" s="23" t="str">
        <f>IF(ISERROR((Z613/R613-1)*100),"NA",IF(((Z613/R613-1)*100)&gt;100,"NM",IF(((Z613/R613-1)*100)&lt;-50,"NM",(Z613/R613-1)*100)))</f>
        <v>NM</v>
      </c>
      <c r="AB613" s="72">
        <f t="shared" ref="AB613:AD613" si="4213">AB610-AB612</f>
        <v>10.5</v>
      </c>
      <c r="AC613" s="23">
        <f>IF(ISERROR((AB613/T613-1)*100),"NA",IF(((AB613/T613-1)*100)&gt;100,"NM",IF(((AB613/T613-1)*100)&lt;-50,"NM",(AB613/T613-1)*100)))</f>
        <v>-41.666666666666664</v>
      </c>
      <c r="AD613" s="72">
        <f t="shared" si="4213"/>
        <v>9.8699999999999974</v>
      </c>
      <c r="AE613" s="23">
        <f>IF(ISERROR((AD613/V613-1)*100),"NA",IF(((AD613/V613-1)*100)&gt;100,"NM",IF(((AD613/V613-1)*100)&lt;-50,"NM",(AD613/V613-1)*100)))</f>
        <v>-31.931034482758601</v>
      </c>
      <c r="AF613" s="72">
        <f t="shared" ref="AF613:AH613" si="4214">AF610-AF612</f>
        <v>3.2000000000000006</v>
      </c>
      <c r="AG613" s="23" t="str">
        <f>IF(ISERROR((AF613/X613-1)*100),"NA",IF(((AF613/X613-1)*100)&gt;100,"NM",IF(((AF613/X613-1)*100)&lt;-50,"NM",(AF613/X613-1)*100)))</f>
        <v>NM</v>
      </c>
      <c r="AH613" s="72">
        <f t="shared" si="4214"/>
        <v>14.079999999999998</v>
      </c>
      <c r="AI613" s="23" t="str">
        <f>IF(ISERROR((AH613/Z613-1)*100),"NA",IF(((AH613/Z613-1)*100)&gt;100,"NM",IF(((AH613/Z613-1)*100)&lt;-50,"NM",(AH613/Z613-1)*100)))</f>
        <v>NM</v>
      </c>
      <c r="AJ613" s="72">
        <f t="shared" ref="AJ613:AL613" si="4215">AJ610-AJ612</f>
        <v>4</v>
      </c>
      <c r="AK613" s="23" t="str">
        <f>IF(ISERROR((AJ613/AB613-1)*100),"NA",IF(((AJ613/AB613-1)*100)&gt;100,"NM",IF(((AJ613/AB613-1)*100)&lt;-50,"NM",(AJ613/AB613-1)*100)))</f>
        <v>NM</v>
      </c>
      <c r="AL613" s="72">
        <f t="shared" si="4215"/>
        <v>2.5999999999999996</v>
      </c>
      <c r="AM613" s="23" t="str">
        <f>IF(ISERROR((AL613/AD613-1)*100),"NA",IF(((AL613/AD613-1)*100)&gt;100,"NM",IF(((AL613/AD613-1)*100)&lt;-50,"NM",(AL613/AD613-1)*100)))</f>
        <v>NM</v>
      </c>
      <c r="AN613" s="72">
        <f t="shared" ref="AN613" si="4216">AN610-AN612</f>
        <v>2</v>
      </c>
      <c r="AO613" s="23">
        <f>IF(ISERROR((AN613/AF613-1)*100),"NA",IF(((AN613/AF613-1)*100)&gt;100,"NM",IF(((AN613/AF613-1)*100)&lt;-50,"NM",(AN613/AF613-1)*100)))</f>
        <v>-37.500000000000014</v>
      </c>
      <c r="AP613" s="72">
        <f>AP610-AP612</f>
        <v>3.7999999999999989</v>
      </c>
      <c r="AQ613" s="23" t="str">
        <f t="shared" si="4208"/>
        <v>NM</v>
      </c>
      <c r="AR613" s="72">
        <f>AR610-AR612</f>
        <v>1.9000000000000004</v>
      </c>
      <c r="AS613" s="23" t="str">
        <f t="shared" si="4209"/>
        <v>NM</v>
      </c>
      <c r="AT613" s="72">
        <f>AT610-AT612</f>
        <v>-6.9</v>
      </c>
      <c r="AU613" s="23" t="str">
        <f t="shared" si="4210"/>
        <v>NM</v>
      </c>
      <c r="AV613" s="72"/>
      <c r="AW613" s="23" t="str">
        <f t="shared" si="4211"/>
        <v>NM</v>
      </c>
      <c r="AX613" s="72"/>
      <c r="AY613" s="23"/>
      <c r="AZ613" s="72"/>
      <c r="BA613" s="23"/>
      <c r="BB613" s="72"/>
      <c r="BC613" s="23"/>
      <c r="BD613" s="72"/>
      <c r="BE613" s="23"/>
      <c r="BF613" s="72"/>
      <c r="BG613" s="23"/>
      <c r="BH613" s="72"/>
      <c r="BI613" s="23"/>
      <c r="BJ613" s="72"/>
      <c r="BK613" s="23"/>
      <c r="BL613" s="72"/>
      <c r="BM613" s="23"/>
      <c r="BN613" s="10"/>
      <c r="BO613" s="137"/>
      <c r="BP613" s="10"/>
      <c r="BQ613" s="72">
        <f t="shared" ref="BQ613:CA613" si="4217">BQ610-BQ612</f>
        <v>8.6999999999999993</v>
      </c>
      <c r="BR613" s="506"/>
      <c r="BS613" s="72">
        <f t="shared" si="4217"/>
        <v>-10.5</v>
      </c>
      <c r="BT613" s="506"/>
      <c r="BU613" s="72">
        <f t="shared" si="4217"/>
        <v>70.300000000000011</v>
      </c>
      <c r="BV613" s="23" t="str">
        <f>IF(ISERROR((BU613/BS613-1)*100),"NA",IF(((BU613/BS613-1)*100)&gt;100,"NM",IF(((BU613/BS613-1)*100)&lt;-50,"NM",(BU613/BS613-1)*100)))</f>
        <v>NM</v>
      </c>
      <c r="BW613" s="72">
        <f t="shared" si="4217"/>
        <v>109.69999999999999</v>
      </c>
      <c r="BX613" s="23">
        <f>IF(ISERROR((BW613/BU613-1)*100),"NA",IF(((BW613/BU613-1)*100)&gt;100,"NM",IF(((BW613/BU613-1)*100)&lt;-50,"NM",(BW613/BU613-1)*100)))</f>
        <v>56.045519203413896</v>
      </c>
      <c r="BY613" s="72">
        <f t="shared" si="4217"/>
        <v>50.600000000000009</v>
      </c>
      <c r="BZ613" s="23" t="str">
        <f>IF(ISERROR((BY613/BW613-1)*100),"NA",IF(((BY613/BW613-1)*100)&gt;100,"NM",IF(((BY613/BW613-1)*100)&lt;-50,"NM",(BY613/BW613-1)*100)))</f>
        <v>NM</v>
      </c>
      <c r="CA613" s="72">
        <f t="shared" si="4217"/>
        <v>24.470000000000017</v>
      </c>
      <c r="CB613" s="23" t="str">
        <f>IF(ISERROR((CA613/BY613-1)*100),"NA",IF(((CA613/BY613-1)*100)&gt;100,"NM",IF(((CA613/BY613-1)*100)&lt;-50,"NM",(CA613/BY613-1)*100)))</f>
        <v>NM</v>
      </c>
      <c r="CC613" s="72">
        <f t="shared" ref="CC613" si="4218">CC610-CC612</f>
        <v>22.679999999999993</v>
      </c>
      <c r="CD613" s="23">
        <f>IF(ISERROR((CC613/CA613-1)*100),"NA",IF(((CC613/CA613-1)*100)&gt;100,"NM",IF(((CC613/CA613-1)*100)&lt;-50,"NM",(CC613/CA613-1)*100)))</f>
        <v>-7.315079689415704</v>
      </c>
      <c r="CE613" s="72">
        <f t="shared" ref="CE613" si="4219">CE610-CE612</f>
        <v>-1.1999999999999957</v>
      </c>
      <c r="CF613" s="23"/>
      <c r="CG613" s="72"/>
      <c r="CH613" s="23"/>
      <c r="CI613" s="72"/>
      <c r="CJ613" s="23"/>
      <c r="CK613" s="72"/>
      <c r="CL613" s="23"/>
      <c r="CM613" s="72"/>
      <c r="CN613" s="23"/>
      <c r="CO613" s="72"/>
      <c r="CP613" s="23"/>
      <c r="CQ613" s="72"/>
      <c r="CR613" s="23"/>
      <c r="CS613" s="23"/>
    </row>
    <row r="614" spans="1:105" ht="12.75" hidden="1" customHeight="1" outlineLevel="1" collapsed="1" x14ac:dyDescent="0.2">
      <c r="A614" s="3"/>
      <c r="B614" s="72"/>
      <c r="C614" s="59"/>
      <c r="D614" s="72"/>
      <c r="E614" s="59"/>
      <c r="F614" s="72"/>
      <c r="G614" s="59"/>
      <c r="H614" s="72"/>
      <c r="I614" s="59"/>
      <c r="J614" s="72"/>
      <c r="K614" s="23"/>
      <c r="L614" s="72"/>
      <c r="M614" s="23"/>
      <c r="N614" s="72"/>
      <c r="O614" s="23"/>
      <c r="P614" s="72"/>
      <c r="Q614" s="23"/>
      <c r="R614" s="72"/>
      <c r="S614" s="23"/>
      <c r="T614" s="72"/>
      <c r="U614" s="23"/>
      <c r="V614" s="72"/>
      <c r="W614" s="23"/>
      <c r="X614" s="72"/>
      <c r="Y614" s="23"/>
      <c r="Z614" s="72"/>
      <c r="AA614" s="23"/>
      <c r="AB614" s="72"/>
      <c r="AC614" s="23"/>
      <c r="AD614" s="72"/>
      <c r="AE614" s="23"/>
      <c r="AF614" s="72"/>
      <c r="AG614" s="23"/>
      <c r="AH614" s="72"/>
      <c r="AI614" s="23"/>
      <c r="AJ614" s="72"/>
      <c r="AK614" s="23"/>
      <c r="AL614" s="72"/>
      <c r="AM614" s="23"/>
      <c r="AN614" s="72"/>
      <c r="AO614" s="23"/>
      <c r="AP614" s="72"/>
      <c r="AQ614" s="23"/>
      <c r="AR614" s="72"/>
      <c r="AS614" s="23"/>
      <c r="AT614" s="72"/>
      <c r="AU614" s="23"/>
      <c r="AV614" s="72"/>
      <c r="AW614" s="23"/>
      <c r="AX614" s="72"/>
      <c r="AY614" s="23"/>
      <c r="AZ614" s="72"/>
      <c r="BA614" s="23"/>
      <c r="BB614" s="72"/>
      <c r="BC614" s="23"/>
      <c r="BD614" s="72"/>
      <c r="BE614" s="23"/>
      <c r="BF614" s="72"/>
      <c r="BG614" s="23"/>
      <c r="BH614" s="72"/>
      <c r="BI614" s="23"/>
      <c r="BJ614" s="72"/>
      <c r="BK614" s="23"/>
      <c r="BL614" s="72"/>
      <c r="BM614" s="23"/>
      <c r="BN614" s="10"/>
      <c r="BO614" s="137"/>
      <c r="BP614" s="10"/>
      <c r="BQ614" s="72"/>
      <c r="BR614" s="10"/>
      <c r="BS614" s="72"/>
      <c r="BT614" s="10"/>
      <c r="BU614" s="72"/>
      <c r="BV614" s="23"/>
      <c r="BW614" s="72"/>
      <c r="BX614" s="23"/>
      <c r="BY614" s="72"/>
      <c r="BZ614" s="23"/>
      <c r="CA614" s="72"/>
      <c r="CB614" s="23"/>
      <c r="CC614" s="72"/>
      <c r="CD614" s="23"/>
      <c r="CE614" s="72"/>
      <c r="CF614" s="23"/>
      <c r="CG614" s="72"/>
      <c r="CH614" s="23"/>
      <c r="CI614" s="72"/>
      <c r="CJ614" s="23"/>
      <c r="CK614" s="72"/>
      <c r="CL614" s="23"/>
      <c r="CM614" s="72"/>
      <c r="CN614" s="23"/>
      <c r="CO614" s="72"/>
      <c r="CP614" s="23"/>
      <c r="CQ614" s="72"/>
      <c r="CR614" s="23"/>
      <c r="CS614" s="23"/>
    </row>
    <row r="615" spans="1:105" s="129" customFormat="1" ht="12.75" customHeight="1" collapsed="1" x14ac:dyDescent="0.2">
      <c r="A615" s="126" t="s">
        <v>149</v>
      </c>
      <c r="B615" s="127"/>
      <c r="C615" s="128"/>
      <c r="D615" s="127"/>
      <c r="E615" s="128"/>
      <c r="F615" s="127"/>
      <c r="G615" s="128"/>
      <c r="H615" s="127"/>
      <c r="I615" s="128"/>
      <c r="K615" s="130"/>
      <c r="M615" s="130"/>
      <c r="O615" s="130"/>
      <c r="Q615" s="130"/>
      <c r="S615" s="130"/>
      <c r="U615" s="130"/>
      <c r="W615" s="130"/>
      <c r="Y615" s="130"/>
      <c r="AA615" s="130"/>
      <c r="AC615" s="130"/>
      <c r="AE615" s="130"/>
      <c r="AG615" s="130"/>
      <c r="AI615" s="130"/>
      <c r="AK615" s="130"/>
      <c r="AM615" s="130"/>
      <c r="AO615" s="130"/>
      <c r="AQ615" s="130"/>
      <c r="AS615" s="130"/>
      <c r="AU615" s="130"/>
      <c r="AW615" s="130"/>
      <c r="AY615" s="130"/>
      <c r="BA615" s="130"/>
      <c r="BC615" s="130"/>
      <c r="BE615" s="130"/>
      <c r="BG615" s="130"/>
      <c r="BI615" s="130"/>
      <c r="BK615" s="130"/>
      <c r="BM615" s="130"/>
      <c r="BO615" s="135"/>
      <c r="BV615" s="130"/>
      <c r="BX615" s="130"/>
      <c r="BZ615" s="130"/>
      <c r="CB615" s="130"/>
      <c r="CD615" s="130"/>
      <c r="CF615" s="130"/>
      <c r="CH615" s="130"/>
      <c r="CJ615" s="130"/>
      <c r="CL615" s="130"/>
      <c r="CN615" s="130"/>
      <c r="CP615" s="130"/>
      <c r="CR615" s="130"/>
      <c r="CS615" s="130"/>
      <c r="CV615"/>
      <c r="CW615"/>
      <c r="CX615"/>
      <c r="CY615"/>
      <c r="CZ615"/>
      <c r="DA615"/>
    </row>
    <row r="617" spans="1:105" ht="12.75" customHeight="1" x14ac:dyDescent="0.2">
      <c r="A617" s="11" t="s">
        <v>17</v>
      </c>
      <c r="J617" s="5"/>
      <c r="L617" s="5"/>
      <c r="N617" s="5"/>
      <c r="P617" s="5"/>
      <c r="R617" s="5"/>
      <c r="T617" s="5"/>
      <c r="V617" s="5"/>
      <c r="X617" s="5"/>
      <c r="Z617" s="5"/>
      <c r="AB617" s="5"/>
      <c r="AD617" s="5"/>
      <c r="AF617" s="5"/>
      <c r="AH617" s="5"/>
      <c r="AJ617" s="5"/>
      <c r="AL617" s="5"/>
      <c r="AN617" s="475"/>
      <c r="AP617" s="475"/>
      <c r="AR617" s="475"/>
      <c r="AT617" s="475"/>
      <c r="AV617" s="475"/>
      <c r="AX617" s="475"/>
      <c r="AZ617" s="475"/>
      <c r="BB617" s="475"/>
      <c r="BD617" s="475"/>
      <c r="BF617" s="5"/>
      <c r="BH617" s="5"/>
      <c r="BJ617" s="5"/>
      <c r="BL617" s="5"/>
      <c r="BN617" s="5"/>
      <c r="BO617" s="136"/>
      <c r="BP617" s="5"/>
      <c r="BQ617" s="5"/>
      <c r="BR617" s="10"/>
      <c r="BS617" s="10"/>
      <c r="BT617" s="10"/>
      <c r="BU617" s="10"/>
      <c r="BW617" s="5"/>
    </row>
    <row r="618" spans="1:105" ht="12.75" customHeight="1" x14ac:dyDescent="0.2">
      <c r="A618" s="31" t="s">
        <v>18</v>
      </c>
      <c r="B618" s="36">
        <f>B53+B140+B244+B309+B394+B596</f>
        <v>373.79599999999999</v>
      </c>
      <c r="C618" s="59"/>
      <c r="D618" s="36">
        <f>D53+D140+D244+D309+D394+D596</f>
        <v>467.50899999999996</v>
      </c>
      <c r="E618" s="59"/>
      <c r="F618" s="36">
        <f>F53+F140+F244+F309+F394+F596</f>
        <v>394.49399999999997</v>
      </c>
      <c r="G618" s="59"/>
      <c r="H618" s="36">
        <f>H53+H140+H244+H309+H394+H596</f>
        <v>237.34400000000002</v>
      </c>
      <c r="I618" s="59"/>
      <c r="J618" s="36">
        <f>J53+J140+J244+J309+J394+J596</f>
        <v>412.62299999999999</v>
      </c>
      <c r="K618" s="23">
        <f t="shared" ref="K618:Y620" si="4220">IF(ISERROR((J618/B618-1)*100),"NA",IF(((J618/B618-1)*100)&gt;100,"NM",IF(((J618/B618-1)*100)&lt;-50,"NM",(J618/B618-1)*100)))</f>
        <v>10.387216556624468</v>
      </c>
      <c r="L618" s="36">
        <f>L53+L140+L244+L309+L394+L596</f>
        <v>350.39000000000004</v>
      </c>
      <c r="M618" s="23">
        <f t="shared" si="4220"/>
        <v>-25.05171023445536</v>
      </c>
      <c r="N618" s="36">
        <f>N53+N140+N244+N309+N394+N596</f>
        <v>395.62300000000005</v>
      </c>
      <c r="O618" s="23">
        <f t="shared" si="4220"/>
        <v>0.28618939705040702</v>
      </c>
      <c r="P618" s="36">
        <f>P53+P140+P244+P309+P394+P596</f>
        <v>367.37400000000002</v>
      </c>
      <c r="Q618" s="23">
        <f t="shared" si="4220"/>
        <v>54.785459080490753</v>
      </c>
      <c r="R618" s="36">
        <f>R53+R140+R244+R309+R394+R596</f>
        <v>387.30000000000007</v>
      </c>
      <c r="S618" s="23">
        <f t="shared" si="4220"/>
        <v>-6.1370791254971024</v>
      </c>
      <c r="T618" s="36">
        <f>T53+T140+T244+T309+T394+T596</f>
        <v>387.50000000000006</v>
      </c>
      <c r="U618" s="23">
        <f t="shared" si="4220"/>
        <v>10.591055680812822</v>
      </c>
      <c r="V618" s="36">
        <f>V53+V140+V244+V309+V394+V596</f>
        <v>456.40000000000003</v>
      </c>
      <c r="W618" s="23">
        <f t="shared" si="4220"/>
        <v>15.362352542698465</v>
      </c>
      <c r="X618" s="36">
        <f>X53+X140+X244+X309+X394+X596</f>
        <v>386.10000000000008</v>
      </c>
      <c r="Y618" s="23">
        <f t="shared" si="4220"/>
        <v>5.0972578353394749</v>
      </c>
      <c r="Z618" s="36">
        <f>Z53+Z140+Z244+Z309+Z394+Z596</f>
        <v>369.50000000000006</v>
      </c>
      <c r="AA618" s="23">
        <f>IF(ISERROR((Z618/R618-1)*100),"NA",IF(((Z618/R618-1)*100)&gt;100,"NM",IF(((Z618/R618-1)*100)&lt;-50,"NM",(Z618/R618-1)*100)))</f>
        <v>-4.5959204750839149</v>
      </c>
      <c r="AB618" s="36">
        <f>AB53+AB140+AB244+AB309+AB394+AB596</f>
        <v>375.79999999999995</v>
      </c>
      <c r="AC618" s="23">
        <f>IF(ISERROR((AB618/T618-1)*100),"NA",IF(((AB618/T618-1)*100)&gt;100,"NM",IF(((AB618/T618-1)*100)&lt;-50,"NM",(AB618/T618-1)*100)))</f>
        <v>-3.019354838709698</v>
      </c>
      <c r="AD618" s="36">
        <f>AD53+AD140+AD244+AD309+AD394+AD596</f>
        <v>410.70000000000005</v>
      </c>
      <c r="AE618" s="23">
        <f>IF(ISERROR((AD618/V618-1)*100),"NA",IF(((AD618/V618-1)*100)&gt;100,"NM",IF(((AD618/V618-1)*100)&lt;-50,"NM",(AD618/V618-1)*100)))</f>
        <v>-10.01314636283961</v>
      </c>
      <c r="AF618" s="36">
        <f>AF53+AF140+AF244+AF309+AF394+AF596</f>
        <v>392.59999999999997</v>
      </c>
      <c r="AG618" s="23">
        <f>IF(ISERROR((AF618/X618-1)*100),"NA",IF(((AF618/X618-1)*100)&gt;100,"NM",IF(((AF618/X618-1)*100)&lt;-50,"NM",(AF618/X618-1)*100)))</f>
        <v>1.6835016835016647</v>
      </c>
      <c r="AH618" s="36">
        <f>AH53+AH140+AH244+AH309+AH394+AH596</f>
        <v>405.3</v>
      </c>
      <c r="AI618" s="23">
        <f>IF(ISERROR((AH618/Z618-1)*100),"NA",IF(((AH618/Z618-1)*100)&gt;100,"NM",IF(((AH618/Z618-1)*100)&lt;-50,"NM",(AH618/Z618-1)*100)))</f>
        <v>9.6887686062246061</v>
      </c>
      <c r="AJ618" s="36">
        <f>AJ53+AJ140+AJ244+AJ309+AJ394+AJ596</f>
        <v>380.40000000000003</v>
      </c>
      <c r="AK618" s="23">
        <f>IF(ISERROR((AJ618/AB618-1)*100),"NA",IF(((AJ618/AB618-1)*100)&gt;100,"NM",IF(((AJ618/AB618-1)*100)&lt;-50,"NM",(AJ618/AB618-1)*100)))</f>
        <v>1.2240553485896921</v>
      </c>
      <c r="AL618" s="36">
        <f>AL53+AL140+AL244+AL309+AL394+AL596</f>
        <v>375.40000000000003</v>
      </c>
      <c r="AM618" s="23">
        <f>IF(ISERROR((AL618/AD618-1)*100),"NA",IF(((AL618/AD618-1)*100)&gt;100,"NM",IF(((AL618/AD618-1)*100)&lt;-50,"NM",(AL618/AD618-1)*100)))</f>
        <v>-8.5950815680545407</v>
      </c>
      <c r="AN618" s="410">
        <f>AN53+AN140+AN244+AN309+AN394+AN596</f>
        <v>389.80000000000007</v>
      </c>
      <c r="AO618" s="23">
        <f>IF(ISERROR((AN618/AF618-1)*100),"NA",IF(((AN618/AF618-1)*100)&gt;100,"NM",IF(((AN618/AF618-1)*100)&lt;-50,"NM",(AN618/AF618-1)*100)))</f>
        <v>-0.71319409067750472</v>
      </c>
      <c r="AP618" s="410">
        <f>AP53+AP140+AP244+AP309+AP394+AP596</f>
        <v>233.9</v>
      </c>
      <c r="AQ618" s="23">
        <f t="shared" ref="AQ618:AQ620" si="4221">IF(ISERROR((AP618/AH618-1)*100),"NA",IF(((AP618/AH618-1)*100)&gt;100,"NM",IF(((AP618/AH618-1)*100)&lt;-50,"NM",(AP618/AH618-1)*100)))</f>
        <v>-42.289661978781147</v>
      </c>
      <c r="AR618" s="410">
        <f>AR53+AR140+AR244+AR309+AR394+AR596</f>
        <v>259.39999999999998</v>
      </c>
      <c r="AS618" s="23">
        <f t="shared" ref="AS618:AS620" si="4222">IF(ISERROR((AR618/AJ618-1)*100),"NA",IF(((AR618/AJ618-1)*100)&gt;100,"NM",IF(((AR618/AJ618-1)*100)&lt;-50,"NM",(AR618/AJ618-1)*100)))</f>
        <v>-31.808622502628825</v>
      </c>
      <c r="AT618" s="410">
        <f>AT53+AT140+AT244+AT309+AT394+AT596</f>
        <v>260</v>
      </c>
      <c r="AU618" s="23">
        <f t="shared" ref="AU618:AU620" si="4223">IF(ISERROR((AT618/AL618-1)*100),"NA",IF(((AT618/AL618-1)*100)&gt;100,"NM",IF(((AT618/AL618-1)*100)&lt;-50,"NM",(AT618/AL618-1)*100)))</f>
        <v>-30.740543420351628</v>
      </c>
      <c r="AV618" s="410">
        <f>AV53+AV140+AV244+AV309+AV394+AV596</f>
        <v>289.89999999999998</v>
      </c>
      <c r="AW618" s="23">
        <f t="shared" ref="AW618:AW620" si="4224">IF(ISERROR((AV618/AN618-1)*100),"NA",IF(((AV618/AN618-1)*100)&gt;100,"NM",IF(((AV618/AN618-1)*100)&lt;-50,"NM",(AV618/AN618-1)*100)))</f>
        <v>-25.628527449974371</v>
      </c>
      <c r="AX618" s="410">
        <f>AX53+AX140+AX244+AX309+AX394+AX596</f>
        <v>272</v>
      </c>
      <c r="AY618" s="23">
        <f t="shared" ref="AY618:AY620" si="4225">IF(ISERROR((AX618/AP618-1)*100),"NA",IF(((AX618/AP618-1)*100)&gt;100,"NM",IF(((AX618/AP618-1)*100)&lt;-50,"NM",(AX618/AP618-1)*100)))</f>
        <v>16.289012398460876</v>
      </c>
      <c r="AZ618" s="410">
        <f>AZ53+AZ140+AZ244+AZ309+AZ394+AZ596</f>
        <v>289.29999999999995</v>
      </c>
      <c r="BA618" s="23">
        <f t="shared" ref="BA618:BA620" si="4226">IF(ISERROR((AZ618/AR618-1)*100),"NA",IF(((AZ618/AR618-1)*100)&gt;100,"NM",IF(((AZ618/AR618-1)*100)&lt;-50,"NM",(AZ618/AR618-1)*100)))</f>
        <v>11.52659984579798</v>
      </c>
      <c r="BB618" s="410">
        <f>BB53+BB140+BB244+BB309+BB394+BB596</f>
        <v>269.40000000000003</v>
      </c>
      <c r="BC618" s="23">
        <f t="shared" ref="BC618:BC620" si="4227">IF(ISERROR((BB618/AT618-1)*100),"NA",IF(((BB618/AT618-1)*100)&gt;100,"NM",IF(((BB618/AT618-1)*100)&lt;-50,"NM",(BB618/AT618-1)*100)))</f>
        <v>3.6153846153846203</v>
      </c>
      <c r="BD618" s="410">
        <f>BD53+BD140+BD244+BD309+BD394+BD596</f>
        <v>278.60000000000002</v>
      </c>
      <c r="BE618" s="23">
        <f t="shared" ref="BE618:BE620" si="4228">IF(ISERROR((BD618/AV618-1)*100),"NA",IF(((BD618/AV618-1)*100)&gt;100,"NM",IF(((BD618/AV618-1)*100)&lt;-50,"NM",(BD618/AV618-1)*100)))</f>
        <v>-3.8978958261469354</v>
      </c>
      <c r="BF618" s="36">
        <f>BF53+BF140+BF244+BF309+BF394+BF596</f>
        <v>280.0204204180759</v>
      </c>
      <c r="BG618" s="23">
        <f t="shared" ref="BG618:BG620" si="4229">IF(ISERROR((BF618/AX618-1)*100),"NA",IF(((BF618/AX618-1)*100)&gt;100,"NM",IF(((BF618/AX618-1)*100)&lt;-50,"NM",(BF618/AX618-1)*100)))</f>
        <v>2.9486839772337792</v>
      </c>
      <c r="BH618" s="36">
        <f>BH53+BH140+BH244+BH309+BH394+BH596</f>
        <v>280.25551240012123</v>
      </c>
      <c r="BI618" s="23">
        <f t="shared" ref="BI618:BI620" si="4230">IF(ISERROR((BH618/AZ618-1)*100),"NA",IF(((BH618/AZ618-1)*100)&gt;100,"NM",IF(((BH618/AZ618-1)*100)&lt;-50,"NM",(BH618/AZ618-1)*100)))</f>
        <v>-3.1263351537776485</v>
      </c>
      <c r="BJ618" s="36">
        <f>BJ53+BJ140+BJ244+BJ309+BJ394+BJ596</f>
        <v>277.49507603016082</v>
      </c>
      <c r="BK618" s="23">
        <f t="shared" ref="BK618:BK620" si="4231">IF(ISERROR((BJ618/BB618-1)*100),"NA",IF(((BJ618/BB618-1)*100)&gt;100,"NM",IF(((BJ618/BB618-1)*100)&lt;-50,"NM",(BJ618/BB618-1)*100)))</f>
        <v>3.0048537602675562</v>
      </c>
      <c r="BL618" s="36">
        <f>BL53+BL140+BL244+BL309+BL394+BL596</f>
        <v>283.40953914916668</v>
      </c>
      <c r="BM618" s="23">
        <f t="shared" ref="BM618:BM620" si="4232">IF(ISERROR((BL618/BD618-1)*100),"NA",IF(((BL618/BD618-1)*100)&gt;100,"NM",IF(((BL618/BD618-1)*100)&lt;-50,"NM",(BL618/BD618-1)*100)))</f>
        <v>1.7263241741445334</v>
      </c>
      <c r="BN618" s="5"/>
      <c r="BO618" s="137"/>
      <c r="BP618" s="5"/>
      <c r="BQ618" s="5"/>
      <c r="BR618" s="10"/>
      <c r="BS618" s="10"/>
      <c r="BT618" s="10"/>
      <c r="BU618" s="36">
        <f>BU53+BU140+BU244+BU309+BU394+BU596</f>
        <v>1473.143</v>
      </c>
      <c r="BV618" s="23" t="str">
        <f>IF(ISERROR((BU618/BS618-1)*100),"NA",IF(((BU618/BS618-1)*100)&gt;100,"NM",IF(((BU618/BS618-1)*100)&lt;-50,"NM",(BU618/BS618-1)*100)))</f>
        <v>NA</v>
      </c>
      <c r="BW618" s="36">
        <f>BW53+BW140+BW244+BW309+BW394+BW596</f>
        <v>1526.0100000000004</v>
      </c>
      <c r="BX618" s="23">
        <f>IF(ISERROR((BW618/BU618-1)*100),"NA",IF(((BW618/BU618-1)*100)&gt;100,"NM",IF(((BW618/BU618-1)*100)&lt;-50,"NM",(BW618/BU618-1)*100)))</f>
        <v>3.588721529410277</v>
      </c>
      <c r="BY618" s="56">
        <f>BY53+BY140+BY244+BY309+BY394+BY596</f>
        <v>1617.3</v>
      </c>
      <c r="BZ618" s="23">
        <f>IF(ISERROR((BY618/BW618-1)*100),"NA",IF(((BY618/BW618-1)*100)&gt;100,"NM",IF(((BY618/BW618-1)*100)&lt;-50,"NM",(BY618/BW618-1)*100)))</f>
        <v>5.9822674818644339</v>
      </c>
      <c r="CA618" s="56">
        <f>CA53+CA140+CA244+CA309+CA394+CA596</f>
        <v>1548.6</v>
      </c>
      <c r="CB618" s="23">
        <f>IF(ISERROR((CA618/BY618-1)*100),"NA",IF(((CA618/BY618-1)*100)&gt;100,"NM",IF(((CA618/BY618-1)*100)&lt;-50,"NM",(CA618/BY618-1)*100)))</f>
        <v>-4.2478204414765353</v>
      </c>
      <c r="CC618" s="56">
        <f>CC53+CC140+CC244+CC309+CC394+CC596</f>
        <v>1550.9000000000003</v>
      </c>
      <c r="CD618" s="23">
        <f>IF(ISERROR((CC618/CA618-1)*100),"NA",IF(((CC618/CA618-1)*100)&gt;100,"NM",IF(((CC618/CA618-1)*100)&lt;-50,"NM",(CC618/CA618-1)*100)))</f>
        <v>0.14852124499551422</v>
      </c>
      <c r="CE618" s="56">
        <f>CE53+CE140+CE244+CE309+CE394+CE596</f>
        <v>1043.2</v>
      </c>
      <c r="CF618" s="23">
        <f>IF(ISERROR((CE618/CC618-1)*100),"NA",IF(((CE618/CC618-1)*100)&gt;100,"NM",IF(((CE618/CC618-1)*100)&lt;-50,"NM",(CE618/CC618-1)*100)))</f>
        <v>-32.735830807917999</v>
      </c>
      <c r="CG618" s="56">
        <f>CG53+CG140+CG244+CG309+CG394+CG596</f>
        <v>1109.3000000000002</v>
      </c>
      <c r="CH618" s="23">
        <f>IF(ISERROR((CG618/CE618-1)*100),"NA",IF(((CG618/CE618-1)*100)&gt;100,"NM",IF(((CG618/CE618-1)*100)&lt;-50,"NM",(CG618/CE618-1)*100)))</f>
        <v>6.3362730061349737</v>
      </c>
      <c r="CI618" s="56">
        <f>CI53+CI140+CI244+CI309+CI394+CI596</f>
        <v>1121.1805479975249</v>
      </c>
      <c r="CJ618" s="23">
        <f>IF(ISERROR((CI618/CG618-1)*100),"NA",IF(((CI618/CG618-1)*100)&gt;100,"NM",IF(((CI618/CG618-1)*100)&lt;-50,"NM",(CI618/CG618-1)*100)))</f>
        <v>1.0709950416951886</v>
      </c>
      <c r="CK618" s="36">
        <f>CK53+CK140+CK244+CK309+CK394+CK596</f>
        <v>1164.51444750569</v>
      </c>
      <c r="CL618" s="23">
        <f>IF(ISERROR((CK618/CI618-1)*100),"NA",IF(((CK618/CI618-1)*100)&gt;100,"NM",IF(((CK618/CI618-1)*100)&lt;-50,"NM",(CK618/CI618-1)*100)))</f>
        <v>3.8650242002112201</v>
      </c>
      <c r="CM618" s="36">
        <f>CM53+CM140+CM244+CM309+CM394+CM596</f>
        <v>1221.7579480674196</v>
      </c>
      <c r="CN618" s="23">
        <f>IF(ISERROR((CM618/CK618-1)*100),"NA",IF(((CM618/CK618-1)*100)&gt;100,"NM",IF(((CM618/CK618-1)*100)&lt;-50,"NM",(CM618/CK618-1)*100)))</f>
        <v>4.915653960699351</v>
      </c>
      <c r="CO618" s="36">
        <f>CO53+CO140+CO244+CO309+CO394+CO596</f>
        <v>1272.3173528864183</v>
      </c>
      <c r="CP618" s="23">
        <f>IF(ISERROR((CO618/CM618-1)*100),"NA",IF(((CO618/CM618-1)*100)&gt;100,"NM",IF(((CO618/CM618-1)*100)&lt;-50,"NM",(CO618/CM618-1)*100)))</f>
        <v>4.1382505347293819</v>
      </c>
      <c r="CQ618" s="36">
        <f>CQ53+CQ140+CQ244+CQ309+CQ394+CQ596</f>
        <v>1325.112250483246</v>
      </c>
      <c r="CR618" s="23">
        <f>IF(ISERROR((CQ618/CO618-1)*100),"NA",IF(((CQ618/CO618-1)*100)&gt;100,"NM",IF(((CQ618/CO618-1)*100)&lt;-50,"NM",(CQ618/CO618-1)*100)))</f>
        <v>4.149506998160124</v>
      </c>
      <c r="CS618" s="23">
        <f>IF(ISERROR(((CQ618/CG618)^0.2-1)*100),"NA",IF((((CQ618/CG618)^0.2-1)*100)&gt;100,"NM",IF((((CQ618/CG618)^0.2-1)*100)&lt;-50,"NM",((CQ618/CG618)^0.2-1)*100)))</f>
        <v>3.6193183990104405</v>
      </c>
    </row>
    <row r="619" spans="1:105" ht="12.75" customHeight="1" x14ac:dyDescent="0.2">
      <c r="A619" s="31" t="s">
        <v>101</v>
      </c>
      <c r="B619" s="36">
        <f>B56+B141+B251+B310+B597</f>
        <v>333.34500000000003</v>
      </c>
      <c r="C619" s="59"/>
      <c r="D619" s="36">
        <f>D56+D141+D251+D310+D597</f>
        <v>332.71000000000004</v>
      </c>
      <c r="E619" s="59"/>
      <c r="F619" s="36">
        <f>F56+F141+F251+F310+F597</f>
        <v>324.40100000000001</v>
      </c>
      <c r="G619" s="59"/>
      <c r="H619" s="36">
        <f>H56+H141+H251+H310+H597</f>
        <v>317.24</v>
      </c>
      <c r="I619" s="59"/>
      <c r="J619" s="36">
        <f>J56+J141+J251+J310+J597</f>
        <v>330.85899999999998</v>
      </c>
      <c r="K619" s="23">
        <f t="shared" si="4220"/>
        <v>-0.74577389791358195</v>
      </c>
      <c r="L619" s="36">
        <f>L56+L141+L251+L310+L597</f>
        <v>320.83199999999999</v>
      </c>
      <c r="M619" s="23">
        <f t="shared" si="4220"/>
        <v>-3.5700760421989219</v>
      </c>
      <c r="N619" s="36">
        <f>N56+N141+N251+N310+N597</f>
        <v>335.93400000000003</v>
      </c>
      <c r="O619" s="23">
        <f t="shared" si="4220"/>
        <v>3.5551678324049707</v>
      </c>
      <c r="P619" s="36">
        <f>P56+P141+P251+P310+P597</f>
        <v>349.90900000000005</v>
      </c>
      <c r="Q619" s="23">
        <f t="shared" si="4220"/>
        <v>10.297881729920565</v>
      </c>
      <c r="R619" s="36">
        <f>R56+R141+R251+R310+R597</f>
        <v>343.6</v>
      </c>
      <c r="S619" s="23">
        <f t="shared" si="4220"/>
        <v>3.8508851202476047</v>
      </c>
      <c r="T619" s="36">
        <f>T56+T141+T251+T310+T597</f>
        <v>364.30000000000007</v>
      </c>
      <c r="U619" s="23">
        <f t="shared" si="4220"/>
        <v>13.548523838021165</v>
      </c>
      <c r="V619" s="36">
        <f>V56+V141+V251+V310+V597</f>
        <v>369.70000000000005</v>
      </c>
      <c r="W619" s="23">
        <f t="shared" si="4220"/>
        <v>10.051379139950111</v>
      </c>
      <c r="X619" s="36">
        <f>X56+X141+X251+X310+X597</f>
        <v>388.7</v>
      </c>
      <c r="Y619" s="23">
        <f t="shared" si="4220"/>
        <v>11.08602522370099</v>
      </c>
      <c r="Z619" s="36">
        <f>Z56+Z141+Z251+Z310+Z597</f>
        <v>381.2</v>
      </c>
      <c r="AA619" s="23">
        <f>IF(ISERROR((Z619/R619-1)*100),"NA",IF(((Z619/R619-1)*100)&gt;100,"NM",IF(((Z619/R619-1)*100)&lt;-50,"NM",(Z619/R619-1)*100)))</f>
        <v>10.942956926658898</v>
      </c>
      <c r="AB619" s="36">
        <f>AB56+AB141+AB251+AB310+AB597</f>
        <v>385.2</v>
      </c>
      <c r="AC619" s="23">
        <f>IF(ISERROR((AB619/T619-1)*100),"NA",IF(((AB619/T619-1)*100)&gt;100,"NM",IF(((AB619/T619-1)*100)&lt;-50,"NM",(AB619/T619-1)*100)))</f>
        <v>5.7370299203952646</v>
      </c>
      <c r="AD619" s="36">
        <f>AD56+AD141+AD251+AD310+AD597</f>
        <v>389.9</v>
      </c>
      <c r="AE619" s="23">
        <f>IF(ISERROR((AD619/V619-1)*100),"NA",IF(((AD619/V619-1)*100)&gt;100,"NM",IF(((AD619/V619-1)*100)&lt;-50,"NM",(AD619/V619-1)*100)))</f>
        <v>5.4638896402488424</v>
      </c>
      <c r="AF619" s="36">
        <f>AF56+AF141+AF251+AF310+AF597</f>
        <v>403.6</v>
      </c>
      <c r="AG619" s="23">
        <f>IF(ISERROR((AF619/X619-1)*100),"NA",IF(((AF619/X619-1)*100)&gt;100,"NM",IF(((AF619/X619-1)*100)&lt;-50,"NM",(AF619/X619-1)*100)))</f>
        <v>3.8332904553640468</v>
      </c>
      <c r="AH619" s="36">
        <f>AH56+AH141+AH251+AH310+AH597</f>
        <v>382.09999999999997</v>
      </c>
      <c r="AI619" s="23">
        <f>IF(ISERROR((AH619/Z619-1)*100),"NA",IF(((AH619/Z619-1)*100)&gt;100,"NM",IF(((AH619/Z619-1)*100)&lt;-50,"NM",(AH619/Z619-1)*100)))</f>
        <v>0.23609653725078505</v>
      </c>
      <c r="AJ619" s="36">
        <f>AJ56+AJ141+AJ251+AJ310+AJ597</f>
        <v>383.09999999999997</v>
      </c>
      <c r="AK619" s="23">
        <f>IF(ISERROR((AJ619/AB619-1)*100),"NA",IF(((AJ619/AB619-1)*100)&gt;100,"NM",IF(((AJ619/AB619-1)*100)&lt;-50,"NM",(AJ619/AB619-1)*100)))</f>
        <v>-0.54517133956386576</v>
      </c>
      <c r="AL619" s="36">
        <f>AL56+AL141+AL251+AL310+AL597</f>
        <v>372.8</v>
      </c>
      <c r="AM619" s="23">
        <f>IF(ISERROR((AL619/AD619-1)*100),"NA",IF(((AL619/AD619-1)*100)&gt;100,"NM",IF(((AL619/AD619-1)*100)&lt;-50,"NM",(AL619/AD619-1)*100)))</f>
        <v>-4.3857399333162235</v>
      </c>
      <c r="AN619" s="410">
        <f>AN56+AN141+AN251+AN310+AN597</f>
        <v>377.19999999999993</v>
      </c>
      <c r="AO619" s="23">
        <f>IF(ISERROR((AN619/AF619-1)*100),"NA",IF(((AN619/AF619-1)*100)&gt;100,"NM",IF(((AN619/AF619-1)*100)&lt;-50,"NM",(AN619/AF619-1)*100)))</f>
        <v>-6.5411298315163791</v>
      </c>
      <c r="AP619" s="410">
        <f>AP56+AP141+AP251+AP310+AP597</f>
        <v>336.09999999999997</v>
      </c>
      <c r="AQ619" s="23">
        <f t="shared" si="4221"/>
        <v>-12.038733315885896</v>
      </c>
      <c r="AR619" s="410">
        <f>AR56+AR141+AR251+AR310+AR597</f>
        <v>345.49999999999994</v>
      </c>
      <c r="AS619" s="23">
        <f t="shared" si="4222"/>
        <v>-9.8146697990081027</v>
      </c>
      <c r="AT619" s="410">
        <f>AT56+AT141+AT251+AT310+AT597</f>
        <v>356.6</v>
      </c>
      <c r="AU619" s="23">
        <f t="shared" si="4223"/>
        <v>-4.345493562231761</v>
      </c>
      <c r="AV619" s="410">
        <f>AV56+AV141+AV251+AV310+AV597</f>
        <v>381.9</v>
      </c>
      <c r="AW619" s="23">
        <f t="shared" si="4224"/>
        <v>1.246023329798529</v>
      </c>
      <c r="AX619" s="410">
        <f>AX56+AX141+AX251+AX310+AX597</f>
        <v>368.20000000000005</v>
      </c>
      <c r="AY619" s="23">
        <f t="shared" si="4225"/>
        <v>9.5507289497173797</v>
      </c>
      <c r="AZ619" s="410">
        <f>AZ56+AZ141+AZ251+AZ310+AZ597</f>
        <v>379.40000000000003</v>
      </c>
      <c r="BA619" s="23">
        <f t="shared" si="4226"/>
        <v>9.8118668596237626</v>
      </c>
      <c r="BB619" s="410">
        <f>BB56+BB141+BB251+BB310+BB597</f>
        <v>381.9</v>
      </c>
      <c r="BC619" s="23">
        <f t="shared" si="4227"/>
        <v>7.0947840717890953</v>
      </c>
      <c r="BD619" s="410">
        <f>BD56+BD141+BD251+BD310+BD597</f>
        <v>403.8</v>
      </c>
      <c r="BE619" s="23">
        <f t="shared" si="4228"/>
        <v>5.7344854673998524</v>
      </c>
      <c r="BF619" s="36">
        <f>BF56+BF141+BF251+BF310+BF597</f>
        <v>394.24950975712477</v>
      </c>
      <c r="BG619" s="23">
        <f t="shared" si="4229"/>
        <v>7.0748261154602643</v>
      </c>
      <c r="BH619" s="36">
        <f>BH56+BH141+BH251+BH310+BH597</f>
        <v>396.75783818591395</v>
      </c>
      <c r="BI619" s="23">
        <f t="shared" si="4230"/>
        <v>4.5750759583326195</v>
      </c>
      <c r="BJ619" s="36">
        <f>BJ56+BJ141+BJ251+BJ310+BJ597</f>
        <v>377.79992850710545</v>
      </c>
      <c r="BK619" s="23">
        <f t="shared" si="4231"/>
        <v>-1.0735981913837511</v>
      </c>
      <c r="BL619" s="36">
        <f>BL56+BL141+BL251+BL310+BL597</f>
        <v>388.98566379649913</v>
      </c>
      <c r="BM619" s="23">
        <f t="shared" si="4232"/>
        <v>-3.6687311053741678</v>
      </c>
      <c r="BN619" s="5"/>
      <c r="BO619" s="137"/>
      <c r="BP619" s="5"/>
      <c r="BQ619" s="5"/>
      <c r="BR619" s="10"/>
      <c r="BS619" s="10"/>
      <c r="BT619" s="10"/>
      <c r="BU619" s="36">
        <f>BU56+BU141+BU251+BU310+BU597</f>
        <v>1307.6960000000001</v>
      </c>
      <c r="BV619" s="23" t="str">
        <f>IF(ISERROR((BU619/BS619-1)*100),"NA",IF(((BU619/BS619-1)*100)&gt;100,"NM",IF(((BU619/BS619-1)*100)&lt;-50,"NM",(BU619/BS619-1)*100)))</f>
        <v>NA</v>
      </c>
      <c r="BW619" s="36">
        <f>BW56+BW141+BW251+BW310+BW597</f>
        <v>1337.5340000000001</v>
      </c>
      <c r="BX619" s="23">
        <f>IF(ISERROR((BW619/BU619-1)*100),"NA",IF(((BW619/BU619-1)*100)&gt;100,"NM",IF(((BW619/BU619-1)*100)&lt;-50,"NM",(BW619/BU619-1)*100)))</f>
        <v>2.2817229692527974</v>
      </c>
      <c r="BY619" s="56">
        <f>BY56+BY141+BY251+BY310+BY597</f>
        <v>1466.3000000000002</v>
      </c>
      <c r="BZ619" s="23">
        <f>IF(ISERROR((BY619/BW619-1)*100),"NA",IF(((BY619/BW619-1)*100)&gt;100,"NM",IF(((BY619/BW619-1)*100)&lt;-50,"NM",(BY619/BW619-1)*100)))</f>
        <v>9.6271197591986546</v>
      </c>
      <c r="CA619" s="56">
        <f>CA56+CA141+CA251+CA310+CA597</f>
        <v>1559.9</v>
      </c>
      <c r="CB619" s="23">
        <f>IF(ISERROR((CA619/BY619-1)*100),"NA",IF(((CA619/BY619-1)*100)&gt;100,"NM",IF(((CA619/BY619-1)*100)&lt;-50,"NM",(CA619/BY619-1)*100)))</f>
        <v>6.3834140353270064</v>
      </c>
      <c r="CC619" s="56">
        <f>CC56+CC141+CC251+CC310+CC597</f>
        <v>1515.1999999999998</v>
      </c>
      <c r="CD619" s="23">
        <f>IF(ISERROR((CC619/CA619-1)*100),"NA",IF(((CC619/CA619-1)*100)&gt;100,"NM",IF(((CC619/CA619-1)*100)&lt;-50,"NM",(CC619/CA619-1)*100)))</f>
        <v>-2.8655683056606374</v>
      </c>
      <c r="CE619" s="56">
        <f>CE56+CE141+CE251+CE310+CE597</f>
        <v>1420.1</v>
      </c>
      <c r="CF619" s="23">
        <f>IF(ISERROR((CE619/CC619-1)*100),"NA",IF(((CE619/CC619-1)*100)&gt;100,"NM",IF(((CE619/CC619-1)*100)&lt;-50,"NM",(CE619/CC619-1)*100)))</f>
        <v>-6.2763991552270308</v>
      </c>
      <c r="CG619" s="56">
        <f>CG56+CG141+CG251+CG310+CG597</f>
        <v>1533.3</v>
      </c>
      <c r="CH619" s="23">
        <f>IF(ISERROR((CG619/CE619-1)*100),"NA",IF(((CG619/CE619-1)*100)&gt;100,"NM",IF(((CG619/CE619-1)*100)&lt;-50,"NM",(CG619/CE619-1)*100)))</f>
        <v>7.9712696288993801</v>
      </c>
      <c r="CI619" s="56">
        <f>CI56+CI141+CI251+CI310+CI597</f>
        <v>1557.7929402466434</v>
      </c>
      <c r="CJ619" s="23">
        <f>IF(ISERROR((CI619/CG619-1)*100),"NA",IF(((CI619/CG619-1)*100)&gt;100,"NM",IF(((CI619/CG619-1)*100)&lt;-50,"NM",(CI619/CG619-1)*100)))</f>
        <v>1.5974003943548754</v>
      </c>
      <c r="CK619" s="36">
        <f>CK56+CK141+CK251+CK310+CK597</f>
        <v>1601.4243196331661</v>
      </c>
      <c r="CL619" s="23">
        <f>IF(ISERROR((CK619/CI619-1)*100),"NA",IF(((CK619/CI619-1)*100)&gt;100,"NM",IF(((CK619/CI619-1)*100)&lt;-50,"NM",(CK619/CI619-1)*100)))</f>
        <v>2.8008458800445224</v>
      </c>
      <c r="CM619" s="36">
        <f>CM56+CM141+CM251+CM310+CM597</f>
        <v>1656.6575133124018</v>
      </c>
      <c r="CN619" s="23">
        <f>IF(ISERROR((CM619/CK619-1)*100),"NA",IF(((CM619/CK619-1)*100)&gt;100,"NM",IF(((CM619/CK619-1)*100)&lt;-50,"NM",(CM619/CK619-1)*100)))</f>
        <v>3.4490043021132566</v>
      </c>
      <c r="CO619" s="36">
        <f>CO56+CO141+CO251+CO310+CO597</f>
        <v>1714.4260735674168</v>
      </c>
      <c r="CP619" s="23">
        <f>IF(ISERROR((CO619/CM619-1)*100),"NA",IF(((CO619/CM619-1)*100)&gt;100,"NM",IF(((CO619/CM619-1)*100)&lt;-50,"NM",(CO619/CM619-1)*100)))</f>
        <v>3.48705509683227</v>
      </c>
      <c r="CQ619" s="36">
        <f>CQ56+CQ141+CQ251+CQ310+CQ597</f>
        <v>1775.2415238382982</v>
      </c>
      <c r="CR619" s="23">
        <f>IF(ISERROR((CQ619/CO619-1)*100),"NA",IF(((CQ619/CO619-1)*100)&gt;100,"NM",IF(((CQ619/CO619-1)*100)&lt;-50,"NM",(CQ619/CO619-1)*100)))</f>
        <v>3.5472774946974095</v>
      </c>
      <c r="CS619" s="23">
        <f>IF(ISERROR(((CQ619/CG619)^0.2-1)*100),"NA",IF((((CQ619/CG619)^0.2-1)*100)&gt;100,"NM",IF((((CQ619/CG619)^0.2-1)*100)&lt;-50,"NM",((CQ619/CG619)^0.2-1)*100)))</f>
        <v>2.9736394272581457</v>
      </c>
    </row>
    <row r="620" spans="1:105" ht="12.75" customHeight="1" x14ac:dyDescent="0.2">
      <c r="A620" s="4" t="s">
        <v>209</v>
      </c>
      <c r="B620" s="36">
        <f>B57+B142+B317+B395+B598</f>
        <v>191.50495523999996</v>
      </c>
      <c r="C620" s="59"/>
      <c r="D620" s="36">
        <f>D57+D142+D317+D395+D598</f>
        <v>215.60486680000002</v>
      </c>
      <c r="E620" s="59"/>
      <c r="F620" s="36">
        <f>F57+F142+F317+F395+F598</f>
        <v>195.56119100999999</v>
      </c>
      <c r="G620" s="59"/>
      <c r="H620" s="36">
        <f>H57+H142+H317+H395+H598</f>
        <v>200.40843745999996</v>
      </c>
      <c r="I620" s="59"/>
      <c r="J620" s="36">
        <f>J57+J142+J317+J395+J598</f>
        <v>182.18700000000001</v>
      </c>
      <c r="K620" s="23">
        <f t="shared" si="4220"/>
        <v>-4.8656470681515245</v>
      </c>
      <c r="L620" s="36">
        <f>L57+L142+L317+L395+L598</f>
        <v>180.01999999999998</v>
      </c>
      <c r="M620" s="23">
        <f t="shared" si="4220"/>
        <v>-16.504667695191401</v>
      </c>
      <c r="N620" s="36">
        <f>N57+N142+N317+N395+N598</f>
        <v>216.62999999999997</v>
      </c>
      <c r="O620" s="23">
        <f t="shared" si="4220"/>
        <v>10.773512311511046</v>
      </c>
      <c r="P620" s="36">
        <f>P57+P142+P317+P395+P598</f>
        <v>225.60000000000002</v>
      </c>
      <c r="Q620" s="23">
        <f t="shared" si="4220"/>
        <v>12.570110749467878</v>
      </c>
      <c r="R620" s="36">
        <f>R57+R142+R317+R395+R598</f>
        <v>181.4</v>
      </c>
      <c r="S620" s="23">
        <f t="shared" si="4220"/>
        <v>-0.43197374126584531</v>
      </c>
      <c r="T620" s="36">
        <f>T57+T142+T317+T395+T598</f>
        <v>205.70000000000002</v>
      </c>
      <c r="U620" s="23">
        <f t="shared" si="4220"/>
        <v>14.265081657593615</v>
      </c>
      <c r="V620" s="36">
        <f>V57+V142+V317+V395+V598</f>
        <v>199.70000000000002</v>
      </c>
      <c r="W620" s="23">
        <f t="shared" si="4220"/>
        <v>-7.8151687208604326</v>
      </c>
      <c r="X620" s="36">
        <f>X57+X142+X317+X395+X598</f>
        <v>181.1</v>
      </c>
      <c r="Y620" s="23">
        <f t="shared" si="4220"/>
        <v>-19.725177304964546</v>
      </c>
      <c r="Z620" s="36">
        <f>Z57+Z142+Z317+Z395+Z598</f>
        <v>176.1</v>
      </c>
      <c r="AA620" s="23">
        <f>IF(ISERROR((Z620/R620-1)*100),"NA",IF(((Z620/R620-1)*100)&gt;100,"NM",IF(((Z620/R620-1)*100)&lt;-50,"NM",(Z620/R620-1)*100)))</f>
        <v>-2.9217199558985718</v>
      </c>
      <c r="AB620" s="36">
        <f>AB57+AB142+AB317+AB395+AB598</f>
        <v>220.6</v>
      </c>
      <c r="AC620" s="23">
        <f>IF(ISERROR((AB620/T620-1)*100),"NA",IF(((AB620/T620-1)*100)&gt;100,"NM",IF(((AB620/T620-1)*100)&lt;-50,"NM",(AB620/T620-1)*100)))</f>
        <v>7.2435585804569547</v>
      </c>
      <c r="AD620" s="36">
        <f>AD57+AD142+AD317+AD395+AD598</f>
        <v>182.5</v>
      </c>
      <c r="AE620" s="23">
        <f>IF(ISERROR((AD620/V620-1)*100),"NA",IF(((AD620/V620-1)*100)&gt;100,"NM",IF(((AD620/V620-1)*100)&lt;-50,"NM",(AD620/V620-1)*100)))</f>
        <v>-8.6129193790686074</v>
      </c>
      <c r="AF620" s="36">
        <f>AF57+AF142+AF317+AF395+AF598</f>
        <v>252.4</v>
      </c>
      <c r="AG620" s="23">
        <f>IF(ISERROR((AF620/X620-1)*100),"NA",IF(((AF620/X620-1)*100)&gt;100,"NM",IF(((AF620/X620-1)*100)&lt;-50,"NM",(AF620/X620-1)*100)))</f>
        <v>39.370513528437343</v>
      </c>
      <c r="AH620" s="36">
        <f>AH57+AH142+AH317+AH395+AH598</f>
        <v>192.5</v>
      </c>
      <c r="AI620" s="23">
        <f>IF(ISERROR((AH620/Z620-1)*100),"NA",IF(((AH620/Z620-1)*100)&gt;100,"NM",IF(((AH620/Z620-1)*100)&lt;-50,"NM",(AH620/Z620-1)*100)))</f>
        <v>9.3128904031800186</v>
      </c>
      <c r="AJ620" s="36">
        <f>AJ57+AJ142+AJ317+AJ395+AJ598</f>
        <v>196.89999999999998</v>
      </c>
      <c r="AK620" s="23">
        <f>IF(ISERROR((AJ620/AB620-1)*100),"NA",IF(((AJ620/AB620-1)*100)&gt;100,"NM",IF(((AJ620/AB620-1)*100)&lt;-50,"NM",(AJ620/AB620-1)*100)))</f>
        <v>-10.743427017225759</v>
      </c>
      <c r="AL620" s="36">
        <f>AL57+AL142+AL317+AL395+AL598</f>
        <v>195.70000000000002</v>
      </c>
      <c r="AM620" s="23">
        <f>IF(ISERROR((AL620/AD620-1)*100),"NA",IF(((AL620/AD620-1)*100)&gt;100,"NM",IF(((AL620/AD620-1)*100)&lt;-50,"NM",(AL620/AD620-1)*100)))</f>
        <v>7.2328767123287729</v>
      </c>
      <c r="AN620" s="410">
        <f>AN57+AN142+AN317+AN395+AN598</f>
        <v>215.70000000000002</v>
      </c>
      <c r="AO620" s="23">
        <f>IF(ISERROR((AN620/AF620-1)*100),"NA",IF(((AN620/AF620-1)*100)&gt;100,"NM",IF(((AN620/AF620-1)*100)&lt;-50,"NM",(AN620/AF620-1)*100)))</f>
        <v>-14.540412044374007</v>
      </c>
      <c r="AP620" s="410">
        <f>AP57+AP142+AP317+AP395+AP598</f>
        <v>185.7</v>
      </c>
      <c r="AQ620" s="23">
        <f t="shared" si="4221"/>
        <v>-3.5324675324675425</v>
      </c>
      <c r="AR620" s="410">
        <f>AR57+AR142+AR317+AR395+AR598</f>
        <v>184.20000000000002</v>
      </c>
      <c r="AS620" s="23">
        <f t="shared" si="4222"/>
        <v>-6.4499746063991665</v>
      </c>
      <c r="AT620" s="410">
        <f>AT57+AT142+AT317+AT395+AT598</f>
        <v>172.9</v>
      </c>
      <c r="AU620" s="23">
        <f t="shared" si="4223"/>
        <v>-11.650485436893209</v>
      </c>
      <c r="AV620" s="410">
        <f>AV57+AV142+AV317+AV395+AV598</f>
        <v>160.5</v>
      </c>
      <c r="AW620" s="23">
        <f t="shared" si="4224"/>
        <v>-25.591098748261476</v>
      </c>
      <c r="AX620" s="410">
        <f>AX57+AX142+AX317+AX395+AX598</f>
        <v>171.3</v>
      </c>
      <c r="AY620" s="23">
        <f t="shared" si="4225"/>
        <v>-7.7544426494345569</v>
      </c>
      <c r="AZ620" s="410">
        <f>AZ57+AZ142+AZ317+AZ395+AZ598</f>
        <v>195.6</v>
      </c>
      <c r="BA620" s="23">
        <f t="shared" si="4226"/>
        <v>6.1889250814332053</v>
      </c>
      <c r="BB620" s="410">
        <f>BB57+BB142+BB317+BB395+BB598</f>
        <v>216.1</v>
      </c>
      <c r="BC620" s="23">
        <f t="shared" si="4227"/>
        <v>24.985540775014449</v>
      </c>
      <c r="BD620" s="410">
        <f>BD57+BD142+BD317+BD395+BD598</f>
        <v>191</v>
      </c>
      <c r="BE620" s="23">
        <f t="shared" si="4228"/>
        <v>19.003115264797501</v>
      </c>
      <c r="BF620" s="36">
        <f>BF57+BF142+BF317+BF395+BF598</f>
        <v>183.18578965926997</v>
      </c>
      <c r="BG620" s="23">
        <f t="shared" si="4229"/>
        <v>6.9385812371686839</v>
      </c>
      <c r="BH620" s="36">
        <f>BH57+BH142+BH317+BH395+BH598</f>
        <v>193.62923811460013</v>
      </c>
      <c r="BI620" s="23">
        <f t="shared" si="4230"/>
        <v>-1.0075469761757994</v>
      </c>
      <c r="BJ620" s="36">
        <f>BJ57+BJ142+BJ317+BJ395+BJ598</f>
        <v>202.58959189382293</v>
      </c>
      <c r="BK620" s="23">
        <f t="shared" si="4231"/>
        <v>-6.2519241583420033</v>
      </c>
      <c r="BL620" s="36">
        <f>BL57+BL142+BL317+BL395+BL598</f>
        <v>190.68826007975389</v>
      </c>
      <c r="BM620" s="23">
        <f t="shared" si="4232"/>
        <v>-0.16321461792989655</v>
      </c>
      <c r="BN620" s="5"/>
      <c r="BO620" s="137"/>
      <c r="BP620" s="5"/>
      <c r="BQ620" s="5"/>
      <c r="BR620" s="10"/>
      <c r="BS620" s="10"/>
      <c r="BT620" s="10"/>
      <c r="BU620" s="36">
        <f>BU57+BU142+BU317+BU395+BU598</f>
        <v>803.07945050999967</v>
      </c>
      <c r="BV620" s="23" t="str">
        <f>IF(ISERROR((BU620/BS620-1)*100),"NA",IF(((BU620/BS620-1)*100)&gt;100,"NM",IF(((BU620/BS620-1)*100)&lt;-50,"NM",(BU620/BS620-1)*100)))</f>
        <v>NA</v>
      </c>
      <c r="BW620" s="36">
        <f>BW57+BW142+BW317+BW395+BW598</f>
        <v>804.4369999999999</v>
      </c>
      <c r="BX620" s="23">
        <f>IF(ISERROR((BW620/BU620-1)*100),"NA",IF(((BW620/BU620-1)*100)&gt;100,"NM",IF(((BW620/BU620-1)*100)&lt;-50,"NM",(BW620/BU620-1)*100)))</f>
        <v>0.16904298685991304</v>
      </c>
      <c r="BY620" s="56">
        <f>BY57+BY142+BY317+BY395+BY598</f>
        <v>767.9</v>
      </c>
      <c r="BZ620" s="23">
        <f>IF(ISERROR((BY620/BW620-1)*100),"NA",IF(((BY620/BW620-1)*100)&gt;100,"NM",IF(((BY620/BW620-1)*100)&lt;-50,"NM",(BY620/BW620-1)*100)))</f>
        <v>-4.5419342969057812</v>
      </c>
      <c r="CA620" s="56">
        <f>CA57+CA142+CA317+CA395+CA598</f>
        <v>831.6</v>
      </c>
      <c r="CB620" s="23">
        <f>IF(ISERROR((CA620/BY620-1)*100),"NA",IF(((CA620/BY620-1)*100)&gt;100,"NM",IF(((CA620/BY620-1)*100)&lt;-50,"NM",(CA620/BY620-1)*100)))</f>
        <v>8.295350957155879</v>
      </c>
      <c r="CC620" s="56">
        <f>CC57+CC142+CC317+CC395+CC598</f>
        <v>800.8</v>
      </c>
      <c r="CD620" s="23">
        <f>IF(ISERROR((CC620/CA620-1)*100),"NA",IF(((CC620/CA620-1)*100)&gt;100,"NM",IF(((CC620/CA620-1)*100)&lt;-50,"NM",(CC620/CA620-1)*100)))</f>
        <v>-3.703703703703709</v>
      </c>
      <c r="CE620" s="56">
        <f>CE57+CE142+CE317+CE395+CE598</f>
        <v>703.30000000000007</v>
      </c>
      <c r="CF620" s="23">
        <f>IF(ISERROR((CE620/CC620-1)*100),"NA",IF(((CE620/CC620-1)*100)&gt;100,"NM",IF(((CE620/CC620-1)*100)&lt;-50,"NM",(CE620/CC620-1)*100)))</f>
        <v>-12.175324675324662</v>
      </c>
      <c r="CG620" s="56">
        <f>CG57+CG142+CG317+CG395+CG598</f>
        <v>774</v>
      </c>
      <c r="CH620" s="23">
        <f>IF(ISERROR((CG620/CE620-1)*100),"NA",IF(((CG620/CE620-1)*100)&gt;100,"NM",IF(((CG620/CE620-1)*100)&lt;-50,"NM",(CG620/CE620-1)*100)))</f>
        <v>10.052609128394696</v>
      </c>
      <c r="CI620" s="56">
        <f>CI57+CI142+CI317+CI395+CI598</f>
        <v>770.09287974744689</v>
      </c>
      <c r="CJ620" s="23">
        <f>IF(ISERROR((CI620/CG620-1)*100),"NA",IF(((CI620/CG620-1)*100)&gt;100,"NM",IF(((CI620/CG620-1)*100)&lt;-50,"NM",(CI620/CG620-1)*100)))</f>
        <v>-0.50479589826267768</v>
      </c>
      <c r="CK620" s="36">
        <f>CK57+CK142+CK317+CK395+CK598</f>
        <v>789.91674722179675</v>
      </c>
      <c r="CL620" s="23">
        <f>IF(ISERROR((CK620/CI620-1)*100),"NA",IF(((CK620/CI620-1)*100)&gt;100,"NM",IF(((CK620/CI620-1)*100)&lt;-50,"NM",(CK620/CI620-1)*100)))</f>
        <v>2.5742177334312055</v>
      </c>
      <c r="CM620" s="36">
        <f>CM57+CM142+CM317+CM395+CM598</f>
        <v>811.48609637618824</v>
      </c>
      <c r="CN620" s="23">
        <f>IF(ISERROR((CM620/CK620-1)*100),"NA",IF(((CM620/CK620-1)*100)&gt;100,"NM",IF(((CM620/CK620-1)*100)&lt;-50,"NM",(CM620/CK620-1)*100)))</f>
        <v>2.7305851192866548</v>
      </c>
      <c r="CO620" s="36">
        <f>CO57+CO142+CO317+CO395+CO598</f>
        <v>833.6062259066415</v>
      </c>
      <c r="CP620" s="23">
        <f>IF(ISERROR((CO620/CM620-1)*100),"NA",IF(((CO620/CM620-1)*100)&gt;100,"NM",IF(((CO620/CM620-1)*100)&lt;-50,"NM",(CO620/CM620-1)*100)))</f>
        <v>2.7258790543958744</v>
      </c>
      <c r="CQ620" s="36">
        <f>CQ57+CQ142+CQ317+CQ395+CQ598</f>
        <v>856.26801600050612</v>
      </c>
      <c r="CR620" s="23">
        <f>IF(ISERROR((CQ620/CO620-1)*100),"NA",IF(((CQ620/CO620-1)*100)&gt;100,"NM",IF(((CQ620/CO620-1)*100)&lt;-50,"NM",(CQ620/CO620-1)*100)))</f>
        <v>2.7185245730641405</v>
      </c>
      <c r="CS620" s="23">
        <f>IF(ISERROR(((CQ620/CG620)^0.2-1)*100),"NA",IF((((CQ620/CG620)^0.2-1)*100)&gt;100,"NM",IF((((CQ620/CG620)^0.2-1)*100)&lt;-50,"NM",((CQ620/CG620)^0.2-1)*100)))</f>
        <v>2.0407759135242065</v>
      </c>
    </row>
    <row r="621" spans="1:105" ht="12.75" customHeight="1" x14ac:dyDescent="0.2">
      <c r="A621" s="4" t="s">
        <v>14</v>
      </c>
      <c r="B621" s="36"/>
      <c r="C621" s="60"/>
      <c r="D621" s="36"/>
      <c r="E621" s="60"/>
      <c r="F621" s="36"/>
      <c r="G621" s="60"/>
      <c r="H621" s="36"/>
      <c r="I621" s="60"/>
      <c r="J621" s="36"/>
      <c r="K621" s="23"/>
      <c r="L621" s="36"/>
      <c r="M621" s="23"/>
      <c r="N621" s="36"/>
      <c r="O621" s="23"/>
      <c r="P621" s="36"/>
      <c r="Q621" s="23"/>
      <c r="R621" s="36"/>
      <c r="S621" s="23"/>
      <c r="T621" s="36"/>
      <c r="U621" s="23"/>
      <c r="V621" s="36"/>
      <c r="W621" s="23"/>
      <c r="X621" s="36"/>
      <c r="Y621" s="23"/>
      <c r="Z621" s="36"/>
      <c r="AA621" s="23"/>
      <c r="AB621" s="36"/>
      <c r="AC621" s="23"/>
      <c r="AD621" s="36"/>
      <c r="AE621" s="23"/>
      <c r="AF621" s="36"/>
      <c r="AG621" s="23"/>
      <c r="AH621" s="36"/>
      <c r="AI621" s="23"/>
      <c r="AJ621" s="36"/>
      <c r="AK621" s="23"/>
      <c r="AL621" s="36"/>
      <c r="AM621" s="23"/>
      <c r="AN621" s="410"/>
      <c r="AO621" s="23"/>
      <c r="AP621" s="410"/>
      <c r="AQ621" s="23"/>
      <c r="AR621" s="410"/>
      <c r="AS621" s="23"/>
      <c r="AT621" s="410"/>
      <c r="AU621" s="23"/>
      <c r="AV621" s="410"/>
      <c r="AW621" s="23"/>
      <c r="AX621" s="410"/>
      <c r="AY621" s="23"/>
      <c r="AZ621" s="410"/>
      <c r="BA621" s="23"/>
      <c r="BB621" s="410"/>
      <c r="BC621" s="23"/>
      <c r="BD621" s="410"/>
      <c r="BE621" s="23"/>
      <c r="BF621" s="36"/>
      <c r="BG621" s="23"/>
      <c r="BH621" s="36"/>
      <c r="BI621" s="23"/>
      <c r="BJ621" s="36"/>
      <c r="BK621" s="23"/>
      <c r="BL621" s="36"/>
      <c r="BM621" s="23"/>
      <c r="BN621" s="5"/>
      <c r="BO621" s="137"/>
      <c r="BP621" s="5"/>
      <c r="BQ621" s="5"/>
      <c r="BR621" s="10"/>
      <c r="BS621" s="10"/>
      <c r="BT621" s="10"/>
      <c r="BU621" s="36"/>
      <c r="BV621" s="23"/>
      <c r="BW621" s="36"/>
      <c r="BX621" s="23"/>
      <c r="BY621" s="36"/>
      <c r="BZ621" s="23"/>
      <c r="CA621" s="36"/>
      <c r="CB621" s="23"/>
      <c r="CC621" s="36"/>
      <c r="CD621" s="23"/>
      <c r="CE621" s="36"/>
      <c r="CF621" s="23"/>
      <c r="CG621" s="36"/>
      <c r="CH621" s="23"/>
      <c r="CI621" s="36"/>
      <c r="CJ621" s="23"/>
      <c r="CK621" s="36"/>
      <c r="CL621" s="23"/>
      <c r="CM621" s="36"/>
      <c r="CN621" s="23"/>
      <c r="CO621" s="36"/>
      <c r="CP621" s="23"/>
      <c r="CQ621" s="36"/>
      <c r="CR621" s="23"/>
      <c r="CS621" s="23"/>
    </row>
    <row r="622" spans="1:105" ht="12.75" customHeight="1" x14ac:dyDescent="0.2">
      <c r="A622" s="3" t="s">
        <v>103</v>
      </c>
      <c r="B622" s="72">
        <f t="shared" ref="B622:Z622" si="4233">SUM(B618:B621)</f>
        <v>898.64595524000003</v>
      </c>
      <c r="C622" s="59"/>
      <c r="D622" s="72">
        <f t="shared" si="4233"/>
        <v>1015.8238668000001</v>
      </c>
      <c r="E622" s="59"/>
      <c r="F622" s="72">
        <f t="shared" si="4233"/>
        <v>914.45619101</v>
      </c>
      <c r="G622" s="59"/>
      <c r="H622" s="72">
        <f t="shared" si="4233"/>
        <v>754.99243746000002</v>
      </c>
      <c r="I622" s="59"/>
      <c r="J622" s="72">
        <f t="shared" si="4233"/>
        <v>925.66899999999998</v>
      </c>
      <c r="K622" s="23">
        <f t="shared" ref="K622:Y624" si="4234">IF(ISERROR((J622/B622-1)*100),"NA",IF(((J622/B622-1)*100)&gt;100,"NM",IF(((J622/B622-1)*100)&lt;-50,"NM",(J622/B622-1)*100)))</f>
        <v>3.0070846702673792</v>
      </c>
      <c r="L622" s="72">
        <f t="shared" si="4233"/>
        <v>851.24199999999996</v>
      </c>
      <c r="M622" s="23">
        <f t="shared" si="4234"/>
        <v>-16.201811374885111</v>
      </c>
      <c r="N622" s="72">
        <f t="shared" si="4233"/>
        <v>948.18700000000001</v>
      </c>
      <c r="O622" s="23">
        <f t="shared" si="4234"/>
        <v>3.6886194572913311</v>
      </c>
      <c r="P622" s="72">
        <f t="shared" si="4233"/>
        <v>942.88300000000015</v>
      </c>
      <c r="Q622" s="23">
        <f t="shared" si="4234"/>
        <v>24.886416501351349</v>
      </c>
      <c r="R622" s="72">
        <f t="shared" si="4233"/>
        <v>912.30000000000007</v>
      </c>
      <c r="S622" s="23">
        <f t="shared" si="4234"/>
        <v>-1.4442527512534054</v>
      </c>
      <c r="T622" s="72">
        <f t="shared" si="4233"/>
        <v>957.50000000000023</v>
      </c>
      <c r="U622" s="23">
        <f t="shared" si="4234"/>
        <v>12.482701746389434</v>
      </c>
      <c r="V622" s="72">
        <f t="shared" si="4233"/>
        <v>1025.8000000000002</v>
      </c>
      <c r="W622" s="23">
        <f t="shared" si="4234"/>
        <v>8.1854106837575547</v>
      </c>
      <c r="X622" s="72">
        <f t="shared" si="4233"/>
        <v>955.90000000000009</v>
      </c>
      <c r="Y622" s="23">
        <f t="shared" si="4234"/>
        <v>1.3805530484694239</v>
      </c>
      <c r="Z622" s="72">
        <f t="shared" si="4233"/>
        <v>926.80000000000007</v>
      </c>
      <c r="AA622" s="23">
        <f>IF(ISERROR((Z622/R622-1)*100),"NA",IF(((Z622/R622-1)*100)&gt;100,"NM",IF(((Z622/R622-1)*100)&lt;-50,"NM",(Z622/R622-1)*100)))</f>
        <v>1.589389455223067</v>
      </c>
      <c r="AB622" s="72">
        <f t="shared" ref="AB622:AD622" si="4235">SUM(AB618:AB621)</f>
        <v>981.6</v>
      </c>
      <c r="AC622" s="23">
        <f>IF(ISERROR((AB622/T622-1)*100),"NA",IF(((AB622/T622-1)*100)&gt;100,"NM",IF(((AB622/T622-1)*100)&lt;-50,"NM",(AB622/T622-1)*100)))</f>
        <v>2.5169712793733368</v>
      </c>
      <c r="AD622" s="72">
        <f t="shared" si="4235"/>
        <v>983.1</v>
      </c>
      <c r="AE622" s="23">
        <f>IF(ISERROR((AD622/V622-1)*100),"NA",IF(((AD622/V622-1)*100)&gt;100,"NM",IF(((AD622/V622-1)*100)&lt;-50,"NM",(AD622/V622-1)*100)))</f>
        <v>-4.1626047962565966</v>
      </c>
      <c r="AF622" s="72">
        <f t="shared" ref="AF622:AH622" si="4236">SUM(AF618:AF621)</f>
        <v>1048.6000000000001</v>
      </c>
      <c r="AG622" s="23">
        <f>IF(ISERROR((AF622/X622-1)*100),"NA",IF(((AF622/X622-1)*100)&gt;100,"NM",IF(((AF622/X622-1)*100)&lt;-50,"NM",(AF622/X622-1)*100)))</f>
        <v>9.6976671199916264</v>
      </c>
      <c r="AH622" s="72">
        <f t="shared" si="4236"/>
        <v>979.9</v>
      </c>
      <c r="AI622" s="23">
        <f>IF(ISERROR((AH622/Z622-1)*100),"NA",IF(((AH622/Z622-1)*100)&gt;100,"NM",IF(((AH622/Z622-1)*100)&lt;-50,"NM",(AH622/Z622-1)*100)))</f>
        <v>5.7293914544669811</v>
      </c>
      <c r="AJ622" s="72">
        <f t="shared" ref="AJ622:AL622" si="4237">SUM(AJ618:AJ621)</f>
        <v>960.4</v>
      </c>
      <c r="AK622" s="23">
        <f>IF(ISERROR((AJ622/AB622-1)*100),"NA",IF(((AJ622/AB622-1)*100)&gt;100,"NM",IF(((AJ622/AB622-1)*100)&lt;-50,"NM",(AJ622/AB622-1)*100)))</f>
        <v>-2.1597392013040007</v>
      </c>
      <c r="AL622" s="72">
        <f t="shared" si="4237"/>
        <v>943.90000000000009</v>
      </c>
      <c r="AM622" s="23">
        <f>IF(ISERROR((AL622/AD622-1)*100),"NA",IF(((AL622/AD622-1)*100)&gt;100,"NM",IF(((AL622/AD622-1)*100)&lt;-50,"NM",(AL622/AD622-1)*100)))</f>
        <v>-3.9873868375546628</v>
      </c>
      <c r="AN622" s="72">
        <f t="shared" ref="AN622:AP622" si="4238">SUM(AN618:AN621)</f>
        <v>982.7</v>
      </c>
      <c r="AO622" s="23">
        <f>IF(ISERROR((AN622/AF622-1)*100),"NA",IF(((AN622/AF622-1)*100)&gt;100,"NM",IF(((AN622/AF622-1)*100)&lt;-50,"NM",(AN622/AF622-1)*100)))</f>
        <v>-6.2845699027274549</v>
      </c>
      <c r="AP622" s="72">
        <f t="shared" si="4238"/>
        <v>755.7</v>
      </c>
      <c r="AQ622" s="23">
        <f t="shared" ref="AQ622:AQ624" si="4239">IF(ISERROR((AP622/AH622-1)*100),"NA",IF(((AP622/AH622-1)*100)&gt;100,"NM",IF(((AP622/AH622-1)*100)&lt;-50,"NM",(AP622/AH622-1)*100)))</f>
        <v>-22.879885702622715</v>
      </c>
      <c r="AR622" s="72">
        <f t="shared" ref="AR622:AT622" si="4240">SUM(AR618:AR621)</f>
        <v>789.09999999999991</v>
      </c>
      <c r="AS622" s="23">
        <f t="shared" ref="AS622:AS624" si="4241">IF(ISERROR((AR622/AJ622-1)*100),"NA",IF(((AR622/AJ622-1)*100)&gt;100,"NM",IF(((AR622/AJ622-1)*100)&lt;-50,"NM",(AR622/AJ622-1)*100)))</f>
        <v>-17.836318200749691</v>
      </c>
      <c r="AT622" s="72">
        <f t="shared" si="4240"/>
        <v>789.5</v>
      </c>
      <c r="AU622" s="23">
        <f t="shared" ref="AU622:AU624" si="4242">IF(ISERROR((AT622/AL622-1)*100),"NA",IF(((AT622/AL622-1)*100)&gt;100,"NM",IF(((AT622/AL622-1)*100)&lt;-50,"NM",(AT622/AL622-1)*100)))</f>
        <v>-16.357665006886336</v>
      </c>
      <c r="AV622" s="72">
        <f t="shared" ref="AV622:AX622" si="4243">SUM(AV618:AV621)</f>
        <v>832.3</v>
      </c>
      <c r="AW622" s="23">
        <f t="shared" ref="AW622:AW624" si="4244">IF(ISERROR((AV622/AN622-1)*100),"NA",IF(((AV622/AN622-1)*100)&gt;100,"NM",IF(((AV622/AN622-1)*100)&lt;-50,"NM",(AV622/AN622-1)*100)))</f>
        <v>-15.304772565381096</v>
      </c>
      <c r="AX622" s="72">
        <f t="shared" si="4243"/>
        <v>811.5</v>
      </c>
      <c r="AY622" s="23">
        <f t="shared" ref="AY622:AY624" si="4245">IF(ISERROR((AX622/AP622-1)*100),"NA",IF(((AX622/AP622-1)*100)&gt;100,"NM",IF(((AX622/AP622-1)*100)&lt;-50,"NM",(AX622/AP622-1)*100)))</f>
        <v>7.3838824930527958</v>
      </c>
      <c r="AZ622" s="72">
        <f t="shared" ref="AZ622" si="4246">SUM(AZ618:AZ621)</f>
        <v>864.30000000000007</v>
      </c>
      <c r="BA622" s="23">
        <f t="shared" ref="BA622:BA624" si="4247">IF(ISERROR((AZ622/AR622-1)*100),"NA",IF(((AZ622/AR622-1)*100)&gt;100,"NM",IF(((AZ622/AR622-1)*100)&lt;-50,"NM",(AZ622/AR622-1)*100)))</f>
        <v>9.5298441262197553</v>
      </c>
      <c r="BB622" s="72">
        <f t="shared" ref="BB622:BD622" si="4248">SUM(BB618:BB621)</f>
        <v>867.4</v>
      </c>
      <c r="BC622" s="23">
        <f t="shared" ref="BC622:BC624" si="4249">IF(ISERROR((BB622/AT622-1)*100),"NA",IF(((BB622/AT622-1)*100)&gt;100,"NM",IF(((BB622/AT622-1)*100)&lt;-50,"NM",(BB622/AT622-1)*100)))</f>
        <v>9.8670044331855564</v>
      </c>
      <c r="BD622" s="72">
        <f t="shared" si="4248"/>
        <v>873.40000000000009</v>
      </c>
      <c r="BE622" s="23">
        <f t="shared" ref="BE622:BE624" si="4250">IF(ISERROR((BD622/AV622-1)*100),"NA",IF(((BD622/AV622-1)*100)&gt;100,"NM",IF(((BD622/AV622-1)*100)&lt;-50,"NM",(BD622/AV622-1)*100)))</f>
        <v>4.9381232728583635</v>
      </c>
      <c r="BF622" s="72">
        <f t="shared" ref="BF622" si="4251">SUM(BF618:BF621)</f>
        <v>857.45571983447064</v>
      </c>
      <c r="BG622" s="23">
        <f t="shared" ref="BG622:BG624" si="4252">IF(ISERROR((BF622/AX622-1)*100),"NA",IF(((BF622/AX622-1)*100)&gt;100,"NM",IF(((BF622/AX622-1)*100)&lt;-50,"NM",(BF622/AX622-1)*100)))</f>
        <v>5.6630585131818512</v>
      </c>
      <c r="BH622" s="72">
        <f t="shared" ref="BH622" si="4253">SUM(BH618:BH621)</f>
        <v>870.64258870063532</v>
      </c>
      <c r="BI622" s="23">
        <f t="shared" ref="BI622:BI624" si="4254">IF(ISERROR((BH622/AZ622-1)*100),"NA",IF(((BH622/AZ622-1)*100)&gt;100,"NM",IF(((BH622/AZ622-1)*100)&lt;-50,"NM",(BH622/AZ622-1)*100)))</f>
        <v>0.73384110848493389</v>
      </c>
      <c r="BJ622" s="72">
        <f t="shared" ref="BJ622" si="4255">SUM(BJ618:BJ621)</f>
        <v>857.88459643108922</v>
      </c>
      <c r="BK622" s="23">
        <f t="shared" ref="BK622:BK624" si="4256">IF(ISERROR((BJ622/BB622-1)*100),"NA",IF(((BJ622/BB622-1)*100)&gt;100,"NM",IF(((BJ622/BB622-1)*100)&lt;-50,"NM",(BJ622/BB622-1)*100)))</f>
        <v>-1.0970029477646692</v>
      </c>
      <c r="BL622" s="72">
        <f t="shared" ref="BL622" si="4257">SUM(BL618:BL621)</f>
        <v>863.08346302541963</v>
      </c>
      <c r="BM622" s="23">
        <f t="shared" ref="BM622:BM624" si="4258">IF(ISERROR((BL622/BD622-1)*100),"NA",IF(((BL622/BD622-1)*100)&gt;100,"NM",IF(((BL622/BD622-1)*100)&lt;-50,"NM",(BL622/BD622-1)*100)))</f>
        <v>-1.1811926923036897</v>
      </c>
      <c r="BN622" s="5"/>
      <c r="BO622" s="137"/>
      <c r="BP622" s="5"/>
      <c r="BQ622" s="7"/>
      <c r="BR622" s="8"/>
      <c r="BS622" s="8"/>
      <c r="BT622" s="8"/>
      <c r="BU622" s="72">
        <f t="shared" ref="BU622:CA622" si="4259">SUM(BU618:BU621)</f>
        <v>3583.9184505099997</v>
      </c>
      <c r="BV622" s="23" t="str">
        <f>IF(ISERROR((BU622/BS622-1)*100),"NA",IF(((BU622/BS622-1)*100)&gt;100,"NM",IF(((BU622/BS622-1)*100)&lt;-50,"NM",(BU622/BS622-1)*100)))</f>
        <v>NA</v>
      </c>
      <c r="BW622" s="72">
        <f t="shared" si="4259"/>
        <v>3667.9810000000007</v>
      </c>
      <c r="BX622" s="23">
        <f>IF(ISERROR((BW622/BU622-1)*100),"NA",IF(((BW622/BU622-1)*100)&gt;100,"NM",IF(((BW622/BU622-1)*100)&lt;-50,"NM",(BW622/BU622-1)*100)))</f>
        <v>2.345548612526005</v>
      </c>
      <c r="BY622" s="72">
        <f t="shared" si="4259"/>
        <v>3851.5000000000005</v>
      </c>
      <c r="BZ622" s="23">
        <f>IF(ISERROR((BY622/BW622-1)*100),"NA",IF(((BY622/BW622-1)*100)&gt;100,"NM",IF(((BY622/BW622-1)*100)&lt;-50,"NM",(BY622/BW622-1)*100)))</f>
        <v>5.0032701914213717</v>
      </c>
      <c r="CA622" s="72">
        <f t="shared" si="4259"/>
        <v>3940.1</v>
      </c>
      <c r="CB622" s="23">
        <f>IF(ISERROR((CA622/BY622-1)*100),"NA",IF(((CA622/BY622-1)*100)&gt;100,"NM",IF(((CA622/BY622-1)*100)&lt;-50,"NM",(CA622/BY622-1)*100)))</f>
        <v>2.3004024406075407</v>
      </c>
      <c r="CC622" s="72">
        <f t="shared" ref="CC622" si="4260">SUM(CC618:CC621)</f>
        <v>3866.9000000000005</v>
      </c>
      <c r="CD622" s="23">
        <f>IF(ISERROR((CC622/CA622-1)*100),"NA",IF(((CC622/CA622-1)*100)&gt;100,"NM",IF(((CC622/CA622-1)*100)&lt;-50,"NM",(CC622/CA622-1)*100)))</f>
        <v>-1.857820867490656</v>
      </c>
      <c r="CE622" s="72">
        <f t="shared" ref="CE622" si="4261">SUM(CE618:CE621)</f>
        <v>3166.6000000000004</v>
      </c>
      <c r="CF622" s="23">
        <f>IF(ISERROR((CE622/CC622-1)*100),"NA",IF(((CE622/CC622-1)*100)&gt;100,"NM",IF(((CE622/CC622-1)*100)&lt;-50,"NM",(CE622/CC622-1)*100)))</f>
        <v>-18.110114044842117</v>
      </c>
      <c r="CG622" s="72">
        <f t="shared" ref="CG622" si="4262">SUM(CG618:CG621)</f>
        <v>3416.6000000000004</v>
      </c>
      <c r="CH622" s="23">
        <f>IF(ISERROR((CG622/CE622-1)*100),"NA",IF(((CG622/CE622-1)*100)&gt;100,"NM",IF(((CG622/CE622-1)*100)&lt;-50,"NM",(CG622/CE622-1)*100)))</f>
        <v>7.8949030505905293</v>
      </c>
      <c r="CI622" s="72">
        <f t="shared" ref="CI622" si="4263">SUM(CI618:CI621)</f>
        <v>3449.0663679916152</v>
      </c>
      <c r="CJ622" s="23">
        <f>IF(ISERROR((CI622/CG622-1)*100),"NA",IF(((CI622/CG622-1)*100)&gt;100,"NM",IF(((CI622/CG622-1)*100)&lt;-50,"NM",(CI622/CG622-1)*100)))</f>
        <v>0.95025370226584638</v>
      </c>
      <c r="CK622" s="72">
        <f>SUM(CK618:CK621)</f>
        <v>3555.8555143606527</v>
      </c>
      <c r="CL622" s="23">
        <f>IF(ISERROR((CK622/CI622-1)*100),"NA",IF(((CK622/CI622-1)*100)&gt;100,"NM",IF(((CK622/CI622-1)*100)&lt;-50,"NM",(CK622/CI622-1)*100)))</f>
        <v>3.0961754566416477</v>
      </c>
      <c r="CM622" s="72">
        <f>SUM(CM618:CM621)</f>
        <v>3689.9015577560094</v>
      </c>
      <c r="CN622" s="23">
        <f>IF(ISERROR((CM622/CK622-1)*100),"NA",IF(((CM622/CK622-1)*100)&gt;100,"NM",IF(((CM622/CK622-1)*100)&lt;-50,"NM",(CM622/CK622-1)*100)))</f>
        <v>3.7697269434598502</v>
      </c>
      <c r="CO622" s="72">
        <f>SUM(CO618:CO621)</f>
        <v>3820.3496523604767</v>
      </c>
      <c r="CP622" s="23">
        <f>IF(ISERROR((CO622/CM622-1)*100),"NA",IF(((CO622/CM622-1)*100)&gt;100,"NM",IF(((CO622/CM622-1)*100)&lt;-50,"NM",(CO622/CM622-1)*100)))</f>
        <v>3.5352730299883284</v>
      </c>
      <c r="CQ622" s="72">
        <f>SUM(CQ618:CQ621)</f>
        <v>3956.6217903220504</v>
      </c>
      <c r="CR622" s="23">
        <f>IF(ISERROR((CQ622/CO622-1)*100),"NA",IF(((CQ622/CO622-1)*100)&gt;100,"NM",IF(((CQ622/CO622-1)*100)&lt;-50,"NM",(CQ622/CO622-1)*100)))</f>
        <v>3.5670069590979736</v>
      </c>
      <c r="CS622" s="23">
        <f>IF(ISERROR(((CQ622/CG622)^0.2-1)*100),"NA",IF((((CQ622/CG622)^0.2-1)*100)&gt;100,"NM",IF((((CQ622/CG622)^0.2-1)*100)&lt;-50,"NM",((CQ622/CG622)^0.2-1)*100)))</f>
        <v>2.9783859093084342</v>
      </c>
    </row>
    <row r="623" spans="1:105" ht="12.75" customHeight="1" x14ac:dyDescent="0.2">
      <c r="A623" s="4" t="s">
        <v>102</v>
      </c>
      <c r="B623" s="36">
        <f>B59+B144+B319+B397+B604</f>
        <v>608.00099999999998</v>
      </c>
      <c r="D623" s="36">
        <f>D59+D144+D319+D397+D604</f>
        <v>611.03500000000008</v>
      </c>
      <c r="F623" s="36">
        <f>F59+F144+F319+F397+F604</f>
        <v>616.81000000000006</v>
      </c>
      <c r="H623" s="36">
        <f>H59+H144+H319+H397+H604</f>
        <v>618.07699999999988</v>
      </c>
      <c r="J623" s="36">
        <f>J59+J144+J319+J397+J604</f>
        <v>614.35399999999993</v>
      </c>
      <c r="K623" s="23">
        <f t="shared" si="4234"/>
        <v>1.044899597204596</v>
      </c>
      <c r="L623" s="36">
        <f>L59+L144+L319+L397+L604</f>
        <v>591.92100000000005</v>
      </c>
      <c r="M623" s="23">
        <f t="shared" si="4234"/>
        <v>-3.1281350495470872</v>
      </c>
      <c r="N623" s="36">
        <f>N59+N144+N319+N397+N604</f>
        <v>578.90399999999988</v>
      </c>
      <c r="O623" s="23">
        <f t="shared" si="4234"/>
        <v>-6.1454905076117727</v>
      </c>
      <c r="P623" s="36">
        <f>P59+P144+P319+P397+P604</f>
        <v>576.4</v>
      </c>
      <c r="Q623" s="23">
        <f t="shared" si="4234"/>
        <v>-6.7430109840683095</v>
      </c>
      <c r="R623" s="36">
        <f>R59+R144+R319+R397+R604</f>
        <v>572.5</v>
      </c>
      <c r="S623" s="23">
        <f t="shared" si="4234"/>
        <v>-6.8126845434391186</v>
      </c>
      <c r="T623" s="36">
        <f>T59+T144+T319+T397+T604</f>
        <v>556.70000000000005</v>
      </c>
      <c r="U623" s="23">
        <f t="shared" si="4234"/>
        <v>-5.950287284958633</v>
      </c>
      <c r="V623" s="36">
        <f>V59+V144+V319+V397+V604</f>
        <v>565</v>
      </c>
      <c r="W623" s="23">
        <f t="shared" si="4234"/>
        <v>-2.401779915149993</v>
      </c>
      <c r="X623" s="36">
        <f>X59+X144+X319+X397+X604</f>
        <v>579.00000000000011</v>
      </c>
      <c r="Y623" s="23">
        <f t="shared" si="4234"/>
        <v>0.45107564191535499</v>
      </c>
      <c r="Z623" s="36">
        <f>Z59+Z144+Z319+Z397+Z604</f>
        <v>557.4</v>
      </c>
      <c r="AA623" s="23">
        <f>IF(ISERROR((Z623/R623-1)*100),"NA",IF(((Z623/R623-1)*100)&gt;100,"NM",IF(((Z623/R623-1)*100)&lt;-50,"NM",(Z623/R623-1)*100)))</f>
        <v>-2.6375545851528459</v>
      </c>
      <c r="AB623" s="36">
        <f>AB59+AB144+AB319+AB397+AB604</f>
        <v>549.19999999999993</v>
      </c>
      <c r="AC623" s="23">
        <f>IF(ISERROR((AB623/T623-1)*100),"NA",IF(((AB623/T623-1)*100)&gt;100,"NM",IF(((AB623/T623-1)*100)&lt;-50,"NM",(AB623/T623-1)*100)))</f>
        <v>-1.3472247170828289</v>
      </c>
      <c r="AD623" s="36">
        <f>AD59+AD144+AD319+AD397+AD604</f>
        <v>547.09999999999991</v>
      </c>
      <c r="AE623" s="23">
        <f>IF(ISERROR((AD623/V623-1)*100),"NA",IF(((AD623/V623-1)*100)&gt;100,"NM",IF(((AD623/V623-1)*100)&lt;-50,"NM",(AD623/V623-1)*100)))</f>
        <v>-3.1681415929203705</v>
      </c>
      <c r="AF623" s="36">
        <f>AF59+AF144+AF319+AF397+AF604</f>
        <v>549.79999999999995</v>
      </c>
      <c r="AG623" s="23">
        <f>IF(ISERROR((AF623/X623-1)*100),"NA",IF(((AF623/X623-1)*100)&gt;100,"NM",IF(((AF623/X623-1)*100)&lt;-50,"NM",(AF623/X623-1)*100)))</f>
        <v>-5.0431778929188482</v>
      </c>
      <c r="AH623" s="36">
        <f>AH59+AH144+AH319+AH397+AH604</f>
        <v>519.49999999999989</v>
      </c>
      <c r="AI623" s="23">
        <f>IF(ISERROR((AH623/Z623-1)*100),"NA",IF(((AH623/Z623-1)*100)&gt;100,"NM",IF(((AH623/Z623-1)*100)&lt;-50,"NM",(AH623/Z623-1)*100)))</f>
        <v>-6.799425905992118</v>
      </c>
      <c r="AJ623" s="36">
        <f>AJ59+AJ144+AJ319+AJ397+AJ604</f>
        <v>527.20000000000005</v>
      </c>
      <c r="AK623" s="23">
        <f>IF(ISERROR((AJ623/AB623-1)*100),"NA",IF(((AJ623/AB623-1)*100)&gt;100,"NM",IF(((AJ623/AB623-1)*100)&lt;-50,"NM",(AJ623/AB623-1)*100)))</f>
        <v>-4.0058266569555467</v>
      </c>
      <c r="AL623" s="36">
        <f>AL59+AL144+AL319+AL397+AL604</f>
        <v>538.4</v>
      </c>
      <c r="AM623" s="23">
        <f>IF(ISERROR((AL623/AD623-1)*100),"NA",IF(((AL623/AD623-1)*100)&gt;100,"NM",IF(((AL623/AD623-1)*100)&lt;-50,"NM",(AL623/AD623-1)*100)))</f>
        <v>-1.5902028879546615</v>
      </c>
      <c r="AN623" s="410">
        <f>AN59+AN144+AN319+AN397+AN604</f>
        <v>537.1</v>
      </c>
      <c r="AO623" s="23">
        <f>IF(ISERROR((AN623/AF623-1)*100),"NA",IF(((AN623/AF623-1)*100)&gt;100,"NM",IF(((AN623/AF623-1)*100)&lt;-50,"NM",(AN623/AF623-1)*100)))</f>
        <v>-2.3099308839577892</v>
      </c>
      <c r="AP623" s="410">
        <f>AP59+AP144+AP319+AP397+AP604</f>
        <v>391.5</v>
      </c>
      <c r="AQ623" s="23">
        <f t="shared" si="4239"/>
        <v>-24.639076034648689</v>
      </c>
      <c r="AR623" s="410">
        <f>AR59+AR144+AR319+AR397+AR604</f>
        <v>399</v>
      </c>
      <c r="AS623" s="23">
        <f t="shared" si="4241"/>
        <v>-24.317147192716249</v>
      </c>
      <c r="AT623" s="410">
        <f>AT59+AT144+AT319+AT397+AT604</f>
        <v>411.79999999999995</v>
      </c>
      <c r="AU623" s="23">
        <f t="shared" si="4242"/>
        <v>-23.514115898959886</v>
      </c>
      <c r="AV623" s="410">
        <f>AV59+AV144+AV319+AV397+AV604</f>
        <v>399.90000000000003</v>
      </c>
      <c r="AW623" s="23">
        <f t="shared" si="4244"/>
        <v>-25.544591323775833</v>
      </c>
      <c r="AX623" s="410">
        <f>AX59+AX144+AX319+AX397+AX604</f>
        <v>394.40000000000003</v>
      </c>
      <c r="AY623" s="23">
        <f t="shared" si="4245"/>
        <v>0.74074074074075291</v>
      </c>
      <c r="AZ623" s="410">
        <f>AZ59+AZ144+AZ319+AZ397+AZ604</f>
        <v>397.70000000000005</v>
      </c>
      <c r="BA623" s="23">
        <f t="shared" si="4247"/>
        <v>-0.32581453634084045</v>
      </c>
      <c r="BB623" s="410">
        <f>BB59+BB144+BB319+BB397+BB604</f>
        <v>400.9</v>
      </c>
      <c r="BC623" s="23">
        <f t="shared" si="4249"/>
        <v>-2.6469159786303931</v>
      </c>
      <c r="BD623" s="410">
        <f>BD59+BD144+BD319+BD397+BD604</f>
        <v>400</v>
      </c>
      <c r="BE623" s="23">
        <f t="shared" si="4250"/>
        <v>2.5006251562875725E-2</v>
      </c>
      <c r="BF623" s="36">
        <f>BF59+BF144+BF319+BF397+BF604</f>
        <v>402.54734342443072</v>
      </c>
      <c r="BG623" s="23">
        <f t="shared" si="4252"/>
        <v>2.0657564463566702</v>
      </c>
      <c r="BH623" s="36">
        <f>BH59+BH144+BH319+BH397+BH604</f>
        <v>404.05767720491428</v>
      </c>
      <c r="BI623" s="23">
        <f t="shared" si="4254"/>
        <v>1.5986113162972604</v>
      </c>
      <c r="BJ623" s="36">
        <f>BJ59+BJ144+BJ319+BJ397+BJ604</f>
        <v>408.49847250751191</v>
      </c>
      <c r="BK623" s="23">
        <f t="shared" si="4256"/>
        <v>1.8953535813200029</v>
      </c>
      <c r="BL623" s="36">
        <f>BL59+BL144+BL319+BL397+BL604</f>
        <v>413.73630986227818</v>
      </c>
      <c r="BM623" s="23">
        <f t="shared" si="4258"/>
        <v>3.4340774655695405</v>
      </c>
      <c r="BN623" s="5"/>
      <c r="BO623" s="137"/>
      <c r="BP623" s="5"/>
      <c r="BQ623" s="5"/>
      <c r="BR623" s="10"/>
      <c r="BS623" s="10"/>
      <c r="BT623" s="10"/>
      <c r="BU623" s="36">
        <f>BU59+BU144+BU319+BU397+BU604</f>
        <v>2453.9230000000002</v>
      </c>
      <c r="BV623" s="23"/>
      <c r="BW623" s="36">
        <f>BW59+BW144+BW319+BW397+BW604</f>
        <v>2361.5790000000002</v>
      </c>
      <c r="BX623" s="23"/>
      <c r="BY623" s="56">
        <f>BY59+BY144+BY319+BY397+BY604</f>
        <v>2273.2000000000003</v>
      </c>
      <c r="BZ623" s="23"/>
      <c r="CA623" s="56">
        <f>CA59+CA144+CA319+CA397+CA604</f>
        <v>2203.5</v>
      </c>
      <c r="CB623" s="23"/>
      <c r="CC623" s="56">
        <f>CC59+CC144+CC319+CC397+CC604</f>
        <v>2122.2000000000003</v>
      </c>
      <c r="CD623" s="23"/>
      <c r="CE623" s="56">
        <f>CE59+CE144+CE319+CE397+CE604</f>
        <v>1602.1999999999998</v>
      </c>
      <c r="CF623" s="23"/>
      <c r="CG623" s="56">
        <f>CG59+CG144+CG319+CG397+CG604</f>
        <v>1593</v>
      </c>
      <c r="CH623" s="23"/>
      <c r="CI623" s="56">
        <f>CI59+CI144+CI319+CI397+CI604</f>
        <v>1628.8398029991351</v>
      </c>
      <c r="CJ623" s="23"/>
      <c r="CK623" s="36">
        <f>CK59+CK144+CK319+CK397+CK604</f>
        <v>1687.2841114640037</v>
      </c>
      <c r="CL623" s="23"/>
      <c r="CM623" s="36">
        <f>CM59+CM144+CM319+CM397+CM604</f>
        <v>1758.0876727771697</v>
      </c>
      <c r="CN623" s="23"/>
      <c r="CO623" s="36">
        <f>CO59+CO144+CO319+CO397+CO604</f>
        <v>1831.6341039379624</v>
      </c>
      <c r="CP623" s="23"/>
      <c r="CQ623" s="36">
        <f>CQ59+CQ144+CQ319+CQ397+CQ604</f>
        <v>1908.5428583352209</v>
      </c>
      <c r="CR623" s="23"/>
      <c r="CS623" s="23">
        <f>IF(ISERROR(((CQ623/CG623)^0.2-1)*100),"NA",IF((((CQ623/CG623)^0.2-1)*100)&gt;100,"NM",IF((((CQ623/CG623)^0.2-1)*100)&lt;-50,"NM",((CQ623/CG623)^0.2-1)*100)))</f>
        <v>3.6805346894803304</v>
      </c>
    </row>
    <row r="624" spans="1:105" ht="12.75" customHeight="1" x14ac:dyDescent="0.2">
      <c r="A624" s="3" t="s">
        <v>15</v>
      </c>
      <c r="B624" s="72">
        <f>B622+B623</f>
        <v>1506.6469552399999</v>
      </c>
      <c r="C624" s="59"/>
      <c r="D624" s="72">
        <f>D622+D623</f>
        <v>1626.8588668000002</v>
      </c>
      <c r="E624" s="59"/>
      <c r="F624" s="72">
        <f>F622+F623</f>
        <v>1531.2661910100001</v>
      </c>
      <c r="G624" s="59"/>
      <c r="H624" s="72">
        <f>H622+H623</f>
        <v>1373.0694374599998</v>
      </c>
      <c r="I624" s="59"/>
      <c r="J624" s="72">
        <f>J622+J623</f>
        <v>1540.0229999999999</v>
      </c>
      <c r="K624" s="23">
        <f t="shared" si="4234"/>
        <v>2.2152531914607199</v>
      </c>
      <c r="L624" s="72">
        <f>L622+L623</f>
        <v>1443.163</v>
      </c>
      <c r="M624" s="23">
        <f t="shared" si="4234"/>
        <v>-11.291444546835605</v>
      </c>
      <c r="N624" s="72">
        <f>N622+N623</f>
        <v>1527.0909999999999</v>
      </c>
      <c r="O624" s="23">
        <f t="shared" si="4234"/>
        <v>-0.27266265228819142</v>
      </c>
      <c r="P624" s="72">
        <f>P622+P623</f>
        <v>1519.2830000000001</v>
      </c>
      <c r="Q624" s="23">
        <f t="shared" si="4234"/>
        <v>10.64866484906084</v>
      </c>
      <c r="R624" s="72">
        <f>R622+R623</f>
        <v>1484.8000000000002</v>
      </c>
      <c r="S624" s="23">
        <f t="shared" si="4234"/>
        <v>-3.5858555359237987</v>
      </c>
      <c r="T624" s="72">
        <f>T622+T623</f>
        <v>1514.2000000000003</v>
      </c>
      <c r="U624" s="23">
        <f t="shared" si="4234"/>
        <v>4.9223130027585382</v>
      </c>
      <c r="V624" s="72">
        <f>V622+V623</f>
        <v>1590.8000000000002</v>
      </c>
      <c r="W624" s="23">
        <f t="shared" si="4234"/>
        <v>4.1719190277462292</v>
      </c>
      <c r="X624" s="72">
        <f>X622+X623</f>
        <v>1534.9</v>
      </c>
      <c r="Y624" s="23">
        <f t="shared" si="4234"/>
        <v>1.0279190907816371</v>
      </c>
      <c r="Z624" s="72">
        <f>Z622+Z623</f>
        <v>1484.2</v>
      </c>
      <c r="AA624" s="23">
        <f>IF(ISERROR((Z624/R624-1)*100),"NA",IF(((Z624/R624-1)*100)&gt;100,"NM",IF(((Z624/R624-1)*100)&lt;-50,"NM",(Z624/R624-1)*100)))</f>
        <v>-4.0409482758629878E-2</v>
      </c>
      <c r="AB624" s="72">
        <f>AB622+AB623</f>
        <v>1530.8</v>
      </c>
      <c r="AC624" s="23">
        <f>IF(ISERROR((AB624/T624-1)*100),"NA",IF(((AB624/T624-1)*100)&gt;100,"NM",IF(((AB624/T624-1)*100)&lt;-50,"NM",(AB624/T624-1)*100)))</f>
        <v>1.0962884691586128</v>
      </c>
      <c r="AD624" s="72">
        <f>AD622+AD623</f>
        <v>1530.1999999999998</v>
      </c>
      <c r="AE624" s="23">
        <f>IF(ISERROR((AD624/V624-1)*100),"NA",IF(((AD624/V624-1)*100)&gt;100,"NM",IF(((AD624/V624-1)*100)&lt;-50,"NM",(AD624/V624-1)*100)))</f>
        <v>-3.8094040734221957</v>
      </c>
      <c r="AF624" s="72">
        <f>AF622+AF623</f>
        <v>1598.4</v>
      </c>
      <c r="AG624" s="23">
        <f>IF(ISERROR((AF624/X624-1)*100),"NA",IF(((AF624/X624-1)*100)&gt;100,"NM",IF(((AF624/X624-1)*100)&lt;-50,"NM",(AF624/X624-1)*100)))</f>
        <v>4.1370773340282829</v>
      </c>
      <c r="AH624" s="72">
        <f>AH622+AH623</f>
        <v>1499.3999999999999</v>
      </c>
      <c r="AI624" s="23">
        <f>IF(ISERROR((AH624/Z624-1)*100),"NA",IF(((AH624/Z624-1)*100)&gt;100,"NM",IF(((AH624/Z624-1)*100)&lt;-50,"NM",(AH624/Z624-1)*100)))</f>
        <v>1.0241207384449336</v>
      </c>
      <c r="AJ624" s="72">
        <f>AJ622+AJ623</f>
        <v>1487.6</v>
      </c>
      <c r="AK624" s="23">
        <f>IF(ISERROR((AJ624/AB624-1)*100),"NA",IF(((AJ624/AB624-1)*100)&gt;100,"NM",IF(((AJ624/AB624-1)*100)&lt;-50,"NM",(AJ624/AB624-1)*100)))</f>
        <v>-2.8220538280637641</v>
      </c>
      <c r="AL624" s="72">
        <f>AL622+AL623</f>
        <v>1482.3000000000002</v>
      </c>
      <c r="AM624" s="23">
        <f>IF(ISERROR((AL624/AD624-1)*100),"NA",IF(((AL624/AD624-1)*100)&gt;100,"NM",IF(((AL624/AD624-1)*100)&lt;-50,"NM",(AL624/AD624-1)*100)))</f>
        <v>-3.1303097634295951</v>
      </c>
      <c r="AN624" s="72">
        <f t="shared" ref="AN624:AP624" si="4264">AN622+AN623</f>
        <v>1519.8000000000002</v>
      </c>
      <c r="AO624" s="23">
        <f>IF(ISERROR((AN624/AF624-1)*100),"NA",IF(((AN624/AF624-1)*100)&gt;100,"NM",IF(((AN624/AF624-1)*100)&lt;-50,"NM",(AN624/AF624-1)*100)))</f>
        <v>-4.917417417417413</v>
      </c>
      <c r="AP624" s="72">
        <f t="shared" si="4264"/>
        <v>1147.2</v>
      </c>
      <c r="AQ624" s="23">
        <f t="shared" si="4239"/>
        <v>-23.48939575830331</v>
      </c>
      <c r="AR624" s="72">
        <f t="shared" ref="AR624:AT624" si="4265">AR622+AR623</f>
        <v>1188.0999999999999</v>
      </c>
      <c r="AS624" s="23">
        <f t="shared" si="4241"/>
        <v>-20.133100295778441</v>
      </c>
      <c r="AT624" s="72">
        <f t="shared" si="4265"/>
        <v>1201.3</v>
      </c>
      <c r="AU624" s="23">
        <f t="shared" si="4242"/>
        <v>-18.957026243000751</v>
      </c>
      <c r="AV624" s="72">
        <f t="shared" ref="AV624:AX624" si="4266">AV622+AV623</f>
        <v>1232.2</v>
      </c>
      <c r="AW624" s="23">
        <f t="shared" si="4244"/>
        <v>-18.923542571390982</v>
      </c>
      <c r="AX624" s="72">
        <f t="shared" si="4266"/>
        <v>1205.9000000000001</v>
      </c>
      <c r="AY624" s="23">
        <f t="shared" si="4245"/>
        <v>5.1168061366806183</v>
      </c>
      <c r="AZ624" s="72">
        <f t="shared" ref="AZ624" si="4267">AZ622+AZ623</f>
        <v>1262</v>
      </c>
      <c r="BA624" s="23">
        <f t="shared" si="4247"/>
        <v>6.2200151502398882</v>
      </c>
      <c r="BB624" s="72">
        <f t="shared" ref="BB624:BD624" si="4268">BB622+BB623</f>
        <v>1268.3</v>
      </c>
      <c r="BC624" s="23">
        <f t="shared" si="4249"/>
        <v>5.5772912677932274</v>
      </c>
      <c r="BD624" s="72">
        <f t="shared" si="4268"/>
        <v>1273.4000000000001</v>
      </c>
      <c r="BE624" s="23">
        <f t="shared" si="4250"/>
        <v>3.3436130498295746</v>
      </c>
      <c r="BF624" s="72">
        <f t="shared" ref="BF624" si="4269">BF622+BF623</f>
        <v>1260.0030632589014</v>
      </c>
      <c r="BG624" s="23">
        <f t="shared" si="4252"/>
        <v>4.4865298332284143</v>
      </c>
      <c r="BH624" s="72">
        <f t="shared" ref="BH624" si="4270">BH622+BH623</f>
        <v>1274.7002659055497</v>
      </c>
      <c r="BI624" s="23">
        <f t="shared" si="4254"/>
        <v>1.0063602143858708</v>
      </c>
      <c r="BJ624" s="72">
        <f t="shared" ref="BJ624" si="4271">BJ622+BJ623</f>
        <v>1266.3830689386011</v>
      </c>
      <c r="BK624" s="23">
        <f t="shared" si="4256"/>
        <v>-0.15114176940778101</v>
      </c>
      <c r="BL624" s="72">
        <f t="shared" ref="BL624" si="4272">BL622+BL623</f>
        <v>1276.8197728876978</v>
      </c>
      <c r="BM624" s="23">
        <f t="shared" si="4258"/>
        <v>0.26855449094531636</v>
      </c>
      <c r="BN624" s="5"/>
      <c r="BO624" s="137"/>
      <c r="BP624" s="5"/>
      <c r="BQ624" s="7"/>
      <c r="BR624" s="8"/>
      <c r="BS624" s="8"/>
      <c r="BT624" s="8"/>
      <c r="BU624" s="72">
        <f>BU622+BU623</f>
        <v>6037.84145051</v>
      </c>
      <c r="BV624" s="23"/>
      <c r="BW624" s="72">
        <f>BW622+BW623</f>
        <v>6029.5600000000013</v>
      </c>
      <c r="BX624" s="23"/>
      <c r="BY624" s="72">
        <f>BY622+BY623</f>
        <v>6124.7000000000007</v>
      </c>
      <c r="BZ624" s="23"/>
      <c r="CA624" s="72">
        <f>CA622+CA623</f>
        <v>6143.6</v>
      </c>
      <c r="CB624" s="23"/>
      <c r="CC624" s="72">
        <f>CC622+CC623</f>
        <v>5989.1</v>
      </c>
      <c r="CD624" s="23"/>
      <c r="CE624" s="72">
        <f>CE622+CE623</f>
        <v>4768.8</v>
      </c>
      <c r="CF624" s="23"/>
      <c r="CG624" s="72">
        <f>CG622+CG623</f>
        <v>5009.6000000000004</v>
      </c>
      <c r="CH624" s="23"/>
      <c r="CI624" s="72">
        <f>CI622+CI623</f>
        <v>5077.9061709907501</v>
      </c>
      <c r="CJ624" s="23"/>
      <c r="CK624" s="72">
        <f>CK622+CK623</f>
        <v>5243.1396258246568</v>
      </c>
      <c r="CL624" s="23"/>
      <c r="CM624" s="72">
        <f>CM622+CM623</f>
        <v>5447.9892305331796</v>
      </c>
      <c r="CN624" s="23"/>
      <c r="CO624" s="72">
        <f>CO622+CO623</f>
        <v>5651.9837562984394</v>
      </c>
      <c r="CP624" s="23"/>
      <c r="CQ624" s="72">
        <f>CQ622+CQ623</f>
        <v>5865.1646486572718</v>
      </c>
      <c r="CR624" s="23"/>
      <c r="CS624" s="23">
        <f>IF(ISERROR(((CQ624/CG624)^0.2-1)*100),"NA",IF((((CQ624/CG624)^0.2-1)*100)&gt;100,"NM",IF((((CQ624/CG624)^0.2-1)*100)&lt;-50,"NM",((CQ624/CG624)^0.2-1)*100)))</f>
        <v>3.2037389606313305</v>
      </c>
    </row>
    <row r="625" spans="1:99" ht="12.75" customHeight="1" x14ac:dyDescent="0.2">
      <c r="B625" s="36"/>
      <c r="D625" s="36"/>
      <c r="F625" s="36"/>
      <c r="H625" s="36"/>
      <c r="J625" s="36"/>
      <c r="K625" s="181"/>
      <c r="L625" s="36"/>
      <c r="M625" s="181"/>
      <c r="N625" s="36"/>
      <c r="O625" s="181"/>
      <c r="P625" s="36"/>
      <c r="Q625" s="181"/>
      <c r="R625" s="36"/>
      <c r="S625" s="181"/>
      <c r="T625" s="36"/>
      <c r="U625" s="181"/>
      <c r="V625" s="36"/>
      <c r="W625" s="181"/>
      <c r="X625" s="36"/>
      <c r="Y625" s="181"/>
      <c r="Z625" s="36"/>
      <c r="AA625" s="181"/>
      <c r="AB625" s="36"/>
      <c r="AC625" s="181"/>
      <c r="AD625" s="36"/>
      <c r="AE625" s="181"/>
      <c r="AF625" s="36"/>
      <c r="AG625" s="181"/>
      <c r="AH625" s="36"/>
      <c r="AI625" s="181"/>
      <c r="AJ625" s="36"/>
      <c r="AK625" s="181"/>
      <c r="AL625" s="36"/>
      <c r="AM625" s="181"/>
      <c r="AN625" s="410"/>
      <c r="AO625" s="181"/>
      <c r="AP625" s="410"/>
      <c r="AQ625" s="181"/>
      <c r="AR625" s="410"/>
      <c r="AS625" s="181"/>
      <c r="AT625" s="410"/>
      <c r="AU625" s="181"/>
      <c r="AV625" s="410"/>
      <c r="AW625" s="181"/>
      <c r="AX625" s="410"/>
      <c r="AY625" s="181"/>
      <c r="AZ625" s="410"/>
      <c r="BA625" s="181"/>
      <c r="BB625" s="410"/>
      <c r="BC625" s="181"/>
      <c r="BD625" s="410"/>
      <c r="BE625" s="181"/>
      <c r="BF625" s="36"/>
      <c r="BG625" s="181"/>
      <c r="BH625" s="36"/>
      <c r="BI625" s="181"/>
      <c r="BJ625" s="36"/>
      <c r="BK625" s="181"/>
      <c r="BL625" s="36"/>
      <c r="BM625" s="181"/>
      <c r="BN625" s="5"/>
      <c r="BO625" s="137"/>
      <c r="BP625" s="5"/>
      <c r="BQ625" s="5"/>
      <c r="BR625" s="10"/>
      <c r="BS625" s="10"/>
      <c r="BT625" s="10"/>
      <c r="BU625" s="36"/>
      <c r="BV625" s="181"/>
      <c r="BW625" s="36"/>
      <c r="BX625" s="181"/>
      <c r="BY625" s="36"/>
      <c r="BZ625" s="181"/>
      <c r="CA625" s="36"/>
      <c r="CB625" s="181"/>
      <c r="CC625" s="36"/>
      <c r="CD625" s="181"/>
      <c r="CE625" s="36"/>
      <c r="CF625" s="181"/>
      <c r="CG625" s="36"/>
      <c r="CH625" s="181"/>
      <c r="CI625" s="36"/>
      <c r="CJ625" s="181"/>
      <c r="CK625" s="36"/>
      <c r="CL625" s="181"/>
      <c r="CM625" s="36"/>
      <c r="CN625" s="181"/>
      <c r="CO625" s="36"/>
      <c r="CP625" s="181"/>
      <c r="CQ625" s="36"/>
      <c r="CR625" s="181"/>
      <c r="CS625" s="181"/>
    </row>
    <row r="626" spans="1:99" ht="12.75" customHeight="1" x14ac:dyDescent="0.2">
      <c r="A626" s="11" t="s">
        <v>19</v>
      </c>
      <c r="B626" s="36"/>
      <c r="D626" s="36"/>
      <c r="F626" s="36"/>
      <c r="H626" s="36"/>
      <c r="J626" s="36"/>
      <c r="K626" s="181"/>
      <c r="L626" s="36"/>
      <c r="M626" s="181"/>
      <c r="N626" s="36"/>
      <c r="O626" s="181"/>
      <c r="P626" s="36"/>
      <c r="Q626" s="181"/>
      <c r="R626" s="36"/>
      <c r="S626" s="181"/>
      <c r="T626" s="36"/>
      <c r="U626" s="181"/>
      <c r="V626" s="36"/>
      <c r="W626" s="181"/>
      <c r="X626" s="36"/>
      <c r="Y626" s="181"/>
      <c r="Z626" s="36"/>
      <c r="AA626" s="181"/>
      <c r="AB626" s="36"/>
      <c r="AC626" s="181"/>
      <c r="AD626" s="36"/>
      <c r="AE626" s="181"/>
      <c r="AF626" s="36"/>
      <c r="AG626" s="181"/>
      <c r="AH626" s="36"/>
      <c r="AI626" s="181"/>
      <c r="AJ626" s="36"/>
      <c r="AK626" s="181"/>
      <c r="AL626" s="36"/>
      <c r="AM626" s="181"/>
      <c r="AN626" s="410"/>
      <c r="AO626" s="181"/>
      <c r="AP626" s="410"/>
      <c r="AQ626" s="181"/>
      <c r="AR626" s="410"/>
      <c r="AS626" s="181"/>
      <c r="AT626" s="410"/>
      <c r="AU626" s="181"/>
      <c r="AV626" s="410"/>
      <c r="AW626" s="181"/>
      <c r="AX626" s="410"/>
      <c r="AY626" s="181"/>
      <c r="AZ626" s="410"/>
      <c r="BA626" s="181"/>
      <c r="BB626" s="410"/>
      <c r="BC626" s="181"/>
      <c r="BD626" s="410"/>
      <c r="BE626" s="181"/>
      <c r="BF626" s="36"/>
      <c r="BG626" s="181"/>
      <c r="BH626" s="36"/>
      <c r="BI626" s="181"/>
      <c r="BJ626" s="36"/>
      <c r="BK626" s="181"/>
      <c r="BL626" s="36"/>
      <c r="BM626" s="181"/>
      <c r="BN626" s="5"/>
      <c r="BO626" s="137"/>
      <c r="BP626" s="5"/>
      <c r="BQ626" s="5"/>
      <c r="BR626" s="10"/>
      <c r="BS626" s="10"/>
      <c r="BT626" s="10"/>
      <c r="BU626" s="36"/>
      <c r="BV626" s="181"/>
      <c r="BW626" s="36"/>
      <c r="BX626" s="181"/>
      <c r="BY626" s="36"/>
      <c r="BZ626" s="181"/>
      <c r="CA626" s="36"/>
      <c r="CB626" s="181"/>
      <c r="CC626" s="36"/>
      <c r="CD626" s="181"/>
      <c r="CE626" s="36"/>
      <c r="CF626" s="181"/>
      <c r="CG626" s="36"/>
      <c r="CH626" s="181"/>
      <c r="CI626" s="36"/>
      <c r="CJ626" s="181"/>
      <c r="CK626" s="36"/>
      <c r="CL626" s="181"/>
      <c r="CM626" s="36"/>
      <c r="CN626" s="181"/>
      <c r="CO626" s="36"/>
      <c r="CP626" s="181"/>
      <c r="CQ626" s="36"/>
      <c r="CR626" s="181"/>
      <c r="CS626" s="181"/>
    </row>
    <row r="627" spans="1:99" ht="12.75" customHeight="1" x14ac:dyDescent="0.2">
      <c r="A627" s="4" t="s">
        <v>102</v>
      </c>
      <c r="B627" s="36">
        <f>B72+B157+B266+B331+B406+B604</f>
        <v>608.00099999999998</v>
      </c>
      <c r="C627" s="59"/>
      <c r="D627" s="36">
        <f>D72+D157+D266+D331+D406+D604</f>
        <v>611.03500000000008</v>
      </c>
      <c r="E627" s="59"/>
      <c r="F627" s="36">
        <f>F72+F157+F266+F331+F406+F604</f>
        <v>616.81000000000006</v>
      </c>
      <c r="G627" s="59"/>
      <c r="H627" s="36">
        <f>H623</f>
        <v>618.07699999999988</v>
      </c>
      <c r="I627" s="59"/>
      <c r="J627" s="36">
        <f>J623</f>
        <v>614.35399999999993</v>
      </c>
      <c r="K627" s="23">
        <f>IF(ISERROR((J627/B627-1)*100),"NA",IF(((J627/B627-1)*100)&gt;100,"NM",IF(((J627/B627-1)*100)&lt;-50,"NM",(J627/B627-1)*100)))</f>
        <v>1.044899597204596</v>
      </c>
      <c r="L627" s="36">
        <f>L623</f>
        <v>591.92100000000005</v>
      </c>
      <c r="M627" s="23">
        <f>IF(ISERROR((L627/D627-1)*100),"NA",IF(((L627/D627-1)*100)&gt;100,"NM",IF(((L627/D627-1)*100)&lt;-50,"NM",(L627/D627-1)*100)))</f>
        <v>-3.1281350495470872</v>
      </c>
      <c r="N627" s="36">
        <f>N623</f>
        <v>578.90399999999988</v>
      </c>
      <c r="O627" s="23">
        <f>IF(ISERROR((N627/F627-1)*100),"NA",IF(((N627/F627-1)*100)&gt;100,"NM",IF(((N627/F627-1)*100)&lt;-50,"NM",(N627/F627-1)*100)))</f>
        <v>-6.1454905076117727</v>
      </c>
      <c r="P627" s="36">
        <f>P623</f>
        <v>576.4</v>
      </c>
      <c r="Q627" s="23">
        <f>IF(ISERROR((P627/H627-1)*100),"NA",IF(((P627/H627-1)*100)&gt;100,"NM",IF(((P627/H627-1)*100)&lt;-50,"NM",(P627/H627-1)*100)))</f>
        <v>-6.7430109840683095</v>
      </c>
      <c r="R627" s="36">
        <f>R623</f>
        <v>572.5</v>
      </c>
      <c r="S627" s="23">
        <f>IF(ISERROR((R627/J627-1)*100),"NA",IF(((R627/J627-1)*100)&gt;100,"NM",IF(((R627/J627-1)*100)&lt;-50,"NM",(R627/J627-1)*100)))</f>
        <v>-6.8126845434391186</v>
      </c>
      <c r="T627" s="36">
        <f>T623</f>
        <v>556.70000000000005</v>
      </c>
      <c r="U627" s="23">
        <f>IF(ISERROR((T627/L627-1)*100),"NA",IF(((T627/L627-1)*100)&gt;100,"NM",IF(((T627/L627-1)*100)&lt;-50,"NM",(T627/L627-1)*100)))</f>
        <v>-5.950287284958633</v>
      </c>
      <c r="V627" s="36">
        <f>V623</f>
        <v>565</v>
      </c>
      <c r="W627" s="23">
        <f>IF(ISERROR((V627/N627-1)*100),"NA",IF(((V627/N627-1)*100)&gt;100,"NM",IF(((V627/N627-1)*100)&lt;-50,"NM",(V627/N627-1)*100)))</f>
        <v>-2.401779915149993</v>
      </c>
      <c r="X627" s="36">
        <f>X623</f>
        <v>579.00000000000011</v>
      </c>
      <c r="Y627" s="23">
        <f>IF(ISERROR((X627/P627-1)*100),"NA",IF(((X627/P627-1)*100)&gt;100,"NM",IF(((X627/P627-1)*100)&lt;-50,"NM",(X627/P627-1)*100)))</f>
        <v>0.45107564191535499</v>
      </c>
      <c r="Z627" s="36">
        <f>Z623</f>
        <v>557.4</v>
      </c>
      <c r="AA627" s="23">
        <f>IF(ISERROR((Z627/R627-1)*100),"NA",IF(((Z627/R627-1)*100)&gt;100,"NM",IF(((Z627/R627-1)*100)&lt;-50,"NM",(Z627/R627-1)*100)))</f>
        <v>-2.6375545851528459</v>
      </c>
      <c r="AB627" s="36">
        <f>AB623</f>
        <v>549.19999999999993</v>
      </c>
      <c r="AC627" s="23">
        <f>IF(ISERROR((AB627/T627-1)*100),"NA",IF(((AB627/T627-1)*100)&gt;100,"NM",IF(((AB627/T627-1)*100)&lt;-50,"NM",(AB627/T627-1)*100)))</f>
        <v>-1.3472247170828289</v>
      </c>
      <c r="AD627" s="36">
        <f>AD623</f>
        <v>547.09999999999991</v>
      </c>
      <c r="AE627" s="23">
        <f>IF(ISERROR((AD627/V627-1)*100),"NA",IF(((AD627/V627-1)*100)&gt;100,"NM",IF(((AD627/V627-1)*100)&lt;-50,"NM",(AD627/V627-1)*100)))</f>
        <v>-3.1681415929203705</v>
      </c>
      <c r="AF627" s="36">
        <f>AF623</f>
        <v>549.79999999999995</v>
      </c>
      <c r="AG627" s="23">
        <f>IF(ISERROR((AF627/X627-1)*100),"NA",IF(((AF627/X627-1)*100)&gt;100,"NM",IF(((AF627/X627-1)*100)&lt;-50,"NM",(AF627/X627-1)*100)))</f>
        <v>-5.0431778929188482</v>
      </c>
      <c r="AH627" s="36">
        <f>AH623</f>
        <v>519.49999999999989</v>
      </c>
      <c r="AI627" s="23">
        <f>IF(ISERROR((AH627/Z627-1)*100),"NA",IF(((AH627/Z627-1)*100)&gt;100,"NM",IF(((AH627/Z627-1)*100)&lt;-50,"NM",(AH627/Z627-1)*100)))</f>
        <v>-6.799425905992118</v>
      </c>
      <c r="AJ627" s="36">
        <f>AJ623</f>
        <v>527.20000000000005</v>
      </c>
      <c r="AK627" s="23">
        <f>IF(ISERROR((AJ627/AB627-1)*100),"NA",IF(((AJ627/AB627-1)*100)&gt;100,"NM",IF(((AJ627/AB627-1)*100)&lt;-50,"NM",(AJ627/AB627-1)*100)))</f>
        <v>-4.0058266569555467</v>
      </c>
      <c r="AL627" s="36">
        <f>AL623</f>
        <v>538.4</v>
      </c>
      <c r="AM627" s="23">
        <f>IF(ISERROR((AL627/AD627-1)*100),"NA",IF(((AL627/AD627-1)*100)&gt;100,"NM",IF(((AL627/AD627-1)*100)&lt;-50,"NM",(AL627/AD627-1)*100)))</f>
        <v>-1.5902028879546615</v>
      </c>
      <c r="AN627" s="410">
        <f t="shared" ref="AN627:AP627" si="4273">AN623</f>
        <v>537.1</v>
      </c>
      <c r="AO627" s="23">
        <f>IF(ISERROR((AN627/AF627-1)*100),"NA",IF(((AN627/AF627-1)*100)&gt;100,"NM",IF(((AN627/AF627-1)*100)&lt;-50,"NM",(AN627/AF627-1)*100)))</f>
        <v>-2.3099308839577892</v>
      </c>
      <c r="AP627" s="410">
        <f t="shared" si="4273"/>
        <v>391.5</v>
      </c>
      <c r="AQ627" s="23">
        <f t="shared" ref="AQ627:AQ631" si="4274">IF(ISERROR((AP627/AH627-1)*100),"NA",IF(((AP627/AH627-1)*100)&gt;100,"NM",IF(((AP627/AH627-1)*100)&lt;-50,"NM",(AP627/AH627-1)*100)))</f>
        <v>-24.639076034648689</v>
      </c>
      <c r="AR627" s="410">
        <f t="shared" ref="AR627:AT627" si="4275">AR623</f>
        <v>399</v>
      </c>
      <c r="AS627" s="23">
        <f t="shared" ref="AS627:AS631" si="4276">IF(ISERROR((AR627/AJ627-1)*100),"NA",IF(((AR627/AJ627-1)*100)&gt;100,"NM",IF(((AR627/AJ627-1)*100)&lt;-50,"NM",(AR627/AJ627-1)*100)))</f>
        <v>-24.317147192716249</v>
      </c>
      <c r="AT627" s="410">
        <f t="shared" si="4275"/>
        <v>411.79999999999995</v>
      </c>
      <c r="AU627" s="23">
        <f t="shared" ref="AU627:AU631" si="4277">IF(ISERROR((AT627/AL627-1)*100),"NA",IF(((AT627/AL627-1)*100)&gt;100,"NM",IF(((AT627/AL627-1)*100)&lt;-50,"NM",(AT627/AL627-1)*100)))</f>
        <v>-23.514115898959886</v>
      </c>
      <c r="AV627" s="410">
        <f t="shared" ref="AV627:AX627" si="4278">AV623</f>
        <v>399.90000000000003</v>
      </c>
      <c r="AW627" s="23">
        <f t="shared" ref="AW627:AW631" si="4279">IF(ISERROR((AV627/AN627-1)*100),"NA",IF(((AV627/AN627-1)*100)&gt;100,"NM",IF(((AV627/AN627-1)*100)&lt;-50,"NM",(AV627/AN627-1)*100)))</f>
        <v>-25.544591323775833</v>
      </c>
      <c r="AX627" s="410">
        <f t="shared" si="4278"/>
        <v>394.40000000000003</v>
      </c>
      <c r="AY627" s="23">
        <f t="shared" ref="AY627:AY631" si="4280">IF(ISERROR((AX627/AP627-1)*100),"NA",IF(((AX627/AP627-1)*100)&gt;100,"NM",IF(((AX627/AP627-1)*100)&lt;-50,"NM",(AX627/AP627-1)*100)))</f>
        <v>0.74074074074075291</v>
      </c>
      <c r="AZ627" s="410">
        <f t="shared" ref="AZ627" si="4281">AZ623</f>
        <v>397.70000000000005</v>
      </c>
      <c r="BA627" s="23">
        <f t="shared" ref="BA627:BA631" si="4282">IF(ISERROR((AZ627/AR627-1)*100),"NA",IF(((AZ627/AR627-1)*100)&gt;100,"NM",IF(((AZ627/AR627-1)*100)&lt;-50,"NM",(AZ627/AR627-1)*100)))</f>
        <v>-0.32581453634084045</v>
      </c>
      <c r="BB627" s="410">
        <f t="shared" ref="BB627:BD627" si="4283">BB623</f>
        <v>400.9</v>
      </c>
      <c r="BC627" s="23">
        <f t="shared" ref="BC627:BC631" si="4284">IF(ISERROR((BB627/AT627-1)*100),"NA",IF(((BB627/AT627-1)*100)&gt;100,"NM",IF(((BB627/AT627-1)*100)&lt;-50,"NM",(BB627/AT627-1)*100)))</f>
        <v>-2.6469159786303931</v>
      </c>
      <c r="BD627" s="410">
        <f t="shared" si="4283"/>
        <v>400</v>
      </c>
      <c r="BE627" s="23">
        <f t="shared" ref="BE627:BE631" si="4285">IF(ISERROR((BD627/AV627-1)*100),"NA",IF(((BD627/AV627-1)*100)&gt;100,"NM",IF(((BD627/AV627-1)*100)&lt;-50,"NM",(BD627/AV627-1)*100)))</f>
        <v>2.5006251562875725E-2</v>
      </c>
      <c r="BF627" s="36">
        <f t="shared" ref="BF627" si="4286">BF623</f>
        <v>402.54734342443072</v>
      </c>
      <c r="BG627" s="23">
        <f t="shared" ref="BG627:BG631" si="4287">IF(ISERROR((BF627/AX627-1)*100),"NA",IF(((BF627/AX627-1)*100)&gt;100,"NM",IF(((BF627/AX627-1)*100)&lt;-50,"NM",(BF627/AX627-1)*100)))</f>
        <v>2.0657564463566702</v>
      </c>
      <c r="BH627" s="36">
        <f t="shared" ref="BH627" si="4288">BH623</f>
        <v>404.05767720491428</v>
      </c>
      <c r="BI627" s="23">
        <f t="shared" ref="BI627:BI631" si="4289">IF(ISERROR((BH627/AZ627-1)*100),"NA",IF(((BH627/AZ627-1)*100)&gt;100,"NM",IF(((BH627/AZ627-1)*100)&lt;-50,"NM",(BH627/AZ627-1)*100)))</f>
        <v>1.5986113162972604</v>
      </c>
      <c r="BJ627" s="36">
        <f t="shared" ref="BJ627" si="4290">BJ623</f>
        <v>408.49847250751191</v>
      </c>
      <c r="BK627" s="23">
        <f t="shared" ref="BK627:BK631" si="4291">IF(ISERROR((BJ627/BB627-1)*100),"NA",IF(((BJ627/BB627-1)*100)&gt;100,"NM",IF(((BJ627/BB627-1)*100)&lt;-50,"NM",(BJ627/BB627-1)*100)))</f>
        <v>1.8953535813200029</v>
      </c>
      <c r="BL627" s="36">
        <f t="shared" ref="BL627" si="4292">BL623</f>
        <v>413.73630986227818</v>
      </c>
      <c r="BM627" s="23">
        <f t="shared" ref="BM627:BM631" si="4293">IF(ISERROR((BL627/BD627-1)*100),"NA",IF(((BL627/BD627-1)*100)&gt;100,"NM",IF(((BL627/BD627-1)*100)&lt;-50,"NM",(BL627/BD627-1)*100)))</f>
        <v>3.4340774655695405</v>
      </c>
      <c r="BN627" s="5"/>
      <c r="BO627" s="137"/>
      <c r="BP627" s="5"/>
      <c r="BQ627" s="5"/>
      <c r="BR627" s="10"/>
      <c r="BS627" s="10"/>
      <c r="BT627" s="10"/>
      <c r="BU627" s="36">
        <f>BU623</f>
        <v>2453.9230000000002</v>
      </c>
      <c r="BV627" s="23" t="str">
        <f>IF(ISERROR((BU627/BS627-1)*100),"NA",IF(((BU627/BS627-1)*100)&gt;100,"NM",IF(((BU627/BS627-1)*100)&lt;-50,"NM",(BU627/BS627-1)*100)))</f>
        <v>NA</v>
      </c>
      <c r="BW627" s="36">
        <f>BW623</f>
        <v>2361.5790000000002</v>
      </c>
      <c r="BX627" s="23">
        <f>IF(ISERROR((BW627/BU627-1)*100),"NA",IF(((BW627/BU627-1)*100)&gt;100,"NM",IF(((BW627/BU627-1)*100)&lt;-50,"NM",(BW627/BU627-1)*100)))</f>
        <v>-3.7631172616255704</v>
      </c>
      <c r="BY627" s="56">
        <f>BY623</f>
        <v>2273.2000000000003</v>
      </c>
      <c r="BZ627" s="23">
        <f>IF(ISERROR((BY627/BW627-1)*100),"NA",IF(((BY627/BW627-1)*100)&gt;100,"NM",IF(((BY627/BW627-1)*100)&lt;-50,"NM",(BY627/BW627-1)*100)))</f>
        <v>-3.7423689827865148</v>
      </c>
      <c r="CA627" s="56">
        <f>CA623</f>
        <v>2203.5</v>
      </c>
      <c r="CB627" s="23">
        <f>IF(ISERROR((CA627/BY627-1)*100),"NA",IF(((CA627/BY627-1)*100)&gt;100,"NM",IF(((CA627/BY627-1)*100)&lt;-50,"NM",(CA627/BY627-1)*100)))</f>
        <v>-3.0661622382544551</v>
      </c>
      <c r="CC627" s="56">
        <f>CC623</f>
        <v>2122.2000000000003</v>
      </c>
      <c r="CD627" s="23">
        <f>IF(ISERROR((CC627/CA627-1)*100),"NA",IF(((CC627/CA627-1)*100)&gt;100,"NM",IF(((CC627/CA627-1)*100)&lt;-50,"NM",(CC627/CA627-1)*100)))</f>
        <v>-3.6895847515316382</v>
      </c>
      <c r="CE627" s="56">
        <f>CE623</f>
        <v>1602.1999999999998</v>
      </c>
      <c r="CF627" s="23">
        <f>IF(ISERROR((CE627/CC627-1)*100),"NA",IF(((CE627/CC627-1)*100)&gt;100,"NM",IF(((CE627/CC627-1)*100)&lt;-50,"NM",(CE627/CC627-1)*100)))</f>
        <v>-24.502874375647931</v>
      </c>
      <c r="CG627" s="56">
        <f>CG623</f>
        <v>1593</v>
      </c>
      <c r="CH627" s="23">
        <f>IF(ISERROR((CG627/CE627-1)*100),"NA",IF(((CG627/CE627-1)*100)&gt;100,"NM",IF(((CG627/CE627-1)*100)&lt;-50,"NM",(CG627/CE627-1)*100)))</f>
        <v>-0.57421046061664205</v>
      </c>
      <c r="CI627" s="56">
        <f>CI623</f>
        <v>1628.8398029991351</v>
      </c>
      <c r="CJ627" s="23">
        <f>IF(ISERROR((CI627/CG627-1)*100),"NA",IF(((CI627/CG627-1)*100)&gt;100,"NM",IF(((CI627/CG627-1)*100)&lt;-50,"NM",(CI627/CG627-1)*100)))</f>
        <v>2.2498306967442039</v>
      </c>
      <c r="CK627" s="36">
        <f>CK623</f>
        <v>1687.2841114640037</v>
      </c>
      <c r="CL627" s="23">
        <f>IF(ISERROR((CK627/CI627-1)*100),"NA",IF(((CK627/CI627-1)*100)&gt;100,"NM",IF(((CK627/CI627-1)*100)&lt;-50,"NM",(CK627/CI627-1)*100)))</f>
        <v>3.588094320709545</v>
      </c>
      <c r="CM627" s="36">
        <f>CM623</f>
        <v>1758.0876727771697</v>
      </c>
      <c r="CN627" s="23">
        <f>IF(ISERROR((CM627/CK627-1)*100),"NA",IF(((CM627/CK627-1)*100)&gt;100,"NM",IF(((CM627/CK627-1)*100)&lt;-50,"NM",(CM627/CK627-1)*100)))</f>
        <v>4.1963034459995052</v>
      </c>
      <c r="CO627" s="36">
        <f>CO623</f>
        <v>1831.6341039379624</v>
      </c>
      <c r="CP627" s="23">
        <f>IF(ISERROR((CO627/CM627-1)*100),"NA",IF(((CO627/CM627-1)*100)&gt;100,"NM",IF(((CO627/CM627-1)*100)&lt;-50,"NM",(CO627/CM627-1)*100)))</f>
        <v>4.1833198821430218</v>
      </c>
      <c r="CQ627" s="36">
        <f>CQ623</f>
        <v>1908.5428583352209</v>
      </c>
      <c r="CR627" s="23">
        <f>IF(ISERROR((CQ627/CO627-1)*100),"NA",IF(((CQ627/CO627-1)*100)&gt;100,"NM",IF(((CQ627/CO627-1)*100)&lt;-50,"NM",(CQ627/CO627-1)*100)))</f>
        <v>4.1989147413179717</v>
      </c>
      <c r="CS627" s="23">
        <f>IF(ISERROR(((CQ627/CG627)^0.2-1)*100),"NA",IF((((CQ627/CG627)^0.2-1)*100)&gt;100,"NM",IF((((CQ627/CG627)^0.2-1)*100)&lt;-50,"NM",((CQ627/CG627)^0.2-1)*100)))</f>
        <v>3.6805346894803304</v>
      </c>
    </row>
    <row r="628" spans="1:99" ht="12.75" customHeight="1" x14ac:dyDescent="0.2">
      <c r="A628" s="4" t="s">
        <v>161</v>
      </c>
      <c r="B628" s="36">
        <f>B73+B158+B267+B332+B407+B605</f>
        <v>436.41499999999996</v>
      </c>
      <c r="C628" s="59"/>
      <c r="D628" s="36">
        <f>D73+D158+D267+D332+D407+D605</f>
        <v>446.12799999999999</v>
      </c>
      <c r="E628" s="59"/>
      <c r="F628" s="36">
        <f>F73+F158+F267+F332+F407+F605</f>
        <v>421.41100000000006</v>
      </c>
      <c r="G628" s="59"/>
      <c r="H628" s="36">
        <f>H73+H158+H267+H332+H407+H605</f>
        <v>435.779</v>
      </c>
      <c r="I628" s="59"/>
      <c r="J628" s="36">
        <f>J73+J158+J267+J332+J407+J605</f>
        <v>426.50600000000003</v>
      </c>
      <c r="K628" s="23">
        <f t="shared" ref="K628:Y631" si="4294">IF(ISERROR((J628/B628-1)*100),"NA",IF(((J628/B628-1)*100)&gt;100,"NM",IF(((J628/B628-1)*100)&lt;-50,"NM",(J628/B628-1)*100)))</f>
        <v>-2.2705452379042756</v>
      </c>
      <c r="L628" s="36">
        <f>L73+L158+L267+L332+L407+L605</f>
        <v>397.25400000000002</v>
      </c>
      <c r="M628" s="23">
        <f t="shared" si="4294"/>
        <v>-10.955151884660896</v>
      </c>
      <c r="N628" s="36">
        <f>N73+N158+N267+N332+N407+N605</f>
        <v>415.59199999999998</v>
      </c>
      <c r="O628" s="23">
        <f t="shared" si="4294"/>
        <v>-1.3808372349084608</v>
      </c>
      <c r="P628" s="36">
        <f>P73+P158+P267+P332+P407+P605</f>
        <v>426.86400000000003</v>
      </c>
      <c r="Q628" s="23">
        <f t="shared" si="4294"/>
        <v>-2.0457617278482831</v>
      </c>
      <c r="R628" s="36">
        <f>R73+R158+R267+R332+R407+R605</f>
        <v>404</v>
      </c>
      <c r="S628" s="23">
        <f t="shared" si="4294"/>
        <v>-5.2768308066006187</v>
      </c>
      <c r="T628" s="36">
        <f>T73+T158+T267+T332+T407+T605</f>
        <v>426.2</v>
      </c>
      <c r="U628" s="23">
        <f t="shared" si="4294"/>
        <v>7.2865219733470266</v>
      </c>
      <c r="V628" s="36">
        <f>V73+V158+V267+V332+V407+V605</f>
        <v>409.29999999999995</v>
      </c>
      <c r="W628" s="23">
        <f t="shared" si="4294"/>
        <v>-1.5139848697761304</v>
      </c>
      <c r="X628" s="36">
        <f>X73+X158+X267+X332+X407+X605</f>
        <v>427.4</v>
      </c>
      <c r="Y628" s="23">
        <f t="shared" si="4294"/>
        <v>0.12556692529703817</v>
      </c>
      <c r="Z628" s="36">
        <f>Z73+Z158+Z267+Z332+Z407+Z605</f>
        <v>445.5</v>
      </c>
      <c r="AA628" s="23">
        <f>IF(ISERROR((Z628/R628-1)*100),"NA",IF(((Z628/R628-1)*100)&gt;100,"NM",IF(((Z628/R628-1)*100)&lt;-50,"NM",(Z628/R628-1)*100)))</f>
        <v>10.272277227722771</v>
      </c>
      <c r="AB628" s="36">
        <f>AB73+AB158+AB267+AB332+AB407+AB605</f>
        <v>422.4</v>
      </c>
      <c r="AC628" s="23">
        <f>IF(ISERROR((AB628/T628-1)*100),"NA",IF(((AB628/T628-1)*100)&gt;100,"NM",IF(((AB628/T628-1)*100)&lt;-50,"NM",(AB628/T628-1)*100)))</f>
        <v>-0.89160018770531035</v>
      </c>
      <c r="AD628" s="36">
        <f>AD73+AD158+AD267+AD332+AD407+AD605</f>
        <v>411</v>
      </c>
      <c r="AE628" s="23">
        <f>IF(ISERROR((AD628/V628-1)*100),"NA",IF(((AD628/V628-1)*100)&gt;100,"NM",IF(((AD628/V628-1)*100)&lt;-50,"NM",(AD628/V628-1)*100)))</f>
        <v>0.41534326899586027</v>
      </c>
      <c r="AF628" s="36">
        <f>AF73+AF158+AF267+AF332+AF407+AF605</f>
        <v>422.20000000000005</v>
      </c>
      <c r="AG628" s="23">
        <f>IF(ISERROR((AF628/X628-1)*100),"NA",IF(((AF628/X628-1)*100)&gt;100,"NM",IF(((AF628/X628-1)*100)&lt;-50,"NM",(AF628/X628-1)*100)))</f>
        <v>-1.2166588675713408</v>
      </c>
      <c r="AH628" s="36">
        <f>AH73+AH158+AH267+AH332+AH407+AH605</f>
        <v>433.79999999999995</v>
      </c>
      <c r="AI628" s="23">
        <f>IF(ISERROR((AH628/Z628-1)*100),"NA",IF(((AH628/Z628-1)*100)&gt;100,"NM",IF(((AH628/Z628-1)*100)&lt;-50,"NM",(AH628/Z628-1)*100)))</f>
        <v>-2.6262626262626321</v>
      </c>
      <c r="AJ628" s="36">
        <f>AJ73+AJ158+AJ267+AJ332+AJ407+AJ605</f>
        <v>429</v>
      </c>
      <c r="AK628" s="23">
        <f>IF(ISERROR((AJ628/AB628-1)*100),"NA",IF(((AJ628/AB628-1)*100)&gt;100,"NM",IF(((AJ628/AB628-1)*100)&lt;-50,"NM",(AJ628/AB628-1)*100)))</f>
        <v>1.5625</v>
      </c>
      <c r="AL628" s="36">
        <f>AL73+AL158+AL267+AL332+AL407+AL605</f>
        <v>414.6</v>
      </c>
      <c r="AM628" s="23">
        <f>IF(ISERROR((AL628/AD628-1)*100),"NA",IF(((AL628/AD628-1)*100)&gt;100,"NM",IF(((AL628/AD628-1)*100)&lt;-50,"NM",(AL628/AD628-1)*100)))</f>
        <v>0.87591240875912746</v>
      </c>
      <c r="AN628" s="410">
        <f>AN73+AN158+AN267+AN332+AN407+AN605</f>
        <v>417.59999999999997</v>
      </c>
      <c r="AO628" s="23">
        <f>IF(ISERROR((AN628/AF628-1)*100),"NA",IF(((AN628/AF628-1)*100)&gt;100,"NM",IF(((AN628/AF628-1)*100)&lt;-50,"NM",(AN628/AF628-1)*100)))</f>
        <v>-1.0895310279488535</v>
      </c>
      <c r="AP628" s="410">
        <f>AP73+AP158+AP267+AP332+AP407+AP605</f>
        <v>413.49999999999994</v>
      </c>
      <c r="AQ628" s="23">
        <f t="shared" si="4274"/>
        <v>-4.6795758414015731</v>
      </c>
      <c r="AR628" s="410">
        <f>AR73+AR158+AR267+AR332+AR407+AR605</f>
        <v>392.40000000000003</v>
      </c>
      <c r="AS628" s="23">
        <f t="shared" si="4276"/>
        <v>-8.5314685314685228</v>
      </c>
      <c r="AT628" s="410">
        <f>AT73+AT158+AT267+AT332+AT407+AT605</f>
        <v>384.8</v>
      </c>
      <c r="AU628" s="23">
        <f t="shared" si="4277"/>
        <v>-7.1876507477086404</v>
      </c>
      <c r="AV628" s="410">
        <f>AV73+AV158+AV267+AV332+AV407+AV605</f>
        <v>392.7</v>
      </c>
      <c r="AW628" s="23">
        <f t="shared" si="4279"/>
        <v>-5.9626436781609176</v>
      </c>
      <c r="AX628" s="410">
        <f>AX73+AX158+AX267+AX332+AX407+AX605</f>
        <v>418.79999999999995</v>
      </c>
      <c r="AY628" s="23">
        <f t="shared" si="4280"/>
        <v>1.2817412333736344</v>
      </c>
      <c r="AZ628" s="410">
        <f>AZ73+AZ158+AZ267+AZ332+AZ407+AZ605</f>
        <v>382.20000000000005</v>
      </c>
      <c r="BA628" s="23">
        <f t="shared" si="4282"/>
        <v>-2.5993883792048922</v>
      </c>
      <c r="BB628" s="410">
        <f>BB73+BB158+BB267+BB332+BB407+BB605</f>
        <v>372.59999999999997</v>
      </c>
      <c r="BC628" s="23">
        <f t="shared" si="4284"/>
        <v>-3.1704781704781859</v>
      </c>
      <c r="BD628" s="410">
        <f>BD73+BD158+BD267+BD332+BD407+BD605</f>
        <v>393</v>
      </c>
      <c r="BE628" s="23">
        <f t="shared" si="4285"/>
        <v>7.6394194041262686E-2</v>
      </c>
      <c r="BF628" s="36">
        <f>BF73+BF158+BF267+BF332+BF407+BF605</f>
        <v>435.56553376328418</v>
      </c>
      <c r="BG628" s="23">
        <f t="shared" si="4287"/>
        <v>4.0032315576132405</v>
      </c>
      <c r="BH628" s="36">
        <f>BH73+BH158+BH267+BH332+BH407+BH605</f>
        <v>402.21007304195757</v>
      </c>
      <c r="BI628" s="23">
        <f t="shared" si="4289"/>
        <v>5.2354979178329542</v>
      </c>
      <c r="BJ628" s="36">
        <f>BJ73+BJ158+BJ267+BJ332+BJ407+BJ605</f>
        <v>388.80074338374521</v>
      </c>
      <c r="BK628" s="23">
        <f t="shared" si="4291"/>
        <v>4.3480255995022032</v>
      </c>
      <c r="BL628" s="36">
        <f>BL73+BL158+BL267+BL332+BL407+BL605</f>
        <v>390.06955342820714</v>
      </c>
      <c r="BM628" s="23">
        <f t="shared" si="4293"/>
        <v>-0.74566070529080708</v>
      </c>
      <c r="BN628" s="5"/>
      <c r="BO628" s="137"/>
      <c r="BP628" s="5"/>
      <c r="BQ628" s="5"/>
      <c r="BR628" s="10"/>
      <c r="BS628" s="10"/>
      <c r="BT628" s="10"/>
      <c r="BU628" s="36">
        <f>BU73+BU158+BU267+BU332+BU407+BU605</f>
        <v>1739.7329999999999</v>
      </c>
      <c r="BV628" s="23" t="str">
        <f>IF(ISERROR((BU628/BS628-1)*100),"NA",IF(((BU628/BS628-1)*100)&gt;100,"NM",IF(((BU628/BS628-1)*100)&lt;-50,"NM",(BU628/BS628-1)*100)))</f>
        <v>NA</v>
      </c>
      <c r="BW628" s="36">
        <f>BW73+BW158+BW267+BW332+BW407+BW605</f>
        <v>1666.2160000000001</v>
      </c>
      <c r="BX628" s="23">
        <f>IF(ISERROR((BW628/BU628-1)*100),"NA",IF(((BW628/BU628-1)*100)&gt;100,"NM",IF(((BW628/BU628-1)*100)&lt;-50,"NM",(BW628/BU628-1)*100)))</f>
        <v>-4.2257633786333741</v>
      </c>
      <c r="BY628" s="56">
        <f>BY73+BY158+BY267+BY332+BY407+BY605</f>
        <v>1666.9</v>
      </c>
      <c r="BZ628" s="23">
        <f>IF(ISERROR((BY628/BW628-1)*100),"NA",IF(((BY628/BW628-1)*100)&gt;100,"NM",IF(((BY628/BW628-1)*100)&lt;-50,"NM",(BY628/BW628-1)*100)))</f>
        <v>4.1051100217504022E-2</v>
      </c>
      <c r="CA628" s="56">
        <f>CA73+CA158+CA267+CA332+CA407+CA605</f>
        <v>1701.1000000000001</v>
      </c>
      <c r="CB628" s="23">
        <f>IF(ISERROR((CA628/BY628-1)*100),"NA",IF(((CA628/BY628-1)*100)&gt;100,"NM",IF(((CA628/BY628-1)*100)&lt;-50,"NM",(CA628/BY628-1)*100)))</f>
        <v>2.0517127602135643</v>
      </c>
      <c r="CC628" s="56">
        <f>CC73+CC158+CC267+CC332+CC407+CC605</f>
        <v>1695</v>
      </c>
      <c r="CD628" s="23">
        <f>IF(ISERROR((CC628/CA628-1)*100),"NA",IF(((CC628/CA628-1)*100)&gt;100,"NM",IF(((CC628/CA628-1)*100)&lt;-50,"NM",(CC628/CA628-1)*100)))</f>
        <v>-0.3585914996178996</v>
      </c>
      <c r="CE628" s="56">
        <f>CE73+CE158+CE267+CE332+CE407+CE605</f>
        <v>1583.4</v>
      </c>
      <c r="CF628" s="23">
        <f>IF(ISERROR((CE628/CC628-1)*100),"NA",IF(((CE628/CC628-1)*100)&gt;100,"NM",IF(((CE628/CC628-1)*100)&lt;-50,"NM",(CE628/CC628-1)*100)))</f>
        <v>-6.584070796460173</v>
      </c>
      <c r="CG628" s="56">
        <f>CG73+CG158+CG267+CG332+CG407+CG605</f>
        <v>1566.6000000000001</v>
      </c>
      <c r="CH628" s="23">
        <f>IF(ISERROR((CG628/CE628-1)*100),"NA",IF(((CG628/CE628-1)*100)&gt;100,"NM",IF(((CG628/CE628-1)*100)&lt;-50,"NM",(CG628/CE628-1)*100)))</f>
        <v>-1.0610079575596787</v>
      </c>
      <c r="CI628" s="56">
        <f>CI73+CI158+CI267+CI332+CI407+CI605</f>
        <v>1616.6459036171941</v>
      </c>
      <c r="CJ628" s="23">
        <f>IF(ISERROR((CI628/CG628-1)*100),"NA",IF(((CI628/CG628-1)*100)&gt;100,"NM",IF(((CI628/CG628-1)*100)&lt;-50,"NM",(CI628/CG628-1)*100)))</f>
        <v>3.1945553183450714</v>
      </c>
      <c r="CK628" s="36">
        <f>CK73+CK158+CK267+CK332+CK407+CK605</f>
        <v>1656.7649254499931</v>
      </c>
      <c r="CL628" s="23">
        <f>IF(ISERROR((CK628/CI628-1)*100),"NA",IF(((CK628/CI628-1)*100)&gt;100,"NM",IF(((CK628/CI628-1)*100)&lt;-50,"NM",(CK628/CI628-1)*100)))</f>
        <v>2.4816208511111881</v>
      </c>
      <c r="CM628" s="36">
        <f>CM73+CM158+CM267+CM332+CM407+CM605</f>
        <v>1718.3785747946099</v>
      </c>
      <c r="CN628" s="23">
        <f>IF(ISERROR((CM628/CK628-1)*100),"NA",IF(((CM628/CK628-1)*100)&gt;100,"NM",IF(((CM628/CK628-1)*100)&lt;-50,"NM",(CM628/CK628-1)*100)))</f>
        <v>3.7189131902874983</v>
      </c>
      <c r="CO628" s="36">
        <f>CO73+CO158+CO267+CO332+CO407+CO605</f>
        <v>1776.673288510731</v>
      </c>
      <c r="CP628" s="23">
        <f>IF(ISERROR((CO628/CM628-1)*100),"NA",IF(((CO628/CM628-1)*100)&gt;100,"NM",IF(((CO628/CM628-1)*100)&lt;-50,"NM",(CO628/CM628-1)*100)))</f>
        <v>3.3924255441260209</v>
      </c>
      <c r="CQ628" s="36">
        <f>CQ73+CQ158+CQ267+CQ332+CQ407+CQ605</f>
        <v>1837.749437401671</v>
      </c>
      <c r="CR628" s="23">
        <f>IF(ISERROR((CQ628/CO628-1)*100),"NA",IF(((CQ628/CO628-1)*100)&gt;100,"NM",IF(((CQ628/CO628-1)*100)&lt;-50,"NM",(CQ628/CO628-1)*100)))</f>
        <v>3.4376691137252502</v>
      </c>
      <c r="CS628" s="23">
        <f>IF(ISERROR(((CQ628/CG628)^0.2-1)*100),"NA",IF((((CQ628/CG628)^0.2-1)*100)&gt;100,"NM",IF((((CQ628/CG628)^0.2-1)*100)&lt;-50,"NM",((CQ628/CG628)^0.2-1)*100)))</f>
        <v>3.2441932990662226</v>
      </c>
    </row>
    <row r="629" spans="1:99" ht="12.75" customHeight="1" x14ac:dyDescent="0.2">
      <c r="A629" s="4" t="s">
        <v>162</v>
      </c>
      <c r="B629" s="36">
        <f>B74+B159+B333+B408+B606</f>
        <v>62.957000000000001</v>
      </c>
      <c r="C629" s="59"/>
      <c r="D629" s="36">
        <f>D74+D159+D333+D408+D606</f>
        <v>55.869</v>
      </c>
      <c r="E629" s="59"/>
      <c r="F629" s="36">
        <f>F74+F159+F333+F408+F606</f>
        <v>55.162999999999997</v>
      </c>
      <c r="G629" s="59"/>
      <c r="H629" s="36">
        <f>H74+H159+H333+H408+H606</f>
        <v>59.533000000000001</v>
      </c>
      <c r="I629" s="59"/>
      <c r="J629" s="36">
        <f>J74+J159+J333+J408+J606</f>
        <v>64.94</v>
      </c>
      <c r="K629" s="23">
        <f t="shared" si="4294"/>
        <v>3.1497688898772136</v>
      </c>
      <c r="L629" s="36">
        <f>L74+L159+L333+L408+L606</f>
        <v>59.516000000000005</v>
      </c>
      <c r="M629" s="23">
        <f t="shared" si="4294"/>
        <v>6.527770319855386</v>
      </c>
      <c r="N629" s="36">
        <f>N74+N159+N333+N408+N606</f>
        <v>61.236000000000004</v>
      </c>
      <c r="O629" s="23">
        <f t="shared" si="4294"/>
        <v>11.009190943204693</v>
      </c>
      <c r="P629" s="36">
        <f>P74+P159+P333+P408+P606</f>
        <v>63.3</v>
      </c>
      <c r="Q629" s="23">
        <f t="shared" si="4294"/>
        <v>6.3275830211815265</v>
      </c>
      <c r="R629" s="36">
        <f>R74+R159+R333+R408+R606</f>
        <v>66.100000000000009</v>
      </c>
      <c r="S629" s="23">
        <f t="shared" si="4294"/>
        <v>1.7862642439174792</v>
      </c>
      <c r="T629" s="36">
        <f>T74+T159+T333+T408+T606</f>
        <v>66</v>
      </c>
      <c r="U629" s="23">
        <f t="shared" si="4294"/>
        <v>10.89454936487666</v>
      </c>
      <c r="V629" s="36">
        <f>V74+V159+V333+V408+V606</f>
        <v>63.8</v>
      </c>
      <c r="W629" s="23">
        <f t="shared" si="4294"/>
        <v>4.1870794957214574</v>
      </c>
      <c r="X629" s="36">
        <f>X74+X159+X333+X408+X606</f>
        <v>68.099999999999994</v>
      </c>
      <c r="Y629" s="23">
        <f t="shared" si="4294"/>
        <v>7.5829383886255819</v>
      </c>
      <c r="Z629" s="36">
        <f>Z74+Z159+Z333+Z408+Z606</f>
        <v>73.7</v>
      </c>
      <c r="AA629" s="23">
        <f>IF(ISERROR((Z629/R629-1)*100),"NA",IF(((Z629/R629-1)*100)&gt;100,"NM",IF(((Z629/R629-1)*100)&lt;-50,"NM",(Z629/R629-1)*100)))</f>
        <v>11.497730711043852</v>
      </c>
      <c r="AB629" s="36">
        <f>AB74+AB159+AB333+AB408+AB606</f>
        <v>71.099999999999994</v>
      </c>
      <c r="AC629" s="23">
        <f>IF(ISERROR((AB629/T629-1)*100),"NA",IF(((AB629/T629-1)*100)&gt;100,"NM",IF(((AB629/T629-1)*100)&lt;-50,"NM",(AB629/T629-1)*100)))</f>
        <v>7.727272727272716</v>
      </c>
      <c r="AD629" s="36">
        <f>AD74+AD159+AD333+AD408+AD606</f>
        <v>73.900000000000006</v>
      </c>
      <c r="AE629" s="23">
        <f>IF(ISERROR((AD629/V629-1)*100),"NA",IF(((AD629/V629-1)*100)&gt;100,"NM",IF(((AD629/V629-1)*100)&lt;-50,"NM",(AD629/V629-1)*100)))</f>
        <v>15.830721003134807</v>
      </c>
      <c r="AF629" s="36">
        <f>AF74+AF159+AF333+AF408+AF606</f>
        <v>69</v>
      </c>
      <c r="AG629" s="23">
        <f>IF(ISERROR((AF629/X629-1)*100),"NA",IF(((AF629/X629-1)*100)&gt;100,"NM",IF(((AF629/X629-1)*100)&lt;-50,"NM",(AF629/X629-1)*100)))</f>
        <v>1.3215859030837107</v>
      </c>
      <c r="AH629" s="36">
        <f>AH74+AH159+AH333+AH408+AH606</f>
        <v>79.600000000000009</v>
      </c>
      <c r="AI629" s="23">
        <f>IF(ISERROR((AH629/Z629-1)*100),"NA",IF(((AH629/Z629-1)*100)&gt;100,"NM",IF(((AH629/Z629-1)*100)&lt;-50,"NM",(AH629/Z629-1)*100)))</f>
        <v>8.0054274084124799</v>
      </c>
      <c r="AJ629" s="36">
        <f>AJ74+AJ159+AJ333+AJ408+AJ606</f>
        <v>81.199999999999989</v>
      </c>
      <c r="AK629" s="23">
        <f>IF(ISERROR((AJ629/AB629-1)*100),"NA",IF(((AJ629/AB629-1)*100)&gt;100,"NM",IF(((AJ629/AB629-1)*100)&lt;-50,"NM",(AJ629/AB629-1)*100)))</f>
        <v>14.205344585091417</v>
      </c>
      <c r="AL629" s="36">
        <f>AL74+AL159+AL333+AL408+AL606</f>
        <v>78.599999999999994</v>
      </c>
      <c r="AM629" s="23">
        <f>IF(ISERROR((AL629/AD629-1)*100),"NA",IF(((AL629/AD629-1)*100)&gt;100,"NM",IF(((AL629/AD629-1)*100)&lt;-50,"NM",(AL629/AD629-1)*100)))</f>
        <v>6.3599458728010649</v>
      </c>
      <c r="AN629" s="410">
        <f>AN74+AN159+AN333+AN408+AN606</f>
        <v>83.5</v>
      </c>
      <c r="AO629" s="23">
        <f>IF(ISERROR((AN629/AF629-1)*100),"NA",IF(((AN629/AF629-1)*100)&gt;100,"NM",IF(((AN629/AF629-1)*100)&lt;-50,"NM",(AN629/AF629-1)*100)))</f>
        <v>21.014492753623195</v>
      </c>
      <c r="AP629" s="410">
        <f>AP74+AP159+AP333+AP408+AP606</f>
        <v>69.199999999999989</v>
      </c>
      <c r="AQ629" s="23">
        <f t="shared" si="4274"/>
        <v>-13.065326633165853</v>
      </c>
      <c r="AR629" s="410">
        <f>AR74+AR159+AR333+AR408+AR606</f>
        <v>71.7</v>
      </c>
      <c r="AS629" s="23">
        <f t="shared" si="4276"/>
        <v>-11.699507389162545</v>
      </c>
      <c r="AT629" s="410">
        <f>AT74+AT159+AT333+AT408+AT606</f>
        <v>73.099999999999994</v>
      </c>
      <c r="AU629" s="23">
        <f t="shared" si="4277"/>
        <v>-6.9974554707379122</v>
      </c>
      <c r="AV629" s="410">
        <f>AV74+AV159+AV333+AV408+AV606</f>
        <v>71.199999999999989</v>
      </c>
      <c r="AW629" s="23">
        <f t="shared" si="4279"/>
        <v>-14.7305389221557</v>
      </c>
      <c r="AX629" s="410">
        <f>AX74+AX159+AX333+AX408+AX606</f>
        <v>81.699999999999989</v>
      </c>
      <c r="AY629" s="23">
        <f t="shared" si="4280"/>
        <v>18.063583815028906</v>
      </c>
      <c r="AZ629" s="410">
        <f>AZ74+AZ159+AZ333+AZ408+AZ606</f>
        <v>78.199999999999989</v>
      </c>
      <c r="BA629" s="23">
        <f t="shared" si="4282"/>
        <v>9.0655509065550746</v>
      </c>
      <c r="BB629" s="410">
        <f>BB74+BB159+BB333+BB408+BB606</f>
        <v>77.599999999999994</v>
      </c>
      <c r="BC629" s="23">
        <f t="shared" si="4284"/>
        <v>6.1559507523939905</v>
      </c>
      <c r="BD629" s="410">
        <f>BD74+BD159+BD333+BD408+BD606</f>
        <v>78.2</v>
      </c>
      <c r="BE629" s="23">
        <f t="shared" si="4285"/>
        <v>9.8314606741573218</v>
      </c>
      <c r="BF629" s="36">
        <f>BF74+BF159+BF333+BF408+BF606</f>
        <v>85.139679451071515</v>
      </c>
      <c r="BG629" s="23">
        <f t="shared" si="4287"/>
        <v>4.2101339670398197</v>
      </c>
      <c r="BH629" s="36">
        <f>BH74+BH159+BH333+BH408+BH606</f>
        <v>80.6426223191242</v>
      </c>
      <c r="BI629" s="23">
        <f t="shared" si="4289"/>
        <v>3.1235579528442692</v>
      </c>
      <c r="BJ629" s="36">
        <f>BJ74+BJ159+BJ333+BJ408+BJ606</f>
        <v>80.091214945060102</v>
      </c>
      <c r="BK629" s="23">
        <f t="shared" si="4291"/>
        <v>3.2103285374486035</v>
      </c>
      <c r="BL629" s="36">
        <f>BL74+BL159+BL333+BL408+BL606</f>
        <v>78.437540788577408</v>
      </c>
      <c r="BM629" s="23">
        <f t="shared" si="4293"/>
        <v>0.30376059920385057</v>
      </c>
      <c r="BN629" s="5"/>
      <c r="BO629" s="137"/>
      <c r="BP629" s="5"/>
      <c r="BQ629" s="5"/>
      <c r="BR629" s="10"/>
      <c r="BS629" s="10"/>
      <c r="BT629" s="10"/>
      <c r="BU629" s="36">
        <f>BU74+BU159+BU333+BU408+BU606</f>
        <v>233.52200000000005</v>
      </c>
      <c r="BV629" s="23" t="str">
        <f>IF(ISERROR((BU629/BS629-1)*100),"NA",IF(((BU629/BS629-1)*100)&gt;100,"NM",IF(((BU629/BS629-1)*100)&lt;-50,"NM",(BU629/BS629-1)*100)))</f>
        <v>NA</v>
      </c>
      <c r="BW629" s="36">
        <f>BW74+BW159+BW333+BW408+BW606</f>
        <v>248.99200000000002</v>
      </c>
      <c r="BX629" s="23">
        <f>IF(ISERROR((BW629/BU629-1)*100),"NA",IF(((BW629/BU629-1)*100)&gt;100,"NM",IF(((BW629/BU629-1)*100)&lt;-50,"NM",(BW629/BU629-1)*100)))</f>
        <v>6.6246435025393513</v>
      </c>
      <c r="BY629" s="56">
        <f>BY74+BY159+BY333+BY408+BY606</f>
        <v>264</v>
      </c>
      <c r="BZ629" s="23">
        <f>IF(ISERROR((BY629/BW629-1)*100),"NA",IF(((BY629/BW629-1)*100)&gt;100,"NM",IF(((BY629/BW629-1)*100)&lt;-50,"NM",(BY629/BW629-1)*100)))</f>
        <v>6.0275028916591644</v>
      </c>
      <c r="CA629" s="56">
        <f>CA74+CA159+CA333+CA408+CA606</f>
        <v>287.70000000000005</v>
      </c>
      <c r="CB629" s="23">
        <f>IF(ISERROR((CA629/BY629-1)*100),"NA",IF(((CA629/BY629-1)*100)&gt;100,"NM",IF(((CA629/BY629-1)*100)&lt;-50,"NM",(CA629/BY629-1)*100)))</f>
        <v>8.9772727272727337</v>
      </c>
      <c r="CC629" s="56">
        <f>CC74+CC159+CC333+CC408+CC606</f>
        <v>322.89999999999998</v>
      </c>
      <c r="CD629" s="23">
        <f>IF(ISERROR((CC629/CA629-1)*100),"NA",IF(((CC629/CA629-1)*100)&gt;100,"NM",IF(((CC629/CA629-1)*100)&lt;-50,"NM",(CC629/CA629-1)*100)))</f>
        <v>12.234966979492512</v>
      </c>
      <c r="CE629" s="56">
        <f>CE74+CE159+CE333+CE408+CE606</f>
        <v>285.19999999999993</v>
      </c>
      <c r="CF629" s="23">
        <f>IF(ISERROR((CE629/CC629-1)*100),"NA",IF(((CE629/CC629-1)*100)&gt;100,"NM",IF(((CE629/CC629-1)*100)&lt;-50,"NM",(CE629/CC629-1)*100)))</f>
        <v>-11.675441313100043</v>
      </c>
      <c r="CG629" s="56">
        <f>CG74+CG159+CG333+CG408+CG606</f>
        <v>315.7</v>
      </c>
      <c r="CH629" s="23">
        <f>IF(ISERROR((CG629/CE629-1)*100),"NA",IF(((CG629/CE629-1)*100)&gt;100,"NM",IF(((CG629/CE629-1)*100)&lt;-50,"NM",(CG629/CE629-1)*100)))</f>
        <v>10.694249649368892</v>
      </c>
      <c r="CI629" s="56">
        <f>CI74+CI159+CI333+CI408+CI606</f>
        <v>324.31105750383324</v>
      </c>
      <c r="CJ629" s="23">
        <f>IF(ISERROR((CI629/CG629-1)*100),"NA",IF(((CI629/CG629-1)*100)&gt;100,"NM",IF(((CI629/CG629-1)*100)&lt;-50,"NM",(CI629/CG629-1)*100)))</f>
        <v>2.7276076983950848</v>
      </c>
      <c r="CK629" s="36">
        <f>CK74+CK159+CK333+CK408+CK606</f>
        <v>334.83457403408056</v>
      </c>
      <c r="CL629" s="23">
        <f>IF(ISERROR((CK629/CI629-1)*100),"NA",IF(((CK629/CI629-1)*100)&gt;100,"NM",IF(((CK629/CI629-1)*100)&lt;-50,"NM",(CK629/CI629-1)*100)))</f>
        <v>3.2448836654676683</v>
      </c>
      <c r="CM629" s="36">
        <f>CM74+CM159+CM333+CM408+CM606</f>
        <v>347.42884897580382</v>
      </c>
      <c r="CN629" s="23">
        <f>IF(ISERROR((CM629/CK629-1)*100),"NA",IF(((CM629/CK629-1)*100)&gt;100,"NM",IF(((CM629/CK629-1)*100)&lt;-50,"NM",(CM629/CK629-1)*100)))</f>
        <v>3.761342441429405</v>
      </c>
      <c r="CO629" s="36">
        <f>CO74+CO159+CO333+CO408+CO606</f>
        <v>360.40070266566477</v>
      </c>
      <c r="CP629" s="23">
        <f>IF(ISERROR((CO629/CM629-1)*100),"NA",IF(((CO629/CM629-1)*100)&gt;100,"NM",IF(((CO629/CM629-1)*100)&lt;-50,"NM",(CO629/CM629-1)*100)))</f>
        <v>3.7336720102838505</v>
      </c>
      <c r="CQ629" s="36">
        <f>CQ74+CQ159+CQ333+CQ408+CQ606</f>
        <v>373.8450367461644</v>
      </c>
      <c r="CR629" s="23">
        <f>IF(ISERROR((CQ629/CO629-1)*100),"NA",IF(((CQ629/CO629-1)*100)&gt;100,"NM",IF(((CQ629/CO629-1)*100)&lt;-50,"NM",(CQ629/CO629-1)*100)))</f>
        <v>3.7303850911110992</v>
      </c>
      <c r="CS629" s="23">
        <f>IF(ISERROR(((CQ629/CG629)^0.2-1)*100),"NA",IF((((CQ629/CG629)^0.2-1)*100)&gt;100,"NM",IF((((CQ629/CG629)^0.2-1)*100)&lt;-50,"NM",((CQ629/CG629)^0.2-1)*100)))</f>
        <v>3.4387842428858395</v>
      </c>
    </row>
    <row r="630" spans="1:99" ht="12.75" customHeight="1" x14ac:dyDescent="0.2">
      <c r="A630" s="4" t="s">
        <v>20</v>
      </c>
      <c r="B630" s="36">
        <f>B75+B160+B334+B409+B607</f>
        <v>104.53700000000001</v>
      </c>
      <c r="C630" s="59"/>
      <c r="D630" s="36">
        <f>D75+D160+D334+D409+D607</f>
        <v>144.22600000000003</v>
      </c>
      <c r="E630" s="59"/>
      <c r="F630" s="36">
        <f>F75+F160+F334+F409+F607</f>
        <v>110.176</v>
      </c>
      <c r="G630" s="59"/>
      <c r="H630" s="36">
        <f>H75+H160+H334+H409+H607</f>
        <v>-98.403999999999996</v>
      </c>
      <c r="I630" s="59"/>
      <c r="J630" s="36">
        <f>J75+J160+J334+J409+J607</f>
        <v>145.86900000000003</v>
      </c>
      <c r="K630" s="23">
        <f t="shared" si="4294"/>
        <v>39.538153955058995</v>
      </c>
      <c r="L630" s="36">
        <f>L75+L160+L334+L409+L607</f>
        <v>162.79199999999997</v>
      </c>
      <c r="M630" s="23">
        <f t="shared" si="4294"/>
        <v>12.87285232898363</v>
      </c>
      <c r="N630" s="36">
        <f>N75+N160+N334+N409+N607</f>
        <v>143.57199999999997</v>
      </c>
      <c r="O630" s="23">
        <f t="shared" si="4294"/>
        <v>30.311501597444067</v>
      </c>
      <c r="P630" s="36">
        <f>P75+P160+P334+P409+P607</f>
        <v>200.49999999999997</v>
      </c>
      <c r="Q630" s="23" t="str">
        <f t="shared" si="4294"/>
        <v>NM</v>
      </c>
      <c r="R630" s="36">
        <f>R75+R160+R334+R409+R607</f>
        <v>135.5</v>
      </c>
      <c r="S630" s="23">
        <f t="shared" si="4294"/>
        <v>-7.1084329089799887</v>
      </c>
      <c r="T630" s="36">
        <f>T75+T160+T334+T409+T607</f>
        <v>140.5</v>
      </c>
      <c r="U630" s="23">
        <f t="shared" si="4294"/>
        <v>-13.693547594476374</v>
      </c>
      <c r="V630" s="36">
        <f>V75+V160+V334+V409+V607</f>
        <v>53.800000000000011</v>
      </c>
      <c r="W630" s="23" t="str">
        <f t="shared" si="4294"/>
        <v>NM</v>
      </c>
      <c r="X630" s="36">
        <f>X75+X160+X334+X409+X607</f>
        <v>111.5</v>
      </c>
      <c r="Y630" s="23">
        <f t="shared" si="4294"/>
        <v>-44.389027431421432</v>
      </c>
      <c r="Z630" s="36">
        <f>Z75+Z160+Z334+Z409+Z607</f>
        <v>139.19999999999999</v>
      </c>
      <c r="AA630" s="23">
        <f>IF(ISERROR((Z630/R630-1)*100),"NA",IF(((Z630/R630-1)*100)&gt;100,"NM",IF(((Z630/R630-1)*100)&lt;-50,"NM",(Z630/R630-1)*100)))</f>
        <v>2.7306273062730479</v>
      </c>
      <c r="AB630" s="36">
        <f>AB75+AB160+AB334+AB409+AB607</f>
        <v>121.59999999999998</v>
      </c>
      <c r="AC630" s="23">
        <f>IF(ISERROR((AB630/T630-1)*100),"NA",IF(((AB630/T630-1)*100)&gt;100,"NM",IF(((AB630/T630-1)*100)&lt;-50,"NM",(AB630/T630-1)*100)))</f>
        <v>-13.451957295373685</v>
      </c>
      <c r="AD630" s="36">
        <f>AD75+AD160+AD334+AD409+AD607</f>
        <v>156.69999999999999</v>
      </c>
      <c r="AE630" s="23" t="str">
        <f>IF(ISERROR((AD630/V630-1)*100),"NA",IF(((AD630/V630-1)*100)&gt;100,"NM",IF(((AD630/V630-1)*100)&lt;-50,"NM",(AD630/V630-1)*100)))</f>
        <v>NM</v>
      </c>
      <c r="AF630" s="36">
        <f>AF75+AF160+AF334+AF409+AF607</f>
        <v>132.70000000000002</v>
      </c>
      <c r="AG630" s="23">
        <f>IF(ISERROR((AF630/X630-1)*100),"NA",IF(((AF630/X630-1)*100)&gt;100,"NM",IF(((AF630/X630-1)*100)&lt;-50,"NM",(AF630/X630-1)*100)))</f>
        <v>19.013452914798211</v>
      </c>
      <c r="AH630" s="36">
        <f>AH75+AH160+AH334+AH409+AH607</f>
        <v>128.6</v>
      </c>
      <c r="AI630" s="23">
        <f>IF(ISERROR((AH630/Z630-1)*100),"NA",IF(((AH630/Z630-1)*100)&gt;100,"NM",IF(((AH630/Z630-1)*100)&lt;-50,"NM",(AH630/Z630-1)*100)))</f>
        <v>-7.6149425287356243</v>
      </c>
      <c r="AJ630" s="36">
        <f>AJ75+AJ160+AJ334+AJ409+AJ607</f>
        <v>134.4</v>
      </c>
      <c r="AK630" s="23">
        <f>IF(ISERROR((AJ630/AB630-1)*100),"NA",IF(((AJ630/AB630-1)*100)&gt;100,"NM",IF(((AJ630/AB630-1)*100)&lt;-50,"NM",(AJ630/AB630-1)*100)))</f>
        <v>10.526315789473717</v>
      </c>
      <c r="AL630" s="36">
        <f>AL75+AL160+AL334+AL409+AL607</f>
        <v>238</v>
      </c>
      <c r="AM630" s="23">
        <f>IF(ISERROR((AL630/AD630-1)*100),"NA",IF(((AL630/AD630-1)*100)&gt;100,"NM",IF(((AL630/AD630-1)*100)&lt;-50,"NM",(AL630/AD630-1)*100)))</f>
        <v>51.88257817485642</v>
      </c>
      <c r="AN630" s="410">
        <f>AN75+AN160+AN334+AN409+AN607</f>
        <v>111.2</v>
      </c>
      <c r="AO630" s="23">
        <f>IF(ISERROR((AN630/AF630-1)*100),"NA",IF(((AN630/AF630-1)*100)&gt;100,"NM",IF(((AN630/AF630-1)*100)&lt;-50,"NM",(AN630/AF630-1)*100)))</f>
        <v>-16.201959306706868</v>
      </c>
      <c r="AP630" s="410">
        <f>AP75+AP160+AP334+AP409+AP607</f>
        <v>80.900000000000006</v>
      </c>
      <c r="AQ630" s="23">
        <f t="shared" si="4274"/>
        <v>-37.09175738724727</v>
      </c>
      <c r="AR630" s="410">
        <f>AR75+AR160+AR334+AR409+AR607</f>
        <v>68.3</v>
      </c>
      <c r="AS630" s="23">
        <f t="shared" si="4276"/>
        <v>-49.181547619047628</v>
      </c>
      <c r="AT630" s="410">
        <f>AT75+AT160+AT334+AT409+AT607</f>
        <v>259.10000000000002</v>
      </c>
      <c r="AU630" s="23">
        <f t="shared" si="4277"/>
        <v>8.8655462184874079</v>
      </c>
      <c r="AV630" s="410">
        <f>AV75+AV160+AV334+AV409+AV607</f>
        <v>85.5</v>
      </c>
      <c r="AW630" s="23">
        <f t="shared" si="4279"/>
        <v>-23.111510791366907</v>
      </c>
      <c r="AX630" s="410">
        <f>AX75+AX160+AX334+AX409+AX607</f>
        <v>70.5</v>
      </c>
      <c r="AY630" s="23">
        <f t="shared" si="4280"/>
        <v>-12.855377008652669</v>
      </c>
      <c r="AZ630" s="410">
        <f>AZ75+AZ160+AZ334+AZ409+AZ607</f>
        <v>196.4</v>
      </c>
      <c r="BA630" s="23" t="str">
        <f t="shared" si="4282"/>
        <v>NM</v>
      </c>
      <c r="BB630" s="410">
        <f>BB75+BB160+BB334+BB409+BB607</f>
        <v>265</v>
      </c>
      <c r="BC630" s="23">
        <f t="shared" si="4284"/>
        <v>2.2771130837514475</v>
      </c>
      <c r="BD630" s="410">
        <f>BD75+BD160+BD334+BD409+BD607</f>
        <v>80</v>
      </c>
      <c r="BE630" s="23">
        <f t="shared" si="4285"/>
        <v>-6.4327485380117011</v>
      </c>
      <c r="BF630" s="36">
        <f>BF75+BF160+BF334+BF409+BF607</f>
        <v>75.834577991359396</v>
      </c>
      <c r="BG630" s="23">
        <f t="shared" si="4287"/>
        <v>7.5667772927083599</v>
      </c>
      <c r="BH630" s="36">
        <f>BH75+BH160+BH334+BH409+BH607</f>
        <v>93.38957061171071</v>
      </c>
      <c r="BI630" s="23" t="str">
        <f t="shared" si="4289"/>
        <v>NM</v>
      </c>
      <c r="BJ630" s="36">
        <f>BJ75+BJ160+BJ334+BJ409+BJ607</f>
        <v>92.702018411145616</v>
      </c>
      <c r="BK630" s="23" t="str">
        <f t="shared" si="4291"/>
        <v>NM</v>
      </c>
      <c r="BL630" s="36">
        <f>BL75+BL160+BL334+BL409+BL607</f>
        <v>93.272350398471261</v>
      </c>
      <c r="BM630" s="23">
        <f t="shared" si="4293"/>
        <v>16.590437998089079</v>
      </c>
      <c r="BN630" s="5"/>
      <c r="BO630" s="137"/>
      <c r="BP630" s="5"/>
      <c r="BQ630" s="5"/>
      <c r="BR630" s="10"/>
      <c r="BS630" s="10"/>
      <c r="BT630" s="10"/>
      <c r="BU630" s="36">
        <f>BU75+BU160+BU334+BU409+BU607</f>
        <v>260.53500000000003</v>
      </c>
      <c r="BV630" s="23" t="str">
        <f>IF(ISERROR((BU630/BS630-1)*100),"NA",IF(((BU630/BS630-1)*100)&gt;100,"NM",IF(((BU630/BS630-1)*100)&lt;-50,"NM",(BU630/BS630-1)*100)))</f>
        <v>NA</v>
      </c>
      <c r="BW630" s="36">
        <f>BW75+BW160+BW334+BW409+BW607</f>
        <v>652.73300000000006</v>
      </c>
      <c r="BX630" s="23" t="str">
        <f>IF(ISERROR((BW630/BU630-1)*100),"NA",IF(((BW630/BU630-1)*100)&gt;100,"NM",IF(((BW630/BU630-1)*100)&lt;-50,"NM",(BW630/BU630-1)*100)))</f>
        <v>NM</v>
      </c>
      <c r="BY630" s="56">
        <f>BY75+BY160+BY334+BY409+BY607</f>
        <v>441.3</v>
      </c>
      <c r="BZ630" s="23">
        <f>IF(ISERROR((BY630/BW630-1)*100),"NA",IF(((BY630/BW630-1)*100)&gt;100,"NM",IF(((BY630/BW630-1)*100)&lt;-50,"NM",(BY630/BW630-1)*100)))</f>
        <v>-32.391958120701737</v>
      </c>
      <c r="CA630" s="56">
        <f>CA75+CA160+CA334+CA409+CA607</f>
        <v>550.20000000000005</v>
      </c>
      <c r="CB630" s="23">
        <f>IF(ISERROR((CA630/BY630-1)*100),"NA",IF(((CA630/BY630-1)*100)&gt;100,"NM",IF(((CA630/BY630-1)*100)&lt;-50,"NM",(CA630/BY630-1)*100)))</f>
        <v>24.677090414683889</v>
      </c>
      <c r="CC630" s="56">
        <f>CC75+CC160+CC334+CC409+CC607</f>
        <v>612.19999999999993</v>
      </c>
      <c r="CD630" s="23">
        <f>IF(ISERROR((CC630/CA630-1)*100),"NA",IF(((CC630/CA630-1)*100)&gt;100,"NM",IF(((CC630/CA630-1)*100)&lt;-50,"NM",(CC630/CA630-1)*100)))</f>
        <v>11.268629589240264</v>
      </c>
      <c r="CE630" s="56">
        <f>CE75+CE160+CE334+CE409+CE607</f>
        <v>493.8</v>
      </c>
      <c r="CF630" s="23">
        <f>IF(ISERROR((CE630/CC630-1)*100),"NA",IF(((CE630/CC630-1)*100)&gt;100,"NM",IF(((CE630/CC630-1)*100)&lt;-50,"NM",(CE630/CC630-1)*100)))</f>
        <v>-19.340084939562217</v>
      </c>
      <c r="CG630" s="56">
        <f>CG75+CG160+CG334+CG409+CG607</f>
        <v>611.90000000000009</v>
      </c>
      <c r="CH630" s="23">
        <f>IF(ISERROR((CG630/CE630-1)*100),"NA",IF(((CG630/CE630-1)*100)&gt;100,"NM",IF(((CG630/CE630-1)*100)&lt;-50,"NM",(CG630/CE630-1)*100)))</f>
        <v>23.916565411097636</v>
      </c>
      <c r="CI630" s="56">
        <f>CI75+CI160+CI334+CI409+CI607</f>
        <v>355.19851741268695</v>
      </c>
      <c r="CJ630" s="23">
        <f>IF(ISERROR((CI630/CG630-1)*100),"NA",IF(((CI630/CG630-1)*100)&gt;100,"NM",IF(((CI630/CG630-1)*100)&lt;-50,"NM",(CI630/CG630-1)*100)))</f>
        <v>-41.951541524319836</v>
      </c>
      <c r="CK630" s="36">
        <f>CK75+CK160+CK334+CK409+CK607</f>
        <v>363.07780814052785</v>
      </c>
      <c r="CL630" s="23">
        <f>IF(ISERROR((CK630/CI630-1)*100),"NA",IF(((CK630/CI630-1)*100)&gt;100,"NM",IF(((CK630/CI630-1)*100)&lt;-50,"NM",(CK630/CI630-1)*100)))</f>
        <v>2.2182780449745865</v>
      </c>
      <c r="CM630" s="36">
        <f>CM75+CM160+CM334+CM409+CM607</f>
        <v>376.91416468015325</v>
      </c>
      <c r="CN630" s="23">
        <f>IF(ISERROR((CM630/CK630-1)*100),"NA",IF(((CM630/CK630-1)*100)&gt;100,"NM",IF(((CM630/CK630-1)*100)&lt;-50,"NM",(CM630/CK630-1)*100)))</f>
        <v>3.8108516217190802</v>
      </c>
      <c r="CO630" s="36">
        <f>CO75+CO160+CO334+CO409+CO607</f>
        <v>391.15499623484072</v>
      </c>
      <c r="CP630" s="23">
        <f>IF(ISERROR((CO630/CM630-1)*100),"NA",IF(((CO630/CM630-1)*100)&gt;100,"NM",IF(((CO630/CM630-1)*100)&lt;-50,"NM",(CO630/CM630-1)*100)))</f>
        <v>3.7782691363621668</v>
      </c>
      <c r="CQ630" s="36">
        <f>CQ75+CQ160+CQ334+CQ409+CQ607</f>
        <v>408.40119804320642</v>
      </c>
      <c r="CR630" s="23">
        <f>IF(ISERROR((CQ630/CO630-1)*100),"NA",IF(((CQ630/CO630-1)*100)&gt;100,"NM",IF(((CQ630/CO630-1)*100)&lt;-50,"NM",(CQ630/CO630-1)*100)))</f>
        <v>4.4090455124882189</v>
      </c>
      <c r="CS630" s="23">
        <f>IF(ISERROR(((CQ630/CG630)^0.2-1)*100),"NA",IF((((CQ630/CG630)^0.2-1)*100)&gt;100,"NM",IF((((CQ630/CG630)^0.2-1)*100)&lt;-50,"NM",((CQ630/CG630)^0.2-1)*100)))</f>
        <v>-7.7680669676141401</v>
      </c>
    </row>
    <row r="631" spans="1:99" ht="12.75" customHeight="1" x14ac:dyDescent="0.2">
      <c r="A631" s="4" t="s">
        <v>10</v>
      </c>
      <c r="B631" s="36">
        <f>-B440</f>
        <v>44.3</v>
      </c>
      <c r="C631" s="59"/>
      <c r="D631" s="36">
        <f>-D440</f>
        <v>69.099999999999994</v>
      </c>
      <c r="E631" s="59"/>
      <c r="F631" s="36">
        <f>-F440</f>
        <v>20.800000000000004</v>
      </c>
      <c r="G631" s="59"/>
      <c r="H631" s="36">
        <f>-H440</f>
        <v>96</v>
      </c>
      <c r="I631" s="59"/>
      <c r="J631" s="36">
        <f>-J440</f>
        <v>48.4</v>
      </c>
      <c r="K631" s="23">
        <f t="shared" si="4294"/>
        <v>9.2550790067720037</v>
      </c>
      <c r="L631" s="36">
        <f>-L440</f>
        <v>32.700000000000003</v>
      </c>
      <c r="M631" s="23" t="str">
        <f t="shared" si="4294"/>
        <v>NM</v>
      </c>
      <c r="N631" s="36">
        <f>-N440</f>
        <v>57.6</v>
      </c>
      <c r="O631" s="23" t="str">
        <f t="shared" si="4294"/>
        <v>NM</v>
      </c>
      <c r="P631" s="36">
        <f>-P440</f>
        <v>43.600000000000009</v>
      </c>
      <c r="Q631" s="23" t="str">
        <f t="shared" si="4294"/>
        <v>NM</v>
      </c>
      <c r="R631" s="36">
        <f>-R440</f>
        <v>50.1</v>
      </c>
      <c r="S631" s="23">
        <f t="shared" si="4294"/>
        <v>3.512396694214881</v>
      </c>
      <c r="T631" s="36">
        <f>-T440</f>
        <v>52.800000000000011</v>
      </c>
      <c r="U631" s="23">
        <f t="shared" si="4294"/>
        <v>61.467889908256915</v>
      </c>
      <c r="V631" s="36">
        <f>-V440</f>
        <v>63.699999999999996</v>
      </c>
      <c r="W631" s="23">
        <f t="shared" si="4294"/>
        <v>10.590277777777768</v>
      </c>
      <c r="X631" s="36">
        <f>-X440</f>
        <v>44</v>
      </c>
      <c r="Y631" s="23">
        <f t="shared" si="4294"/>
        <v>0.91743119266052275</v>
      </c>
      <c r="Z631" s="36">
        <f>-Z440</f>
        <v>37.299999999999997</v>
      </c>
      <c r="AA631" s="23">
        <f>IF(ISERROR((Z631/R631-1)*100),"NA",IF(((Z631/R631-1)*100)&gt;100,"NM",IF(((Z631/R631-1)*100)&lt;-50,"NM",(Z631/R631-1)*100)))</f>
        <v>-25.54890219560879</v>
      </c>
      <c r="AB631" s="36">
        <f>-AB440</f>
        <v>38.300000000000004</v>
      </c>
      <c r="AC631" s="23">
        <f>IF(ISERROR((AB631/T631-1)*100),"NA",IF(((AB631/T631-1)*100)&gt;100,"NM",IF(((AB631/T631-1)*100)&lt;-50,"NM",(AB631/T631-1)*100)))</f>
        <v>-27.462121212121215</v>
      </c>
      <c r="AD631" s="36">
        <f>-AD440</f>
        <v>47.1</v>
      </c>
      <c r="AE631" s="23">
        <f>IF(ISERROR((AD631/V631-1)*100),"NA",IF(((AD631/V631-1)*100)&gt;100,"NM",IF(((AD631/V631-1)*100)&lt;-50,"NM",(AD631/V631-1)*100)))</f>
        <v>-26.059654631083195</v>
      </c>
      <c r="AF631" s="36">
        <f>-AF440</f>
        <v>47.7</v>
      </c>
      <c r="AG631" s="23">
        <f>IF(ISERROR((AF631/X631-1)*100),"NA",IF(((AF631/X631-1)*100)&gt;100,"NM",IF(((AF631/X631-1)*100)&lt;-50,"NM",(AF631/X631-1)*100)))</f>
        <v>8.4090909090909207</v>
      </c>
      <c r="AH631" s="36">
        <f>-AH440</f>
        <v>48.2</v>
      </c>
      <c r="AI631" s="23">
        <f>IF(ISERROR((AH631/Z631-1)*100),"NA",IF(((AH631/Z631-1)*100)&gt;100,"NM",IF(((AH631/Z631-1)*100)&lt;-50,"NM",(AH631/Z631-1)*100)))</f>
        <v>29.222520107238626</v>
      </c>
      <c r="AJ631" s="36">
        <f>-AJ440</f>
        <v>53.29999999999999</v>
      </c>
      <c r="AK631" s="23">
        <f>IF(ISERROR((AJ631/AB631-1)*100),"NA",IF(((AJ631/AB631-1)*100)&gt;100,"NM",IF(((AJ631/AB631-1)*100)&lt;-50,"NM",(AJ631/AB631-1)*100)))</f>
        <v>39.164490861618752</v>
      </c>
      <c r="AL631" s="36">
        <f>-AL440</f>
        <v>75.600000000000009</v>
      </c>
      <c r="AM631" s="23">
        <f>IF(ISERROR((AL631/AD631-1)*100),"NA",IF(((AL631/AD631-1)*100)&gt;100,"NM",IF(((AL631/AD631-1)*100)&lt;-50,"NM",(AL631/AD631-1)*100)))</f>
        <v>60.509554140127399</v>
      </c>
      <c r="AN631" s="410">
        <f>-AN440</f>
        <v>82.100000000000009</v>
      </c>
      <c r="AO631" s="23">
        <f>IF(ISERROR((AN631/AF631-1)*100),"NA",IF(((AN631/AF631-1)*100)&gt;100,"NM",IF(((AN631/AF631-1)*100)&lt;-50,"NM",(AN631/AF631-1)*100)))</f>
        <v>72.117400419287222</v>
      </c>
      <c r="AP631" s="410">
        <f>-AP440</f>
        <v>104.89999999999999</v>
      </c>
      <c r="AQ631" s="23" t="str">
        <f t="shared" si="4274"/>
        <v>NM</v>
      </c>
      <c r="AR631" s="410">
        <f>-AR440</f>
        <v>126.2</v>
      </c>
      <c r="AS631" s="23" t="str">
        <f t="shared" si="4276"/>
        <v>NM</v>
      </c>
      <c r="AT631" s="410">
        <f>-AT440</f>
        <v>109.4</v>
      </c>
      <c r="AU631" s="23">
        <f t="shared" si="4277"/>
        <v>44.708994708994695</v>
      </c>
      <c r="AV631" s="410">
        <f>-AV440</f>
        <v>133.30000000000001</v>
      </c>
      <c r="AW631" s="23">
        <f t="shared" si="4279"/>
        <v>62.362971985383673</v>
      </c>
      <c r="AX631" s="410">
        <f>-AX440</f>
        <v>95.1</v>
      </c>
      <c r="AY631" s="23">
        <f t="shared" si="4280"/>
        <v>-9.3422306959008559</v>
      </c>
      <c r="AZ631" s="410">
        <f>-AZ440</f>
        <v>100.5</v>
      </c>
      <c r="BA631" s="23">
        <f t="shared" si="4282"/>
        <v>-20.364500792393024</v>
      </c>
      <c r="BB631" s="410">
        <f>-BB440</f>
        <v>110</v>
      </c>
      <c r="BC631" s="23">
        <f t="shared" si="4284"/>
        <v>0.54844606946982122</v>
      </c>
      <c r="BD631" s="410">
        <f>-BD440</f>
        <v>88.699999999999989</v>
      </c>
      <c r="BE631" s="23">
        <f t="shared" si="4285"/>
        <v>-33.458364591147806</v>
      </c>
      <c r="BF631" s="36">
        <f>-BF440</f>
        <v>78.5</v>
      </c>
      <c r="BG631" s="23">
        <f t="shared" si="4287"/>
        <v>-17.455310199789686</v>
      </c>
      <c r="BH631" s="36">
        <f>-BH440</f>
        <v>81.5</v>
      </c>
      <c r="BI631" s="23">
        <f t="shared" si="4289"/>
        <v>-18.905472636815922</v>
      </c>
      <c r="BJ631" s="36">
        <f>-BJ440</f>
        <v>70.352499999999992</v>
      </c>
      <c r="BK631" s="23">
        <f t="shared" si="4291"/>
        <v>-36.043181818181822</v>
      </c>
      <c r="BL631" s="36">
        <f>-BL440</f>
        <v>65.352499999999992</v>
      </c>
      <c r="BM631" s="23">
        <f t="shared" si="4293"/>
        <v>-26.321871476888393</v>
      </c>
      <c r="BN631" s="5"/>
      <c r="BO631" s="137"/>
      <c r="BP631" s="5"/>
      <c r="BQ631" s="5"/>
      <c r="BR631" s="10"/>
      <c r="BS631" s="10"/>
      <c r="BT631" s="10"/>
      <c r="BU631" s="36">
        <f>-BU440</f>
        <v>230.19999999999996</v>
      </c>
      <c r="BV631" s="23" t="str">
        <f>IF(ISERROR((BU631/BS631-1)*100),"NA",IF(((BU631/BS631-1)*100)&gt;100,"NM",IF(((BU631/BS631-1)*100)&lt;-50,"NM",(BU631/BS631-1)*100)))</f>
        <v>NA</v>
      </c>
      <c r="BW631" s="36">
        <f>-BW440</f>
        <v>182.3</v>
      </c>
      <c r="BX631" s="23">
        <f>IF(ISERROR((BW631/BU631-1)*100),"NA",IF(((BW631/BU631-1)*100)&gt;100,"NM",IF(((BW631/BU631-1)*100)&lt;-50,"NM",(BW631/BU631-1)*100)))</f>
        <v>-20.807993049522132</v>
      </c>
      <c r="BY631" s="56">
        <f>-BY440</f>
        <v>210.6</v>
      </c>
      <c r="BZ631" s="23">
        <f>IF(ISERROR((BY631/BW631-1)*100),"NA",IF(((BY631/BW631-1)*100)&gt;100,"NM",IF(((BY631/BW631-1)*100)&lt;-50,"NM",(BY631/BW631-1)*100)))</f>
        <v>15.523861766319236</v>
      </c>
      <c r="CA631" s="56">
        <f>-CA440</f>
        <v>170.4</v>
      </c>
      <c r="CB631" s="23">
        <f>IF(ISERROR((CA631/BY631-1)*100),"NA",IF(((CA631/BY631-1)*100)&gt;100,"NM",IF(((CA631/BY631-1)*100)&lt;-50,"NM",(CA631/BY631-1)*100)))</f>
        <v>-19.088319088319082</v>
      </c>
      <c r="CC631" s="56">
        <f>-CC440</f>
        <v>259.20000000000005</v>
      </c>
      <c r="CD631" s="23">
        <f>IF(ISERROR((CC631/CA631-1)*100),"NA",IF(((CC631/CA631-1)*100)&gt;100,"NM",IF(((CC631/CA631-1)*100)&lt;-50,"NM",(CC631/CA631-1)*100)))</f>
        <v>52.112676056338046</v>
      </c>
      <c r="CE631" s="56">
        <f>-CE440</f>
        <v>473.80000000000007</v>
      </c>
      <c r="CF631" s="23">
        <f>IF(ISERROR((CE631/CC631-1)*100),"NA",IF(((CE631/CC631-1)*100)&gt;100,"NM",IF(((CE631/CC631-1)*100)&lt;-50,"NM",(CE631/CC631-1)*100)))</f>
        <v>82.793209876543187</v>
      </c>
      <c r="CG631" s="56">
        <f>-CG440</f>
        <v>394.29999999999995</v>
      </c>
      <c r="CH631" s="23">
        <f>IF(ISERROR((CG631/CE631-1)*100),"NA",IF(((CG631/CE631-1)*100)&gt;100,"NM",IF(((CG631/CE631-1)*100)&lt;-50,"NM",(CG631/CE631-1)*100)))</f>
        <v>-16.779231743351641</v>
      </c>
      <c r="CI631" s="56">
        <f>-CI440</f>
        <v>295.70500000000004</v>
      </c>
      <c r="CJ631" s="23">
        <f>IF(ISERROR((CI631/CG631-1)*100),"NA",IF(((CI631/CG631-1)*100)&gt;100,"NM",IF(((CI631/CG631-1)*100)&lt;-50,"NM",(CI631/CG631-1)*100)))</f>
        <v>-25.005072279989836</v>
      </c>
      <c r="CK631" s="36">
        <f>-CK440</f>
        <v>232.40999999999997</v>
      </c>
      <c r="CL631" s="23">
        <f>IF(ISERROR((CK631/CI631-1)*100),"NA",IF(((CK631/CI631-1)*100)&gt;100,"NM",IF(((CK631/CI631-1)*100)&lt;-50,"NM",(CK631/CI631-1)*100)))</f>
        <v>-21.404778410916304</v>
      </c>
      <c r="CM631" s="36">
        <f>-CM440</f>
        <v>232.72999999999996</v>
      </c>
      <c r="CN631" s="23">
        <f>IF(ISERROR((CM631/CK631-1)*100),"NA",IF(((CM631/CK631-1)*100)&gt;100,"NM",IF(((CM631/CK631-1)*100)&lt;-50,"NM",(CM631/CK631-1)*100)))</f>
        <v>0.13768770706938938</v>
      </c>
      <c r="CO631" s="36">
        <f>-CO440</f>
        <v>233.05319999999998</v>
      </c>
      <c r="CP631" s="23">
        <f>IF(ISERROR((CO631/CM631-1)*100),"NA",IF(((CO631/CM631-1)*100)&gt;100,"NM",IF(((CO631/CM631-1)*100)&lt;-50,"NM",(CO631/CM631-1)*100)))</f>
        <v>0.13887337257767474</v>
      </c>
      <c r="CQ631" s="36">
        <f>-CQ440</f>
        <v>233.37963199999996</v>
      </c>
      <c r="CR631" s="23">
        <f>IF(ISERROR((CQ631/CO631-1)*100),"NA",IF(((CQ631/CO631-1)*100)&gt;100,"NM",IF(((CQ631/CO631-1)*100)&lt;-50,"NM",(CQ631/CO631-1)*100)))</f>
        <v>0.14006758971769617</v>
      </c>
      <c r="CS631" s="23">
        <f>IF(ISERROR(((CQ631/CG631)^0.2-1)*100),"NA",IF((((CQ631/CG631)^0.2-1)*100)&gt;100,"NM",IF((((CQ631/CG631)^0.2-1)*100)&lt;-50,"NM",((CQ631/CG631)^0.2-1)*100)))</f>
        <v>-9.9575642335450567</v>
      </c>
    </row>
    <row r="632" spans="1:99" ht="12.75" customHeight="1" x14ac:dyDescent="0.2">
      <c r="A632" s="4" t="s">
        <v>16</v>
      </c>
      <c r="B632" s="36"/>
      <c r="C632" s="60"/>
      <c r="D632" s="36"/>
      <c r="E632" s="60"/>
      <c r="F632" s="36"/>
      <c r="G632" s="60"/>
      <c r="H632" s="36"/>
      <c r="I632" s="60"/>
      <c r="J632" s="36"/>
      <c r="K632" s="23"/>
      <c r="L632" s="36"/>
      <c r="M632" s="23"/>
      <c r="N632" s="36"/>
      <c r="O632" s="23"/>
      <c r="P632" s="36"/>
      <c r="Q632" s="23"/>
      <c r="R632" s="36"/>
      <c r="S632" s="23"/>
      <c r="T632" s="36"/>
      <c r="U632" s="23"/>
      <c r="V632" s="36"/>
      <c r="W632" s="23"/>
      <c r="X632" s="36"/>
      <c r="Y632" s="23"/>
      <c r="Z632" s="36"/>
      <c r="AA632" s="23"/>
      <c r="AB632" s="36"/>
      <c r="AC632" s="23"/>
      <c r="AD632" s="36"/>
      <c r="AE632" s="23"/>
      <c r="AF632" s="36"/>
      <c r="AG632" s="23"/>
      <c r="AH632" s="36"/>
      <c r="AI632" s="23"/>
      <c r="AJ632" s="36"/>
      <c r="AK632" s="23"/>
      <c r="AL632" s="36"/>
      <c r="AM632" s="23"/>
      <c r="AN632" s="410"/>
      <c r="AO632" s="23"/>
      <c r="AP632" s="410"/>
      <c r="AQ632" s="23"/>
      <c r="AR632" s="410"/>
      <c r="AS632" s="23"/>
      <c r="AT632" s="410"/>
      <c r="AU632" s="23"/>
      <c r="AV632" s="410"/>
      <c r="AW632" s="23"/>
      <c r="AX632" s="410"/>
      <c r="AY632" s="23"/>
      <c r="AZ632" s="410"/>
      <c r="BA632" s="23"/>
      <c r="BB632" s="410"/>
      <c r="BC632" s="23"/>
      <c r="BD632" s="410"/>
      <c r="BE632" s="23"/>
      <c r="BF632" s="36"/>
      <c r="BG632" s="23"/>
      <c r="BH632" s="36"/>
      <c r="BI632" s="23"/>
      <c r="BJ632" s="36"/>
      <c r="BK632" s="23"/>
      <c r="BL632" s="36"/>
      <c r="BM632" s="23"/>
      <c r="BN632" s="5"/>
      <c r="BO632" s="137"/>
      <c r="BP632" s="5"/>
      <c r="BQ632" s="5"/>
      <c r="BR632" s="10"/>
      <c r="BS632" s="10"/>
      <c r="BT632" s="10"/>
      <c r="BU632" s="36"/>
      <c r="BV632" s="23"/>
      <c r="BW632" s="36"/>
      <c r="BX632" s="23"/>
      <c r="BY632" s="36"/>
      <c r="BZ632" s="23"/>
      <c r="CA632" s="36"/>
      <c r="CB632" s="23"/>
      <c r="CC632" s="36"/>
      <c r="CD632" s="23"/>
      <c r="CE632" s="36"/>
      <c r="CF632" s="23"/>
      <c r="CG632" s="36"/>
      <c r="CH632" s="23"/>
      <c r="CI632" s="36"/>
      <c r="CJ632" s="23"/>
      <c r="CK632" s="36"/>
      <c r="CL632" s="23"/>
      <c r="CM632" s="36"/>
      <c r="CN632" s="23"/>
      <c r="CO632" s="36"/>
      <c r="CP632" s="23"/>
      <c r="CQ632" s="36"/>
      <c r="CR632" s="23"/>
      <c r="CS632" s="23"/>
    </row>
    <row r="633" spans="1:99" ht="12.75" customHeight="1" x14ac:dyDescent="0.2">
      <c r="A633" s="3" t="s">
        <v>11</v>
      </c>
      <c r="B633" s="72">
        <f>SUM(B627:B632)</f>
        <v>1256.21</v>
      </c>
      <c r="C633" s="59"/>
      <c r="D633" s="72">
        <f>SUM(D627:D632)</f>
        <v>1326.3579999999999</v>
      </c>
      <c r="E633" s="59"/>
      <c r="F633" s="72">
        <f>SUM(F627:F632)</f>
        <v>1224.3599999999999</v>
      </c>
      <c r="G633" s="59"/>
      <c r="H633" s="72">
        <f>SUM(H627:H632)</f>
        <v>1110.9849999999997</v>
      </c>
      <c r="I633" s="59"/>
      <c r="J633" s="72">
        <f>SUM(J627:J632)</f>
        <v>1300.069</v>
      </c>
      <c r="K633" s="23">
        <f t="shared" ref="K633:Y633" si="4295">IF(ISERROR((J633/B633-1)*100),"NA",IF(((J633/B633-1)*100)&gt;100,"NM",IF(((J633/B633-1)*100)&lt;-50,"NM",(J633/B633-1)*100)))</f>
        <v>3.4913748497464425</v>
      </c>
      <c r="L633" s="72">
        <f>SUM(L627:L632)</f>
        <v>1244.183</v>
      </c>
      <c r="M633" s="23">
        <f t="shared" si="4295"/>
        <v>-6.1955369515620973</v>
      </c>
      <c r="N633" s="72">
        <f>SUM(N627:N632)</f>
        <v>1256.9039999999998</v>
      </c>
      <c r="O633" s="23">
        <f t="shared" si="4295"/>
        <v>2.6580417524257438</v>
      </c>
      <c r="P633" s="72">
        <f>SUM(P627:P632)</f>
        <v>1310.664</v>
      </c>
      <c r="Q633" s="23">
        <f t="shared" si="4295"/>
        <v>17.973149952519641</v>
      </c>
      <c r="R633" s="72">
        <f>SUM(R627:R632)</f>
        <v>1228.1999999999998</v>
      </c>
      <c r="S633" s="23">
        <f t="shared" si="4295"/>
        <v>-5.5280912013131678</v>
      </c>
      <c r="T633" s="72">
        <f>SUM(T627:T632)</f>
        <v>1242.2</v>
      </c>
      <c r="U633" s="23">
        <f t="shared" si="4295"/>
        <v>-0.15938169867294461</v>
      </c>
      <c r="V633" s="72">
        <f>SUM(V627:V632)</f>
        <v>1155.5999999999999</v>
      </c>
      <c r="W633" s="23">
        <f t="shared" si="4295"/>
        <v>-8.0598040900498269</v>
      </c>
      <c r="X633" s="72">
        <f>SUM(X627:X632)</f>
        <v>1230</v>
      </c>
      <c r="Y633" s="23">
        <f t="shared" si="4295"/>
        <v>-6.1544377506363208</v>
      </c>
      <c r="Z633" s="72">
        <f>SUM(Z627:Z632)</f>
        <v>1253.0999999999999</v>
      </c>
      <c r="AA633" s="23">
        <f>IF(ISERROR((Z633/R633-1)*100),"NA",IF(((Z633/R633-1)*100)&gt;100,"NM",IF(((Z633/R633-1)*100)&lt;-50,"NM",(Z633/R633-1)*100)))</f>
        <v>2.0273571079628905</v>
      </c>
      <c r="AB633" s="72">
        <f>SUM(AB627:AB632)</f>
        <v>1202.5999999999997</v>
      </c>
      <c r="AC633" s="23">
        <f>IF(ISERROR((AB633/T633-1)*100),"NA",IF(((AB633/T633-1)*100)&gt;100,"NM",IF(((AB633/T633-1)*100)&lt;-50,"NM",(AB633/T633-1)*100)))</f>
        <v>-3.1878924488810467</v>
      </c>
      <c r="AD633" s="72">
        <f>SUM(AD627:AD632)</f>
        <v>1235.8</v>
      </c>
      <c r="AE633" s="23">
        <f>IF(ISERROR((AD633/V633-1)*100),"NA",IF(((AD633/V633-1)*100)&gt;100,"NM",IF(((AD633/V633-1)*100)&lt;-50,"NM",(AD633/V633-1)*100)))</f>
        <v>6.9401176877812443</v>
      </c>
      <c r="AF633" s="72">
        <f>SUM(AF627:AF632)</f>
        <v>1221.4000000000001</v>
      </c>
      <c r="AG633" s="23">
        <f>IF(ISERROR((AF633/X633-1)*100),"NA",IF(((AF633/X633-1)*100)&gt;100,"NM",IF(((AF633/X633-1)*100)&lt;-50,"NM",(AF633/X633-1)*100)))</f>
        <v>-0.69918699186991562</v>
      </c>
      <c r="AH633" s="72">
        <f>SUM(AH627:AH632)</f>
        <v>1209.6999999999998</v>
      </c>
      <c r="AI633" s="23">
        <f>IF(ISERROR((AH633/Z633-1)*100),"NA",IF(((AH633/Z633-1)*100)&gt;100,"NM",IF(((AH633/Z633-1)*100)&lt;-50,"NM",(AH633/Z633-1)*100)))</f>
        <v>-3.4634107413614279</v>
      </c>
      <c r="AJ633" s="72">
        <f>SUM(AJ627:AJ632)</f>
        <v>1225.1000000000001</v>
      </c>
      <c r="AK633" s="23">
        <f>IF(ISERROR((AJ633/AB633-1)*100),"NA",IF(((AJ633/AB633-1)*100)&gt;100,"NM",IF(((AJ633/AB633-1)*100)&lt;-50,"NM",(AJ633/AB633-1)*100)))</f>
        <v>1.8709462830534207</v>
      </c>
      <c r="AL633" s="72">
        <f>SUM(AL627:AL632)</f>
        <v>1345.1999999999998</v>
      </c>
      <c r="AM633" s="23">
        <f>IF(ISERROR((AL633/AD633-1)*100),"NA",IF(((AL633/AD633-1)*100)&gt;100,"NM",IF(((AL633/AD633-1)*100)&lt;-50,"NM",(AL633/AD633-1)*100)))</f>
        <v>8.8525651399902863</v>
      </c>
      <c r="AN633" s="72">
        <f t="shared" ref="AN633:AP633" si="4296">SUM(AN627:AN632)</f>
        <v>1231.5</v>
      </c>
      <c r="AO633" s="23">
        <f>IF(ISERROR((AN633/AF633-1)*100),"NA",IF(((AN633/AF633-1)*100)&gt;100,"NM",IF(((AN633/AF633-1)*100)&lt;-50,"NM",(AN633/AF633-1)*100)))</f>
        <v>0.82691992795151936</v>
      </c>
      <c r="AP633" s="72">
        <f t="shared" si="4296"/>
        <v>1060</v>
      </c>
      <c r="AQ633" s="23">
        <f t="shared" ref="AQ633" si="4297">IF(ISERROR((AP633/AH633-1)*100),"NA",IF(((AP633/AH633-1)*100)&gt;100,"NM",IF(((AP633/AH633-1)*100)&lt;-50,"NM",(AP633/AH633-1)*100)))</f>
        <v>-12.374969000578639</v>
      </c>
      <c r="AR633" s="72">
        <f t="shared" ref="AR633:AT633" si="4298">SUM(AR627:AR632)</f>
        <v>1057.6000000000001</v>
      </c>
      <c r="AS633" s="23">
        <f t="shared" ref="AS633" si="4299">IF(ISERROR((AR633/AJ633-1)*100),"NA",IF(((AR633/AJ633-1)*100)&gt;100,"NM",IF(((AR633/AJ633-1)*100)&lt;-50,"NM",(AR633/AJ633-1)*100)))</f>
        <v>-13.672353277283488</v>
      </c>
      <c r="AT633" s="72">
        <f t="shared" si="4298"/>
        <v>1238.2</v>
      </c>
      <c r="AU633" s="23">
        <f t="shared" ref="AU633" si="4300">IF(ISERROR((AT633/AL633-1)*100),"NA",IF(((AT633/AL633-1)*100)&gt;100,"NM",IF(((AT633/AL633-1)*100)&lt;-50,"NM",(AT633/AL633-1)*100)))</f>
        <v>-7.9542075527802343</v>
      </c>
      <c r="AV633" s="72">
        <f t="shared" ref="AV633:AX633" si="4301">SUM(AV627:AV632)</f>
        <v>1082.5999999999999</v>
      </c>
      <c r="AW633" s="23">
        <f t="shared" ref="AW633" si="4302">IF(ISERROR((AV633/AN633-1)*100),"NA",IF(((AV633/AN633-1)*100)&gt;100,"NM",IF(((AV633/AN633-1)*100)&lt;-50,"NM",(AV633/AN633-1)*100)))</f>
        <v>-12.09094600081203</v>
      </c>
      <c r="AX633" s="72">
        <f t="shared" si="4301"/>
        <v>1060.5</v>
      </c>
      <c r="AY633" s="23">
        <f t="shared" ref="AY633" si="4303">IF(ISERROR((AX633/AP633-1)*100),"NA",IF(((AX633/AP633-1)*100)&gt;100,"NM",IF(((AX633/AP633-1)*100)&lt;-50,"NM",(AX633/AP633-1)*100)))</f>
        <v>4.7169811320757482E-2</v>
      </c>
      <c r="AZ633" s="72">
        <f t="shared" ref="AZ633" si="4304">SUM(AZ627:AZ632)</f>
        <v>1155.0000000000002</v>
      </c>
      <c r="BA633" s="23">
        <f t="shared" ref="BA633" si="4305">IF(ISERROR((AZ633/AR633-1)*100),"NA",IF(((AZ633/AR633-1)*100)&gt;100,"NM",IF(((AZ633/AR633-1)*100)&lt;-50,"NM",(AZ633/AR633-1)*100)))</f>
        <v>9.2095310136157451</v>
      </c>
      <c r="BB633" s="72">
        <f t="shared" ref="BB633:BD633" si="4306">SUM(BB627:BB632)</f>
        <v>1226.0999999999999</v>
      </c>
      <c r="BC633" s="23">
        <f t="shared" ref="BC633" si="4307">IF(ISERROR((BB633/AT633-1)*100),"NA",IF(((BB633/AT633-1)*100)&gt;100,"NM",IF(((BB633/AT633-1)*100)&lt;-50,"NM",(BB633/AT633-1)*100)))</f>
        <v>-0.97722500403812917</v>
      </c>
      <c r="BD633" s="72">
        <f t="shared" si="4306"/>
        <v>1039.9000000000001</v>
      </c>
      <c r="BE633" s="23">
        <f t="shared" ref="BE633" si="4308">IF(ISERROR((BD633/AV633-1)*100),"NA",IF(((BD633/AV633-1)*100)&gt;100,"NM",IF(((BD633/AV633-1)*100)&lt;-50,"NM",(BD633/AV633-1)*100)))</f>
        <v>-3.9442083872159417</v>
      </c>
      <c r="BF633" s="72">
        <f t="shared" ref="BF633" si="4309">SUM(BF627:BF632)</f>
        <v>1077.587134630146</v>
      </c>
      <c r="BG633" s="23">
        <f t="shared" ref="BG633" si="4310">IF(ISERROR((BF633/AX633-1)*100),"NA",IF(((BF633/AX633-1)*100)&gt;100,"NM",IF(((BF633/AX633-1)*100)&lt;-50,"NM",(BF633/AX633-1)*100)))</f>
        <v>1.6112338170811924</v>
      </c>
      <c r="BH633" s="72">
        <f t="shared" ref="BH633" si="4311">SUM(BH627:BH632)</f>
        <v>1061.7999431777068</v>
      </c>
      <c r="BI633" s="23">
        <f t="shared" ref="BI633" si="4312">IF(ISERROR((BH633/AZ633-1)*100),"NA",IF(((BH633/AZ633-1)*100)&gt;100,"NM",IF(((BH633/AZ633-1)*100)&lt;-50,"NM",(BH633/AZ633-1)*100)))</f>
        <v>-8.0692689889431453</v>
      </c>
      <c r="BJ633" s="72">
        <f t="shared" ref="BJ633" si="4313">SUM(BJ627:BJ632)</f>
        <v>1040.4449492474628</v>
      </c>
      <c r="BK633" s="23">
        <f t="shared" ref="BK633" si="4314">IF(ISERROR((BJ633/BB633-1)*100),"NA",IF(((BJ633/BB633-1)*100)&gt;100,"NM",IF(((BJ633/BB633-1)*100)&lt;-50,"NM",(BJ633/BB633-1)*100)))</f>
        <v>-15.141917523247461</v>
      </c>
      <c r="BL633" s="72">
        <f t="shared" ref="BL633" si="4315">SUM(BL627:BL632)</f>
        <v>1040.868254477534</v>
      </c>
      <c r="BM633" s="23">
        <f t="shared" ref="BM633" si="4316">IF(ISERROR((BL633/BD633-1)*100),"NA",IF(((BL633/BD633-1)*100)&gt;100,"NM",IF(((BL633/BD633-1)*100)&lt;-50,"NM",(BL633/BD633-1)*100)))</f>
        <v>9.3110344988356353E-2</v>
      </c>
      <c r="BN633" s="5"/>
      <c r="BO633" s="137"/>
      <c r="BP633" s="5"/>
      <c r="BQ633" s="7"/>
      <c r="BR633" s="8"/>
      <c r="BS633" s="8"/>
      <c r="BT633" s="8"/>
      <c r="BU633" s="72">
        <f>SUM(BU627:BU632)</f>
        <v>4917.9129999999996</v>
      </c>
      <c r="BV633" s="23" t="str">
        <f>IF(ISERROR((BU633/BS633-1)*100),"NA",IF(((BU633/BS633-1)*100)&gt;100,"NM",IF(((BU633/BS633-1)*100)&lt;-50,"NM",(BU633/BS633-1)*100)))</f>
        <v>NA</v>
      </c>
      <c r="BW633" s="72">
        <f>SUM(BW627:BW632)</f>
        <v>5111.8200000000006</v>
      </c>
      <c r="BX633" s="23">
        <f>IF(ISERROR((BW633/BU633-1)*100),"NA",IF(((BW633/BU633-1)*100)&gt;100,"NM",IF(((BW633/BU633-1)*100)&lt;-50,"NM",(BW633/BU633-1)*100)))</f>
        <v>3.9428717018784365</v>
      </c>
      <c r="BY633" s="72">
        <f>SUM(BY627:BY632)</f>
        <v>4856.0000000000009</v>
      </c>
      <c r="BZ633" s="23">
        <f>IF(ISERROR((BY633/BW633-1)*100),"NA",IF(((BY633/BW633-1)*100)&gt;100,"NM",IF(((BY633/BW633-1)*100)&lt;-50,"NM",(BY633/BW633-1)*100)))</f>
        <v>-5.0044798134519564</v>
      </c>
      <c r="CA633" s="72">
        <f>SUM(CA627:CA632)</f>
        <v>4912.8999999999996</v>
      </c>
      <c r="CB633" s="23">
        <f>IF(ISERROR((CA633/BY633-1)*100),"NA",IF(((CA633/BY633-1)*100)&gt;100,"NM",IF(((CA633/BY633-1)*100)&lt;-50,"NM",(CA633/BY633-1)*100)))</f>
        <v>1.1717462932454348</v>
      </c>
      <c r="CC633" s="72">
        <f>SUM(CC627:CC632)</f>
        <v>5011.5</v>
      </c>
      <c r="CD633" s="23">
        <f>IF(ISERROR((CC633/CA633-1)*100),"NA",IF(((CC633/CA633-1)*100)&gt;100,"NM",IF(((CC633/CA633-1)*100)&lt;-50,"NM",(CC633/CA633-1)*100)))</f>
        <v>2.0069612652404922</v>
      </c>
      <c r="CE633" s="72">
        <f>SUM(CE627:CE632)</f>
        <v>4438.3999999999996</v>
      </c>
      <c r="CF633" s="23">
        <f>IF(ISERROR((CE633/CC633-1)*100),"NA",IF(((CE633/CC633-1)*100)&gt;100,"NM",IF(((CE633/CC633-1)*100)&lt;-50,"NM",(CE633/CC633-1)*100)))</f>
        <v>-11.435697894841867</v>
      </c>
      <c r="CG633" s="72">
        <f>SUM(CG627:CG632)</f>
        <v>4481.5</v>
      </c>
      <c r="CH633" s="23">
        <f>IF(ISERROR((CG633/CE633-1)*100),"NA",IF(((CG633/CE633-1)*100)&gt;100,"NM",IF(((CG633/CE633-1)*100)&lt;-50,"NM",(CG633/CE633-1)*100)))</f>
        <v>0.97107065609229881</v>
      </c>
      <c r="CI633" s="72">
        <f>SUM(CI627:CI632)</f>
        <v>4220.7002815328497</v>
      </c>
      <c r="CJ633" s="23">
        <f>IF(ISERROR((CI633/CG633-1)*100),"NA",IF(((CI633/CG633-1)*100)&gt;100,"NM",IF(((CI633/CG633-1)*100)&lt;-50,"NM",(CI633/CG633-1)*100)))</f>
        <v>-5.8194738026810295</v>
      </c>
      <c r="CK633" s="72">
        <f>SUM(CK627:CK632)</f>
        <v>4274.3714190886058</v>
      </c>
      <c r="CL633" s="23">
        <f>IF(ISERROR((CK633/CI633-1)*100),"NA",IF(((CK633/CI633-1)*100)&gt;100,"NM",IF(((CK633/CI633-1)*100)&lt;-50,"NM",(CK633/CI633-1)*100)))</f>
        <v>1.2716168876190315</v>
      </c>
      <c r="CM633" s="72">
        <f>SUM(CM627:CM632)</f>
        <v>4433.5392612277365</v>
      </c>
      <c r="CN633" s="23">
        <f>IF(ISERROR((CM633/CK633-1)*100),"NA",IF(((CM633/CK633-1)*100)&gt;100,"NM",IF(((CM633/CK633-1)*100)&lt;-50,"NM",(CM633/CK633-1)*100)))</f>
        <v>3.7237719078017983</v>
      </c>
      <c r="CO633" s="72">
        <f>SUM(CO627:CO632)</f>
        <v>4592.9162913491991</v>
      </c>
      <c r="CP633" s="23">
        <f>IF(ISERROR((CO633/CM633-1)*100),"NA",IF(((CO633/CM633-1)*100)&gt;100,"NM",IF(((CO633/CM633-1)*100)&lt;-50,"NM",(CO633/CM633-1)*100)))</f>
        <v>3.5948036259709992</v>
      </c>
      <c r="CQ633" s="72">
        <f>SUM(CQ627:CQ632)</f>
        <v>4761.9181625262627</v>
      </c>
      <c r="CR633" s="23">
        <f>IF(ISERROR((CQ633/CO633-1)*100),"NA",IF(((CQ633/CO633-1)*100)&gt;100,"NM",IF(((CQ633/CO633-1)*100)&lt;-50,"NM",(CQ633/CO633-1)*100)))</f>
        <v>3.6796201031440656</v>
      </c>
      <c r="CS633" s="23">
        <f>IF(ISERROR(((CQ633/CG633)^0.2-1)*100),"NA",IF((((CQ633/CG633)^0.2-1)*100)&gt;100,"NM",IF((((CQ633/CG633)^0.2-1)*100)&lt;-50,"NM",((CQ633/CG633)^0.2-1)*100)))</f>
        <v>1.2212521312666036</v>
      </c>
    </row>
    <row r="634" spans="1:99" ht="12.75" customHeight="1" x14ac:dyDescent="0.2">
      <c r="B634" s="36"/>
      <c r="D634" s="36"/>
      <c r="F634" s="36"/>
      <c r="H634" s="36"/>
      <c r="J634" s="36"/>
      <c r="K634" s="177"/>
      <c r="L634" s="36"/>
      <c r="M634" s="177"/>
      <c r="N634" s="56"/>
      <c r="O634" s="177"/>
      <c r="P634" s="56"/>
      <c r="Q634" s="177"/>
      <c r="R634" s="56"/>
      <c r="S634" s="177"/>
      <c r="T634" s="56"/>
      <c r="U634" s="177"/>
      <c r="V634" s="56"/>
      <c r="W634" s="177"/>
      <c r="X634" s="56"/>
      <c r="Y634" s="177"/>
      <c r="Z634" s="56"/>
      <c r="AA634" s="177"/>
      <c r="AB634" s="56"/>
      <c r="AC634" s="177"/>
      <c r="AD634" s="56"/>
      <c r="AE634" s="177"/>
      <c r="AF634" s="56"/>
      <c r="AG634" s="177"/>
      <c r="AH634" s="56"/>
      <c r="AI634" s="177"/>
      <c r="AJ634" s="56"/>
      <c r="AK634" s="177"/>
      <c r="AL634" s="56"/>
      <c r="AM634" s="177"/>
      <c r="AN634" s="413"/>
      <c r="AO634" s="177"/>
      <c r="AP634" s="413"/>
      <c r="AQ634" s="177"/>
      <c r="AR634" s="413"/>
      <c r="AS634" s="177"/>
      <c r="AT634" s="413"/>
      <c r="AU634" s="177"/>
      <c r="AV634" s="413"/>
      <c r="AW634" s="177"/>
      <c r="AX634" s="413"/>
      <c r="AY634" s="177"/>
      <c r="AZ634" s="413"/>
      <c r="BA634" s="177"/>
      <c r="BB634" s="413"/>
      <c r="BC634" s="177"/>
      <c r="BD634" s="413"/>
      <c r="BE634" s="177"/>
      <c r="BF634" s="56"/>
      <c r="BG634" s="177"/>
      <c r="BH634" s="56"/>
      <c r="BI634" s="177"/>
      <c r="BJ634" s="56"/>
      <c r="BK634" s="177"/>
      <c r="BL634" s="56"/>
      <c r="BM634" s="177"/>
      <c r="BN634" s="5"/>
      <c r="BO634" s="137"/>
      <c r="BP634" s="5"/>
      <c r="BQ634" s="5"/>
      <c r="BR634" s="10"/>
      <c r="BS634" s="10"/>
      <c r="BT634" s="10"/>
      <c r="BU634" s="56"/>
      <c r="BV634" s="177"/>
      <c r="BW634" s="56"/>
      <c r="BX634" s="177"/>
      <c r="BY634" s="56"/>
      <c r="BZ634" s="177"/>
      <c r="CA634" s="56"/>
      <c r="CB634" s="177"/>
      <c r="CC634" s="56"/>
      <c r="CD634" s="177"/>
      <c r="CE634" s="56"/>
      <c r="CF634" s="177"/>
      <c r="CG634" s="56"/>
      <c r="CH634" s="177"/>
      <c r="CI634" s="56"/>
      <c r="CJ634" s="177"/>
      <c r="CK634" s="56"/>
      <c r="CL634" s="177"/>
      <c r="CM634" s="56"/>
      <c r="CN634" s="177"/>
      <c r="CO634" s="56"/>
      <c r="CP634" s="177"/>
      <c r="CQ634" s="56"/>
      <c r="CR634" s="177"/>
      <c r="CS634" s="177"/>
    </row>
    <row r="635" spans="1:99" ht="12.75" customHeight="1" x14ac:dyDescent="0.2">
      <c r="A635" s="3" t="s">
        <v>21</v>
      </c>
      <c r="B635" s="72">
        <f>B624-B633</f>
        <v>250.43695523999986</v>
      </c>
      <c r="C635" s="59"/>
      <c r="D635" s="72">
        <f>D624-D633</f>
        <v>300.50086680000027</v>
      </c>
      <c r="E635" s="59"/>
      <c r="F635" s="72">
        <f>F624-F633</f>
        <v>306.90619101000016</v>
      </c>
      <c r="G635" s="59"/>
      <c r="H635" s="72">
        <f>H624-H633</f>
        <v>262.08443746000012</v>
      </c>
      <c r="I635" s="59"/>
      <c r="J635" s="72">
        <f>J624-J633</f>
        <v>239.95399999999995</v>
      </c>
      <c r="K635" s="23">
        <f t="shared" ref="K635:Y638" si="4317">IF(ISERROR((J635/B635-1)*100),"NA",IF(((J635/B635-1)*100)&gt;100,"NM",IF(((J635/B635-1)*100)&lt;-50,"NM",(J635/B635-1)*100)))</f>
        <v>-4.1858659517537422</v>
      </c>
      <c r="L635" s="72">
        <f>L624-L633</f>
        <v>198.98000000000002</v>
      </c>
      <c r="M635" s="23">
        <f t="shared" si="4317"/>
        <v>-33.783884845685961</v>
      </c>
      <c r="N635" s="72">
        <f>N624-N633</f>
        <v>270.18700000000013</v>
      </c>
      <c r="O635" s="23">
        <f t="shared" si="4317"/>
        <v>-11.964304430992589</v>
      </c>
      <c r="P635" s="72">
        <f>P624-P633</f>
        <v>208.61900000000014</v>
      </c>
      <c r="Q635" s="23">
        <f t="shared" si="4317"/>
        <v>-20.400080973201618</v>
      </c>
      <c r="R635" s="72">
        <f>R624-R633</f>
        <v>256.60000000000036</v>
      </c>
      <c r="S635" s="23">
        <f t="shared" si="4317"/>
        <v>6.9371629562334558</v>
      </c>
      <c r="T635" s="72">
        <f>T624-T633</f>
        <v>272.00000000000023</v>
      </c>
      <c r="U635" s="23">
        <f t="shared" si="4317"/>
        <v>36.697155493014463</v>
      </c>
      <c r="V635" s="72">
        <f>V624-V633</f>
        <v>435.20000000000027</v>
      </c>
      <c r="W635" s="23">
        <f t="shared" si="4317"/>
        <v>61.073626784412305</v>
      </c>
      <c r="X635" s="72">
        <f>X624-X633</f>
        <v>304.90000000000009</v>
      </c>
      <c r="Y635" s="23">
        <f t="shared" si="4317"/>
        <v>46.151596930289138</v>
      </c>
      <c r="Z635" s="72">
        <f>Z624-Z633</f>
        <v>231.10000000000014</v>
      </c>
      <c r="AA635" s="23">
        <f>IF(ISERROR((Z635/R635-1)*100),"NA",IF(((Z635/R635-1)*100)&gt;100,"NM",IF(((Z635/R635-1)*100)&lt;-50,"NM",(Z635/R635-1)*100)))</f>
        <v>-9.9376461418551045</v>
      </c>
      <c r="AB635" s="72">
        <f>AB624-AB633</f>
        <v>328.20000000000027</v>
      </c>
      <c r="AC635" s="23">
        <f>IF(ISERROR((AB635/T635-1)*100),"NA",IF(((AB635/T635-1)*100)&gt;100,"NM",IF(((AB635/T635-1)*100)&lt;-50,"NM",(AB635/T635-1)*100)))</f>
        <v>20.661764705882348</v>
      </c>
      <c r="AD635" s="72">
        <f>AD624-AD633</f>
        <v>294.39999999999986</v>
      </c>
      <c r="AE635" s="23">
        <f>IF(ISERROR((AD635/V635-1)*100),"NA",IF(((AD635/V635-1)*100)&gt;100,"NM",IF(((AD635/V635-1)*100)&lt;-50,"NM",(AD635/V635-1)*100)))</f>
        <v>-32.352941176470665</v>
      </c>
      <c r="AF635" s="72">
        <f>AF624-AF633</f>
        <v>377</v>
      </c>
      <c r="AG635" s="23">
        <f>IF(ISERROR((AF635/X635-1)*100),"NA",IF(((AF635/X635-1)*100)&gt;100,"NM",IF(((AF635/X635-1)*100)&lt;-50,"NM",(AF635/X635-1)*100)))</f>
        <v>23.647097408986518</v>
      </c>
      <c r="AH635" s="72">
        <f>AH624-AH633</f>
        <v>289.70000000000005</v>
      </c>
      <c r="AI635" s="23">
        <f>IF(ISERROR((AH635/Z635-1)*100),"NA",IF(((AH635/Z635-1)*100)&gt;100,"NM",IF(((AH635/Z635-1)*100)&lt;-50,"NM",(AH635/Z635-1)*100)))</f>
        <v>25.356988316745934</v>
      </c>
      <c r="AJ635" s="72">
        <f>AJ624-AJ633</f>
        <v>262.49999999999977</v>
      </c>
      <c r="AK635" s="23">
        <f>IF(ISERROR((AJ635/AB635-1)*100),"NA",IF(((AJ635/AB635-1)*100)&gt;100,"NM",IF(((AJ635/AB635-1)*100)&lt;-50,"NM",(AJ635/AB635-1)*100)))</f>
        <v>-20.01828153564913</v>
      </c>
      <c r="AL635" s="72">
        <f>AL624-AL633</f>
        <v>137.10000000000036</v>
      </c>
      <c r="AM635" s="23" t="str">
        <f>IF(ISERROR((AL635/AD635-1)*100),"NA",IF(((AL635/AD635-1)*100)&gt;100,"NM",IF(((AL635/AD635-1)*100)&lt;-50,"NM",(AL635/AD635-1)*100)))</f>
        <v>NM</v>
      </c>
      <c r="AN635" s="72">
        <f t="shared" ref="AN635:AP635" si="4318">AN624-AN633</f>
        <v>288.30000000000018</v>
      </c>
      <c r="AO635" s="23">
        <f>IF(ISERROR((AN635/AF635-1)*100),"NA",IF(((AN635/AF635-1)*100)&gt;100,"NM",IF(((AN635/AF635-1)*100)&lt;-50,"NM",(AN635/AF635-1)*100)))</f>
        <v>-23.527851458885895</v>
      </c>
      <c r="AP635" s="72">
        <f t="shared" si="4318"/>
        <v>87.200000000000045</v>
      </c>
      <c r="AQ635" s="23" t="str">
        <f t="shared" ref="AQ635:AQ638" si="4319">IF(ISERROR((AP635/AH635-1)*100),"NA",IF(((AP635/AH635-1)*100)&gt;100,"NM",IF(((AP635/AH635-1)*100)&lt;-50,"NM",(AP635/AH635-1)*100)))</f>
        <v>NM</v>
      </c>
      <c r="AR635" s="72">
        <f t="shared" ref="AR635:AT635" si="4320">AR624-AR633</f>
        <v>130.49999999999977</v>
      </c>
      <c r="AS635" s="23" t="str">
        <f t="shared" ref="AS635:AS638" si="4321">IF(ISERROR((AR635/AJ635-1)*100),"NA",IF(((AR635/AJ635-1)*100)&gt;100,"NM",IF(((AR635/AJ635-1)*100)&lt;-50,"NM",(AR635/AJ635-1)*100)))</f>
        <v>NM</v>
      </c>
      <c r="AT635" s="72">
        <f t="shared" si="4320"/>
        <v>-36.900000000000091</v>
      </c>
      <c r="AU635" s="23" t="str">
        <f t="shared" ref="AU635:AU638" si="4322">IF(ISERROR((AT635/AL635-1)*100),"NA",IF(((AT635/AL635-1)*100)&gt;100,"NM",IF(((AT635/AL635-1)*100)&lt;-50,"NM",(AT635/AL635-1)*100)))</f>
        <v>NM</v>
      </c>
      <c r="AV635" s="72">
        <f t="shared" ref="AV635:AX635" si="4323">AV624-AV633</f>
        <v>149.60000000000014</v>
      </c>
      <c r="AW635" s="23">
        <f t="shared" ref="AW635:AW638" si="4324">IF(ISERROR((AV635/AN635-1)*100),"NA",IF(((AV635/AN635-1)*100)&gt;100,"NM",IF(((AV635/AN635-1)*100)&lt;-50,"NM",(AV635/AN635-1)*100)))</f>
        <v>-48.109608047173069</v>
      </c>
      <c r="AX635" s="72">
        <f t="shared" si="4323"/>
        <v>145.40000000000009</v>
      </c>
      <c r="AY635" s="23">
        <f t="shared" ref="AY635:AY638" si="4325">IF(ISERROR((AX635/AP635-1)*100),"NA",IF(((AX635/AP635-1)*100)&gt;100,"NM",IF(((AX635/AP635-1)*100)&lt;-50,"NM",(AX635/AP635-1)*100)))</f>
        <v>66.743119266055075</v>
      </c>
      <c r="AZ635" s="72">
        <f t="shared" ref="AZ635" si="4326">AZ624-AZ633</f>
        <v>106.99999999999977</v>
      </c>
      <c r="BA635" s="23">
        <f t="shared" ref="BA635:BA638" si="4327">IF(ISERROR((AZ635/AR635-1)*100),"NA",IF(((AZ635/AR635-1)*100)&gt;100,"NM",IF(((AZ635/AR635-1)*100)&lt;-50,"NM",(AZ635/AR635-1)*100)))</f>
        <v>-18.007662835249072</v>
      </c>
      <c r="BB635" s="72">
        <f t="shared" ref="BB635:BD635" si="4328">BB624-BB633</f>
        <v>42.200000000000045</v>
      </c>
      <c r="BC635" s="23" t="str">
        <f t="shared" ref="BC635:BC638" si="4329">IF(ISERROR((BB635/AT635-1)*100),"NA",IF(((BB635/AT635-1)*100)&gt;100,"NM",IF(((BB635/AT635-1)*100)&lt;-50,"NM",(BB635/AT635-1)*100)))</f>
        <v>NM</v>
      </c>
      <c r="BD635" s="72">
        <f t="shared" si="4328"/>
        <v>233.5</v>
      </c>
      <c r="BE635" s="23">
        <f t="shared" ref="BE635:BE638" si="4330">IF(ISERROR((BD635/AV635-1)*100),"NA",IF(((BD635/AV635-1)*100)&gt;100,"NM",IF(((BD635/AV635-1)*100)&lt;-50,"NM",(BD635/AV635-1)*100)))</f>
        <v>56.08288770053462</v>
      </c>
      <c r="BF635" s="72">
        <f t="shared" ref="BF635" si="4331">BF624-BF633</f>
        <v>182.41592862875541</v>
      </c>
      <c r="BG635" s="23">
        <f t="shared" ref="BG635:BG638" si="4332">IF(ISERROR((BF635/AX635-1)*100),"NA",IF(((BF635/AX635-1)*100)&gt;100,"NM",IF(((BF635/AX635-1)*100)&lt;-50,"NM",(BF635/AX635-1)*100)))</f>
        <v>25.457997681399782</v>
      </c>
      <c r="BH635" s="72">
        <f t="shared" ref="BH635" si="4333">BH624-BH633</f>
        <v>212.90032272784288</v>
      </c>
      <c r="BI635" s="23">
        <f t="shared" ref="BI635:BI638" si="4334">IF(ISERROR((BH635/AZ635-1)*100),"NA",IF(((BH635/AZ635-1)*100)&gt;100,"NM",IF(((BH635/AZ635-1)*100)&lt;-50,"NM",(BH635/AZ635-1)*100)))</f>
        <v>98.972264231629282</v>
      </c>
      <c r="BJ635" s="72">
        <f t="shared" ref="BJ635" si="4335">BJ624-BJ633</f>
        <v>225.93811969113835</v>
      </c>
      <c r="BK635" s="23" t="str">
        <f t="shared" ref="BK635:BK638" si="4336">IF(ISERROR((BJ635/BB635-1)*100),"NA",IF(((BJ635/BB635-1)*100)&gt;100,"NM",IF(((BJ635/BB635-1)*100)&lt;-50,"NM",(BJ635/BB635-1)*100)))</f>
        <v>NM</v>
      </c>
      <c r="BL635" s="72">
        <f t="shared" ref="BL635" si="4337">BL624-BL633</f>
        <v>235.95151841016377</v>
      </c>
      <c r="BM635" s="23">
        <f t="shared" ref="BM635:BM638" si="4338">IF(ISERROR((BL635/BD635-1)*100),"NA",IF(((BL635/BD635-1)*100)&gt;100,"NM",IF(((BL635/BD635-1)*100)&lt;-50,"NM",(BL635/BD635-1)*100)))</f>
        <v>1.0499008180572922</v>
      </c>
      <c r="BN635" s="7"/>
      <c r="BO635" s="143"/>
      <c r="BP635" s="7"/>
      <c r="BQ635" s="8"/>
      <c r="BR635" s="8"/>
      <c r="BS635" s="8"/>
      <c r="BT635" s="8"/>
      <c r="BU635" s="72">
        <f>BU624-BU633</f>
        <v>1119.9284505100004</v>
      </c>
      <c r="BV635" s="23" t="str">
        <f>IF(ISERROR((BU635/BS635-1)*100),"NA",IF(((BU635/BS635-1)*100)&gt;100,"NM",IF(((BU635/BS635-1)*100)&lt;-50,"NM",(BU635/BS635-1)*100)))</f>
        <v>NA</v>
      </c>
      <c r="BW635" s="72">
        <f>BW624-BW633</f>
        <v>917.74000000000069</v>
      </c>
      <c r="BX635" s="23">
        <f>IF(ISERROR((BW635/BU635-1)*100),"NA",IF(((BW635/BU635-1)*100)&gt;100,"NM",IF(((BW635/BU635-1)*100)&lt;-50,"NM",(BW635/BU635-1)*100)))</f>
        <v>-18.053693556755867</v>
      </c>
      <c r="BY635" s="72">
        <f>BY624-BY633</f>
        <v>1268.6999999999998</v>
      </c>
      <c r="BZ635" s="23">
        <f>IF(ISERROR((BY635/BW635-1)*100),"NA",IF(((BY635/BW635-1)*100)&gt;100,"NM",IF(((BY635/BW635-1)*100)&lt;-50,"NM",(BY635/BW635-1)*100)))</f>
        <v>38.241767820951345</v>
      </c>
      <c r="CA635" s="72">
        <f>CA624-CA633</f>
        <v>1230.7000000000007</v>
      </c>
      <c r="CB635" s="23">
        <f>IF(ISERROR((CA635/BY635-1)*100),"NA",IF(((CA635/BY635-1)*100)&gt;100,"NM",IF(((CA635/BY635-1)*100)&lt;-50,"NM",(CA635/BY635-1)*100)))</f>
        <v>-2.9951919287458884</v>
      </c>
      <c r="CC635" s="72">
        <f>CC624-CC633</f>
        <v>977.60000000000036</v>
      </c>
      <c r="CD635" s="23">
        <f>IF(ISERROR((CC635/CA635-1)*100),"NA",IF(((CC635/CA635-1)*100)&gt;100,"NM",IF(((CC635/CA635-1)*100)&lt;-50,"NM",(CC635/CA635-1)*100)))</f>
        <v>-20.565531811164394</v>
      </c>
      <c r="CE635" s="72">
        <f>CE624-CE633</f>
        <v>330.40000000000055</v>
      </c>
      <c r="CF635" s="23" t="str">
        <f>IF(ISERROR((CE635/CC635-1)*100),"NA",IF(((CE635/CC635-1)*100)&gt;100,"NM",IF(((CE635/CC635-1)*100)&lt;-50,"NM",(CE635/CC635-1)*100)))</f>
        <v>NM</v>
      </c>
      <c r="CG635" s="72">
        <f>CG624-CG633</f>
        <v>528.10000000000036</v>
      </c>
      <c r="CH635" s="23">
        <f>IF(ISERROR((CG635/CE635-1)*100),"NA",IF(((CG635/CE635-1)*100)&gt;100,"NM",IF(((CG635/CE635-1)*100)&lt;-50,"NM",(CG635/CE635-1)*100)))</f>
        <v>59.836561743341242</v>
      </c>
      <c r="CI635" s="72">
        <f>CI624-CI633</f>
        <v>857.20588945790041</v>
      </c>
      <c r="CJ635" s="23">
        <f>IF(ISERROR((CI635/CG635-1)*100),"NA",IF(((CI635/CG635-1)*100)&gt;100,"NM",IF(((CI635/CG635-1)*100)&lt;-50,"NM",(CI635/CG635-1)*100)))</f>
        <v>62.318858068149943</v>
      </c>
      <c r="CK635" s="72">
        <f>CK624-CK633</f>
        <v>968.76820673605107</v>
      </c>
      <c r="CL635" s="23">
        <f>IF(ISERROR((CK635/CI635-1)*100),"NA",IF(((CK635/CI635-1)*100)&gt;100,"NM",IF(((CK635/CI635-1)*100)&lt;-50,"NM",(CK635/CI635-1)*100)))</f>
        <v>13.014646615261016</v>
      </c>
      <c r="CM635" s="72">
        <f>CM624-CM633</f>
        <v>1014.4499693054431</v>
      </c>
      <c r="CN635" s="23">
        <f>IF(ISERROR((CM635/CK635-1)*100),"NA",IF(((CM635/CK635-1)*100)&gt;100,"NM",IF(((CM635/CK635-1)*100)&lt;-50,"NM",(CM635/CK635-1)*100)))</f>
        <v>4.7154481589875674</v>
      </c>
      <c r="CO635" s="72">
        <f>CO624-CO633</f>
        <v>1059.0674649492403</v>
      </c>
      <c r="CP635" s="23">
        <f>IF(ISERROR((CO635/CM635-1)*100),"NA",IF(((CO635/CM635-1)*100)&gt;100,"NM",IF(((CO635/CM635-1)*100)&lt;-50,"NM",(CO635/CM635-1)*100)))</f>
        <v>4.3981957704967156</v>
      </c>
      <c r="CQ635" s="72">
        <f>CQ624-CQ633</f>
        <v>1103.2464861310091</v>
      </c>
      <c r="CR635" s="23">
        <f>IF(ISERROR((CQ635/CO635-1)*100),"NA",IF(((CQ635/CO635-1)*100)&gt;100,"NM",IF(((CQ635/CO635-1)*100)&lt;-50,"NM",(CQ635/CO635-1)*100)))</f>
        <v>4.1715020661017288</v>
      </c>
      <c r="CS635" s="23">
        <f>IF(ISERROR(((CQ635/CG635)^0.2-1)*100),"NA",IF((((CQ635/CG635)^0.2-1)*100)&gt;100,"NM",IF((((CQ635/CG635)^0.2-1)*100)&lt;-50,"NM",((CQ635/CG635)^0.2-1)*100)))</f>
        <v>15.8754082034535</v>
      </c>
      <c r="CT635" s="9"/>
      <c r="CU635" s="9"/>
    </row>
    <row r="636" spans="1:99" ht="12.75" customHeight="1" x14ac:dyDescent="0.2">
      <c r="A636" s="4" t="s">
        <v>22</v>
      </c>
      <c r="B636" s="49">
        <v>87.63</v>
      </c>
      <c r="C636" s="59"/>
      <c r="D636" s="49">
        <v>105.095</v>
      </c>
      <c r="E636" s="59"/>
      <c r="F636" s="49">
        <v>107.462</v>
      </c>
      <c r="G636" s="59"/>
      <c r="H636" s="49">
        <f>91.797</f>
        <v>91.796999999999997</v>
      </c>
      <c r="I636" s="59"/>
      <c r="J636" s="49">
        <v>83.947999999999993</v>
      </c>
      <c r="K636" s="23">
        <f t="shared" si="4317"/>
        <v>-4.2017573890220312</v>
      </c>
      <c r="L636" s="49">
        <v>69.600999999999999</v>
      </c>
      <c r="M636" s="23">
        <f t="shared" si="4317"/>
        <v>-33.773252771302154</v>
      </c>
      <c r="N636" s="49">
        <v>94.643000000000001</v>
      </c>
      <c r="O636" s="23">
        <f t="shared" si="4317"/>
        <v>-11.928867878878114</v>
      </c>
      <c r="P636" s="48">
        <v>73.064999999999998</v>
      </c>
      <c r="Q636" s="23">
        <f t="shared" si="4317"/>
        <v>-20.405895617503845</v>
      </c>
      <c r="R636" s="48">
        <v>89.9</v>
      </c>
      <c r="S636" s="23">
        <f t="shared" si="4317"/>
        <v>7.0901033973412186</v>
      </c>
      <c r="T636" s="36">
        <f>T635*T637/100</f>
        <v>95.200000000000074</v>
      </c>
      <c r="U636" s="23">
        <f t="shared" si="4317"/>
        <v>36.779643970632712</v>
      </c>
      <c r="V636" s="36">
        <f>V635*V637/100</f>
        <v>152.32000000000008</v>
      </c>
      <c r="W636" s="23">
        <f t="shared" si="4317"/>
        <v>60.941643861669718</v>
      </c>
      <c r="X636" s="36">
        <f>X635*X637/100</f>
        <v>106.71500000000003</v>
      </c>
      <c r="Y636" s="23">
        <f t="shared" si="4317"/>
        <v>46.054882638746378</v>
      </c>
      <c r="Z636" s="36">
        <f>Z635*Z637/100</f>
        <v>80.885000000000048</v>
      </c>
      <c r="AA636" s="23">
        <f>IF(ISERROR((Z636/R636-1)*100),"NA",IF(((Z636/R636-1)*100)&gt;100,"NM",IF(((Z636/R636-1)*100)&lt;-50,"NM",(Z636/R636-1)*100)))</f>
        <v>-10.027808676306959</v>
      </c>
      <c r="AB636" s="36">
        <f>AB635*AB637/100</f>
        <v>114.87000000000009</v>
      </c>
      <c r="AC636" s="23">
        <f>IF(ISERROR((AB636/T636-1)*100),"NA",IF(((AB636/T636-1)*100)&gt;100,"NM",IF(((AB636/T636-1)*100)&lt;-50,"NM",(AB636/T636-1)*100)))</f>
        <v>20.661764705882348</v>
      </c>
      <c r="AD636" s="36">
        <f>AD635*AD637/100</f>
        <v>103.03999999999995</v>
      </c>
      <c r="AE636" s="23">
        <f>IF(ISERROR((AD636/V636-1)*100),"NA",IF(((AD636/V636-1)*100)&gt;100,"NM",IF(((AD636/V636-1)*100)&lt;-50,"NM",(AD636/V636-1)*100)))</f>
        <v>-32.352941176470651</v>
      </c>
      <c r="AF636" s="36">
        <f>AF635*AF637/100</f>
        <v>131.94999999999999</v>
      </c>
      <c r="AG636" s="23">
        <f>IF(ISERROR((AF636/X636-1)*100),"NA",IF(((AF636/X636-1)*100)&gt;100,"NM",IF(((AF636/X636-1)*100)&lt;-50,"NM",(AF636/X636-1)*100)))</f>
        <v>23.647097408986497</v>
      </c>
      <c r="AH636" s="36">
        <f>AH635*AH637/100</f>
        <v>92.704000000000008</v>
      </c>
      <c r="AI636" s="23">
        <f>IF(ISERROR((AH636/Z636-1)*100),"NA",IF(((AH636/Z636-1)*100)&gt;100,"NM",IF(((AH636/Z636-1)*100)&lt;-50,"NM",(AH636/Z636-1)*100)))</f>
        <v>14.612103603881987</v>
      </c>
      <c r="AJ636" s="36">
        <f>AJ635*AJ637/100</f>
        <v>83.999999999999929</v>
      </c>
      <c r="AK636" s="23">
        <f>IF(ISERROR((AJ636/AB636-1)*100),"NA",IF(((AJ636/AB636-1)*100)&gt;100,"NM",IF(((AJ636/AB636-1)*100)&lt;-50,"NM",(AJ636/AB636-1)*100)))</f>
        <v>-26.873857404022061</v>
      </c>
      <c r="AL636" s="36">
        <f>AL635*AL637/100</f>
        <v>43.872000000000114</v>
      </c>
      <c r="AM636" s="23" t="str">
        <f>IF(ISERROR((AL636/AD636-1)*100),"NA",IF(((AL636/AD636-1)*100)&gt;100,"NM",IF(((AL636/AD636-1)*100)&lt;-50,"NM",(AL636/AD636-1)*100)))</f>
        <v>NM</v>
      </c>
      <c r="AN636" s="410">
        <f t="shared" ref="AN636:AP636" si="4339">AN635*AN637/100</f>
        <v>92.256000000000057</v>
      </c>
      <c r="AO636" s="23">
        <f>IF(ISERROR((AN636/AF636-1)*100),"NA",IF(((AN636/AF636-1)*100)&gt;100,"NM",IF(((AN636/AF636-1)*100)&lt;-50,"NM",(AN636/AF636-1)*100)))</f>
        <v>-30.082607048124245</v>
      </c>
      <c r="AP636" s="410">
        <f t="shared" si="4339"/>
        <v>27.904000000000014</v>
      </c>
      <c r="AQ636" s="23" t="str">
        <f t="shared" si="4319"/>
        <v>NM</v>
      </c>
      <c r="AR636" s="410">
        <f t="shared" ref="AR636:AT636" si="4340">AR635*AR637/100</f>
        <v>41.759999999999927</v>
      </c>
      <c r="AS636" s="23" t="str">
        <f t="shared" si="4321"/>
        <v>NM</v>
      </c>
      <c r="AT636" s="410">
        <f t="shared" si="4340"/>
        <v>-11.808000000000028</v>
      </c>
      <c r="AU636" s="23" t="str">
        <f t="shared" si="4322"/>
        <v>NM</v>
      </c>
      <c r="AV636" s="410">
        <f t="shared" ref="AV636:AX636" si="4341">AV635*AV637/100</f>
        <v>47.872000000000043</v>
      </c>
      <c r="AW636" s="23">
        <f t="shared" si="4324"/>
        <v>-48.109608047173069</v>
      </c>
      <c r="AX636" s="410">
        <f t="shared" si="4341"/>
        <v>46.528000000000027</v>
      </c>
      <c r="AY636" s="23">
        <f t="shared" si="4325"/>
        <v>66.743119266055047</v>
      </c>
      <c r="AZ636" s="410">
        <f t="shared" ref="AZ636" si="4342">AZ635*AZ637/100</f>
        <v>34.239999999999924</v>
      </c>
      <c r="BA636" s="23">
        <f t="shared" si="4327"/>
        <v>-18.007662835249082</v>
      </c>
      <c r="BB636" s="410">
        <f t="shared" ref="BB636:BD636" si="4343">BB635*BB637/100</f>
        <v>13.504000000000014</v>
      </c>
      <c r="BC636" s="23" t="str">
        <f t="shared" si="4329"/>
        <v>NM</v>
      </c>
      <c r="BD636" s="410">
        <f t="shared" si="4343"/>
        <v>74.72</v>
      </c>
      <c r="BE636" s="23">
        <f t="shared" si="4330"/>
        <v>56.08288770053462</v>
      </c>
      <c r="BF636" s="36">
        <f t="shared" ref="BF636" si="4344">BF635*BF637/100</f>
        <v>33.746946796319754</v>
      </c>
      <c r="BG636" s="23">
        <f t="shared" si="4332"/>
        <v>-27.469595090440734</v>
      </c>
      <c r="BH636" s="36">
        <f t="shared" ref="BH636" si="4345">BH635*BH637/100</f>
        <v>39.386559704650928</v>
      </c>
      <c r="BI636" s="23">
        <f t="shared" si="4334"/>
        <v>15.030840258910683</v>
      </c>
      <c r="BJ636" s="36">
        <f t="shared" ref="BJ636" si="4346">BJ635*BJ637/100</f>
        <v>41.798552142860601</v>
      </c>
      <c r="BK636" s="23" t="str">
        <f t="shared" si="4336"/>
        <v>NM</v>
      </c>
      <c r="BL636" s="36">
        <f t="shared" ref="BL636" si="4347">BL635*BL637/100</f>
        <v>43.651030905880297</v>
      </c>
      <c r="BM636" s="23">
        <f t="shared" si="4338"/>
        <v>-41.580526089560635</v>
      </c>
      <c r="BN636" s="5"/>
      <c r="BO636" s="137"/>
      <c r="BP636" s="5"/>
      <c r="BQ636" s="5"/>
      <c r="BR636" s="10"/>
      <c r="BS636" s="10"/>
      <c r="BT636" s="10"/>
      <c r="BU636" s="56">
        <f>B636+D636+F636+H636</f>
        <v>391.98400000000004</v>
      </c>
      <c r="BV636" s="23" t="str">
        <f>IF(ISERROR((BU636/BS636-1)*100),"NA",IF(((BU636/BS636-1)*100)&gt;100,"NM",IF(((BU636/BS636-1)*100)&lt;-50,"NM",(BU636/BS636-1)*100)))</f>
        <v>NA</v>
      </c>
      <c r="BW636" s="56">
        <f>J636+L636+N636+P636</f>
        <v>321.25699999999995</v>
      </c>
      <c r="BX636" s="23">
        <f>IF(ISERROR((BW636/BU636-1)*100),"NA",IF(((BW636/BU636-1)*100)&gt;100,"NM",IF(((BW636/BU636-1)*100)&lt;-50,"NM",(BW636/BU636-1)*100)))</f>
        <v>-18.043338503612418</v>
      </c>
      <c r="BY636" s="56">
        <f>R636+T636+V636+X636</f>
        <v>444.13500000000022</v>
      </c>
      <c r="BZ636" s="23">
        <f>IF(ISERROR((BY636/BW636-1)*100),"NA",IF(((BY636/BW636-1)*100)&gt;100,"NM",IF(((BY636/BW636-1)*100)&lt;-50,"NM",(BY636/BW636-1)*100)))</f>
        <v>38.24912764546773</v>
      </c>
      <c r="CA636" s="56">
        <f>Z636+AB636+AD636+AF636</f>
        <v>430.74500000000006</v>
      </c>
      <c r="CB636" s="23">
        <f>IF(ISERROR((CA636/BY636-1)*100),"NA",IF(((CA636/BY636-1)*100)&gt;100,"NM",IF(((CA636/BY636-1)*100)&lt;-50,"NM",(CA636/BY636-1)*100)))</f>
        <v>-3.0148490886780288</v>
      </c>
      <c r="CC636" s="56">
        <f>AH636+AJ636+AL636+AN636</f>
        <v>312.83200000000011</v>
      </c>
      <c r="CD636" s="23">
        <f>IF(ISERROR((CC636/CA636-1)*100),"NA",IF(((CC636/CA636-1)*100)&gt;100,"NM",IF(((CC636/CA636-1)*100)&lt;-50,"NM",(CC636/CA636-1)*100)))</f>
        <v>-27.374200513064562</v>
      </c>
      <c r="CE636" s="56">
        <f>AP636+AR636+AT636+AV636</f>
        <v>105.72799999999995</v>
      </c>
      <c r="CF636" s="23" t="str">
        <f>IF(ISERROR((CE636/CC636-1)*100),"NA",IF(((CE636/CC636-1)*100)&gt;100,"NM",IF(((CE636/CC636-1)*100)&lt;-50,"NM",(CE636/CC636-1)*100)))</f>
        <v>NM</v>
      </c>
      <c r="CG636" s="56">
        <f>AX636+AZ636+BB636+BD636</f>
        <v>168.99199999999996</v>
      </c>
      <c r="CH636" s="23">
        <f>IF(ISERROR((CG636/CE636-1)*100),"NA",IF(((CG636/CE636-1)*100)&gt;100,"NM",IF(((CG636/CE636-1)*100)&lt;-50,"NM",(CG636/CE636-1)*100)))</f>
        <v>59.836561743341441</v>
      </c>
      <c r="CI636" s="56">
        <f>BF636+BH636+BJ636+BL636</f>
        <v>158.58308954971159</v>
      </c>
      <c r="CJ636" s="23">
        <f>IF(ISERROR((CI636/CG636-1)*100),"NA",IF(((CI636/CG636-1)*100)&gt;100,"NM",IF(((CI636/CG636-1)*100)&lt;-50,"NM",(CI636/CG636-1)*100)))</f>
        <v>-6.1594101793507221</v>
      </c>
      <c r="CK636" s="36">
        <f>CK635*CK637/100</f>
        <v>179.22211824616949</v>
      </c>
      <c r="CL636" s="23">
        <f>IF(ISERROR((CK636/CI636-1)*100),"NA",IF(((CK636/CI636-1)*100)&gt;100,"NM",IF(((CK636/CI636-1)*100)&lt;-50,"NM",(CK636/CI636-1)*100)))</f>
        <v>13.014646615261016</v>
      </c>
      <c r="CM636" s="36">
        <f>CM635*CM637/100</f>
        <v>187.67324432150701</v>
      </c>
      <c r="CN636" s="23">
        <f>IF(ISERROR((CM636/CK636-1)*100),"NA",IF(((CM636/CK636-1)*100)&gt;100,"NM",IF(((CM636/CK636-1)*100)&lt;-50,"NM",(CM636/CK636-1)*100)))</f>
        <v>4.7154481589875674</v>
      </c>
      <c r="CO636" s="36">
        <f>CO635*CO637/100</f>
        <v>195.92748101560949</v>
      </c>
      <c r="CP636" s="23">
        <f>IF(ISERROR((CO636/CM636-1)*100),"NA",IF(((CO636/CM636-1)*100)&gt;100,"NM",IF(((CO636/CM636-1)*100)&lt;-50,"NM",(CO636/CM636-1)*100)))</f>
        <v>4.3981957704967156</v>
      </c>
      <c r="CQ636" s="36">
        <f>CQ635*CQ637/100</f>
        <v>204.1005999342367</v>
      </c>
      <c r="CR636" s="23">
        <f>IF(ISERROR((CQ636/CO636-1)*100),"NA",IF(((CQ636/CO636-1)*100)&gt;100,"NM",IF(((CQ636/CO636-1)*100)&lt;-50,"NM",(CQ636/CO636-1)*100)))</f>
        <v>4.1715020661017288</v>
      </c>
      <c r="CS636" s="23">
        <f>IF(ISERROR(((CQ636/CG636)^0.2-1)*100),"NA",IF((((CQ636/CG636)^0.2-1)*100)&gt;100,"NM",IF((((CQ636/CG636)^0.2-1)*100)&lt;-50,"NM",((CQ636/CG636)^0.2-1)*100)))</f>
        <v>3.8473998576445512</v>
      </c>
    </row>
    <row r="637" spans="1:99" ht="12.75" customHeight="1" x14ac:dyDescent="0.2">
      <c r="A637" s="4" t="s">
        <v>23</v>
      </c>
      <c r="B637" s="35">
        <f t="shared" ref="B637:R637" si="4348">(B636/B635)*100</f>
        <v>34.990842272468143</v>
      </c>
      <c r="C637" s="59"/>
      <c r="D637" s="35">
        <f t="shared" si="4348"/>
        <v>34.973276822507955</v>
      </c>
      <c r="E637" s="59"/>
      <c r="F637" s="35">
        <f t="shared" si="4348"/>
        <v>35.014608094529606</v>
      </c>
      <c r="G637" s="59"/>
      <c r="H637" s="35">
        <f t="shared" si="4348"/>
        <v>35.025734793585464</v>
      </c>
      <c r="I637" s="59"/>
      <c r="J637" s="35">
        <f t="shared" si="4348"/>
        <v>34.985038799103165</v>
      </c>
      <c r="K637" s="23">
        <f t="shared" si="4317"/>
        <v>-1.6585692107062844E-2</v>
      </c>
      <c r="L637" s="35">
        <f t="shared" si="4348"/>
        <v>34.978892350990044</v>
      </c>
      <c r="M637" s="23">
        <f t="shared" si="4317"/>
        <v>1.6056626636928861E-2</v>
      </c>
      <c r="N637" s="35">
        <f t="shared" si="4348"/>
        <v>35.028702343191917</v>
      </c>
      <c r="O637" s="23">
        <f t="shared" si="4317"/>
        <v>4.0252481547864427E-2</v>
      </c>
      <c r="P637" s="35">
        <f t="shared" si="4348"/>
        <v>35.023176220766061</v>
      </c>
      <c r="Q637" s="23">
        <f t="shared" si="4317"/>
        <v>-7.3048369562567217E-3</v>
      </c>
      <c r="R637" s="35">
        <f t="shared" si="4348"/>
        <v>35.0350740452065</v>
      </c>
      <c r="S637" s="23">
        <f t="shared" si="4317"/>
        <v>0.14301898131556801</v>
      </c>
      <c r="T637" s="47">
        <v>35</v>
      </c>
      <c r="U637" s="23">
        <f t="shared" si="4317"/>
        <v>6.0343960575304223E-2</v>
      </c>
      <c r="V637" s="47">
        <v>35</v>
      </c>
      <c r="W637" s="23">
        <f t="shared" si="4317"/>
        <v>-8.1939498959182622E-2</v>
      </c>
      <c r="X637" s="47">
        <v>35</v>
      </c>
      <c r="Y637" s="23">
        <f t="shared" si="4317"/>
        <v>-6.6173954697801296E-2</v>
      </c>
      <c r="Z637" s="47">
        <v>35</v>
      </c>
      <c r="AA637" s="23">
        <f>IF(ISERROR((Z637/R637-1)*100),"NA",IF(((Z637/R637-1)*100)&gt;100,"NM",IF(((Z637/R637-1)*100)&lt;-50,"NM",(Z637/R637-1)*100)))</f>
        <v>-0.10011123470509142</v>
      </c>
      <c r="AB637" s="47">
        <v>35</v>
      </c>
      <c r="AC637" s="23">
        <f>IF(ISERROR((AB637/T637-1)*100),"NA",IF(((AB637/T637-1)*100)&gt;100,"NM",IF(((AB637/T637-1)*100)&lt;-50,"NM",(AB637/T637-1)*100)))</f>
        <v>0</v>
      </c>
      <c r="AD637" s="47">
        <v>35</v>
      </c>
      <c r="AE637" s="23">
        <f>IF(ISERROR((AD637/V637-1)*100),"NA",IF(((AD637/V637-1)*100)&gt;100,"NM",IF(((AD637/V637-1)*100)&lt;-50,"NM",(AD637/V637-1)*100)))</f>
        <v>0</v>
      </c>
      <c r="AF637" s="47">
        <v>35</v>
      </c>
      <c r="AG637" s="23">
        <f>IF(ISERROR((AF637/X637-1)*100),"NA",IF(((AF637/X637-1)*100)&gt;100,"NM",IF(((AF637/X637-1)*100)&lt;-50,"NM",(AF637/X637-1)*100)))</f>
        <v>0</v>
      </c>
      <c r="AH637" s="47">
        <v>32</v>
      </c>
      <c r="AI637" s="23">
        <f>IF(ISERROR((AH637/Z637-1)*100),"NA",IF(((AH637/Z637-1)*100)&gt;100,"NM",IF(((AH637/Z637-1)*100)&lt;-50,"NM",(AH637/Z637-1)*100)))</f>
        <v>-8.5714285714285747</v>
      </c>
      <c r="AJ637" s="47">
        <v>32</v>
      </c>
      <c r="AK637" s="23">
        <f>IF(ISERROR((AJ637/AB637-1)*100),"NA",IF(((AJ637/AB637-1)*100)&gt;100,"NM",IF(((AJ637/AB637-1)*100)&lt;-50,"NM",(AJ637/AB637-1)*100)))</f>
        <v>-8.5714285714285747</v>
      </c>
      <c r="AL637" s="47">
        <v>32</v>
      </c>
      <c r="AM637" s="23">
        <f>IF(ISERROR((AL637/AD637-1)*100),"NA",IF(((AL637/AD637-1)*100)&gt;100,"NM",IF(((AL637/AD637-1)*100)&lt;-50,"NM",(AL637/AD637-1)*100)))</f>
        <v>-8.5714285714285747</v>
      </c>
      <c r="AN637" s="252">
        <v>32</v>
      </c>
      <c r="AO637" s="23">
        <f>IF(ISERROR((AN637/AF637-1)*100),"NA",IF(((AN637/AF637-1)*100)&gt;100,"NM",IF(((AN637/AF637-1)*100)&lt;-50,"NM",(AN637/AF637-1)*100)))</f>
        <v>-8.5714285714285747</v>
      </c>
      <c r="AP637" s="252">
        <v>32</v>
      </c>
      <c r="AQ637" s="23">
        <f t="shared" si="4319"/>
        <v>0</v>
      </c>
      <c r="AR637" s="252">
        <v>32</v>
      </c>
      <c r="AS637" s="23">
        <f t="shared" si="4321"/>
        <v>0</v>
      </c>
      <c r="AT637" s="252">
        <v>32</v>
      </c>
      <c r="AU637" s="23">
        <f t="shared" si="4322"/>
        <v>0</v>
      </c>
      <c r="AV637" s="252">
        <v>32</v>
      </c>
      <c r="AW637" s="23">
        <f t="shared" si="4324"/>
        <v>0</v>
      </c>
      <c r="AX637" s="252">
        <v>32</v>
      </c>
      <c r="AY637" s="23">
        <f t="shared" si="4325"/>
        <v>0</v>
      </c>
      <c r="AZ637" s="252">
        <f t="shared" ref="AZ637" si="4349">AX637</f>
        <v>32</v>
      </c>
      <c r="BA637" s="23">
        <f t="shared" si="4327"/>
        <v>0</v>
      </c>
      <c r="BB637" s="252">
        <f t="shared" ref="BB637:BD637" si="4350">AZ637</f>
        <v>32</v>
      </c>
      <c r="BC637" s="23">
        <f t="shared" si="4329"/>
        <v>0</v>
      </c>
      <c r="BD637" s="252">
        <f t="shared" si="4350"/>
        <v>32</v>
      </c>
      <c r="BE637" s="23">
        <f t="shared" si="4330"/>
        <v>0</v>
      </c>
      <c r="BF637" s="47">
        <v>18.5</v>
      </c>
      <c r="BG637" s="23">
        <f t="shared" si="4332"/>
        <v>-42.1875</v>
      </c>
      <c r="BH637" s="47">
        <f t="shared" ref="BH637:BJ637" si="4351">BF637</f>
        <v>18.5</v>
      </c>
      <c r="BI637" s="23">
        <f t="shared" si="4334"/>
        <v>-42.1875</v>
      </c>
      <c r="BJ637" s="47">
        <f t="shared" si="4351"/>
        <v>18.5</v>
      </c>
      <c r="BK637" s="23">
        <f t="shared" si="4336"/>
        <v>-42.1875</v>
      </c>
      <c r="BL637" s="47">
        <f t="shared" ref="BL637" si="4352">BJ637</f>
        <v>18.5</v>
      </c>
      <c r="BM637" s="23">
        <f t="shared" si="4338"/>
        <v>-42.1875</v>
      </c>
      <c r="BN637" s="5"/>
      <c r="BO637" s="138"/>
      <c r="BP637" s="5"/>
      <c r="BQ637" s="28"/>
      <c r="BR637" s="28"/>
      <c r="BS637" s="28"/>
      <c r="BT637" s="28"/>
      <c r="BU637" s="35">
        <f>(BU636/BU635)*100</f>
        <v>35.000807401713544</v>
      </c>
      <c r="BV637" s="23" t="str">
        <f>IF(ISERROR((BU637/BS637-1)*100),"NA",IF(((BU637/BS637-1)*100)&gt;100,"NM",IF(((BU637/BS637-1)*100)&lt;-50,"NM",(BU637/BS637-1)*100)))</f>
        <v>NA</v>
      </c>
      <c r="BW637" s="35">
        <f>(BW636/BW635)*100</f>
        <v>35.005230239501351</v>
      </c>
      <c r="BX637" s="23">
        <f>IF(ISERROR((BW637/BU637-1)*100),"NA",IF(((BW637/BU637-1)*100)&gt;100,"NM",IF(((BW637/BU637-1)*100)&lt;-50,"NM",(BW637/BU637-1)*100)))</f>
        <v>1.2636387889708445E-2</v>
      </c>
      <c r="BY637" s="35">
        <f>(BY636/BY635)*100</f>
        <v>35.00709387562074</v>
      </c>
      <c r="BZ637" s="23">
        <f>IF(ISERROR((BY637/BW637-1)*100),"NA",IF(((BY637/BW637-1)*100)&gt;100,"NM",IF(((BY637/BW637-1)*100)&lt;-50,"NM",(BY637/BW637-1)*100)))</f>
        <v>5.3238790507448286E-3</v>
      </c>
      <c r="CA637" s="35">
        <f>(CA636/CA635)*100</f>
        <v>34.999999999999986</v>
      </c>
      <c r="CB637" s="23">
        <f>IF(ISERROR((CA637/BY637-1)*100),"NA",IF(((CA637/BY637-1)*100)&gt;100,"NM",IF(((CA637/BY637-1)*100)&lt;-50,"NM",(CA637/BY637-1)*100)))</f>
        <v>-2.0264108885925669E-2</v>
      </c>
      <c r="CC637" s="35">
        <f>(CC636/CC635)*100</f>
        <v>32</v>
      </c>
      <c r="CD637" s="23">
        <f>IF(ISERROR((CC637/CA637-1)*100),"NA",IF(((CC637/CA637-1)*100)&gt;100,"NM",IF(((CC637/CA637-1)*100)&lt;-50,"NM",(CC637/CA637-1)*100)))</f>
        <v>-8.5714285714285303</v>
      </c>
      <c r="CE637" s="35">
        <f>(CE636/CE635)*100</f>
        <v>31.999999999999932</v>
      </c>
      <c r="CF637" s="23">
        <f>IF(ISERROR((CE637/CC637-1)*100),"NA",IF(((CE637/CC637-1)*100)&gt;100,"NM",IF(((CE637/CC637-1)*100)&lt;-50,"NM",(CE637/CC637-1)*100)))</f>
        <v>-2.1094237467877974E-13</v>
      </c>
      <c r="CG637" s="35">
        <f>(CG636/CG635)*100</f>
        <v>31.999999999999972</v>
      </c>
      <c r="CH637" s="23">
        <f>IF(ISERROR((CG637/CE637-1)*100),"NA",IF(((CG637/CE637-1)*100)&gt;100,"NM",IF(((CG637/CE637-1)*100)&lt;-50,"NM",(CG637/CE637-1)*100)))</f>
        <v>1.3322676295501878E-13</v>
      </c>
      <c r="CI637" s="35">
        <f>(CI636/CI635)*100</f>
        <v>18.500000000000004</v>
      </c>
      <c r="CJ637" s="23">
        <f>IF(ISERROR((CI637/CG637-1)*100),"NA",IF(((CI637/CG637-1)*100)&gt;100,"NM",IF(((CI637/CG637-1)*100)&lt;-50,"NM",(CI637/CG637-1)*100)))</f>
        <v>-42.187499999999936</v>
      </c>
      <c r="CK637" s="114">
        <f>CI637</f>
        <v>18.500000000000004</v>
      </c>
      <c r="CL637" s="23">
        <f>IF(ISERROR((CK637/CI637-1)*100),"NA",IF(((CK637/CI637-1)*100)&gt;100,"NM",IF(((CK637/CI637-1)*100)&lt;-50,"NM",(CK637/CI637-1)*100)))</f>
        <v>0</v>
      </c>
      <c r="CM637" s="114">
        <f>CK637</f>
        <v>18.500000000000004</v>
      </c>
      <c r="CN637" s="23">
        <f>IF(ISERROR((CM637/CK637-1)*100),"NA",IF(((CM637/CK637-1)*100)&gt;100,"NM",IF(((CM637/CK637-1)*100)&lt;-50,"NM",(CM637/CK637-1)*100)))</f>
        <v>0</v>
      </c>
      <c r="CO637" s="114">
        <f>CM637</f>
        <v>18.500000000000004</v>
      </c>
      <c r="CP637" s="23">
        <f>IF(ISERROR((CO637/CM637-1)*100),"NA",IF(((CO637/CM637-1)*100)&gt;100,"NM",IF(((CO637/CM637-1)*100)&lt;-50,"NM",(CO637/CM637-1)*100)))</f>
        <v>0</v>
      </c>
      <c r="CQ637" s="114">
        <f>CO637</f>
        <v>18.500000000000004</v>
      </c>
      <c r="CR637" s="23">
        <f>IF(ISERROR((CQ637/CO637-1)*100),"NA",IF(((CQ637/CO637-1)*100)&gt;100,"NM",IF(((CQ637/CO637-1)*100)&lt;-50,"NM",(CQ637/CO637-1)*100)))</f>
        <v>0</v>
      </c>
      <c r="CS637" s="23">
        <f>IF(ISERROR(((CQ637/CG637)^0.2-1)*100),"NA",IF((((CQ637/CG637)^0.2-1)*100)&gt;100,"NM",IF((((CQ637/CG637)^0.2-1)*100)&lt;-50,"NM",((CQ637/CG637)^0.2-1)*100)))</f>
        <v>-10.380121660232023</v>
      </c>
    </row>
    <row r="638" spans="1:99" ht="12.75" customHeight="1" x14ac:dyDescent="0.2">
      <c r="A638" s="3" t="s">
        <v>24</v>
      </c>
      <c r="B638" s="73">
        <f t="shared" ref="B638:N638" si="4353">B635-B636</f>
        <v>162.80695523999987</v>
      </c>
      <c r="C638" s="59"/>
      <c r="D638" s="73">
        <f t="shared" si="4353"/>
        <v>195.40586680000027</v>
      </c>
      <c r="E638" s="59"/>
      <c r="F638" s="73">
        <f t="shared" si="4353"/>
        <v>199.44419101000017</v>
      </c>
      <c r="G638" s="59"/>
      <c r="H638" s="73">
        <f t="shared" si="4353"/>
        <v>170.28743746000012</v>
      </c>
      <c r="I638" s="59"/>
      <c r="J638" s="73">
        <f t="shared" si="4353"/>
        <v>156.00599999999997</v>
      </c>
      <c r="K638" s="23">
        <f t="shared" si="4317"/>
        <v>-4.1773124679927554</v>
      </c>
      <c r="L638" s="73">
        <f t="shared" si="4353"/>
        <v>129.37900000000002</v>
      </c>
      <c r="M638" s="23">
        <f t="shared" si="4317"/>
        <v>-33.789603086779053</v>
      </c>
      <c r="N638" s="73">
        <f t="shared" si="4353"/>
        <v>175.54400000000012</v>
      </c>
      <c r="O638" s="23">
        <f t="shared" si="4317"/>
        <v>-11.983397906435734</v>
      </c>
      <c r="P638" s="72">
        <f>P635-P636</f>
        <v>135.55400000000014</v>
      </c>
      <c r="Q638" s="23">
        <f t="shared" si="4317"/>
        <v>-20.396946467738541</v>
      </c>
      <c r="R638" s="72">
        <f>R635-R636</f>
        <v>166.70000000000036</v>
      </c>
      <c r="S638" s="23">
        <f t="shared" si="4317"/>
        <v>6.8548645564916688</v>
      </c>
      <c r="T638" s="72">
        <f>T635-T636</f>
        <v>176.80000000000015</v>
      </c>
      <c r="U638" s="23">
        <f t="shared" si="4317"/>
        <v>36.652779817435686</v>
      </c>
      <c r="V638" s="72">
        <f>V635-V636</f>
        <v>282.88000000000022</v>
      </c>
      <c r="W638" s="23">
        <f t="shared" si="4317"/>
        <v>61.144784213644463</v>
      </c>
      <c r="X638" s="72">
        <f>X635-X636</f>
        <v>198.18500000000006</v>
      </c>
      <c r="Y638" s="23">
        <f t="shared" si="4317"/>
        <v>46.203726928013822</v>
      </c>
      <c r="Z638" s="72">
        <f>Z635-Z636</f>
        <v>150.21500000000009</v>
      </c>
      <c r="AA638" s="23">
        <f>IF(ISERROR((Z638/R638-1)*100),"NA",IF(((Z638/R638-1)*100)&gt;100,"NM",IF(((Z638/R638-1)*100)&lt;-50,"NM",(Z638/R638-1)*100)))</f>
        <v>-9.8890221955610258</v>
      </c>
      <c r="AB638" s="72">
        <f>AB635-AB636</f>
        <v>213.33000000000018</v>
      </c>
      <c r="AC638" s="23">
        <f>IF(ISERROR((AB638/T638-1)*100),"NA",IF(((AB638/T638-1)*100)&gt;100,"NM",IF(((AB638/T638-1)*100)&lt;-50,"NM",(AB638/T638-1)*100)))</f>
        <v>20.661764705882348</v>
      </c>
      <c r="AD638" s="72">
        <f>AD635-AD636</f>
        <v>191.3599999999999</v>
      </c>
      <c r="AE638" s="23">
        <f>IF(ISERROR((AD638/V638-1)*100),"NA",IF(((AD638/V638-1)*100)&gt;100,"NM",IF(((AD638/V638-1)*100)&lt;-50,"NM",(AD638/V638-1)*100)))</f>
        <v>-32.352941176470672</v>
      </c>
      <c r="AF638" s="72">
        <f>AF635-AF636</f>
        <v>245.05</v>
      </c>
      <c r="AG638" s="23">
        <f>IF(ISERROR((AF638/X638-1)*100),"NA",IF(((AF638/X638-1)*100)&gt;100,"NM",IF(((AF638/X638-1)*100)&lt;-50,"NM",(AF638/X638-1)*100)))</f>
        <v>23.647097408986518</v>
      </c>
      <c r="AH638" s="72">
        <f>AH635-AH636</f>
        <v>196.99600000000004</v>
      </c>
      <c r="AI638" s="23">
        <f>IF(ISERROR((AH638/Z638-1)*100),"NA",IF(((AH638/Z638-1)*100)&gt;100,"NM",IF(((AH638/Z638-1)*100)&lt;-50,"NM",(AH638/Z638-1)*100)))</f>
        <v>31.142695469826531</v>
      </c>
      <c r="AJ638" s="72">
        <f>AJ635-AJ636</f>
        <v>178.49999999999983</v>
      </c>
      <c r="AK638" s="23">
        <f>IF(ISERROR((AJ638/AB638-1)*100),"NA",IF(((AJ638/AB638-1)*100)&gt;100,"NM",IF(((AJ638/AB638-1)*100)&lt;-50,"NM",(AJ638/AB638-1)*100)))</f>
        <v>-16.326817606525257</v>
      </c>
      <c r="AL638" s="72">
        <f>AL635-AL636</f>
        <v>93.22800000000025</v>
      </c>
      <c r="AM638" s="23" t="str">
        <f>IF(ISERROR((AL638/AD638-1)*100),"NA",IF(((AL638/AD638-1)*100)&gt;100,"NM",IF(((AL638/AD638-1)*100)&lt;-50,"NM",(AL638/AD638-1)*100)))</f>
        <v>NM</v>
      </c>
      <c r="AN638" s="72">
        <f t="shared" ref="AN638:AP638" si="4354">AN635-AN636</f>
        <v>196.04400000000012</v>
      </c>
      <c r="AO638" s="23">
        <f>IF(ISERROR((AN638/AF638-1)*100),"NA",IF(((AN638/AF638-1)*100)&gt;100,"NM",IF(((AN638/AF638-1)*100)&lt;-50,"NM",(AN638/AF638-1)*100)))</f>
        <v>-19.998367680065243</v>
      </c>
      <c r="AP638" s="72">
        <f t="shared" si="4354"/>
        <v>59.296000000000035</v>
      </c>
      <c r="AQ638" s="23" t="str">
        <f t="shared" si="4319"/>
        <v>NM</v>
      </c>
      <c r="AR638" s="72">
        <f t="shared" ref="AR638:AT638" si="4355">AR635-AR636</f>
        <v>88.739999999999839</v>
      </c>
      <c r="AS638" s="23" t="str">
        <f t="shared" si="4321"/>
        <v>NM</v>
      </c>
      <c r="AT638" s="72">
        <f t="shared" si="4355"/>
        <v>-25.092000000000063</v>
      </c>
      <c r="AU638" s="23" t="str">
        <f t="shared" si="4322"/>
        <v>NM</v>
      </c>
      <c r="AV638" s="72">
        <f t="shared" ref="AV638:AX638" si="4356">AV635-AV636</f>
        <v>101.72800000000009</v>
      </c>
      <c r="AW638" s="23">
        <f t="shared" si="4324"/>
        <v>-48.109608047173069</v>
      </c>
      <c r="AX638" s="72">
        <f t="shared" si="4356"/>
        <v>98.872000000000071</v>
      </c>
      <c r="AY638" s="23">
        <f t="shared" si="4325"/>
        <v>66.743119266055075</v>
      </c>
      <c r="AZ638" s="72">
        <f t="shared" ref="AZ638" si="4357">AZ635-AZ636</f>
        <v>72.759999999999849</v>
      </c>
      <c r="BA638" s="23">
        <f t="shared" si="4327"/>
        <v>-18.007662835249061</v>
      </c>
      <c r="BB638" s="72">
        <f t="shared" ref="BB638:BD638" si="4358">BB635-BB636</f>
        <v>28.696000000000033</v>
      </c>
      <c r="BC638" s="23" t="str">
        <f t="shared" si="4329"/>
        <v>NM</v>
      </c>
      <c r="BD638" s="72">
        <f t="shared" si="4358"/>
        <v>158.78</v>
      </c>
      <c r="BE638" s="23">
        <f t="shared" si="4330"/>
        <v>56.08288770053462</v>
      </c>
      <c r="BF638" s="72">
        <f t="shared" ref="BF638" si="4359">BF635-BF636</f>
        <v>148.66898183243566</v>
      </c>
      <c r="BG638" s="23">
        <f t="shared" si="4332"/>
        <v>50.365100162265918</v>
      </c>
      <c r="BH638" s="72">
        <f t="shared" ref="BH638" si="4360">BH635-BH636</f>
        <v>173.51376302319196</v>
      </c>
      <c r="BI638" s="23" t="str">
        <f t="shared" si="4334"/>
        <v>NM</v>
      </c>
      <c r="BJ638" s="72">
        <f t="shared" ref="BJ638" si="4361">BJ635-BJ636</f>
        <v>184.13956754827774</v>
      </c>
      <c r="BK638" s="23" t="str">
        <f t="shared" si="4336"/>
        <v>NM</v>
      </c>
      <c r="BL638" s="72">
        <f t="shared" ref="BL638" si="4362">BL635-BL636</f>
        <v>192.30048750428347</v>
      </c>
      <c r="BM638" s="23">
        <f t="shared" si="4338"/>
        <v>21.111278186348059</v>
      </c>
      <c r="BN638" s="7"/>
      <c r="BO638" s="143"/>
      <c r="BP638" s="7"/>
      <c r="BQ638" s="8"/>
      <c r="BR638" s="8"/>
      <c r="BS638" s="8"/>
      <c r="BT638" s="8"/>
      <c r="BU638" s="72">
        <f t="shared" ref="BU638:BY638" si="4363">BU635-BU636</f>
        <v>727.94445051000037</v>
      </c>
      <c r="BV638" s="23" t="str">
        <f>IF(ISERROR((BU638/BS638-1)*100),"NA",IF(((BU638/BS638-1)*100)&gt;100,"NM",IF(((BU638/BS638-1)*100)&lt;-50,"NM",(BU638/BS638-1)*100)))</f>
        <v>NA</v>
      </c>
      <c r="BW638" s="72">
        <f t="shared" si="4363"/>
        <v>596.48300000000074</v>
      </c>
      <c r="BX638" s="23">
        <f>IF(ISERROR((BW638/BU638-1)*100),"NA",IF(((BW638/BU638-1)*100)&gt;100,"NM",IF(((BW638/BU638-1)*100)&lt;-50,"NM",(BW638/BU638-1)*100)))</f>
        <v>-18.059269552490886</v>
      </c>
      <c r="BY638" s="72">
        <f t="shared" si="4363"/>
        <v>824.5649999999996</v>
      </c>
      <c r="BZ638" s="23">
        <f>IF(ISERROR((BY638/BW638-1)*100),"NA",IF(((BY638/BW638-1)*100)&gt;100,"NM",IF(((BY638/BW638-1)*100)&lt;-50,"NM",(BY638/BW638-1)*100)))</f>
        <v>38.237803927353944</v>
      </c>
      <c r="CA638" s="72">
        <f>CA635-CA636</f>
        <v>799.95500000000061</v>
      </c>
      <c r="CB638" s="23">
        <f>IF(ISERROR((CA638/BY638-1)*100),"NA",IF(((CA638/BY638-1)*100)&gt;100,"NM",IF(((CA638/BY638-1)*100)&lt;-50,"NM",(CA638/BY638-1)*100)))</f>
        <v>-2.9846040033228438</v>
      </c>
      <c r="CC638" s="72">
        <f>CC635-CC636</f>
        <v>664.76800000000026</v>
      </c>
      <c r="CD638" s="23">
        <f>IF(ISERROR((CC638/CA638-1)*100),"NA",IF(((CC638/CA638-1)*100)&gt;100,"NM",IF(((CC638/CA638-1)*100)&lt;-50,"NM",(CC638/CA638-1)*100)))</f>
        <v>-16.899325587064308</v>
      </c>
      <c r="CE638" s="72">
        <f>CE635-CE636</f>
        <v>224.67200000000059</v>
      </c>
      <c r="CF638" s="23" t="str">
        <f>IF(ISERROR((CE638/CC638-1)*100),"NA",IF(((CE638/CC638-1)*100)&gt;100,"NM",IF(((CE638/CC638-1)*100)&lt;-50,"NM",(CE638/CC638-1)*100)))</f>
        <v>NM</v>
      </c>
      <c r="CG638" s="72">
        <f>CG635-CG636</f>
        <v>359.1080000000004</v>
      </c>
      <c r="CH638" s="23">
        <f>IF(ISERROR((CG638/CE638-1)*100),"NA",IF(((CG638/CE638-1)*100)&gt;100,"NM",IF(((CG638/CE638-1)*100)&lt;-50,"NM",(CG638/CE638-1)*100)))</f>
        <v>59.836561743341157</v>
      </c>
      <c r="CI638" s="72">
        <f>CI635-CI636</f>
        <v>698.62279990818888</v>
      </c>
      <c r="CJ638" s="23">
        <f>IF(ISERROR((CI638/CG638-1)*100),"NA",IF(((CI638/CG638-1)*100)&gt;100,"NM",IF(((CI638/CG638-1)*100)&lt;-50,"NM",(CI638/CG638-1)*100)))</f>
        <v>94.543925478738473</v>
      </c>
      <c r="CK638" s="72">
        <f>CK635-CK636</f>
        <v>789.54608848988164</v>
      </c>
      <c r="CL638" s="23">
        <f>IF(ISERROR((CK638/CI638-1)*100),"NA",IF(((CK638/CI638-1)*100)&gt;100,"NM",IF(((CK638/CI638-1)*100)&lt;-50,"NM",(CK638/CI638-1)*100)))</f>
        <v>13.014646615260993</v>
      </c>
      <c r="CM638" s="72">
        <f>CM635-CM636</f>
        <v>826.77672498393611</v>
      </c>
      <c r="CN638" s="23">
        <f>IF(ISERROR((CM638/CK638-1)*100),"NA",IF(((CM638/CK638-1)*100)&gt;100,"NM",IF(((CM638/CK638-1)*100)&lt;-50,"NM",(CM638/CK638-1)*100)))</f>
        <v>4.7154481589875674</v>
      </c>
      <c r="CO638" s="72">
        <f>CO635-CO636</f>
        <v>863.13998393363079</v>
      </c>
      <c r="CP638" s="23">
        <f>IF(ISERROR((CO638/CM638-1)*100),"NA",IF(((CO638/CM638-1)*100)&gt;100,"NM",IF(((CO638/CM638-1)*100)&lt;-50,"NM",(CO638/CM638-1)*100)))</f>
        <v>4.3981957704967156</v>
      </c>
      <c r="CQ638" s="72">
        <f>CQ635-CQ636</f>
        <v>899.14588619677238</v>
      </c>
      <c r="CR638" s="23">
        <f>IF(ISERROR((CQ638/CO638-1)*100),"NA",IF(((CQ638/CO638-1)*100)&gt;100,"NM",IF(((CQ638/CO638-1)*100)&lt;-50,"NM",(CQ638/CO638-1)*100)))</f>
        <v>4.1715020661017288</v>
      </c>
      <c r="CS638" s="23">
        <f>IF(ISERROR(((CQ638/CG638)^0.2-1)*100),"NA",IF((((CQ638/CG638)^0.2-1)*100)&gt;100,"NM",IF((((CQ638/CG638)^0.2-1)*100)&lt;-50,"NM",((CQ638/CG638)^0.2-1)*100)))</f>
        <v>20.149236749895127</v>
      </c>
      <c r="CT638" s="9"/>
      <c r="CU638" s="9"/>
    </row>
    <row r="639" spans="1:99" ht="12.75" customHeight="1" x14ac:dyDescent="0.2">
      <c r="A639" s="408"/>
      <c r="B639" s="115"/>
      <c r="C639" s="59"/>
      <c r="D639" s="115"/>
      <c r="E639" s="59"/>
      <c r="F639" s="115"/>
      <c r="G639" s="59"/>
      <c r="H639" s="115"/>
      <c r="I639" s="59"/>
      <c r="J639" s="115"/>
      <c r="K639" s="23"/>
      <c r="L639" s="115"/>
      <c r="M639" s="23"/>
      <c r="N639" s="115"/>
      <c r="O639" s="23"/>
      <c r="P639" s="115"/>
      <c r="Q639" s="23"/>
      <c r="R639" s="531"/>
      <c r="S639" s="531"/>
      <c r="T639" s="531"/>
      <c r="U639" s="531"/>
      <c r="V639" s="531"/>
      <c r="W639" s="23"/>
      <c r="X639" s="531"/>
      <c r="Y639" s="531"/>
      <c r="Z639" s="531"/>
      <c r="AA639" s="531"/>
      <c r="AB639" s="531"/>
      <c r="AC639" s="531"/>
      <c r="AD639" s="531"/>
      <c r="AE639" s="531"/>
      <c r="AF639" s="531"/>
      <c r="AG639" s="23"/>
      <c r="AH639" s="531"/>
      <c r="AI639" s="531"/>
      <c r="AJ639" s="531"/>
      <c r="AK639" s="531"/>
      <c r="AL639" s="547"/>
      <c r="AM639" s="531"/>
      <c r="AN639" s="547"/>
      <c r="AO639" s="531"/>
      <c r="AP639" s="547"/>
      <c r="AQ639" s="23"/>
      <c r="AR639" s="547"/>
      <c r="AS639" s="531"/>
      <c r="AT639" s="547"/>
      <c r="AU639" s="531"/>
      <c r="AV639" s="547"/>
      <c r="AW639" s="23"/>
      <c r="AX639" s="547"/>
      <c r="AY639" s="23"/>
      <c r="AZ639" s="547"/>
      <c r="BA639" s="23"/>
      <c r="BB639" s="547"/>
      <c r="BC639" s="23"/>
      <c r="BD639" s="547"/>
      <c r="BE639" s="23"/>
      <c r="BF639" s="531"/>
      <c r="BG639" s="23"/>
      <c r="BH639" s="531"/>
      <c r="BI639" s="23"/>
      <c r="BJ639" s="531"/>
      <c r="BK639" s="23"/>
      <c r="BL639" s="531"/>
      <c r="BM639" s="23"/>
      <c r="BN639" s="35"/>
      <c r="BO639" s="138"/>
      <c r="BP639" s="35"/>
      <c r="BQ639" s="113"/>
      <c r="BR639" s="113"/>
      <c r="BS639" s="113"/>
      <c r="BT639" s="35"/>
      <c r="BU639" s="115"/>
      <c r="BV639" s="23"/>
      <c r="BW639" s="115"/>
      <c r="BX639" s="23"/>
      <c r="BY639" s="531"/>
      <c r="BZ639" s="23"/>
      <c r="CA639" s="531"/>
      <c r="CB639" s="23"/>
      <c r="CC639" s="531"/>
      <c r="CD639" s="23"/>
      <c r="CE639" s="115"/>
      <c r="CF639" s="23"/>
      <c r="CG639" s="115"/>
      <c r="CH639" s="23"/>
      <c r="CI639" s="115"/>
      <c r="CJ639" s="23"/>
      <c r="CK639" s="115"/>
      <c r="CL639" s="23"/>
      <c r="CM639" s="115"/>
      <c r="CN639" s="23"/>
      <c r="CO639" s="115"/>
      <c r="CP639" s="23"/>
      <c r="CQ639" s="115"/>
      <c r="CR639" s="23"/>
      <c r="CS639" s="23"/>
    </row>
    <row r="640" spans="1:99" ht="12.75" customHeight="1" x14ac:dyDescent="0.2">
      <c r="A640" s="3" t="s">
        <v>509</v>
      </c>
      <c r="B640" s="115"/>
      <c r="C640" s="59"/>
      <c r="D640" s="115"/>
      <c r="E640" s="59"/>
      <c r="F640" s="115"/>
      <c r="G640" s="59"/>
      <c r="H640" s="115"/>
      <c r="I640" s="59"/>
      <c r="J640" s="115"/>
      <c r="K640" s="23"/>
      <c r="L640" s="115"/>
      <c r="M640" s="23"/>
      <c r="N640" s="115"/>
      <c r="O640" s="23"/>
      <c r="P640" s="115"/>
      <c r="Q640" s="23"/>
      <c r="R640" s="531"/>
      <c r="S640" s="531"/>
      <c r="T640" s="531"/>
      <c r="U640" s="531"/>
      <c r="V640" s="531"/>
      <c r="W640" s="23"/>
      <c r="X640" s="531"/>
      <c r="Y640" s="531"/>
      <c r="Z640" s="531"/>
      <c r="AA640" s="531"/>
      <c r="AB640" s="531"/>
      <c r="AC640" s="531"/>
      <c r="AD640" s="531"/>
      <c r="AE640" s="531"/>
      <c r="AF640" s="531"/>
      <c r="AG640" s="23"/>
      <c r="AH640" s="531"/>
      <c r="AI640" s="531"/>
      <c r="AJ640" s="531"/>
      <c r="AK640" s="531"/>
      <c r="AL640" s="531"/>
      <c r="AM640" s="531"/>
      <c r="AN640" s="531"/>
      <c r="AO640" s="531"/>
      <c r="AP640" s="531"/>
      <c r="AQ640" s="23"/>
      <c r="AR640" s="540"/>
      <c r="AS640" s="531"/>
      <c r="AT640" s="540"/>
      <c r="AU640" s="531"/>
      <c r="AV640" s="540"/>
      <c r="AW640" s="23"/>
      <c r="AX640" s="540"/>
      <c r="AY640" s="23"/>
      <c r="AZ640" s="540"/>
      <c r="BA640" s="23"/>
      <c r="BB640" s="540"/>
      <c r="BC640" s="23"/>
      <c r="BD640" s="540"/>
      <c r="BE640" s="23"/>
      <c r="BF640" s="531"/>
      <c r="BG640" s="23"/>
      <c r="BH640" s="531"/>
      <c r="BI640" s="23"/>
      <c r="BJ640" s="531"/>
      <c r="BK640" s="23"/>
      <c r="BL640" s="531"/>
      <c r="BM640" s="23"/>
      <c r="BN640" s="35"/>
      <c r="BO640" s="138"/>
      <c r="BP640" s="35"/>
      <c r="BQ640" s="113"/>
      <c r="BR640" s="113"/>
      <c r="BS640" s="113"/>
      <c r="BT640" s="35"/>
      <c r="BU640" s="115"/>
      <c r="BV640" s="23"/>
      <c r="BW640" s="115"/>
      <c r="BX640" s="23"/>
      <c r="BY640" s="531"/>
      <c r="BZ640" s="23"/>
      <c r="CA640" s="531"/>
      <c r="CB640" s="23"/>
      <c r="CC640" s="531"/>
      <c r="CD640" s="23"/>
      <c r="CE640" s="115"/>
      <c r="CF640" s="23"/>
      <c r="CG640" s="115"/>
      <c r="CH640" s="23"/>
      <c r="CI640" s="115"/>
      <c r="CJ640" s="23"/>
      <c r="CK640" s="115"/>
      <c r="CL640" s="23"/>
      <c r="CM640" s="115"/>
      <c r="CN640" s="23"/>
      <c r="CO640" s="115"/>
      <c r="CP640" s="23"/>
      <c r="CQ640" s="115"/>
      <c r="CR640" s="23"/>
      <c r="CS640" s="23"/>
    </row>
    <row r="641" spans="1:105" ht="12.75" customHeight="1" x14ac:dyDescent="0.2">
      <c r="A641" s="408" t="s">
        <v>507</v>
      </c>
      <c r="B641" s="115"/>
      <c r="C641" s="59"/>
      <c r="D641" s="115"/>
      <c r="E641" s="59"/>
      <c r="F641" s="115"/>
      <c r="G641" s="59"/>
      <c r="H641" s="115"/>
      <c r="I641" s="59"/>
      <c r="J641" s="115"/>
      <c r="K641" s="23"/>
      <c r="L641" s="115"/>
      <c r="M641" s="23"/>
      <c r="N641" s="115"/>
      <c r="O641" s="23"/>
      <c r="P641" s="115"/>
      <c r="Q641" s="23"/>
      <c r="R641" s="531"/>
      <c r="S641" s="531"/>
      <c r="T641" s="531"/>
      <c r="U641" s="531"/>
      <c r="V641" s="531"/>
      <c r="W641" s="531"/>
      <c r="X641" s="531"/>
      <c r="Y641" s="531"/>
      <c r="Z641" s="531">
        <v>1434</v>
      </c>
      <c r="AA641" s="23" t="str">
        <f>IF(ISERROR((Z641/R641-1)*100),"NA",IF(((Z641/R641-1)*100)&gt;100,"NM",IF(((Z641/R641-1)*100)&lt;-50,"NM",(Z641/R641-1)*100)))</f>
        <v>NA</v>
      </c>
      <c r="AB641" s="531">
        <v>1082</v>
      </c>
      <c r="AC641" s="23" t="str">
        <f>IF(ISERROR((AB641/T641-1)*100),"NA",IF(((AB641/T641-1)*100)&gt;100,"NM",IF(((AB641/T641-1)*100)&lt;-50,"NM",(AB641/T641-1)*100)))</f>
        <v>NA</v>
      </c>
      <c r="AD641" s="531">
        <v>1230</v>
      </c>
      <c r="AE641" s="23" t="str">
        <f>IF(ISERROR((AD641/V641-1)*100),"NA",IF(((AD641/V641-1)*100)&gt;100,"NM",IF(((AD641/V641-1)*100)&lt;-50,"NM",(AD641/V641-1)*100)))</f>
        <v>NA</v>
      </c>
      <c r="AF641" s="531">
        <v>1548</v>
      </c>
      <c r="AG641" s="23" t="str">
        <f>IF(ISERROR((AF641/X641-1)*100),"NA",IF(((AF641/X641-1)*100)&gt;100,"NM",IF(((AF641/X641-1)*100)&lt;-50,"NM",(AF641/X641-1)*100)))</f>
        <v>NA</v>
      </c>
      <c r="AH641" s="531">
        <v>1231</v>
      </c>
      <c r="AI641" s="23">
        <f>IF(ISERROR((AH641/Z641-1)*100),"NA",IF(((AH641/Z641-1)*100)&gt;100,"NM",IF(((AH641/Z641-1)*100)&lt;-50,"NM",(AH641/Z641-1)*100)))</f>
        <v>-14.156206415620643</v>
      </c>
      <c r="AJ641" s="531">
        <v>796</v>
      </c>
      <c r="AK641" s="23">
        <f>IF(ISERROR((AJ641/AB641-1)*100),"NA",IF(((AJ641/AB641-1)*100)&gt;100,"NM",IF(((AJ641/AB641-1)*100)&lt;-50,"NM",(AJ641/AB641-1)*100)))</f>
        <v>-26.432532347504623</v>
      </c>
      <c r="AL641" s="531">
        <v>648</v>
      </c>
      <c r="AM641" s="23">
        <f>IF(ISERROR((AL641/AD641-1)*100),"NA",IF(((AL641/AD641-1)*100)&gt;100,"NM",IF(((AL641/AD641-1)*100)&lt;-50,"NM",(AL641/AD641-1)*100)))</f>
        <v>-47.317073170731703</v>
      </c>
      <c r="AN641" s="531">
        <v>844</v>
      </c>
      <c r="AO641" s="23">
        <f>IF(ISERROR((AN641/AF641-1)*100),"NA",IF(((AN641/AF641-1)*100)&gt;100,"NM",IF(((AN641/AF641-1)*100)&lt;-50,"NM",(AN641/AF641-1)*100)))</f>
        <v>-45.478036175710592</v>
      </c>
      <c r="AP641" s="531">
        <v>711</v>
      </c>
      <c r="AQ641" s="23">
        <f>IF(ISERROR((AP641/AH641-1)*100),"NA",IF(((AP641/AH641-1)*100)&gt;100,"NM",IF(((AP641/AH641-1)*100)&lt;-50,"NM",(AP641/AH641-1)*100)))</f>
        <v>-42.242079610073112</v>
      </c>
      <c r="AR641" s="541">
        <v>503</v>
      </c>
      <c r="AS641" s="23">
        <f>IF(ISERROR((AR641/AJ641-1)*100),"NA",IF(((AR641/AJ641-1)*100)&gt;100,"NM",IF(((AR641/AJ641-1)*100)&lt;-50,"NM",(AR641/AJ641-1)*100)))</f>
        <v>-36.809045226130657</v>
      </c>
      <c r="AT641" s="531">
        <v>600</v>
      </c>
      <c r="AU641" s="23">
        <f>IF(ISERROR((AT641/AL641-1)*100),"NA",IF(((AT641/AL641-1)*100)&gt;100,"NM",IF(((AT641/AL641-1)*100)&lt;-50,"NM",(AT641/AL641-1)*100)))</f>
        <v>-7.4074074074074066</v>
      </c>
      <c r="AV641" s="531">
        <v>928</v>
      </c>
      <c r="AW641" s="416"/>
      <c r="AX641" s="531">
        <v>945</v>
      </c>
      <c r="AY641" s="23"/>
      <c r="AZ641" s="531">
        <v>746</v>
      </c>
      <c r="BA641" s="23"/>
      <c r="BB641" s="540">
        <v>795</v>
      </c>
      <c r="BC641" s="23"/>
      <c r="BD641" s="648"/>
      <c r="BE641" s="23"/>
      <c r="BF641" s="531"/>
      <c r="BG641" s="23"/>
      <c r="BH641" s="531"/>
      <c r="BI641" s="23"/>
      <c r="BJ641" s="531"/>
      <c r="BK641" s="23"/>
      <c r="BL641" s="531"/>
      <c r="BM641" s="23"/>
      <c r="BN641" s="35"/>
      <c r="BO641" s="138"/>
      <c r="BP641" s="35"/>
      <c r="BQ641" s="113"/>
      <c r="BR641" s="113"/>
      <c r="BS641" s="113"/>
      <c r="BT641" s="35"/>
      <c r="BU641" s="115"/>
      <c r="BV641" s="23"/>
      <c r="BW641" s="115"/>
      <c r="BX641" s="23"/>
      <c r="BY641" s="531"/>
      <c r="BZ641" s="23"/>
      <c r="CA641" s="527">
        <f>AF641</f>
        <v>1548</v>
      </c>
      <c r="CB641" s="23" t="str">
        <f t="shared" ref="CB641:CB643" si="4364">IF(ISERROR((CA641/BY641-1)*100),"NA",IF(((CA641/BY641-1)*100)&gt;100,"NM",IF(((CA641/BY641-1)*100)&lt;-50,"NM",(CA641/BY641-1)*100)))</f>
        <v>NA</v>
      </c>
      <c r="CC641" s="527">
        <f>AN641</f>
        <v>844</v>
      </c>
      <c r="CD641" s="23">
        <f t="shared" ref="CD641:CD643" si="4365">IF(ISERROR((CC641/CA641-1)*100),"NA",IF(((CC641/CA641-1)*100)&gt;100,"NM",IF(((CC641/CA641-1)*100)&lt;-50,"NM",(CC641/CA641-1)*100)))</f>
        <v>-45.478036175710592</v>
      </c>
      <c r="CE641" s="529">
        <f>AV641</f>
        <v>928</v>
      </c>
      <c r="CF641" s="23">
        <f t="shared" ref="CF641:CR643" si="4366">IF(ISERROR((CE641/CC641-1)*100),"NA",IF(((CE641/CC641-1)*100)&gt;100,"NM",IF(((CE641/CC641-1)*100)&lt;-50,"NM",(CE641/CC641-1)*100)))</f>
        <v>9.952606635071092</v>
      </c>
      <c r="CG641" s="529">
        <f>BD641</f>
        <v>0</v>
      </c>
      <c r="CH641" s="23" t="str">
        <f t="shared" si="4366"/>
        <v>NM</v>
      </c>
      <c r="CI641" s="529">
        <f>BL641</f>
        <v>0</v>
      </c>
      <c r="CJ641" s="23" t="str">
        <f t="shared" si="4366"/>
        <v>NA</v>
      </c>
      <c r="CK641" s="527">
        <f>CI641*1.05</f>
        <v>0</v>
      </c>
      <c r="CL641" s="23" t="str">
        <f t="shared" si="4366"/>
        <v>NA</v>
      </c>
      <c r="CM641" s="527">
        <f t="shared" ref="CM641:CM643" si="4367">CK641*1.05</f>
        <v>0</v>
      </c>
      <c r="CN641" s="23" t="str">
        <f t="shared" si="4366"/>
        <v>NA</v>
      </c>
      <c r="CO641" s="527">
        <f t="shared" ref="CO641:CO643" si="4368">CM641*1.05</f>
        <v>0</v>
      </c>
      <c r="CP641" s="23" t="str">
        <f t="shared" si="4366"/>
        <v>NA</v>
      </c>
      <c r="CQ641" s="527">
        <f t="shared" ref="CQ641:CQ643" si="4369">CO641*1.05</f>
        <v>0</v>
      </c>
      <c r="CR641" s="23" t="str">
        <f t="shared" si="4366"/>
        <v>NA</v>
      </c>
      <c r="CS641" s="23" t="str">
        <f>IF(ISERROR(((CQ641/CG641)^0.2-1)*100),"NA",IF((((CQ641/CG641)^0.2-1)*100)&gt;100,"NM",IF((((CQ641/CG641)^0.2-1)*100)&lt;-50,"NM",((CQ641/CG641)^0.2-1)*100)))</f>
        <v>NA</v>
      </c>
    </row>
    <row r="642" spans="1:105" ht="12.75" customHeight="1" x14ac:dyDescent="0.2">
      <c r="A642" s="408" t="s">
        <v>508</v>
      </c>
      <c r="B642" s="115"/>
      <c r="C642" s="59"/>
      <c r="D642" s="115"/>
      <c r="E642" s="59"/>
      <c r="F642" s="115"/>
      <c r="G642" s="59"/>
      <c r="H642" s="115"/>
      <c r="I642" s="59"/>
      <c r="J642" s="115"/>
      <c r="K642" s="23"/>
      <c r="L642" s="115"/>
      <c r="M642" s="23"/>
      <c r="N642" s="115"/>
      <c r="O642" s="23"/>
      <c r="P642" s="115"/>
      <c r="Q642" s="23"/>
      <c r="R642" s="531"/>
      <c r="S642" s="531"/>
      <c r="T642" s="531"/>
      <c r="U642" s="531"/>
      <c r="V642" s="531"/>
      <c r="W642" s="531"/>
      <c r="X642" s="531"/>
      <c r="Y642" s="531"/>
      <c r="Z642" s="531">
        <v>462</v>
      </c>
      <c r="AA642" s="23" t="str">
        <f>IF(ISERROR((Z642/R642-1)*100),"NA",IF(((Z642/R642-1)*100)&gt;100,"NM",IF(((Z642/R642-1)*100)&lt;-50,"NM",(Z642/R642-1)*100)))</f>
        <v>NA</v>
      </c>
      <c r="AB642" s="531">
        <v>879</v>
      </c>
      <c r="AC642" s="23" t="str">
        <f>IF(ISERROR((AB642/T642-1)*100),"NA",IF(((AB642/T642-1)*100)&gt;100,"NM",IF(((AB642/T642-1)*100)&lt;-50,"NM",(AB642/T642-1)*100)))</f>
        <v>NA</v>
      </c>
      <c r="AD642" s="531">
        <v>474</v>
      </c>
      <c r="AE642" s="23" t="str">
        <f>IF(ISERROR((AD642/V642-1)*100),"NA",IF(((AD642/V642-1)*100)&gt;100,"NM",IF(((AD642/V642-1)*100)&lt;-50,"NM",(AD642/V642-1)*100)))</f>
        <v>NA</v>
      </c>
      <c r="AF642" s="531">
        <v>682</v>
      </c>
      <c r="AG642" s="23" t="str">
        <f>IF(ISERROR((AF642/X642-1)*100),"NA",IF(((AF642/X642-1)*100)&gt;100,"NM",IF(((AF642/X642-1)*100)&lt;-50,"NM",(AF642/X642-1)*100)))</f>
        <v>NA</v>
      </c>
      <c r="AH642" s="531">
        <v>12</v>
      </c>
      <c r="AI642" s="23" t="str">
        <f>IF(ISERROR((AH642/Z642-1)*100),"NA",IF(((AH642/Z642-1)*100)&gt;100,"NM",IF(((AH642/Z642-1)*100)&lt;-50,"NM",(AH642/Z642-1)*100)))</f>
        <v>NM</v>
      </c>
      <c r="AJ642" s="531">
        <v>323</v>
      </c>
      <c r="AK642" s="23" t="str">
        <f>IF(ISERROR((AJ642/AB642-1)*100),"NA",IF(((AJ642/AB642-1)*100)&gt;100,"NM",IF(((AJ642/AB642-1)*100)&lt;-50,"NM",(AJ642/AB642-1)*100)))</f>
        <v>NM</v>
      </c>
      <c r="AL642" s="531">
        <v>105</v>
      </c>
      <c r="AM642" s="23" t="str">
        <f>IF(ISERROR((AL642/AD642-1)*100),"NA",IF(((AL642/AD642-1)*100)&gt;100,"NM",IF(((AL642/AD642-1)*100)&lt;-50,"NM",(AL642/AD642-1)*100)))</f>
        <v>NM</v>
      </c>
      <c r="AN642" s="531">
        <v>224</v>
      </c>
      <c r="AO642" s="23" t="str">
        <f>IF(ISERROR((AN642/AF642-1)*100),"NA",IF(((AN642/AF642-1)*100)&gt;100,"NM",IF(((AN642/AF642-1)*100)&lt;-50,"NM",(AN642/AF642-1)*100)))</f>
        <v>NM</v>
      </c>
      <c r="AP642" s="531">
        <v>106</v>
      </c>
      <c r="AQ642" s="23" t="str">
        <f>IF(ISERROR((AP642/AH642-1)*100),"NA",IF(((AP642/AH642-1)*100)&gt;100,"NM",IF(((AP642/AH642-1)*100)&lt;-50,"NM",(AP642/AH642-1)*100)))</f>
        <v>NM</v>
      </c>
      <c r="AR642" s="541">
        <v>272</v>
      </c>
      <c r="AS642" s="23">
        <f>IF(ISERROR((AR642/AJ642-1)*100),"NA",IF(((AR642/AJ642-1)*100)&gt;100,"NM",IF(((AR642/AJ642-1)*100)&lt;-50,"NM",(AR642/AJ642-1)*100)))</f>
        <v>-15.789473684210531</v>
      </c>
      <c r="AT642" s="531">
        <v>378</v>
      </c>
      <c r="AU642" s="23" t="str">
        <f>IF(ISERROR((AT642/AL642-1)*100),"NA",IF(((AT642/AL642-1)*100)&gt;100,"NM",IF(((AT642/AL642-1)*100)&lt;-50,"NM",(AT642/AL642-1)*100)))</f>
        <v>NM</v>
      </c>
      <c r="AV642" s="531">
        <v>13</v>
      </c>
      <c r="AW642" s="416"/>
      <c r="AX642" s="531">
        <v>4</v>
      </c>
      <c r="AY642" s="23"/>
      <c r="AZ642" s="531">
        <v>131</v>
      </c>
      <c r="BA642" s="23"/>
      <c r="BB642" s="540">
        <v>149</v>
      </c>
      <c r="BC642" s="23"/>
      <c r="BD642" s="648"/>
      <c r="BE642" s="23"/>
      <c r="BF642" s="531"/>
      <c r="BG642" s="23"/>
      <c r="BH642" s="531"/>
      <c r="BI642" s="23"/>
      <c r="BJ642" s="531"/>
      <c r="BK642" s="23"/>
      <c r="BL642" s="531"/>
      <c r="BM642" s="23"/>
      <c r="BN642" s="35"/>
      <c r="BO642" s="138"/>
      <c r="BP642" s="35"/>
      <c r="BQ642" s="113"/>
      <c r="BR642" s="113"/>
      <c r="BS642" s="113"/>
      <c r="BT642" s="35"/>
      <c r="BU642" s="115"/>
      <c r="BV642" s="23"/>
      <c r="BW642" s="115"/>
      <c r="BX642" s="23"/>
      <c r="BY642" s="531"/>
      <c r="BZ642" s="23"/>
      <c r="CA642" s="527">
        <f>AF642</f>
        <v>682</v>
      </c>
      <c r="CB642" s="23" t="str">
        <f t="shared" si="4364"/>
        <v>NA</v>
      </c>
      <c r="CC642" s="527">
        <f>AN642</f>
        <v>224</v>
      </c>
      <c r="CD642" s="23" t="str">
        <f t="shared" si="4365"/>
        <v>NM</v>
      </c>
      <c r="CE642" s="529">
        <f>AV642</f>
        <v>13</v>
      </c>
      <c r="CF642" s="23" t="str">
        <f t="shared" si="4366"/>
        <v>NM</v>
      </c>
      <c r="CG642" s="529">
        <f>BD642</f>
        <v>0</v>
      </c>
      <c r="CH642" s="23" t="str">
        <f t="shared" si="4366"/>
        <v>NM</v>
      </c>
      <c r="CI642" s="529">
        <f>BL642</f>
        <v>0</v>
      </c>
      <c r="CJ642" s="23" t="str">
        <f t="shared" si="4366"/>
        <v>NA</v>
      </c>
      <c r="CK642" s="527">
        <f>CI642*1.05</f>
        <v>0</v>
      </c>
      <c r="CL642" s="23" t="str">
        <f t="shared" si="4366"/>
        <v>NA</v>
      </c>
      <c r="CM642" s="527">
        <f t="shared" si="4367"/>
        <v>0</v>
      </c>
      <c r="CN642" s="23" t="str">
        <f t="shared" si="4366"/>
        <v>NA</v>
      </c>
      <c r="CO642" s="527">
        <f t="shared" si="4368"/>
        <v>0</v>
      </c>
      <c r="CP642" s="23" t="str">
        <f t="shared" si="4366"/>
        <v>NA</v>
      </c>
      <c r="CQ642" s="527">
        <f t="shared" si="4369"/>
        <v>0</v>
      </c>
      <c r="CR642" s="23" t="str">
        <f t="shared" si="4366"/>
        <v>NA</v>
      </c>
      <c r="CS642" s="23" t="str">
        <f>IF(ISERROR(((CQ642/CG642)^0.2-1)*100),"NA",IF((((CQ642/CG642)^0.2-1)*100)&gt;100,"NM",IF((((CQ642/CG642)^0.2-1)*100)&lt;-50,"NM",((CQ642/CG642)^0.2-1)*100)))</f>
        <v>NA</v>
      </c>
    </row>
    <row r="643" spans="1:105" ht="12.75" customHeight="1" x14ac:dyDescent="0.2">
      <c r="A643" s="3" t="s">
        <v>510</v>
      </c>
      <c r="B643" s="115"/>
      <c r="C643" s="59"/>
      <c r="D643" s="115"/>
      <c r="E643" s="59"/>
      <c r="F643" s="115"/>
      <c r="G643" s="59"/>
      <c r="H643" s="115"/>
      <c r="I643" s="59"/>
      <c r="J643" s="115"/>
      <c r="K643" s="23"/>
      <c r="L643" s="115"/>
      <c r="M643" s="23"/>
      <c r="N643" s="115"/>
      <c r="O643" s="23"/>
      <c r="P643" s="115"/>
      <c r="Q643" s="23"/>
      <c r="R643" s="527"/>
      <c r="S643" s="527"/>
      <c r="T643" s="527"/>
      <c r="U643" s="527"/>
      <c r="V643" s="527"/>
      <c r="W643" s="527"/>
      <c r="X643" s="527"/>
      <c r="Y643" s="527"/>
      <c r="Z643" s="527">
        <f t="shared" ref="Z643:AN643" si="4370">Z641+Z642</f>
        <v>1896</v>
      </c>
      <c r="AA643" s="23" t="str">
        <f>IF(ISERROR((Z643/R643-1)*100),"NA",IF(((Z643/R643-1)*100)&gt;100,"NM",IF(((Z643/R643-1)*100)&lt;-50,"NM",(Z643/R643-1)*100)))</f>
        <v>NA</v>
      </c>
      <c r="AB643" s="527">
        <f t="shared" si="4370"/>
        <v>1961</v>
      </c>
      <c r="AC643" s="23" t="str">
        <f>IF(ISERROR((AB643/T643-1)*100),"NA",IF(((AB643/T643-1)*100)&gt;100,"NM",IF(((AB643/T643-1)*100)&lt;-50,"NM",(AB643/T643-1)*100)))</f>
        <v>NA</v>
      </c>
      <c r="AD643" s="527">
        <f t="shared" si="4370"/>
        <v>1704</v>
      </c>
      <c r="AE643" s="23" t="str">
        <f>IF(ISERROR((AD643/V643-1)*100),"NA",IF(((AD643/V643-1)*100)&gt;100,"NM",IF(((AD643/V643-1)*100)&lt;-50,"NM",(AD643/V643-1)*100)))</f>
        <v>NA</v>
      </c>
      <c r="AF643" s="527">
        <f t="shared" si="4370"/>
        <v>2230</v>
      </c>
      <c r="AG643" s="23" t="str">
        <f>IF(ISERROR((AF643/X643-1)*100),"NA",IF(((AF643/X643-1)*100)&gt;100,"NM",IF(((AF643/X643-1)*100)&lt;-50,"NM",(AF643/X643-1)*100)))</f>
        <v>NA</v>
      </c>
      <c r="AH643" s="527">
        <f t="shared" si="4370"/>
        <v>1243</v>
      </c>
      <c r="AI643" s="23">
        <f>IF(ISERROR((AH643/Z643-1)*100),"NA",IF(((AH643/Z643-1)*100)&gt;100,"NM",IF(((AH643/Z643-1)*100)&lt;-50,"NM",(AH643/Z643-1)*100)))</f>
        <v>-34.440928270042193</v>
      </c>
      <c r="AJ643" s="527">
        <f t="shared" si="4370"/>
        <v>1119</v>
      </c>
      <c r="AK643" s="23">
        <f>IF(ISERROR((AJ643/AB643-1)*100),"NA",IF(((AJ643/AB643-1)*100)&gt;100,"NM",IF(((AJ643/AB643-1)*100)&lt;-50,"NM",(AJ643/AB643-1)*100)))</f>
        <v>-42.937276899541054</v>
      </c>
      <c r="AL643" s="527">
        <f t="shared" si="4370"/>
        <v>753</v>
      </c>
      <c r="AM643" s="23" t="str">
        <f>IF(ISERROR((AL643/AD643-1)*100),"NA",IF(((AL643/AD643-1)*100)&gt;100,"NM",IF(((AL643/AD643-1)*100)&lt;-50,"NM",(AL643/AD643-1)*100)))</f>
        <v>NM</v>
      </c>
      <c r="AN643" s="527">
        <f t="shared" si="4370"/>
        <v>1068</v>
      </c>
      <c r="AO643" s="23" t="str">
        <f>IF(ISERROR((AN643/AF643-1)*100),"NA",IF(((AN643/AF643-1)*100)&gt;100,"NM",IF(((AN643/AF643-1)*100)&lt;-50,"NM",(AN643/AF643-1)*100)))</f>
        <v>NM</v>
      </c>
      <c r="AP643" s="527">
        <f>AP641+AP642</f>
        <v>817</v>
      </c>
      <c r="AQ643" s="23">
        <f>IF(ISERROR((AP643/AH643-1)*100),"NA",IF(((AP643/AH643-1)*100)&gt;100,"NM",IF(((AP643/AH643-1)*100)&lt;-50,"NM",(AP643/AH643-1)*100)))</f>
        <v>-34.271922767497983</v>
      </c>
      <c r="AR643" s="542">
        <f>AR641+AR642</f>
        <v>775</v>
      </c>
      <c r="AS643" s="23">
        <f>IF(ISERROR((AR643/AJ643-1)*100),"NA",IF(((AR643/AJ643-1)*100)&gt;100,"NM",IF(((AR643/AJ643-1)*100)&lt;-50,"NM",(AR643/AJ643-1)*100)))</f>
        <v>-30.741733690795346</v>
      </c>
      <c r="AT643" s="542">
        <f>AT641+AT642</f>
        <v>978</v>
      </c>
      <c r="AU643" s="23">
        <f>IF(ISERROR((AT643/AL643-1)*100),"NA",IF(((AT643/AL643-1)*100)&gt;100,"NM",IF(((AT643/AL643-1)*100)&lt;-50,"NM",(AT643/AL643-1)*100)))</f>
        <v>29.880478087649397</v>
      </c>
      <c r="AV643" s="542">
        <f t="shared" ref="AV643:AX643" si="4371">SUM(AV641:AV642)</f>
        <v>941</v>
      </c>
      <c r="AW643" s="23"/>
      <c r="AX643" s="542">
        <f t="shared" si="4371"/>
        <v>949</v>
      </c>
      <c r="AY643" s="23"/>
      <c r="AZ643" s="542">
        <f t="shared" ref="AZ643" si="4372">SUM(AZ641:AZ642)</f>
        <v>877</v>
      </c>
      <c r="BA643" s="23"/>
      <c r="BB643" s="542">
        <f t="shared" ref="BB643" si="4373">SUM(BB641:BB642)</f>
        <v>944</v>
      </c>
      <c r="BC643" s="23"/>
      <c r="BD643" s="540">
        <v>738</v>
      </c>
      <c r="BE643" s="23"/>
      <c r="BF643" s="527">
        <f t="shared" ref="BF643" si="4374">SUM(BF641:BF642)</f>
        <v>0</v>
      </c>
      <c r="BG643" s="23"/>
      <c r="BH643" s="527">
        <f t="shared" ref="BH643" si="4375">SUM(BH641:BH642)</f>
        <v>0</v>
      </c>
      <c r="BI643" s="23"/>
      <c r="BJ643" s="527">
        <f t="shared" ref="BJ643" si="4376">SUM(BJ641:BJ642)</f>
        <v>0</v>
      </c>
      <c r="BK643" s="23"/>
      <c r="BL643" s="527">
        <f t="shared" ref="BL643" si="4377">SUM(BL641:BL642)</f>
        <v>0</v>
      </c>
      <c r="BM643" s="23"/>
      <c r="BN643" s="35"/>
      <c r="BO643" s="138"/>
      <c r="BP643" s="35"/>
      <c r="BQ643" s="113"/>
      <c r="BR643" s="113"/>
      <c r="BS643" s="113"/>
      <c r="BT643" s="35"/>
      <c r="BU643" s="115"/>
      <c r="BV643" s="23"/>
      <c r="BW643" s="115"/>
      <c r="BX643" s="23"/>
      <c r="BY643" s="531"/>
      <c r="BZ643" s="23"/>
      <c r="CA643" s="527">
        <f>AF643</f>
        <v>2230</v>
      </c>
      <c r="CB643" s="23" t="str">
        <f t="shared" si="4364"/>
        <v>NA</v>
      </c>
      <c r="CC643" s="527">
        <f>AN643</f>
        <v>1068</v>
      </c>
      <c r="CD643" s="23" t="str">
        <f t="shared" si="4365"/>
        <v>NM</v>
      </c>
      <c r="CE643" s="529">
        <f>AV643</f>
        <v>941</v>
      </c>
      <c r="CF643" s="23">
        <f t="shared" si="4366"/>
        <v>-11.891385767790263</v>
      </c>
      <c r="CG643" s="529">
        <f>BD643</f>
        <v>738</v>
      </c>
      <c r="CH643" s="23">
        <f t="shared" si="4366"/>
        <v>-21.572794899043569</v>
      </c>
      <c r="CI643" s="529">
        <f>BL643</f>
        <v>0</v>
      </c>
      <c r="CJ643" s="23" t="str">
        <f t="shared" si="4366"/>
        <v>NM</v>
      </c>
      <c r="CK643" s="527">
        <f>CI643*1.05</f>
        <v>0</v>
      </c>
      <c r="CL643" s="23" t="str">
        <f t="shared" si="4366"/>
        <v>NA</v>
      </c>
      <c r="CM643" s="527">
        <f t="shared" si="4367"/>
        <v>0</v>
      </c>
      <c r="CN643" s="23" t="str">
        <f t="shared" si="4366"/>
        <v>NA</v>
      </c>
      <c r="CO643" s="527">
        <f t="shared" si="4368"/>
        <v>0</v>
      </c>
      <c r="CP643" s="23" t="str">
        <f t="shared" si="4366"/>
        <v>NA</v>
      </c>
      <c r="CQ643" s="527">
        <f t="shared" si="4369"/>
        <v>0</v>
      </c>
      <c r="CR643" s="23" t="str">
        <f t="shared" si="4366"/>
        <v>NA</v>
      </c>
      <c r="CS643" s="23" t="str">
        <f>IF(ISERROR(((CQ643/CG643)^0.2-1)*100),"NA",IF((((CQ643/CG643)^0.2-1)*100)&gt;100,"NM",IF((((CQ643/CG643)^0.2-1)*100)&lt;-50,"NM",((CQ643/CG643)^0.2-1)*100)))</f>
        <v>NM</v>
      </c>
    </row>
    <row r="644" spans="1:105" ht="12.75" customHeight="1" x14ac:dyDescent="0.2">
      <c r="A644" s="3"/>
      <c r="J644" s="5"/>
      <c r="L644" s="5"/>
      <c r="N644" s="5"/>
      <c r="P644" s="5"/>
      <c r="R644" s="5"/>
      <c r="T644" s="5"/>
      <c r="V644" s="5"/>
      <c r="X644" s="5"/>
      <c r="Z644" s="5"/>
      <c r="AB644" s="5"/>
      <c r="AD644" s="5"/>
      <c r="AF644" s="5"/>
      <c r="AG644" s="23"/>
      <c r="AH644" s="5"/>
      <c r="AI644" s="23"/>
      <c r="AJ644" s="5"/>
      <c r="AK644" s="23"/>
      <c r="AL644" s="5"/>
      <c r="AM644" s="23"/>
      <c r="AN644" s="475"/>
      <c r="AO644" s="23"/>
      <c r="AP644" s="475"/>
      <c r="AQ644" s="23"/>
      <c r="AR644" s="475"/>
      <c r="AS644" s="23"/>
      <c r="AT644" s="475"/>
      <c r="AU644" s="23"/>
      <c r="AV644" s="475"/>
      <c r="AX644" s="475"/>
      <c r="AZ644" s="475"/>
      <c r="BB644" s="475"/>
      <c r="BD644" s="475"/>
      <c r="BF644" s="5"/>
      <c r="BH644" s="5"/>
      <c r="BJ644" s="5"/>
      <c r="BL644" s="5"/>
      <c r="BN644" s="5"/>
      <c r="BO644" s="136"/>
      <c r="BP644" s="5"/>
      <c r="BQ644" s="5"/>
      <c r="BR644" s="5"/>
      <c r="BS644" s="5"/>
      <c r="BT644" s="5"/>
      <c r="BU644" s="5"/>
      <c r="BW644" s="5"/>
      <c r="BY644" s="67"/>
      <c r="CA644" s="67"/>
      <c r="CC644" s="67"/>
      <c r="CD644" s="23"/>
      <c r="CE644" s="67"/>
      <c r="CF644" s="23"/>
      <c r="CG644" s="67"/>
      <c r="CH644" s="23"/>
      <c r="CI644" s="67"/>
      <c r="CJ644" s="23"/>
      <c r="CL644" s="23"/>
      <c r="CN644" s="23"/>
      <c r="CP644" s="23"/>
      <c r="CR644" s="23"/>
    </row>
    <row r="645" spans="1:105" s="129" customFormat="1" ht="12.75" customHeight="1" x14ac:dyDescent="0.2">
      <c r="A645" s="126" t="s">
        <v>150</v>
      </c>
      <c r="B645" s="127"/>
      <c r="C645" s="128"/>
      <c r="D645" s="127"/>
      <c r="E645" s="128"/>
      <c r="F645" s="127"/>
      <c r="G645" s="128"/>
      <c r="H645" s="127"/>
      <c r="I645" s="128"/>
      <c r="K645" s="130"/>
      <c r="M645" s="130"/>
      <c r="O645" s="130"/>
      <c r="Q645" s="130"/>
      <c r="S645" s="130"/>
      <c r="U645" s="130"/>
      <c r="W645" s="130"/>
      <c r="Y645" s="130"/>
      <c r="AA645" s="130"/>
      <c r="AC645" s="130"/>
      <c r="AE645" s="130"/>
      <c r="AG645" s="130"/>
      <c r="AI645" s="130"/>
      <c r="AK645" s="130"/>
      <c r="AM645" s="130"/>
      <c r="AO645" s="130"/>
      <c r="AQ645" s="130"/>
      <c r="AS645" s="130"/>
      <c r="AU645" s="130"/>
      <c r="AW645" s="130"/>
      <c r="AY645" s="130"/>
      <c r="BA645" s="130"/>
      <c r="BC645" s="130"/>
      <c r="BE645" s="130"/>
      <c r="BG645" s="130"/>
      <c r="BI645" s="130"/>
      <c r="BK645" s="130"/>
      <c r="BM645" s="130"/>
      <c r="BO645" s="135"/>
      <c r="BV645" s="130"/>
      <c r="BX645" s="130"/>
      <c r="BZ645" s="130"/>
      <c r="CB645" s="130"/>
      <c r="CD645" s="130"/>
      <c r="CF645" s="130"/>
      <c r="CH645" s="130"/>
      <c r="CJ645" s="130"/>
      <c r="CL645" s="130"/>
      <c r="CN645" s="130"/>
      <c r="CP645" s="130"/>
      <c r="CR645" s="130"/>
      <c r="CS645" s="130"/>
      <c r="CV645"/>
      <c r="CW645"/>
      <c r="CX645"/>
      <c r="CY645"/>
      <c r="CZ645"/>
      <c r="DA645"/>
    </row>
    <row r="647" spans="1:105" ht="12.75" customHeight="1" x14ac:dyDescent="0.2">
      <c r="A647" s="3" t="s">
        <v>222</v>
      </c>
      <c r="J647" s="5"/>
      <c r="L647" s="5"/>
      <c r="N647" s="5"/>
      <c r="P647" s="5"/>
      <c r="R647" s="5"/>
      <c r="T647" s="5"/>
      <c r="V647" s="5"/>
      <c r="X647" s="5"/>
      <c r="Z647" s="5"/>
      <c r="AB647" s="5"/>
      <c r="AD647" s="5"/>
      <c r="AF647" s="5"/>
      <c r="AH647" s="5"/>
      <c r="AJ647" s="5"/>
      <c r="AL647" s="5"/>
      <c r="AN647" s="475"/>
      <c r="AP647" s="475"/>
      <c r="AR647" s="475"/>
      <c r="AT647" s="475"/>
      <c r="AV647" s="475"/>
      <c r="AX647" s="475"/>
      <c r="AZ647" s="475"/>
      <c r="BB647" s="475"/>
      <c r="BD647" s="475"/>
      <c r="BF647" s="5"/>
      <c r="BH647" s="5"/>
      <c r="BJ647" s="5"/>
      <c r="BL647" s="5"/>
      <c r="BN647" s="5"/>
      <c r="BO647" s="136"/>
      <c r="BP647" s="5"/>
      <c r="BQ647" s="5"/>
      <c r="BR647" s="5"/>
      <c r="BS647" s="5"/>
      <c r="BT647" s="5"/>
      <c r="BU647" s="5"/>
      <c r="BW647" s="5"/>
    </row>
    <row r="648" spans="1:105" ht="12.75" customHeight="1" x14ac:dyDescent="0.2">
      <c r="A648" s="31" t="s">
        <v>192</v>
      </c>
      <c r="B648" s="36">
        <f>B83</f>
        <v>125.46500000000009</v>
      </c>
      <c r="C648" s="59"/>
      <c r="D648" s="36">
        <f>D83</f>
        <v>148.72800000000001</v>
      </c>
      <c r="E648" s="59"/>
      <c r="F648" s="36">
        <f>F83</f>
        <v>97.669999999999959</v>
      </c>
      <c r="G648" s="59"/>
      <c r="H648" s="36">
        <f>H83</f>
        <v>70.007000000000062</v>
      </c>
      <c r="I648" s="59"/>
      <c r="J648" s="36">
        <f>J83</f>
        <v>124.08499999999992</v>
      </c>
      <c r="K648" s="23">
        <f t="shared" ref="K648:Y661" si="4378">IF(ISERROR((J648/B648-1)*100),"NA",IF(((J648/B648-1)*100)&gt;100,"NM",IF(((J648/B648-1)*100)&lt;-50,"NM",(J648/B648-1)*100)))</f>
        <v>-1.0999083409717225</v>
      </c>
      <c r="L648" s="36">
        <f>L83</f>
        <v>71.1099999999999</v>
      </c>
      <c r="M648" s="23" t="str">
        <f t="shared" si="4378"/>
        <v>NM</v>
      </c>
      <c r="N648" s="36">
        <f>N83</f>
        <v>145.29600000000011</v>
      </c>
      <c r="O648" s="23">
        <f t="shared" si="4378"/>
        <v>48.762158288113213</v>
      </c>
      <c r="P648" s="36">
        <f>P83</f>
        <v>107.80000000000007</v>
      </c>
      <c r="Q648" s="23">
        <f t="shared" si="4378"/>
        <v>53.984601539845968</v>
      </c>
      <c r="R648" s="36">
        <f>R83</f>
        <v>137.80000000000007</v>
      </c>
      <c r="S648" s="23">
        <f t="shared" si="4378"/>
        <v>11.052907281299241</v>
      </c>
      <c r="T648" s="36">
        <f>T83</f>
        <v>132.2000000000001</v>
      </c>
      <c r="U648" s="23">
        <f t="shared" si="4378"/>
        <v>85.909154830544637</v>
      </c>
      <c r="V648" s="36">
        <f>V83</f>
        <v>187.29999999999995</v>
      </c>
      <c r="W648" s="23">
        <f t="shared" si="4378"/>
        <v>28.909261094592974</v>
      </c>
      <c r="X648" s="36">
        <f>X83</f>
        <v>138.59999999999991</v>
      </c>
      <c r="Y648" s="23">
        <f t="shared" si="4378"/>
        <v>28.571428571428402</v>
      </c>
      <c r="Z648" s="36">
        <f>Z83</f>
        <v>114.90000000000003</v>
      </c>
      <c r="AA648" s="23">
        <f t="shared" ref="AA648:AA661" si="4379">IF(ISERROR((Z648/R648-1)*100),"NA",IF(((Z648/R648-1)*100)&gt;100,"NM",IF(((Z648/R648-1)*100)&lt;-50,"NM",(Z648/R648-1)*100)))</f>
        <v>-16.618287373004371</v>
      </c>
      <c r="AB648" s="36">
        <f>AB83</f>
        <v>135.7000000000001</v>
      </c>
      <c r="AC648" s="23">
        <f t="shared" ref="AC648:AC661" si="4380">IF(ISERROR((AB648/T648-1)*100),"NA",IF(((AB648/T648-1)*100)&gt;100,"NM",IF(((AB648/T648-1)*100)&lt;-50,"NM",(AB648/T648-1)*100)))</f>
        <v>2.6475037821482639</v>
      </c>
      <c r="AD648" s="36">
        <f>AD83</f>
        <v>117.30000000000001</v>
      </c>
      <c r="AE648" s="23">
        <f t="shared" ref="AE648:AE661" si="4381">IF(ISERROR((AD648/V648-1)*100),"NA",IF(((AD648/V648-1)*100)&gt;100,"NM",IF(((AD648/V648-1)*100)&lt;-50,"NM",(AD648/V648-1)*100)))</f>
        <v>-37.373198077949787</v>
      </c>
      <c r="AF648" s="36">
        <f>AF83</f>
        <v>149.99999999999983</v>
      </c>
      <c r="AG648" s="23">
        <f t="shared" ref="AG648:AG661" si="4382">IF(ISERROR((AF648/X648-1)*100),"NA",IF(((AF648/X648-1)*100)&gt;100,"NM",IF(((AF648/X648-1)*100)&lt;-50,"NM",(AF648/X648-1)*100)))</f>
        <v>8.2251082251081797</v>
      </c>
      <c r="AH648" s="36">
        <f>AH83</f>
        <v>124.60000000000002</v>
      </c>
      <c r="AI648" s="23">
        <f t="shared" ref="AI648:AI661" si="4383">IF(ISERROR((AH648/Z648-1)*100),"NA",IF(((AH648/Z648-1)*100)&gt;100,"NM",IF(((AH648/Z648-1)*100)&lt;-50,"NM",(AH648/Z648-1)*100)))</f>
        <v>8.4421235857267121</v>
      </c>
      <c r="AJ648" s="36">
        <f>AJ83</f>
        <v>128.40000000000003</v>
      </c>
      <c r="AK648" s="23">
        <f t="shared" ref="AK648:AK661" si="4384">IF(ISERROR((AJ648/AB648-1)*100),"NA",IF(((AJ648/AB648-1)*100)&gt;100,"NM",IF(((AJ648/AB648-1)*100)&lt;-50,"NM",(AJ648/AB648-1)*100)))</f>
        <v>-5.3795136330140441</v>
      </c>
      <c r="AL648" s="36">
        <f>AL83</f>
        <v>80.499999999999886</v>
      </c>
      <c r="AM648" s="23">
        <f t="shared" ref="AM648:AM661" si="4385">IF(ISERROR((AL648/AD648-1)*100),"NA",IF(((AL648/AD648-1)*100)&gt;100,"NM",IF(((AL648/AD648-1)*100)&lt;-50,"NM",(AL648/AD648-1)*100)))</f>
        <v>-31.372549019607941</v>
      </c>
      <c r="AN648" s="410">
        <f>AN83</f>
        <v>137.10000000000002</v>
      </c>
      <c r="AO648" s="23">
        <f t="shared" ref="AO648:AO661" si="4386">IF(ISERROR((AN648/AF648-1)*100),"NA",IF(((AN648/AF648-1)*100)&gt;100,"NM",IF(((AN648/AF648-1)*100)&lt;-50,"NM",(AN648/AF648-1)*100)))</f>
        <v>-8.599999999999886</v>
      </c>
      <c r="AP648" s="410">
        <f>AP83</f>
        <v>103.69999999999987</v>
      </c>
      <c r="AQ648" s="23">
        <f t="shared" ref="AQ648:AQ661" si="4387">IF(ISERROR((AP648/AH648-1)*100),"NA",IF(((AP648/AH648-1)*100)&gt;100,"NM",IF(((AP648/AH648-1)*100)&lt;-50,"NM",(AP648/AH648-1)*100)))</f>
        <v>-16.773675762439922</v>
      </c>
      <c r="AR648" s="410">
        <f>AR83</f>
        <v>140.49999999999994</v>
      </c>
      <c r="AS648" s="23">
        <f t="shared" ref="AS648:AS661" si="4388">IF(ISERROR((AR648/AJ648-1)*100),"NA",IF(((AR648/AJ648-1)*100)&gt;100,"NM",IF(((AR648/AJ648-1)*100)&lt;-50,"NM",(AR648/AJ648-1)*100)))</f>
        <v>9.4236760124609908</v>
      </c>
      <c r="AT648" s="410">
        <f>AT83</f>
        <v>62.899999999999977</v>
      </c>
      <c r="AU648" s="23">
        <f t="shared" ref="AU648:AU661" si="4389">IF(ISERROR((AT648/AL648-1)*100),"NA",IF(((AT648/AL648-1)*100)&gt;100,"NM",IF(((AT648/AL648-1)*100)&lt;-50,"NM",(AT648/AL648-1)*100)))</f>
        <v>-21.863354037267001</v>
      </c>
      <c r="AV648" s="410">
        <f>AV83</f>
        <v>142.69999999999999</v>
      </c>
      <c r="AW648" s="23">
        <f t="shared" ref="AW648:AW661" si="4390">IF(ISERROR((AV648/AN648-1)*100),"NA",IF(((AV648/AN648-1)*100)&gt;100,"NM",IF(((AV648/AN648-1)*100)&lt;-50,"NM",(AV648/AN648-1)*100)))</f>
        <v>4.0846097738876486</v>
      </c>
      <c r="AX648" s="410">
        <f>AX83</f>
        <v>148.79999999999984</v>
      </c>
      <c r="AY648" s="23">
        <f t="shared" ref="AY648:AY661" si="4391">IF(ISERROR((AX648/AP648-1)*100),"NA",IF(((AX648/AP648-1)*100)&gt;100,"NM",IF(((AX648/AP648-1)*100)&lt;-50,"NM",(AX648/AP648-1)*100)))</f>
        <v>43.490838958534248</v>
      </c>
      <c r="AZ648" s="410">
        <f>AZ83</f>
        <v>33.499999999999886</v>
      </c>
      <c r="BA648" s="23" t="str">
        <f t="shared" ref="BA648:BA661" si="4392">IF(ISERROR((AZ648/AR648-1)*100),"NA",IF(((AZ648/AR648-1)*100)&gt;100,"NM",IF(((AZ648/AR648-1)*100)&lt;-50,"NM",(AZ648/AR648-1)*100)))</f>
        <v>NM</v>
      </c>
      <c r="BB648" s="410">
        <f>BB83</f>
        <v>106.80000000000007</v>
      </c>
      <c r="BC648" s="23">
        <f t="shared" ref="BC648:BC661" si="4393">IF(ISERROR((BB648/AT648-1)*100),"NA",IF(((BB648/AT648-1)*100)&gt;100,"NM",IF(((BB648/AT648-1)*100)&lt;-50,"NM",(BB648/AT648-1)*100)))</f>
        <v>69.793322734499384</v>
      </c>
      <c r="BD648" s="410">
        <f>BD83</f>
        <v>168.19999999999993</v>
      </c>
      <c r="BE648" s="23">
        <f t="shared" ref="BE648:BE661" si="4394">IF(ISERROR((BD648/AV648-1)*100),"NA",IF(((BD648/AV648-1)*100)&gt;100,"NM",IF(((BD648/AV648-1)*100)&lt;-50,"NM",(BD648/AV648-1)*100)))</f>
        <v>17.869656622284481</v>
      </c>
      <c r="BF648" s="36">
        <f>BF83</f>
        <v>146.08209365133052</v>
      </c>
      <c r="BG648" s="23">
        <f t="shared" ref="BG648:BG661" si="4395">IF(ISERROR((BF648/AX648-1)*100),"NA",IF(((BF648/AX648-1)*100)&gt;100,"NM",IF(((BF648/AX648-1)*100)&lt;-50,"NM",(BF648/AX648-1)*100)))</f>
        <v>-1.8265499655035766</v>
      </c>
      <c r="BH648" s="36">
        <f>BH83</f>
        <v>144.52612268654821</v>
      </c>
      <c r="BI648" s="23" t="str">
        <f t="shared" ref="BI648:BI661" si="4396">IF(ISERROR((BH648/AZ648-1)*100),"NA",IF(((BH648/AZ648-1)*100)&gt;100,"NM",IF(((BH648/AZ648-1)*100)&lt;-50,"NM",(BH648/AZ648-1)*100)))</f>
        <v>NM</v>
      </c>
      <c r="BJ648" s="36">
        <f>BJ83</f>
        <v>147.28583837809941</v>
      </c>
      <c r="BK648" s="23">
        <f t="shared" ref="BK648:BK661" si="4397">IF(ISERROR((BJ648/BB648-1)*100),"NA",IF(((BJ648/BB648-1)*100)&gt;100,"NM",IF(((BJ648/BB648-1)*100)&lt;-50,"NM",(BJ648/BB648-1)*100)))</f>
        <v>37.908088369006855</v>
      </c>
      <c r="BL648" s="36">
        <f>BL83</f>
        <v>153.07992156593758</v>
      </c>
      <c r="BM648" s="23">
        <f t="shared" ref="BM648:BM661" si="4398">IF(ISERROR((BL648/BD648-1)*100),"NA",IF(((BL648/BD648-1)*100)&gt;100,"NM",IF(((BL648/BD648-1)*100)&lt;-50,"NM",(BL648/BD648-1)*100)))</f>
        <v>-8.9893450856494361</v>
      </c>
      <c r="BN648" s="5"/>
      <c r="BO648" s="137"/>
      <c r="BP648" s="5"/>
      <c r="BQ648" s="36">
        <f>BQ83</f>
        <v>358.30000000000007</v>
      </c>
      <c r="BR648" s="5"/>
      <c r="BS648" s="36">
        <f>BS83</f>
        <v>469.60000000000025</v>
      </c>
      <c r="BT648" s="5"/>
      <c r="BU648" s="36">
        <f>BU83</f>
        <v>441.86999999999944</v>
      </c>
      <c r="BV648" s="23">
        <f t="shared" ref="BV648:BV659" si="4399">IF(ISERROR((BU648/BS648-1)*100),"NA",IF(((BU648/BS648-1)*100)&gt;100,"NM",IF(((BU648/BS648-1)*100)&lt;-50,"NM",(BU648/BS648-1)*100)))</f>
        <v>-5.9050255536628571</v>
      </c>
      <c r="BW648" s="36">
        <f>BW83</f>
        <v>448.29100000000062</v>
      </c>
      <c r="BX648" s="23">
        <f t="shared" ref="BX648:BX659" si="4400">IF(ISERROR((BW648/BU648-1)*100),"NA",IF(((BW648/BU648-1)*100)&gt;100,"NM",IF(((BW648/BU648-1)*100)&lt;-50,"NM",(BW648/BU648-1)*100)))</f>
        <v>1.4531423269290134</v>
      </c>
      <c r="BY648" s="36">
        <f>BY83</f>
        <v>595.90000000000009</v>
      </c>
      <c r="BZ648" s="23">
        <f t="shared" ref="BZ648:CR659" si="4401">IF(ISERROR((BY648/BW648-1)*100),"NA",IF(((BY648/BW648-1)*100)&gt;100,"NM",IF(((BY648/BW648-1)*100)&lt;-50,"NM",(BY648/BW648-1)*100)))</f>
        <v>32.927049617324286</v>
      </c>
      <c r="CA648" s="36">
        <f>CA83</f>
        <v>517.90000000000009</v>
      </c>
      <c r="CB648" s="23">
        <f t="shared" si="4401"/>
        <v>-13.089444537674099</v>
      </c>
      <c r="CC648" s="36">
        <f>CC83</f>
        <v>470.59999999999991</v>
      </c>
      <c r="CD648" s="23">
        <f t="shared" si="4401"/>
        <v>-9.1330372658814838</v>
      </c>
      <c r="CE648" s="36">
        <f>CE83</f>
        <v>449.80000000000018</v>
      </c>
      <c r="CF648" s="23">
        <f t="shared" si="4401"/>
        <v>-4.4198895027623752</v>
      </c>
      <c r="CG648" s="36">
        <f>CG83</f>
        <v>457.30000000000018</v>
      </c>
      <c r="CH648" s="23">
        <f t="shared" si="4401"/>
        <v>1.6674077367718976</v>
      </c>
      <c r="CI648" s="36">
        <f>CI83</f>
        <v>590.97397628191584</v>
      </c>
      <c r="CJ648" s="23">
        <f t="shared" si="4401"/>
        <v>29.231134109318969</v>
      </c>
      <c r="CK648" s="36">
        <f>CK83</f>
        <v>617.18412268518705</v>
      </c>
      <c r="CL648" s="23">
        <f t="shared" si="4401"/>
        <v>4.4350762394261611</v>
      </c>
      <c r="CM648" s="36">
        <f>CM83</f>
        <v>646.89799005747</v>
      </c>
      <c r="CN648" s="23">
        <f t="shared" si="4401"/>
        <v>4.814425109156506</v>
      </c>
      <c r="CO648" s="36">
        <f>CO83</f>
        <v>677.64068580846333</v>
      </c>
      <c r="CP648" s="23">
        <f t="shared" si="4401"/>
        <v>4.7523251306225589</v>
      </c>
      <c r="CQ648" s="36">
        <f>CQ83</f>
        <v>707.23859556709749</v>
      </c>
      <c r="CR648" s="23">
        <f t="shared" si="4401"/>
        <v>4.3677881771992721</v>
      </c>
      <c r="CS648" s="23">
        <f t="shared" ref="CS648:CS654" si="4402">IF(ISERROR(((CQ648/CG648)^0.2-1)*100),"NA",IF((((CQ648/CG648)^0.2-1)*100)&gt;100,"NM",IF((((CQ648/CG648)^0.2-1)*100)&lt;-50,"NM",((CQ648/CG648)^0.2-1)*100)))</f>
        <v>9.1121090284214112</v>
      </c>
    </row>
    <row r="649" spans="1:105" ht="12.75" customHeight="1" x14ac:dyDescent="0.2">
      <c r="A649" s="31" t="s">
        <v>193</v>
      </c>
      <c r="B649" s="36">
        <f>B168</f>
        <v>39.399999999999977</v>
      </c>
      <c r="C649" s="59"/>
      <c r="D649" s="36">
        <f>D168</f>
        <v>63.900000000000034</v>
      </c>
      <c r="E649" s="59"/>
      <c r="F649" s="36">
        <f>F168</f>
        <v>84.5</v>
      </c>
      <c r="G649" s="59"/>
      <c r="H649" s="36">
        <f>H168</f>
        <v>199.9</v>
      </c>
      <c r="I649" s="59"/>
      <c r="J649" s="36">
        <f>J168</f>
        <v>36.39999999999992</v>
      </c>
      <c r="K649" s="23">
        <f t="shared" si="4378"/>
        <v>-7.6142131979696881</v>
      </c>
      <c r="L649" s="36">
        <f>L168</f>
        <v>27.100000000000023</v>
      </c>
      <c r="M649" s="23" t="str">
        <f t="shared" si="4378"/>
        <v>NM</v>
      </c>
      <c r="N649" s="36">
        <f>N168</f>
        <v>32.600000000000023</v>
      </c>
      <c r="O649" s="23" t="str">
        <f t="shared" si="4378"/>
        <v>NM</v>
      </c>
      <c r="P649" s="36">
        <f>P168</f>
        <v>6.3000000000000114</v>
      </c>
      <c r="Q649" s="23" t="str">
        <f t="shared" si="4378"/>
        <v>NM</v>
      </c>
      <c r="R649" s="36">
        <f>R168</f>
        <v>54.299999999999955</v>
      </c>
      <c r="S649" s="23">
        <f t="shared" si="4378"/>
        <v>49.175824175824381</v>
      </c>
      <c r="T649" s="36">
        <f>T168</f>
        <v>59.499999999999972</v>
      </c>
      <c r="U649" s="23" t="str">
        <f t="shared" si="4378"/>
        <v>NM</v>
      </c>
      <c r="V649" s="36">
        <f>V168</f>
        <v>96.9</v>
      </c>
      <c r="W649" s="23" t="str">
        <f t="shared" si="4378"/>
        <v>NM</v>
      </c>
      <c r="X649" s="36">
        <f>X168</f>
        <v>83.200000000000045</v>
      </c>
      <c r="Y649" s="23" t="str">
        <f t="shared" si="4378"/>
        <v>NM</v>
      </c>
      <c r="Z649" s="36">
        <f>Z168</f>
        <v>54.800000000000068</v>
      </c>
      <c r="AA649" s="23">
        <f t="shared" si="4379"/>
        <v>0.92081031307571504</v>
      </c>
      <c r="AB649" s="36">
        <f>AB168</f>
        <v>64.200000000000045</v>
      </c>
      <c r="AC649" s="23">
        <f t="shared" si="4380"/>
        <v>7.8991596638656736</v>
      </c>
      <c r="AD649" s="36">
        <f>AD168</f>
        <v>78.299999999999955</v>
      </c>
      <c r="AE649" s="23">
        <f t="shared" si="4381"/>
        <v>-19.195046439628538</v>
      </c>
      <c r="AF649" s="36">
        <f>AF168</f>
        <v>64.700000000000017</v>
      </c>
      <c r="AG649" s="23">
        <f t="shared" si="4382"/>
        <v>-22.235576923076948</v>
      </c>
      <c r="AH649" s="36">
        <f>AH168</f>
        <v>68.600000000000023</v>
      </c>
      <c r="AI649" s="23">
        <f t="shared" si="4383"/>
        <v>25.182481751824692</v>
      </c>
      <c r="AJ649" s="36">
        <f>AJ168</f>
        <v>60.999999999999943</v>
      </c>
      <c r="AK649" s="23">
        <f t="shared" si="4384"/>
        <v>-4.984423676012617</v>
      </c>
      <c r="AL649" s="36">
        <f>AL168</f>
        <v>50.599999999999966</v>
      </c>
      <c r="AM649" s="23">
        <f t="shared" si="4385"/>
        <v>-35.376756066411239</v>
      </c>
      <c r="AN649" s="410">
        <f>AN168</f>
        <v>62.900000000000034</v>
      </c>
      <c r="AO649" s="23">
        <f t="shared" si="4386"/>
        <v>-2.7820710973724627</v>
      </c>
      <c r="AP649" s="410">
        <f>AP168</f>
        <v>0</v>
      </c>
      <c r="AQ649" s="23" t="str">
        <f t="shared" si="4387"/>
        <v>NM</v>
      </c>
      <c r="AR649" s="410">
        <f>AR168</f>
        <v>0</v>
      </c>
      <c r="AS649" s="23" t="str">
        <f t="shared" si="4388"/>
        <v>NM</v>
      </c>
      <c r="AT649" s="410">
        <f>AT168</f>
        <v>0</v>
      </c>
      <c r="AU649" s="23" t="str">
        <f t="shared" si="4389"/>
        <v>NM</v>
      </c>
      <c r="AV649" s="410">
        <f>AV168</f>
        <v>0</v>
      </c>
      <c r="AW649" s="23" t="str">
        <f t="shared" si="4390"/>
        <v>NM</v>
      </c>
      <c r="AX649" s="410">
        <f>AX168</f>
        <v>0</v>
      </c>
      <c r="AY649" s="23" t="str">
        <f t="shared" si="4391"/>
        <v>NA</v>
      </c>
      <c r="AZ649" s="410">
        <f>AZ168</f>
        <v>0</v>
      </c>
      <c r="BA649" s="23" t="str">
        <f t="shared" si="4392"/>
        <v>NA</v>
      </c>
      <c r="BB649" s="410">
        <f>BB168</f>
        <v>0</v>
      </c>
      <c r="BC649" s="23" t="str">
        <f t="shared" si="4393"/>
        <v>NA</v>
      </c>
      <c r="BD649" s="410">
        <f>BD168</f>
        <v>0</v>
      </c>
      <c r="BE649" s="23" t="str">
        <f t="shared" si="4394"/>
        <v>NA</v>
      </c>
      <c r="BF649" s="36">
        <f>BF168</f>
        <v>0</v>
      </c>
      <c r="BG649" s="23" t="str">
        <f t="shared" si="4395"/>
        <v>NA</v>
      </c>
      <c r="BH649" s="36">
        <f>BH168</f>
        <v>0</v>
      </c>
      <c r="BI649" s="23" t="str">
        <f t="shared" si="4396"/>
        <v>NA</v>
      </c>
      <c r="BJ649" s="36">
        <f>BJ168</f>
        <v>0</v>
      </c>
      <c r="BK649" s="23" t="str">
        <f t="shared" si="4397"/>
        <v>NA</v>
      </c>
      <c r="BL649" s="36">
        <f>BL168</f>
        <v>0</v>
      </c>
      <c r="BM649" s="23" t="str">
        <f t="shared" si="4398"/>
        <v>NA</v>
      </c>
      <c r="BN649" s="5"/>
      <c r="BO649" s="137"/>
      <c r="BP649" s="5"/>
      <c r="BQ649" s="36">
        <f>BQ168</f>
        <v>48.699999999999989</v>
      </c>
      <c r="BR649" s="5"/>
      <c r="BS649" s="36">
        <f>BS168</f>
        <v>115.00000000000006</v>
      </c>
      <c r="BT649" s="5"/>
      <c r="BU649" s="36">
        <f>BU168</f>
        <v>387.70000000000016</v>
      </c>
      <c r="BV649" s="23" t="str">
        <f t="shared" si="4399"/>
        <v>NM</v>
      </c>
      <c r="BW649" s="36">
        <f>BW168</f>
        <v>102.40000000000009</v>
      </c>
      <c r="BX649" s="23" t="str">
        <f t="shared" si="4400"/>
        <v>NM</v>
      </c>
      <c r="BY649" s="36">
        <f>BY168</f>
        <v>293.89999999999998</v>
      </c>
      <c r="BZ649" s="23" t="str">
        <f t="shared" si="4401"/>
        <v>NM</v>
      </c>
      <c r="CA649" s="36">
        <f>CA168</f>
        <v>262.00000000000011</v>
      </c>
      <c r="CB649" s="23">
        <f t="shared" si="4401"/>
        <v>-10.854031983667866</v>
      </c>
      <c r="CC649" s="36">
        <f>CC168</f>
        <v>243.10000000000014</v>
      </c>
      <c r="CD649" s="23">
        <f t="shared" si="4401"/>
        <v>-7.2137404580152609</v>
      </c>
      <c r="CE649" s="36">
        <f>CE168</f>
        <v>0</v>
      </c>
      <c r="CF649" s="23" t="str">
        <f t="shared" si="4401"/>
        <v>NM</v>
      </c>
      <c r="CG649" s="36">
        <f>CG168</f>
        <v>0</v>
      </c>
      <c r="CH649" s="23" t="str">
        <f t="shared" si="4401"/>
        <v>NA</v>
      </c>
      <c r="CI649" s="36">
        <f>CI168</f>
        <v>0</v>
      </c>
      <c r="CJ649" s="23" t="str">
        <f t="shared" si="4401"/>
        <v>NA</v>
      </c>
      <c r="CK649" s="36">
        <f>CK168</f>
        <v>0</v>
      </c>
      <c r="CL649" s="23" t="str">
        <f t="shared" si="4401"/>
        <v>NA</v>
      </c>
      <c r="CM649" s="36">
        <f>CM168</f>
        <v>0</v>
      </c>
      <c r="CN649" s="23" t="str">
        <f t="shared" si="4401"/>
        <v>NA</v>
      </c>
      <c r="CO649" s="36">
        <f>CO168</f>
        <v>0</v>
      </c>
      <c r="CP649" s="23" t="str">
        <f t="shared" si="4401"/>
        <v>NA</v>
      </c>
      <c r="CQ649" s="36">
        <f>CQ168</f>
        <v>0</v>
      </c>
      <c r="CR649" s="23" t="str">
        <f t="shared" si="4401"/>
        <v>NA</v>
      </c>
      <c r="CS649" s="23" t="str">
        <f t="shared" si="4402"/>
        <v>NA</v>
      </c>
    </row>
    <row r="650" spans="1:105" ht="12.75" customHeight="1" x14ac:dyDescent="0.2">
      <c r="A650" s="31" t="s">
        <v>187</v>
      </c>
      <c r="B650" s="36">
        <f>B273</f>
        <v>25.297999999999988</v>
      </c>
      <c r="C650" s="59"/>
      <c r="D650" s="36">
        <f>D273</f>
        <v>26.352000000000004</v>
      </c>
      <c r="E650" s="59"/>
      <c r="F650" s="36">
        <f>F273</f>
        <v>22.780999999999992</v>
      </c>
      <c r="G650" s="59"/>
      <c r="H650" s="36">
        <f>H273</f>
        <v>13.064999999999998</v>
      </c>
      <c r="I650" s="59"/>
      <c r="J650" s="36">
        <f>J273</f>
        <v>32.994</v>
      </c>
      <c r="K650" s="23">
        <f t="shared" si="4378"/>
        <v>30.421377183967181</v>
      </c>
      <c r="L650" s="36">
        <f>L273</f>
        <v>31.294000000000011</v>
      </c>
      <c r="M650" s="23">
        <f t="shared" si="4378"/>
        <v>18.753794778384968</v>
      </c>
      <c r="N650" s="36">
        <f>N273</f>
        <v>38.959999999999994</v>
      </c>
      <c r="O650" s="23">
        <f t="shared" si="4378"/>
        <v>71.019709406961979</v>
      </c>
      <c r="P650" s="36">
        <f>P273</f>
        <v>31.219000000000008</v>
      </c>
      <c r="Q650" s="23" t="str">
        <f t="shared" si="4378"/>
        <v>NM</v>
      </c>
      <c r="R650" s="36">
        <f>R273</f>
        <v>30.100000000000009</v>
      </c>
      <c r="S650" s="23">
        <f t="shared" si="4378"/>
        <v>-8.7712917500151306</v>
      </c>
      <c r="T650" s="36">
        <f>T273</f>
        <v>41</v>
      </c>
      <c r="U650" s="23">
        <f t="shared" si="4378"/>
        <v>31.015530133571879</v>
      </c>
      <c r="V650" s="36">
        <f>V273</f>
        <v>54.000000000000028</v>
      </c>
      <c r="W650" s="23">
        <f t="shared" si="4378"/>
        <v>38.603696098562736</v>
      </c>
      <c r="X650" s="36">
        <f>X273</f>
        <v>52.899999999999991</v>
      </c>
      <c r="Y650" s="23">
        <f t="shared" si="4378"/>
        <v>69.448092507767626</v>
      </c>
      <c r="Z650" s="36">
        <f>Z273</f>
        <v>49.8</v>
      </c>
      <c r="AA650" s="23">
        <f t="shared" si="4379"/>
        <v>65.448504983388659</v>
      </c>
      <c r="AB650" s="36">
        <f>AB273</f>
        <v>54.899999999999991</v>
      </c>
      <c r="AC650" s="23">
        <f t="shared" si="4380"/>
        <v>33.902439024390233</v>
      </c>
      <c r="AD650" s="36">
        <f>AD273</f>
        <v>58.600000000000009</v>
      </c>
      <c r="AE650" s="23">
        <f t="shared" si="4381"/>
        <v>8.51851851851848</v>
      </c>
      <c r="AF650" s="36">
        <f>AF273</f>
        <v>47</v>
      </c>
      <c r="AG650" s="23">
        <f t="shared" si="4382"/>
        <v>-11.153119092627584</v>
      </c>
      <c r="AH650" s="36">
        <f>AH273</f>
        <v>46.899999999999991</v>
      </c>
      <c r="AI650" s="23">
        <f t="shared" si="4383"/>
        <v>-5.8232931726907804</v>
      </c>
      <c r="AJ650" s="36">
        <f>AJ273</f>
        <v>47</v>
      </c>
      <c r="AK650" s="23">
        <f t="shared" si="4384"/>
        <v>-14.389799635701262</v>
      </c>
      <c r="AL650" s="36">
        <f>AL273</f>
        <v>45.599999999999994</v>
      </c>
      <c r="AM650" s="23">
        <f t="shared" si="4385"/>
        <v>-22.184300341296947</v>
      </c>
      <c r="AN650" s="410">
        <f>AN273</f>
        <v>42.400000000000006</v>
      </c>
      <c r="AO650" s="23">
        <f t="shared" si="4386"/>
        <v>-9.7872340425531839</v>
      </c>
      <c r="AP650" s="410">
        <f>AP273</f>
        <v>22.700000000000017</v>
      </c>
      <c r="AQ650" s="23" t="str">
        <f t="shared" si="4387"/>
        <v>NM</v>
      </c>
      <c r="AR650" s="410">
        <f>AR273</f>
        <v>31.700000000000017</v>
      </c>
      <c r="AS650" s="23">
        <f t="shared" si="4388"/>
        <v>-32.553191489361666</v>
      </c>
      <c r="AT650" s="410">
        <f>AT273</f>
        <v>51.399999999999977</v>
      </c>
      <c r="AU650" s="23">
        <f t="shared" si="4389"/>
        <v>12.719298245613997</v>
      </c>
      <c r="AV650" s="410">
        <f>AV273</f>
        <v>64.899999999999991</v>
      </c>
      <c r="AW650" s="23">
        <f t="shared" si="4390"/>
        <v>53.066037735849015</v>
      </c>
      <c r="AX650" s="410">
        <f>AX273</f>
        <v>49.400000000000006</v>
      </c>
      <c r="AY650" s="23" t="str">
        <f t="shared" si="4391"/>
        <v>NM</v>
      </c>
      <c r="AZ650" s="410">
        <f>AZ273</f>
        <v>84.700000000000017</v>
      </c>
      <c r="BA650" s="23" t="str">
        <f t="shared" si="4392"/>
        <v>NM</v>
      </c>
      <c r="BB650" s="410">
        <f>BB273</f>
        <v>53.599999999999994</v>
      </c>
      <c r="BC650" s="23">
        <f t="shared" si="4393"/>
        <v>4.2801556420233755</v>
      </c>
      <c r="BD650" s="410">
        <f>BD273</f>
        <v>61</v>
      </c>
      <c r="BE650" s="23">
        <f t="shared" si="4394"/>
        <v>-6.0092449922958258</v>
      </c>
      <c r="BF650" s="36">
        <f>BF273</f>
        <v>49.016247705139676</v>
      </c>
      <c r="BG650" s="23">
        <f t="shared" si="4395"/>
        <v>-0.77682650781443208</v>
      </c>
      <c r="BH650" s="36">
        <f>BH273</f>
        <v>60.328951767677012</v>
      </c>
      <c r="BI650" s="23">
        <f t="shared" si="4396"/>
        <v>-28.773374536390794</v>
      </c>
      <c r="BJ650" s="36">
        <f>BJ273</f>
        <v>52.798766754802131</v>
      </c>
      <c r="BK650" s="23">
        <f t="shared" si="4397"/>
        <v>-1.4948381440258673</v>
      </c>
      <c r="BL650" s="36">
        <f>BL273</f>
        <v>55.339618962435878</v>
      </c>
      <c r="BM650" s="23">
        <f t="shared" si="4398"/>
        <v>-9.2793131763346253</v>
      </c>
      <c r="BN650" s="5"/>
      <c r="BO650" s="137"/>
      <c r="BP650" s="5"/>
      <c r="BQ650" s="36">
        <f>BQ273</f>
        <v>44.399999999999977</v>
      </c>
      <c r="BR650" s="5"/>
      <c r="BS650" s="36">
        <f>BS273</f>
        <v>50.099999999999966</v>
      </c>
      <c r="BT650" s="5"/>
      <c r="BU650" s="36">
        <f>BU273</f>
        <v>87.496000000000038</v>
      </c>
      <c r="BV650" s="23">
        <f t="shared" si="4399"/>
        <v>74.642714570858473</v>
      </c>
      <c r="BW650" s="36">
        <f>BW273</f>
        <v>134.46699999999998</v>
      </c>
      <c r="BX650" s="23">
        <f t="shared" si="4400"/>
        <v>53.683596964432567</v>
      </c>
      <c r="BY650" s="36">
        <f>BY273</f>
        <v>178.00000000000017</v>
      </c>
      <c r="BZ650" s="23">
        <f t="shared" si="4401"/>
        <v>32.374485933351814</v>
      </c>
      <c r="CA650" s="36">
        <f>CA273</f>
        <v>210.29999999999995</v>
      </c>
      <c r="CB650" s="23">
        <f t="shared" si="4401"/>
        <v>18.146067415730194</v>
      </c>
      <c r="CC650" s="36">
        <f>CC273</f>
        <v>181.89999999999992</v>
      </c>
      <c r="CD650" s="23">
        <f t="shared" si="4401"/>
        <v>-13.504517356157885</v>
      </c>
      <c r="CE650" s="36">
        <f>CE273</f>
        <v>170.69999999999987</v>
      </c>
      <c r="CF650" s="23">
        <f t="shared" si="4401"/>
        <v>-6.1572292468389467</v>
      </c>
      <c r="CG650" s="36">
        <f>CG273</f>
        <v>248.69999999999993</v>
      </c>
      <c r="CH650" s="23">
        <f t="shared" si="4401"/>
        <v>45.694200351493919</v>
      </c>
      <c r="CI650" s="36">
        <f>CI273</f>
        <v>217.48358519005455</v>
      </c>
      <c r="CJ650" s="23">
        <f t="shared" si="4401"/>
        <v>-12.551835468413907</v>
      </c>
      <c r="CK650" s="36">
        <f>CK273</f>
        <v>228.82649070227592</v>
      </c>
      <c r="CL650" s="23">
        <f t="shared" si="4401"/>
        <v>5.2155225886629575</v>
      </c>
      <c r="CM650" s="36">
        <f>CM273</f>
        <v>238.92389714011205</v>
      </c>
      <c r="CN650" s="23">
        <f t="shared" si="4401"/>
        <v>4.4126912084553105</v>
      </c>
      <c r="CO650" s="36">
        <f>CO273</f>
        <v>246.91519455282821</v>
      </c>
      <c r="CP650" s="23">
        <f t="shared" si="4401"/>
        <v>3.3447041122177223</v>
      </c>
      <c r="CQ650" s="36">
        <f>CQ273</f>
        <v>255.60776598641326</v>
      </c>
      <c r="CR650" s="23">
        <f t="shared" si="4401"/>
        <v>3.5204684139943598</v>
      </c>
      <c r="CS650" s="23">
        <f t="shared" si="4402"/>
        <v>0.54943900170381088</v>
      </c>
    </row>
    <row r="651" spans="1:105" ht="12.75" customHeight="1" x14ac:dyDescent="0.2">
      <c r="A651" s="31" t="s">
        <v>194</v>
      </c>
      <c r="B651" s="36">
        <f>B342</f>
        <v>75.637999999999977</v>
      </c>
      <c r="C651" s="59"/>
      <c r="D651" s="36">
        <f>D342</f>
        <v>80.930000000000064</v>
      </c>
      <c r="E651" s="59"/>
      <c r="F651" s="36">
        <f>F342</f>
        <v>83.863</v>
      </c>
      <c r="G651" s="59"/>
      <c r="H651" s="36">
        <f>H342</f>
        <v>39.012999999999977</v>
      </c>
      <c r="I651" s="59"/>
      <c r="J651" s="36">
        <f>J342</f>
        <v>55.078999999999951</v>
      </c>
      <c r="K651" s="23">
        <f t="shared" si="4378"/>
        <v>-27.180782146540139</v>
      </c>
      <c r="L651" s="36">
        <f>L342</f>
        <v>33.371000000000095</v>
      </c>
      <c r="M651" s="23" t="str">
        <f t="shared" si="4378"/>
        <v>NM</v>
      </c>
      <c r="N651" s="36">
        <f>N342</f>
        <v>53.100999999999942</v>
      </c>
      <c r="O651" s="23">
        <f t="shared" si="4378"/>
        <v>-36.68125394989454</v>
      </c>
      <c r="P651" s="36">
        <f>P342</f>
        <v>54.479000000000042</v>
      </c>
      <c r="Q651" s="23">
        <f t="shared" si="4378"/>
        <v>39.643195857791191</v>
      </c>
      <c r="R651" s="36">
        <f>R342</f>
        <v>50.699999999999989</v>
      </c>
      <c r="S651" s="23">
        <f t="shared" si="4378"/>
        <v>-7.9503985184915642</v>
      </c>
      <c r="T651" s="36">
        <f>T342</f>
        <v>40</v>
      </c>
      <c r="U651" s="23">
        <f t="shared" si="4378"/>
        <v>19.864553055047462</v>
      </c>
      <c r="V651" s="36">
        <f>V342</f>
        <v>117.09999999999997</v>
      </c>
      <c r="W651" s="23" t="str">
        <f t="shared" si="4378"/>
        <v>NM</v>
      </c>
      <c r="X651" s="36">
        <f>X342</f>
        <v>47</v>
      </c>
      <c r="Y651" s="23">
        <f t="shared" si="4378"/>
        <v>-13.728225554801</v>
      </c>
      <c r="Z651" s="36">
        <f>Z342</f>
        <v>31.10000000000008</v>
      </c>
      <c r="AA651" s="23">
        <f t="shared" si="4379"/>
        <v>-38.658777120315413</v>
      </c>
      <c r="AB651" s="36">
        <f>AB342</f>
        <v>63.39999999999992</v>
      </c>
      <c r="AC651" s="23">
        <f t="shared" si="4380"/>
        <v>58.499999999999794</v>
      </c>
      <c r="AD651" s="36">
        <f>AD342</f>
        <v>39.800000000000011</v>
      </c>
      <c r="AE651" s="23" t="str">
        <f t="shared" si="4381"/>
        <v>NM</v>
      </c>
      <c r="AF651" s="36">
        <f>AF342</f>
        <v>103.00000000000006</v>
      </c>
      <c r="AG651" s="23" t="str">
        <f t="shared" si="4382"/>
        <v>NM</v>
      </c>
      <c r="AH651" s="36">
        <f>AH342</f>
        <v>43.399999999999977</v>
      </c>
      <c r="AI651" s="23">
        <f t="shared" si="4383"/>
        <v>39.549839228295383</v>
      </c>
      <c r="AJ651" s="36">
        <f>AJ342</f>
        <v>37.700000000000045</v>
      </c>
      <c r="AK651" s="23">
        <f t="shared" si="4384"/>
        <v>-40.536277602523519</v>
      </c>
      <c r="AL651" s="36">
        <f>AL342</f>
        <v>-10.799999999999955</v>
      </c>
      <c r="AM651" s="23" t="str">
        <f t="shared" si="4385"/>
        <v>NM</v>
      </c>
      <c r="AN651" s="410">
        <f>AN342</f>
        <v>102.39999999999998</v>
      </c>
      <c r="AO651" s="23">
        <f t="shared" si="4386"/>
        <v>-0.58252427184474209</v>
      </c>
      <c r="AP651" s="410">
        <f>AP342</f>
        <v>41.099999999999966</v>
      </c>
      <c r="AQ651" s="23">
        <f t="shared" si="4387"/>
        <v>-5.2995391705069395</v>
      </c>
      <c r="AR651" s="410">
        <f>AR342</f>
        <v>50.299999999999983</v>
      </c>
      <c r="AS651" s="23">
        <f t="shared" si="4388"/>
        <v>33.421750663129757</v>
      </c>
      <c r="AT651" s="410">
        <f>AT342</f>
        <v>-76.200000000000045</v>
      </c>
      <c r="AU651" s="23" t="str">
        <f t="shared" si="4389"/>
        <v>NM</v>
      </c>
      <c r="AV651" s="410">
        <f>AV342</f>
        <v>43.399999999999977</v>
      </c>
      <c r="AW651" s="23" t="str">
        <f t="shared" si="4390"/>
        <v>NM</v>
      </c>
      <c r="AX651" s="410">
        <f>AX342</f>
        <v>31.699999999999989</v>
      </c>
      <c r="AY651" s="23">
        <f t="shared" si="4391"/>
        <v>-22.871046228710423</v>
      </c>
      <c r="AZ651" s="410">
        <f>AZ342</f>
        <v>62.299999999999955</v>
      </c>
      <c r="BA651" s="23">
        <f t="shared" si="4392"/>
        <v>23.856858846918438</v>
      </c>
      <c r="BB651" s="410">
        <f>BB342</f>
        <v>-66.200000000000045</v>
      </c>
      <c r="BC651" s="23">
        <f t="shared" si="4393"/>
        <v>-13.123359580052485</v>
      </c>
      <c r="BD651" s="410">
        <f>BD342</f>
        <v>63</v>
      </c>
      <c r="BE651" s="23">
        <f t="shared" si="4394"/>
        <v>45.161290322580719</v>
      </c>
      <c r="BF651" s="36">
        <f>BF342</f>
        <v>48.933121618771906</v>
      </c>
      <c r="BG651" s="23">
        <f t="shared" si="4395"/>
        <v>54.363159680668538</v>
      </c>
      <c r="BH651" s="36">
        <f>BH342</f>
        <v>56.043941810855813</v>
      </c>
      <c r="BI651" s="23">
        <f t="shared" si="4396"/>
        <v>-10.041826948867005</v>
      </c>
      <c r="BJ651" s="36">
        <f>BJ342</f>
        <v>59.296178110277367</v>
      </c>
      <c r="BK651" s="23" t="str">
        <f t="shared" si="4397"/>
        <v>NM</v>
      </c>
      <c r="BL651" s="36">
        <f>BL342</f>
        <v>60.63713400486904</v>
      </c>
      <c r="BM651" s="23">
        <f t="shared" si="4398"/>
        <v>-3.7505809446523153</v>
      </c>
      <c r="BN651" s="5"/>
      <c r="BO651" s="137"/>
      <c r="BP651" s="5"/>
      <c r="BQ651" s="36">
        <f>BQ342</f>
        <v>301.10000000000002</v>
      </c>
      <c r="BR651" s="5"/>
      <c r="BS651" s="36">
        <f>BS342</f>
        <v>313.5</v>
      </c>
      <c r="BT651" s="5"/>
      <c r="BU651" s="36">
        <f>BU342</f>
        <v>279.44399999999973</v>
      </c>
      <c r="BV651" s="23">
        <f t="shared" si="4399"/>
        <v>-10.863157894736929</v>
      </c>
      <c r="BW651" s="36">
        <f>BW342</f>
        <v>196.02999999999975</v>
      </c>
      <c r="BX651" s="23">
        <f t="shared" si="4400"/>
        <v>-29.849987832982659</v>
      </c>
      <c r="BY651" s="36">
        <f>BY342</f>
        <v>254.79999999999995</v>
      </c>
      <c r="BZ651" s="23">
        <f t="shared" si="4401"/>
        <v>29.980105085956389</v>
      </c>
      <c r="CA651" s="36">
        <f>CA342</f>
        <v>237.30000000000018</v>
      </c>
      <c r="CB651" s="23">
        <f t="shared" si="4401"/>
        <v>-6.8681318681317771</v>
      </c>
      <c r="CC651" s="36">
        <f>CC342</f>
        <v>172.70000000000005</v>
      </c>
      <c r="CD651" s="23">
        <f t="shared" si="4401"/>
        <v>-27.222924568057351</v>
      </c>
      <c r="CE651" s="36">
        <f>CE342</f>
        <v>58.599999999999909</v>
      </c>
      <c r="CF651" s="23" t="str">
        <f t="shared" si="4401"/>
        <v>NM</v>
      </c>
      <c r="CG651" s="36">
        <f>CG342</f>
        <v>90.799999999999955</v>
      </c>
      <c r="CH651" s="23">
        <f t="shared" si="4401"/>
        <v>54.948805460751025</v>
      </c>
      <c r="CI651" s="36">
        <f>CI342</f>
        <v>224.91037554477407</v>
      </c>
      <c r="CJ651" s="23" t="str">
        <f t="shared" si="4401"/>
        <v>NM</v>
      </c>
      <c r="CK651" s="36">
        <f>CK342</f>
        <v>227.57663464966186</v>
      </c>
      <c r="CL651" s="23">
        <f t="shared" si="4401"/>
        <v>1.1854762584561085</v>
      </c>
      <c r="CM651" s="36">
        <f>CM342</f>
        <v>231.32052167082247</v>
      </c>
      <c r="CN651" s="23">
        <f t="shared" si="4401"/>
        <v>1.6451104600101241</v>
      </c>
      <c r="CO651" s="36">
        <f>CO342</f>
        <v>235.11407968444178</v>
      </c>
      <c r="CP651" s="23">
        <f t="shared" si="4401"/>
        <v>1.6399574003285622</v>
      </c>
      <c r="CQ651" s="36">
        <f>CQ342</f>
        <v>238.95766936922246</v>
      </c>
      <c r="CR651" s="23">
        <f t="shared" si="4401"/>
        <v>1.6347764837985723</v>
      </c>
      <c r="CS651" s="23">
        <f t="shared" si="4402"/>
        <v>21.352024234508793</v>
      </c>
    </row>
    <row r="652" spans="1:105" ht="12.75" customHeight="1" x14ac:dyDescent="0.2">
      <c r="A652" s="31" t="s">
        <v>195</v>
      </c>
      <c r="B652" s="36">
        <f>B417</f>
        <v>13.335955239999976</v>
      </c>
      <c r="C652" s="59"/>
      <c r="D652" s="36">
        <f>D417</f>
        <v>30.890866800000012</v>
      </c>
      <c r="E652" s="59"/>
      <c r="F652" s="36">
        <f>F417</f>
        <v>17.992191009999985</v>
      </c>
      <c r="G652" s="59"/>
      <c r="H652" s="36">
        <f>H417</f>
        <v>21.099437460000019</v>
      </c>
      <c r="I652" s="59"/>
      <c r="J652" s="36">
        <f>J417</f>
        <v>15.496000000000009</v>
      </c>
      <c r="K652" s="23">
        <f t="shared" si="4378"/>
        <v>16.197150643706259</v>
      </c>
      <c r="L652" s="36">
        <f>L417</f>
        <v>29.004999999999995</v>
      </c>
      <c r="M652" s="23">
        <f t="shared" si="4378"/>
        <v>-6.104933254899847</v>
      </c>
      <c r="N652" s="36">
        <f>N417</f>
        <v>36.029999999999987</v>
      </c>
      <c r="O652" s="23" t="str">
        <f t="shared" si="4378"/>
        <v>NM</v>
      </c>
      <c r="P652" s="36">
        <f>P417</f>
        <v>28.621000000000038</v>
      </c>
      <c r="Q652" s="23">
        <f t="shared" si="4378"/>
        <v>35.64816623314853</v>
      </c>
      <c r="R652" s="36">
        <f>R417</f>
        <v>12.399999999999991</v>
      </c>
      <c r="S652" s="23">
        <f t="shared" si="4378"/>
        <v>-19.979349509550957</v>
      </c>
      <c r="T652" s="36">
        <f>T417</f>
        <v>34.09999999999998</v>
      </c>
      <c r="U652" s="23">
        <f t="shared" si="4378"/>
        <v>17.565936907429712</v>
      </c>
      <c r="V652" s="36">
        <f>V417</f>
        <v>29.09999999999998</v>
      </c>
      <c r="W652" s="23">
        <f t="shared" si="4378"/>
        <v>-19.233971690258144</v>
      </c>
      <c r="X652" s="36">
        <f>X417</f>
        <v>30.499999999999986</v>
      </c>
      <c r="Y652" s="23">
        <f t="shared" si="4378"/>
        <v>6.5651095349566591</v>
      </c>
      <c r="Z652" s="36">
        <f>Z417</f>
        <v>16.899999999999991</v>
      </c>
      <c r="AA652" s="23">
        <f t="shared" si="4379"/>
        <v>36.290322580645196</v>
      </c>
      <c r="AB652" s="36">
        <f>AB417</f>
        <v>37.800000000000011</v>
      </c>
      <c r="AC652" s="23">
        <f t="shared" si="4380"/>
        <v>10.850439882698048</v>
      </c>
      <c r="AD652" s="36">
        <f>AD417</f>
        <v>37</v>
      </c>
      <c r="AE652" s="23">
        <f t="shared" si="4381"/>
        <v>27.147766323024136</v>
      </c>
      <c r="AF652" s="36">
        <f>AF417</f>
        <v>57.2</v>
      </c>
      <c r="AG652" s="23">
        <f t="shared" si="4382"/>
        <v>87.540983606557461</v>
      </c>
      <c r="AH652" s="36">
        <f>AH417</f>
        <v>40.599999999999994</v>
      </c>
      <c r="AI652" s="23" t="str">
        <f t="shared" si="4383"/>
        <v>NM</v>
      </c>
      <c r="AJ652" s="36">
        <f>AJ417</f>
        <v>37.699999999999989</v>
      </c>
      <c r="AK652" s="23">
        <f t="shared" si="4384"/>
        <v>-0.26455026455032282</v>
      </c>
      <c r="AL652" s="36">
        <f>AL417</f>
        <v>44.199999999999989</v>
      </c>
      <c r="AM652" s="23">
        <f t="shared" si="4385"/>
        <v>19.459459459459438</v>
      </c>
      <c r="AN652" s="410">
        <f>AN417</f>
        <v>23.599999999999994</v>
      </c>
      <c r="AO652" s="23" t="str">
        <f t="shared" si="4386"/>
        <v>NM</v>
      </c>
      <c r="AP652" s="410">
        <f>AP417</f>
        <v>20.799999999999997</v>
      </c>
      <c r="AQ652" s="23">
        <f t="shared" si="4387"/>
        <v>-48.768472906403936</v>
      </c>
      <c r="AR652" s="410">
        <f>AR417</f>
        <v>32.300000000000011</v>
      </c>
      <c r="AS652" s="23">
        <f t="shared" si="4388"/>
        <v>-14.323607427055652</v>
      </c>
      <c r="AT652" s="410">
        <f>AT417</f>
        <v>41.300000000000011</v>
      </c>
      <c r="AU652" s="23">
        <f t="shared" si="4389"/>
        <v>-6.5610859728506332</v>
      </c>
      <c r="AV652" s="410">
        <f>AV417</f>
        <v>31.899999999999991</v>
      </c>
      <c r="AW652" s="23">
        <f t="shared" si="4390"/>
        <v>35.169491525423723</v>
      </c>
      <c r="AX652" s="410">
        <f>AX417</f>
        <v>10.600000000000009</v>
      </c>
      <c r="AY652" s="23">
        <f t="shared" si="4391"/>
        <v>-49.038461538461483</v>
      </c>
      <c r="AZ652" s="410">
        <f>AZ417</f>
        <v>27</v>
      </c>
      <c r="BA652" s="23">
        <f t="shared" si="4392"/>
        <v>-16.408668730650188</v>
      </c>
      <c r="BB652" s="410">
        <f>BB417</f>
        <v>58.000000000000014</v>
      </c>
      <c r="BC652" s="23">
        <f t="shared" si="4393"/>
        <v>40.435835351089587</v>
      </c>
      <c r="BD652" s="410">
        <f>BD417</f>
        <v>30</v>
      </c>
      <c r="BE652" s="23">
        <f t="shared" si="4394"/>
        <v>-5.9561128526645524</v>
      </c>
      <c r="BF652" s="36">
        <f>BF417</f>
        <v>16.884465653513402</v>
      </c>
      <c r="BG652" s="23">
        <f t="shared" si="4395"/>
        <v>59.287411825597999</v>
      </c>
      <c r="BH652" s="36">
        <f>BH417</f>
        <v>33.501306462761917</v>
      </c>
      <c r="BI652" s="23">
        <f t="shared" si="4396"/>
        <v>24.078912825044128</v>
      </c>
      <c r="BJ652" s="36">
        <f>BJ417</f>
        <v>36.909836447959435</v>
      </c>
      <c r="BK652" s="23">
        <f t="shared" si="4397"/>
        <v>-36.362350951794099</v>
      </c>
      <c r="BL652" s="36">
        <f>BL417</f>
        <v>32.247343876921292</v>
      </c>
      <c r="BM652" s="23">
        <f t="shared" si="4398"/>
        <v>7.4911462564043019</v>
      </c>
      <c r="BN652" s="5"/>
      <c r="BO652" s="137"/>
      <c r="BP652" s="5"/>
      <c r="BQ652" s="36">
        <f>BQ417</f>
        <v>37.19999999999996</v>
      </c>
      <c r="BR652" s="5"/>
      <c r="BS652" s="36">
        <f>BS417</f>
        <v>81.999999999999943</v>
      </c>
      <c r="BT652" s="5"/>
      <c r="BU652" s="36">
        <f>BU417</f>
        <v>83.318450509999991</v>
      </c>
      <c r="BV652" s="23">
        <f t="shared" si="4399"/>
        <v>1.6078664756098204</v>
      </c>
      <c r="BW652" s="36">
        <f>BW417</f>
        <v>109.15199999999987</v>
      </c>
      <c r="BX652" s="23">
        <f t="shared" si="4400"/>
        <v>31.005796833558861</v>
      </c>
      <c r="BY652" s="36">
        <f>BY417</f>
        <v>106.10000000000008</v>
      </c>
      <c r="BZ652" s="23">
        <f t="shared" si="4401"/>
        <v>-2.796100850190375</v>
      </c>
      <c r="CA652" s="36">
        <f>CA417</f>
        <v>148.89999999999986</v>
      </c>
      <c r="CB652" s="23">
        <f t="shared" si="4401"/>
        <v>40.339302544768849</v>
      </c>
      <c r="CC652" s="36">
        <f>CC417</f>
        <v>146.09999999999991</v>
      </c>
      <c r="CD652" s="23">
        <f t="shared" si="4401"/>
        <v>-1.8804566823371061</v>
      </c>
      <c r="CE652" s="36">
        <f>CE417</f>
        <v>126.30000000000001</v>
      </c>
      <c r="CF652" s="23">
        <f t="shared" si="4401"/>
        <v>-13.552361396303835</v>
      </c>
      <c r="CG652" s="36">
        <f>CG417</f>
        <v>125.60000000000008</v>
      </c>
      <c r="CH652" s="23">
        <f t="shared" si="4401"/>
        <v>-0.55423594615988669</v>
      </c>
      <c r="CI652" s="36">
        <f>CI417</f>
        <v>119.54295244115605</v>
      </c>
      <c r="CJ652" s="23">
        <f t="shared" si="4401"/>
        <v>-4.8224900946210454</v>
      </c>
      <c r="CK652" s="36">
        <f>CK417</f>
        <v>127.59095869892695</v>
      </c>
      <c r="CL652" s="23">
        <f t="shared" si="4401"/>
        <v>6.7323134433478815</v>
      </c>
      <c r="CM652" s="36">
        <f>CM417</f>
        <v>130.03756043703845</v>
      </c>
      <c r="CN652" s="23">
        <f t="shared" si="4401"/>
        <v>1.917535351297639</v>
      </c>
      <c r="CO652" s="36">
        <f>CO417</f>
        <v>132.45070490350696</v>
      </c>
      <c r="CP652" s="23">
        <f t="shared" si="4401"/>
        <v>1.8557288050915943</v>
      </c>
      <c r="CQ652" s="36">
        <f>CQ417</f>
        <v>134.82208720827538</v>
      </c>
      <c r="CR652" s="23">
        <f t="shared" si="4401"/>
        <v>1.7903885875851122</v>
      </c>
      <c r="CS652" s="23">
        <f t="shared" si="4402"/>
        <v>1.4271637670947745</v>
      </c>
    </row>
    <row r="653" spans="1:105" ht="12.75" customHeight="1" x14ac:dyDescent="0.2">
      <c r="A653" s="3" t="s">
        <v>220</v>
      </c>
      <c r="B653" s="72">
        <f t="shared" ref="B653:N653" si="4403">SUM(B648:B652)</f>
        <v>279.13695524000002</v>
      </c>
      <c r="C653" s="59"/>
      <c r="D653" s="72">
        <f t="shared" si="4403"/>
        <v>350.80086680000011</v>
      </c>
      <c r="E653" s="59"/>
      <c r="F653" s="72">
        <f t="shared" si="4403"/>
        <v>306.80619100999996</v>
      </c>
      <c r="G653" s="59"/>
      <c r="H653" s="72">
        <f t="shared" si="4403"/>
        <v>343.08443746</v>
      </c>
      <c r="I653" s="59"/>
      <c r="J653" s="72">
        <f t="shared" si="4403"/>
        <v>264.0539999999998</v>
      </c>
      <c r="K653" s="23">
        <f t="shared" si="4378"/>
        <v>-5.4034247192500935</v>
      </c>
      <c r="L653" s="72">
        <f t="shared" si="4403"/>
        <v>191.88000000000002</v>
      </c>
      <c r="M653" s="23">
        <f t="shared" si="4378"/>
        <v>-45.302301630458807</v>
      </c>
      <c r="N653" s="72">
        <f t="shared" si="4403"/>
        <v>305.98700000000002</v>
      </c>
      <c r="O653" s="23">
        <f t="shared" si="4378"/>
        <v>-0.26700602334757129</v>
      </c>
      <c r="P653" s="72">
        <f>SUM(P648:P652)</f>
        <v>228.41900000000015</v>
      </c>
      <c r="Q653" s="23">
        <f t="shared" si="4378"/>
        <v>-33.421929105533565</v>
      </c>
      <c r="R653" s="72">
        <f>SUM(R648:R652)</f>
        <v>285.3</v>
      </c>
      <c r="S653" s="23">
        <f t="shared" si="4378"/>
        <v>8.0460814833330332</v>
      </c>
      <c r="T653" s="72">
        <f>SUM(T648:T652)</f>
        <v>306.8</v>
      </c>
      <c r="U653" s="23">
        <f t="shared" si="4378"/>
        <v>59.891598915989142</v>
      </c>
      <c r="V653" s="72">
        <f>SUM(V648:V652)</f>
        <v>484.39999999999986</v>
      </c>
      <c r="W653" s="23">
        <f t="shared" si="4378"/>
        <v>58.307379071659859</v>
      </c>
      <c r="X653" s="72">
        <f>SUM(X648:X652)</f>
        <v>352.19999999999993</v>
      </c>
      <c r="Y653" s="23">
        <f t="shared" si="4378"/>
        <v>54.190325673433335</v>
      </c>
      <c r="Z653" s="72">
        <f>SUM(Z648:Z652)</f>
        <v>267.50000000000017</v>
      </c>
      <c r="AA653" s="23">
        <f t="shared" si="4379"/>
        <v>-6.2390466175954558</v>
      </c>
      <c r="AB653" s="72">
        <f>SUM(AB648:AB652)</f>
        <v>356.00000000000006</v>
      </c>
      <c r="AC653" s="23">
        <f t="shared" si="4380"/>
        <v>16.036505867014348</v>
      </c>
      <c r="AD653" s="72">
        <f>SUM(AD648:AD652)</f>
        <v>331</v>
      </c>
      <c r="AE653" s="23">
        <f t="shared" si="4381"/>
        <v>-31.668042939719221</v>
      </c>
      <c r="AF653" s="72">
        <f>SUM(AF648:AF652)</f>
        <v>421.89999999999986</v>
      </c>
      <c r="AG653" s="23">
        <f t="shared" si="4382"/>
        <v>19.789892106757499</v>
      </c>
      <c r="AH653" s="72">
        <f>SUM(AH648:AH652)</f>
        <v>324.10000000000002</v>
      </c>
      <c r="AI653" s="23">
        <f t="shared" si="4383"/>
        <v>21.158878504672817</v>
      </c>
      <c r="AJ653" s="72">
        <f>SUM(AJ648:AJ652)</f>
        <v>311.8</v>
      </c>
      <c r="AK653" s="23">
        <f t="shared" si="4384"/>
        <v>-12.415730337078667</v>
      </c>
      <c r="AL653" s="72">
        <f>SUM(AL648:AL652)</f>
        <v>210.09999999999988</v>
      </c>
      <c r="AM653" s="23">
        <f t="shared" si="4385"/>
        <v>-36.525679758308193</v>
      </c>
      <c r="AN653" s="72">
        <f t="shared" ref="AN653:AP653" si="4404">SUM(AN648:AN652)</f>
        <v>368.40000000000009</v>
      </c>
      <c r="AO653" s="23">
        <f t="shared" si="4386"/>
        <v>-12.680730030812937</v>
      </c>
      <c r="AP653" s="72">
        <f t="shared" si="4404"/>
        <v>188.29999999999984</v>
      </c>
      <c r="AQ653" s="23">
        <f t="shared" si="4387"/>
        <v>-41.900647948164206</v>
      </c>
      <c r="AR653" s="72">
        <f t="shared" ref="AR653:AT653" si="4405">SUM(AR648:AR652)</f>
        <v>254.79999999999995</v>
      </c>
      <c r="AS653" s="23">
        <f t="shared" si="4388"/>
        <v>-18.28094932649136</v>
      </c>
      <c r="AT653" s="72">
        <f t="shared" si="4405"/>
        <v>79.39999999999992</v>
      </c>
      <c r="AU653" s="23" t="str">
        <f t="shared" si="4389"/>
        <v>NM</v>
      </c>
      <c r="AV653" s="72">
        <f t="shared" ref="AV653:AX653" si="4406">SUM(AV648:AV652)</f>
        <v>282.89999999999992</v>
      </c>
      <c r="AW653" s="23">
        <f t="shared" si="4390"/>
        <v>-23.208469055374636</v>
      </c>
      <c r="AX653" s="72">
        <f t="shared" si="4406"/>
        <v>240.49999999999983</v>
      </c>
      <c r="AY653" s="23">
        <f t="shared" si="4391"/>
        <v>27.721720658523651</v>
      </c>
      <c r="AZ653" s="72">
        <f t="shared" ref="AZ653" si="4407">SUM(AZ648:AZ652)</f>
        <v>207.49999999999986</v>
      </c>
      <c r="BA653" s="23">
        <f t="shared" si="4392"/>
        <v>-18.563579277865038</v>
      </c>
      <c r="BB653" s="72">
        <f t="shared" ref="BB653:BD653" si="4408">SUM(BB648:BB652)</f>
        <v>152.20000000000005</v>
      </c>
      <c r="BC653" s="23">
        <f t="shared" si="4393"/>
        <v>91.687657430730724</v>
      </c>
      <c r="BD653" s="72">
        <f t="shared" si="4408"/>
        <v>322.19999999999993</v>
      </c>
      <c r="BE653" s="23">
        <f t="shared" si="4394"/>
        <v>13.891834570519634</v>
      </c>
      <c r="BF653" s="72">
        <f t="shared" ref="BF653" si="4409">SUM(BF648:BF652)</f>
        <v>260.91592862875552</v>
      </c>
      <c r="BG653" s="23">
        <f t="shared" si="4395"/>
        <v>8.4889516127882416</v>
      </c>
      <c r="BH653" s="72">
        <f t="shared" ref="BH653" si="4410">SUM(BH648:BH652)</f>
        <v>294.40032272784299</v>
      </c>
      <c r="BI653" s="23">
        <f t="shared" si="4396"/>
        <v>41.879673603779842</v>
      </c>
      <c r="BJ653" s="72">
        <f t="shared" ref="BJ653" si="4411">SUM(BJ648:BJ652)</f>
        <v>296.29061969113837</v>
      </c>
      <c r="BK653" s="23">
        <f t="shared" si="4397"/>
        <v>94.671892044111885</v>
      </c>
      <c r="BL653" s="72">
        <f t="shared" ref="BL653" si="4412">SUM(BL648:BL652)</f>
        <v>301.30401841016374</v>
      </c>
      <c r="BM653" s="23">
        <f t="shared" si="4398"/>
        <v>-6.4854070731955922</v>
      </c>
      <c r="BN653" s="7"/>
      <c r="BO653" s="143"/>
      <c r="BP653" s="7"/>
      <c r="BQ653" s="72">
        <f>SUM(BQ648:BQ652)</f>
        <v>789.69999999999993</v>
      </c>
      <c r="BR653" s="7"/>
      <c r="BS653" s="72">
        <f>SUM(BS648:BS652)</f>
        <v>1030.2000000000003</v>
      </c>
      <c r="BT653" s="7"/>
      <c r="BU653" s="72">
        <f>SUM(BU648:BU652)</f>
        <v>1279.8284505099994</v>
      </c>
      <c r="BV653" s="23">
        <f t="shared" si="4399"/>
        <v>24.23106683265377</v>
      </c>
      <c r="BW653" s="72">
        <f t="shared" ref="BW653:CA653" si="4413">SUM(BW648:BW652)</f>
        <v>990.34000000000037</v>
      </c>
      <c r="BX653" s="23">
        <f t="shared" si="4400"/>
        <v>-22.619316705660086</v>
      </c>
      <c r="BY653" s="72">
        <f t="shared" si="4413"/>
        <v>1428.7000000000003</v>
      </c>
      <c r="BZ653" s="23">
        <f t="shared" si="4401"/>
        <v>44.263586243108399</v>
      </c>
      <c r="CA653" s="72">
        <f t="shared" si="4413"/>
        <v>1376.4000000000003</v>
      </c>
      <c r="CB653" s="23">
        <f t="shared" si="4401"/>
        <v>-3.6606705396514228</v>
      </c>
      <c r="CC653" s="72">
        <f t="shared" ref="CC653" si="4414">SUM(CC648:CC652)</f>
        <v>1214.3999999999999</v>
      </c>
      <c r="CD653" s="23">
        <f t="shared" si="4401"/>
        <v>-11.769834350479547</v>
      </c>
      <c r="CE653" s="72">
        <f t="shared" ref="CE653" si="4415">SUM(CE648:CE652)</f>
        <v>805.39999999999986</v>
      </c>
      <c r="CF653" s="23">
        <f t="shared" si="4401"/>
        <v>-33.679183135704882</v>
      </c>
      <c r="CG653" s="72">
        <f t="shared" ref="CG653" si="4416">SUM(CG648:CG652)</f>
        <v>922.40000000000009</v>
      </c>
      <c r="CH653" s="23">
        <f t="shared" si="4401"/>
        <v>14.52694313384657</v>
      </c>
      <c r="CI653" s="72">
        <f t="shared" ref="CI653" si="4417">SUM(CI648:CI652)</f>
        <v>1152.9108894579006</v>
      </c>
      <c r="CJ653" s="23">
        <f t="shared" si="4401"/>
        <v>24.99033927340637</v>
      </c>
      <c r="CK653" s="72">
        <f>SUM(CK648:CK652)</f>
        <v>1201.1782067360518</v>
      </c>
      <c r="CL653" s="23">
        <f t="shared" si="4401"/>
        <v>4.186560966636943</v>
      </c>
      <c r="CM653" s="72">
        <f>SUM(CM648:CM652)</f>
        <v>1247.1799693054431</v>
      </c>
      <c r="CN653" s="23">
        <f t="shared" si="4401"/>
        <v>3.8297200458199621</v>
      </c>
      <c r="CO653" s="72">
        <f>SUM(CO648:CO652)</f>
        <v>1292.1206649492401</v>
      </c>
      <c r="CP653" s="23">
        <f t="shared" si="4401"/>
        <v>3.6033849764941728</v>
      </c>
      <c r="CQ653" s="72">
        <f>SUM(CQ648:CQ652)</f>
        <v>1336.6261181310085</v>
      </c>
      <c r="CR653" s="23">
        <f t="shared" si="4401"/>
        <v>3.4443728352194336</v>
      </c>
      <c r="CS653" s="23">
        <f t="shared" si="4402"/>
        <v>7.7006017384560588</v>
      </c>
      <c r="CT653" s="9"/>
      <c r="CU653" s="9"/>
    </row>
    <row r="654" spans="1:105" ht="12.75" customHeight="1" x14ac:dyDescent="0.2">
      <c r="A654" s="4" t="s">
        <v>186</v>
      </c>
      <c r="B654" s="36">
        <f>B440</f>
        <v>-44.3</v>
      </c>
      <c r="C654" s="59"/>
      <c r="D654" s="36">
        <f>D440</f>
        <v>-69.099999999999994</v>
      </c>
      <c r="E654" s="59"/>
      <c r="F654" s="36">
        <f>F440</f>
        <v>-20.800000000000004</v>
      </c>
      <c r="G654" s="59"/>
      <c r="H654" s="36">
        <f>H440</f>
        <v>-96</v>
      </c>
      <c r="I654" s="59"/>
      <c r="J654" s="36">
        <f>J440</f>
        <v>-48.4</v>
      </c>
      <c r="K654" s="23">
        <f t="shared" si="4378"/>
        <v>9.2550790067720037</v>
      </c>
      <c r="L654" s="36">
        <f>L440</f>
        <v>-32.700000000000003</v>
      </c>
      <c r="M654" s="23" t="str">
        <f t="shared" si="4378"/>
        <v>NM</v>
      </c>
      <c r="N654" s="36">
        <f>N440</f>
        <v>-57.6</v>
      </c>
      <c r="O654" s="23" t="str">
        <f t="shared" si="4378"/>
        <v>NM</v>
      </c>
      <c r="P654" s="36">
        <f>P440</f>
        <v>-43.600000000000009</v>
      </c>
      <c r="Q654" s="23" t="str">
        <f t="shared" si="4378"/>
        <v>NM</v>
      </c>
      <c r="R654" s="36">
        <f>R440</f>
        <v>-50.1</v>
      </c>
      <c r="S654" s="23">
        <f t="shared" si="4378"/>
        <v>3.512396694214881</v>
      </c>
      <c r="T654" s="36">
        <f>T440</f>
        <v>-52.800000000000011</v>
      </c>
      <c r="U654" s="23">
        <f t="shared" si="4378"/>
        <v>61.467889908256915</v>
      </c>
      <c r="V654" s="36">
        <f>V440</f>
        <v>-63.699999999999996</v>
      </c>
      <c r="W654" s="23">
        <f t="shared" si="4378"/>
        <v>10.590277777777768</v>
      </c>
      <c r="X654" s="36">
        <f>X440</f>
        <v>-44</v>
      </c>
      <c r="Y654" s="23">
        <f t="shared" si="4378"/>
        <v>0.91743119266052275</v>
      </c>
      <c r="Z654" s="36">
        <f>Z440</f>
        <v>-37.299999999999997</v>
      </c>
      <c r="AA654" s="23">
        <f t="shared" si="4379"/>
        <v>-25.54890219560879</v>
      </c>
      <c r="AB654" s="36">
        <f>AB440</f>
        <v>-38.300000000000004</v>
      </c>
      <c r="AC654" s="23">
        <f t="shared" si="4380"/>
        <v>-27.462121212121215</v>
      </c>
      <c r="AD654" s="36">
        <f>AD440</f>
        <v>-47.1</v>
      </c>
      <c r="AE654" s="23">
        <f t="shared" si="4381"/>
        <v>-26.059654631083195</v>
      </c>
      <c r="AF654" s="36">
        <f>AF440</f>
        <v>-47.7</v>
      </c>
      <c r="AG654" s="23">
        <f t="shared" si="4382"/>
        <v>8.4090909090909207</v>
      </c>
      <c r="AH654" s="36">
        <f>AH440</f>
        <v>-48.2</v>
      </c>
      <c r="AI654" s="23">
        <f t="shared" si="4383"/>
        <v>29.222520107238626</v>
      </c>
      <c r="AJ654" s="36">
        <f>AJ440</f>
        <v>-53.29999999999999</v>
      </c>
      <c r="AK654" s="23">
        <f t="shared" si="4384"/>
        <v>39.164490861618752</v>
      </c>
      <c r="AL654" s="36">
        <f>AL440</f>
        <v>-75.600000000000009</v>
      </c>
      <c r="AM654" s="23">
        <f t="shared" si="4385"/>
        <v>60.509554140127399</v>
      </c>
      <c r="AN654" s="410">
        <f>AN440</f>
        <v>-82.100000000000009</v>
      </c>
      <c r="AO654" s="23">
        <f t="shared" si="4386"/>
        <v>72.117400419287222</v>
      </c>
      <c r="AP654" s="410">
        <f>AP440</f>
        <v>-104.89999999999999</v>
      </c>
      <c r="AQ654" s="23" t="str">
        <f t="shared" si="4387"/>
        <v>NM</v>
      </c>
      <c r="AR654" s="410">
        <f>AR440</f>
        <v>-126.2</v>
      </c>
      <c r="AS654" s="23" t="str">
        <f t="shared" si="4388"/>
        <v>NM</v>
      </c>
      <c r="AT654" s="410">
        <f>AT440</f>
        <v>-109.4</v>
      </c>
      <c r="AU654" s="23">
        <f t="shared" si="4389"/>
        <v>44.708994708994695</v>
      </c>
      <c r="AV654" s="410">
        <f>AV440</f>
        <v>-133.30000000000001</v>
      </c>
      <c r="AW654" s="23">
        <f t="shared" si="4390"/>
        <v>62.362971985383673</v>
      </c>
      <c r="AX654" s="410">
        <f>AX440</f>
        <v>-95.1</v>
      </c>
      <c r="AY654" s="23">
        <f t="shared" si="4391"/>
        <v>-9.3422306959008559</v>
      </c>
      <c r="AZ654" s="410">
        <f>AZ440</f>
        <v>-100.5</v>
      </c>
      <c r="BA654" s="23">
        <f t="shared" si="4392"/>
        <v>-20.364500792393024</v>
      </c>
      <c r="BB654" s="410">
        <f>BB440</f>
        <v>-110</v>
      </c>
      <c r="BC654" s="23">
        <f t="shared" si="4393"/>
        <v>0.54844606946982122</v>
      </c>
      <c r="BD654" s="410">
        <f>BD440</f>
        <v>-88.699999999999989</v>
      </c>
      <c r="BE654" s="23">
        <f t="shared" si="4394"/>
        <v>-33.458364591147806</v>
      </c>
      <c r="BF654" s="36">
        <f>BF440</f>
        <v>-78.5</v>
      </c>
      <c r="BG654" s="23">
        <f t="shared" si="4395"/>
        <v>-17.455310199789686</v>
      </c>
      <c r="BH654" s="36">
        <f>BH440</f>
        <v>-81.5</v>
      </c>
      <c r="BI654" s="23">
        <f t="shared" si="4396"/>
        <v>-18.905472636815922</v>
      </c>
      <c r="BJ654" s="36">
        <f>BJ440</f>
        <v>-70.352499999999992</v>
      </c>
      <c r="BK654" s="23">
        <f t="shared" si="4397"/>
        <v>-36.043181818181822</v>
      </c>
      <c r="BL654" s="36">
        <f>BL440</f>
        <v>-65.352499999999992</v>
      </c>
      <c r="BM654" s="23">
        <f t="shared" si="4398"/>
        <v>-26.321871476888393</v>
      </c>
      <c r="BN654" s="5"/>
      <c r="BO654" s="137"/>
      <c r="BP654" s="5"/>
      <c r="BQ654" s="36">
        <f>BQ440</f>
        <v>-470.49999999999994</v>
      </c>
      <c r="BR654" s="5"/>
      <c r="BS654" s="36">
        <f>BS440</f>
        <v>-399.1</v>
      </c>
      <c r="BT654" s="5"/>
      <c r="BU654" s="36">
        <f>BU440</f>
        <v>-230.19999999999996</v>
      </c>
      <c r="BV654" s="23">
        <f t="shared" si="4399"/>
        <v>-42.320220496116278</v>
      </c>
      <c r="BW654" s="36">
        <f>BW440</f>
        <v>-182.3</v>
      </c>
      <c r="BX654" s="23">
        <f t="shared" si="4400"/>
        <v>-20.807993049522132</v>
      </c>
      <c r="BY654" s="36">
        <f>BY440</f>
        <v>-210.6</v>
      </c>
      <c r="BZ654" s="23">
        <f t="shared" si="4401"/>
        <v>15.523861766319236</v>
      </c>
      <c r="CA654" s="36">
        <f>CA440</f>
        <v>-170.4</v>
      </c>
      <c r="CB654" s="23">
        <f t="shared" si="4401"/>
        <v>-19.088319088319082</v>
      </c>
      <c r="CC654" s="36">
        <f>CC440</f>
        <v>-259.20000000000005</v>
      </c>
      <c r="CD654" s="23">
        <f t="shared" si="4401"/>
        <v>52.112676056338046</v>
      </c>
      <c r="CE654" s="36">
        <f>CE440</f>
        <v>-473.80000000000007</v>
      </c>
      <c r="CF654" s="23">
        <f t="shared" si="4401"/>
        <v>82.793209876543187</v>
      </c>
      <c r="CG654" s="36">
        <f>CG440</f>
        <v>-394.29999999999995</v>
      </c>
      <c r="CH654" s="23">
        <f t="shared" si="4401"/>
        <v>-16.779231743351641</v>
      </c>
      <c r="CI654" s="36">
        <f>CI440</f>
        <v>-295.70500000000004</v>
      </c>
      <c r="CJ654" s="23">
        <f t="shared" si="4401"/>
        <v>-25.005072279989836</v>
      </c>
      <c r="CK654" s="36">
        <f>CK440</f>
        <v>-232.40999999999997</v>
      </c>
      <c r="CL654" s="23">
        <f t="shared" si="4401"/>
        <v>-21.404778410916304</v>
      </c>
      <c r="CM654" s="36">
        <f>CM440</f>
        <v>-232.72999999999996</v>
      </c>
      <c r="CN654" s="23">
        <f t="shared" si="4401"/>
        <v>0.13768770706938938</v>
      </c>
      <c r="CO654" s="36">
        <f>CO440</f>
        <v>-233.05319999999998</v>
      </c>
      <c r="CP654" s="23">
        <f t="shared" si="4401"/>
        <v>0.13887337257767474</v>
      </c>
      <c r="CQ654" s="36">
        <f>CQ440</f>
        <v>-233.37963199999996</v>
      </c>
      <c r="CR654" s="23">
        <f t="shared" si="4401"/>
        <v>0.14006758971769617</v>
      </c>
      <c r="CS654" s="23">
        <f t="shared" si="4402"/>
        <v>-9.9575642335450567</v>
      </c>
    </row>
    <row r="655" spans="1:105" ht="12.75" customHeight="1" x14ac:dyDescent="0.2">
      <c r="A655" s="4" t="s">
        <v>221</v>
      </c>
      <c r="B655" s="56">
        <f>B610</f>
        <v>15.6</v>
      </c>
      <c r="C655" s="59"/>
      <c r="D655" s="56">
        <f>D610</f>
        <v>18.8</v>
      </c>
      <c r="E655" s="59"/>
      <c r="F655" s="56">
        <f>F610</f>
        <v>20.900000000000002</v>
      </c>
      <c r="G655" s="59"/>
      <c r="H655" s="56">
        <f>H610</f>
        <v>15</v>
      </c>
      <c r="I655" s="59"/>
      <c r="J655" s="56">
        <f>J610</f>
        <v>24.29999999999999</v>
      </c>
      <c r="K655" s="23">
        <f t="shared" si="4378"/>
        <v>55.769230769230703</v>
      </c>
      <c r="L655" s="56">
        <f>L610</f>
        <v>39.800000000000004</v>
      </c>
      <c r="M655" s="23" t="str">
        <f t="shared" si="4378"/>
        <v>NM</v>
      </c>
      <c r="N655" s="56">
        <f>N610</f>
        <v>21.800000000000004</v>
      </c>
      <c r="O655" s="23">
        <f t="shared" si="4378"/>
        <v>4.3062200956937913</v>
      </c>
      <c r="P655" s="56">
        <f>P610</f>
        <v>23.800000000000004</v>
      </c>
      <c r="Q655" s="23">
        <f t="shared" si="4378"/>
        <v>58.666666666666686</v>
      </c>
      <c r="R655" s="56">
        <f>R610</f>
        <v>21.4</v>
      </c>
      <c r="S655" s="23">
        <f t="shared" si="4378"/>
        <v>-11.934156378600791</v>
      </c>
      <c r="T655" s="56">
        <f>T610</f>
        <v>18</v>
      </c>
      <c r="U655" s="23" t="str">
        <f t="shared" si="4378"/>
        <v>NM</v>
      </c>
      <c r="V655" s="56">
        <f>V610</f>
        <v>14.499999999999993</v>
      </c>
      <c r="W655" s="23">
        <f t="shared" si="4378"/>
        <v>-33.486238532110136</v>
      </c>
      <c r="X655" s="56">
        <f>X610</f>
        <v>-3.3000000000000043</v>
      </c>
      <c r="Y655" s="23" t="str">
        <f t="shared" si="4378"/>
        <v>NM</v>
      </c>
      <c r="Z655" s="56">
        <f>Z610</f>
        <v>0.89999999999999858</v>
      </c>
      <c r="AA655" s="23" t="str">
        <f t="shared" si="4379"/>
        <v>NM</v>
      </c>
      <c r="AB655" s="56">
        <f>AB610</f>
        <v>10.5</v>
      </c>
      <c r="AC655" s="23">
        <f t="shared" si="4380"/>
        <v>-41.666666666666664</v>
      </c>
      <c r="AD655" s="56">
        <f>AD610</f>
        <v>10.499999999999998</v>
      </c>
      <c r="AE655" s="23">
        <f t="shared" si="4381"/>
        <v>-27.586206896551701</v>
      </c>
      <c r="AF655" s="56">
        <f>AF610</f>
        <v>2.8000000000000007</v>
      </c>
      <c r="AG655" s="23" t="str">
        <f t="shared" si="4382"/>
        <v>NM</v>
      </c>
      <c r="AH655" s="56">
        <f>AH610</f>
        <v>13.799999999999999</v>
      </c>
      <c r="AI655" s="23" t="str">
        <f t="shared" si="4383"/>
        <v>NM</v>
      </c>
      <c r="AJ655" s="56">
        <f>AJ610</f>
        <v>4</v>
      </c>
      <c r="AK655" s="23" t="str">
        <f t="shared" si="4384"/>
        <v>NM</v>
      </c>
      <c r="AL655" s="56">
        <f>AL610</f>
        <v>2.5999999999999996</v>
      </c>
      <c r="AM655" s="23" t="str">
        <f t="shared" si="4385"/>
        <v>NM</v>
      </c>
      <c r="AN655" s="413">
        <f>AN610</f>
        <v>2</v>
      </c>
      <c r="AO655" s="23">
        <f t="shared" si="4386"/>
        <v>-28.571428571428591</v>
      </c>
      <c r="AP655" s="413">
        <f>AP610</f>
        <v>3.7999999999999989</v>
      </c>
      <c r="AQ655" s="23" t="str">
        <f t="shared" si="4387"/>
        <v>NM</v>
      </c>
      <c r="AR655" s="413">
        <f>AR610</f>
        <v>1.9000000000000004</v>
      </c>
      <c r="AS655" s="23" t="str">
        <f t="shared" si="4388"/>
        <v>NM</v>
      </c>
      <c r="AT655" s="413">
        <f>AT610</f>
        <v>-6.9</v>
      </c>
      <c r="AU655" s="23" t="str">
        <f t="shared" si="4389"/>
        <v>NM</v>
      </c>
      <c r="AV655" s="413">
        <f>AV610</f>
        <v>0</v>
      </c>
      <c r="AW655" s="23" t="str">
        <f t="shared" si="4390"/>
        <v>NM</v>
      </c>
      <c r="AX655" s="413">
        <f>AX610</f>
        <v>0</v>
      </c>
      <c r="AY655" s="23" t="str">
        <f t="shared" si="4391"/>
        <v>NM</v>
      </c>
      <c r="AZ655" s="413">
        <f>AZ610</f>
        <v>0</v>
      </c>
      <c r="BA655" s="23" t="str">
        <f t="shared" si="4392"/>
        <v>NM</v>
      </c>
      <c r="BB655" s="413">
        <f>BB610</f>
        <v>0</v>
      </c>
      <c r="BC655" s="23" t="str">
        <f t="shared" si="4393"/>
        <v>NM</v>
      </c>
      <c r="BD655" s="413">
        <f>BD610</f>
        <v>0</v>
      </c>
      <c r="BE655" s="23" t="str">
        <f t="shared" si="4394"/>
        <v>NA</v>
      </c>
      <c r="BF655" s="56">
        <f>BF610</f>
        <v>0</v>
      </c>
      <c r="BG655" s="23" t="str">
        <f t="shared" si="4395"/>
        <v>NA</v>
      </c>
      <c r="BH655" s="56">
        <f>BH610</f>
        <v>0</v>
      </c>
      <c r="BI655" s="23" t="str">
        <f t="shared" si="4396"/>
        <v>NA</v>
      </c>
      <c r="BJ655" s="56">
        <f>BJ610</f>
        <v>0</v>
      </c>
      <c r="BK655" s="23" t="str">
        <f t="shared" si="4397"/>
        <v>NA</v>
      </c>
      <c r="BL655" s="56">
        <f>BL610</f>
        <v>0</v>
      </c>
      <c r="BM655" s="23" t="str">
        <f t="shared" si="4398"/>
        <v>NA</v>
      </c>
      <c r="BN655" s="5"/>
      <c r="BO655" s="137"/>
      <c r="BP655" s="5"/>
      <c r="BQ655" s="56">
        <f>BQ610</f>
        <v>8.6999999999999993</v>
      </c>
      <c r="BR655" s="5"/>
      <c r="BS655" s="56">
        <f>BS610</f>
        <v>-10.5</v>
      </c>
      <c r="BT655" s="5"/>
      <c r="BU655" s="56">
        <f>BU610</f>
        <v>70.300000000000011</v>
      </c>
      <c r="BV655" s="23" t="str">
        <f t="shared" si="4399"/>
        <v>NM</v>
      </c>
      <c r="BW655" s="56">
        <f>BW610</f>
        <v>109.69999999999999</v>
      </c>
      <c r="BX655" s="23">
        <f t="shared" si="4400"/>
        <v>56.045519203413896</v>
      </c>
      <c r="BY655" s="56">
        <f>BY610</f>
        <v>50.600000000000009</v>
      </c>
      <c r="BZ655" s="23" t="str">
        <f t="shared" si="4401"/>
        <v>NM</v>
      </c>
      <c r="CA655" s="56">
        <f>CA610</f>
        <v>24.700000000000017</v>
      </c>
      <c r="CB655" s="23" t="str">
        <f t="shared" si="4401"/>
        <v>NM</v>
      </c>
      <c r="CC655" s="56">
        <f>CC610</f>
        <v>22.399999999999991</v>
      </c>
      <c r="CD655" s="23">
        <f t="shared" si="4401"/>
        <v>-9.311740890688359</v>
      </c>
      <c r="CE655" s="56">
        <f>CE610</f>
        <v>-1.1999999999999957</v>
      </c>
      <c r="CF655" s="23" t="str">
        <f t="shared" si="4401"/>
        <v>NM</v>
      </c>
      <c r="CG655" s="56">
        <f>CG610</f>
        <v>0</v>
      </c>
      <c r="CH655" s="23" t="str">
        <f t="shared" si="4401"/>
        <v>NM</v>
      </c>
      <c r="CI655" s="56">
        <f>CI610</f>
        <v>0</v>
      </c>
      <c r="CJ655" s="23" t="str">
        <f t="shared" si="4401"/>
        <v>NA</v>
      </c>
      <c r="CK655" s="56">
        <f>CK610</f>
        <v>0</v>
      </c>
      <c r="CL655" s="23" t="str">
        <f t="shared" si="4401"/>
        <v>NA</v>
      </c>
      <c r="CM655" s="56">
        <f>CM610</f>
        <v>0</v>
      </c>
      <c r="CN655" s="23" t="str">
        <f t="shared" si="4401"/>
        <v>NA</v>
      </c>
      <c r="CO655" s="56">
        <f>CO610</f>
        <v>0</v>
      </c>
      <c r="CP655" s="23" t="str">
        <f t="shared" si="4401"/>
        <v>NA</v>
      </c>
      <c r="CQ655" s="56">
        <f>CQ610</f>
        <v>0</v>
      </c>
      <c r="CR655" s="23" t="str">
        <f t="shared" si="4401"/>
        <v>NA</v>
      </c>
      <c r="CS655" s="23"/>
    </row>
    <row r="656" spans="1:105" ht="12.75" customHeight="1" x14ac:dyDescent="0.2">
      <c r="A656" s="3" t="s">
        <v>21</v>
      </c>
      <c r="B656" s="73">
        <f t="shared" ref="B656:N656" si="4418">SUM(B653:B655)</f>
        <v>250.43695524</v>
      </c>
      <c r="C656" s="59"/>
      <c r="D656" s="73">
        <f t="shared" si="4418"/>
        <v>300.5008668000001</v>
      </c>
      <c r="E656" s="59"/>
      <c r="F656" s="73">
        <f t="shared" si="4418"/>
        <v>306.90619100999993</v>
      </c>
      <c r="G656" s="59"/>
      <c r="H656" s="73">
        <f t="shared" si="4418"/>
        <v>262.08443746</v>
      </c>
      <c r="I656" s="59"/>
      <c r="J656" s="73">
        <f t="shared" si="4418"/>
        <v>239.95399999999978</v>
      </c>
      <c r="K656" s="23">
        <f t="shared" si="4378"/>
        <v>-4.1858659517538648</v>
      </c>
      <c r="L656" s="73">
        <f t="shared" si="4418"/>
        <v>198.98000000000002</v>
      </c>
      <c r="M656" s="23">
        <f t="shared" si="4378"/>
        <v>-33.783884845685932</v>
      </c>
      <c r="N656" s="73">
        <f t="shared" si="4418"/>
        <v>270.18700000000001</v>
      </c>
      <c r="O656" s="23">
        <f t="shared" si="4378"/>
        <v>-11.964304430992566</v>
      </c>
      <c r="P656" s="73">
        <f>SUM(P653:P655)</f>
        <v>208.61900000000014</v>
      </c>
      <c r="Q656" s="23">
        <f t="shared" si="4378"/>
        <v>-20.400080973201582</v>
      </c>
      <c r="R656" s="73">
        <f>SUM(R653:R655)</f>
        <v>256.60000000000002</v>
      </c>
      <c r="S656" s="23">
        <f t="shared" si="4378"/>
        <v>6.9371629562333892</v>
      </c>
      <c r="T656" s="73">
        <f>SUM(T653:T655)</f>
        <v>272</v>
      </c>
      <c r="U656" s="23">
        <f t="shared" si="4378"/>
        <v>36.697155493014357</v>
      </c>
      <c r="V656" s="73">
        <f>SUM(V653:V655)</f>
        <v>435.19999999999987</v>
      </c>
      <c r="W656" s="23">
        <f t="shared" si="4378"/>
        <v>61.073626784412212</v>
      </c>
      <c r="X656" s="73">
        <f>SUM(X653:X655)</f>
        <v>304.89999999999992</v>
      </c>
      <c r="Y656" s="23">
        <f t="shared" si="4378"/>
        <v>46.151596930289053</v>
      </c>
      <c r="Z656" s="73">
        <f>SUM(Z653:Z655)</f>
        <v>231.10000000000016</v>
      </c>
      <c r="AA656" s="23">
        <f t="shared" si="4379"/>
        <v>-9.9376461418549731</v>
      </c>
      <c r="AB656" s="73">
        <f>SUM(AB653:AB655)</f>
        <v>328.20000000000005</v>
      </c>
      <c r="AC656" s="23">
        <f t="shared" si="4380"/>
        <v>20.661764705882369</v>
      </c>
      <c r="AD656" s="73">
        <f>SUM(AD653:AD655)</f>
        <v>294.39999999999998</v>
      </c>
      <c r="AE656" s="23">
        <f t="shared" si="4381"/>
        <v>-32.352941176470573</v>
      </c>
      <c r="AF656" s="73">
        <f>SUM(AF653:AF655)</f>
        <v>376.99999999999989</v>
      </c>
      <c r="AG656" s="23">
        <f t="shared" si="4382"/>
        <v>23.647097408986539</v>
      </c>
      <c r="AH656" s="73">
        <f>SUM(AH653:AH655)</f>
        <v>289.70000000000005</v>
      </c>
      <c r="AI656" s="23">
        <f t="shared" si="4383"/>
        <v>25.356988316745934</v>
      </c>
      <c r="AJ656" s="73">
        <f>SUM(AJ653:AJ655)</f>
        <v>262.5</v>
      </c>
      <c r="AK656" s="23">
        <f t="shared" si="4384"/>
        <v>-20.018281535649006</v>
      </c>
      <c r="AL656" s="73">
        <f>SUM(AL653:AL655)</f>
        <v>137.09999999999988</v>
      </c>
      <c r="AM656" s="23" t="str">
        <f t="shared" si="4385"/>
        <v>NM</v>
      </c>
      <c r="AN656" s="73">
        <f t="shared" ref="AN656:AP656" si="4419">SUM(AN653:AN655)</f>
        <v>288.30000000000007</v>
      </c>
      <c r="AO656" s="23">
        <f t="shared" si="4386"/>
        <v>-23.527851458885895</v>
      </c>
      <c r="AP656" s="73">
        <f t="shared" si="4419"/>
        <v>87.199999999999847</v>
      </c>
      <c r="AQ656" s="23" t="str">
        <f t="shared" si="4387"/>
        <v>NM</v>
      </c>
      <c r="AR656" s="73">
        <f t="shared" ref="AR656:AT656" si="4420">SUM(AR653:AR655)</f>
        <v>130.49999999999997</v>
      </c>
      <c r="AS656" s="23" t="str">
        <f t="shared" si="4388"/>
        <v>NM</v>
      </c>
      <c r="AT656" s="73">
        <f t="shared" si="4420"/>
        <v>-36.900000000000084</v>
      </c>
      <c r="AU656" s="23" t="str">
        <f t="shared" si="4389"/>
        <v>NM</v>
      </c>
      <c r="AV656" s="73">
        <f t="shared" ref="AV656:AX656" si="4421">SUM(AV653:AV655)</f>
        <v>149.59999999999991</v>
      </c>
      <c r="AW656" s="23">
        <f t="shared" si="4390"/>
        <v>-48.109608047173126</v>
      </c>
      <c r="AX656" s="73">
        <f t="shared" si="4421"/>
        <v>145.39999999999984</v>
      </c>
      <c r="AY656" s="23">
        <f t="shared" si="4391"/>
        <v>66.743119266055146</v>
      </c>
      <c r="AZ656" s="73">
        <f t="shared" ref="AZ656" si="4422">SUM(AZ653:AZ655)</f>
        <v>106.99999999999986</v>
      </c>
      <c r="BA656" s="23">
        <f t="shared" si="4392"/>
        <v>-18.007662835249139</v>
      </c>
      <c r="BB656" s="73">
        <f t="shared" ref="BB656:BD656" si="4423">SUM(BB653:BB655)</f>
        <v>42.200000000000045</v>
      </c>
      <c r="BC656" s="23" t="str">
        <f t="shared" si="4393"/>
        <v>NM</v>
      </c>
      <c r="BD656" s="73">
        <f t="shared" si="4423"/>
        <v>233.49999999999994</v>
      </c>
      <c r="BE656" s="23">
        <f t="shared" si="4394"/>
        <v>56.082887700534826</v>
      </c>
      <c r="BF656" s="73">
        <f t="shared" ref="BF656" si="4424">SUM(BF653:BF655)</f>
        <v>182.41592862875552</v>
      </c>
      <c r="BG656" s="23">
        <f t="shared" si="4395"/>
        <v>25.457997681400091</v>
      </c>
      <c r="BH656" s="73">
        <f t="shared" ref="BH656" si="4425">SUM(BH653:BH655)</f>
        <v>212.90032272784299</v>
      </c>
      <c r="BI656" s="23">
        <f t="shared" si="4396"/>
        <v>98.972264231629239</v>
      </c>
      <c r="BJ656" s="73">
        <f t="shared" ref="BJ656" si="4426">SUM(BJ653:BJ655)</f>
        <v>225.93811969113838</v>
      </c>
      <c r="BK656" s="23" t="str">
        <f t="shared" si="4397"/>
        <v>NM</v>
      </c>
      <c r="BL656" s="73">
        <f t="shared" ref="BL656" si="4427">SUM(BL653:BL655)</f>
        <v>235.95151841016374</v>
      </c>
      <c r="BM656" s="23">
        <f t="shared" si="4398"/>
        <v>1.0499008180572922</v>
      </c>
      <c r="BN656" s="8"/>
      <c r="BO656" s="137"/>
      <c r="BP656" s="8"/>
      <c r="BQ656" s="73">
        <f>SUM(BQ653:BQ655)</f>
        <v>327.9</v>
      </c>
      <c r="BR656" s="8"/>
      <c r="BS656" s="73">
        <f>SUM(BS653:BS655)</f>
        <v>620.60000000000025</v>
      </c>
      <c r="BT656" s="8"/>
      <c r="BU656" s="73">
        <f>SUM(BU653:BU655)</f>
        <v>1119.9284505099993</v>
      </c>
      <c r="BV656" s="23">
        <f t="shared" si="4399"/>
        <v>80.458983324202208</v>
      </c>
      <c r="BW656" s="73">
        <f t="shared" ref="BW656:CA656" si="4428">SUM(BW653:BW655)</f>
        <v>917.74000000000046</v>
      </c>
      <c r="BX656" s="23">
        <f t="shared" si="4400"/>
        <v>-18.0536935567558</v>
      </c>
      <c r="BY656" s="73">
        <f t="shared" si="4428"/>
        <v>1268.7000000000003</v>
      </c>
      <c r="BZ656" s="23">
        <f t="shared" si="4401"/>
        <v>38.241767820951431</v>
      </c>
      <c r="CA656" s="73">
        <f t="shared" si="4428"/>
        <v>1230.7000000000003</v>
      </c>
      <c r="CB656" s="23">
        <f t="shared" si="4401"/>
        <v>-2.995191928745955</v>
      </c>
      <c r="CC656" s="73">
        <f t="shared" ref="CC656" si="4429">SUM(CC653:CC655)</f>
        <v>977.5999999999998</v>
      </c>
      <c r="CD656" s="23">
        <f t="shared" si="4401"/>
        <v>-20.565531811164416</v>
      </c>
      <c r="CE656" s="73">
        <f t="shared" ref="CE656" si="4430">SUM(CE653:CE655)</f>
        <v>330.39999999999981</v>
      </c>
      <c r="CF656" s="23" t="str">
        <f t="shared" si="4401"/>
        <v>NM</v>
      </c>
      <c r="CG656" s="73">
        <f t="shared" ref="CG656" si="4431">SUM(CG653:CG655)</f>
        <v>528.10000000000014</v>
      </c>
      <c r="CH656" s="23">
        <f t="shared" si="4401"/>
        <v>59.836561743341534</v>
      </c>
      <c r="CI656" s="73">
        <f t="shared" ref="CI656" si="4432">SUM(CI653:CI655)</f>
        <v>857.20588945790053</v>
      </c>
      <c r="CJ656" s="23">
        <f t="shared" si="4401"/>
        <v>62.318858068150028</v>
      </c>
      <c r="CK656" s="73">
        <f>SUM(CK653:CK655)</f>
        <v>968.76820673605187</v>
      </c>
      <c r="CL656" s="23">
        <f t="shared" si="4401"/>
        <v>13.014646615261082</v>
      </c>
      <c r="CM656" s="73">
        <f>SUM(CM653:CM655)</f>
        <v>1014.4499693054431</v>
      </c>
      <c r="CN656" s="23">
        <f t="shared" si="4401"/>
        <v>4.7154481589874786</v>
      </c>
      <c r="CO656" s="73">
        <f>SUM(CO653:CO655)</f>
        <v>1059.06746494924</v>
      </c>
      <c r="CP656" s="23">
        <f t="shared" si="4401"/>
        <v>4.3981957704966934</v>
      </c>
      <c r="CQ656" s="73">
        <f>SUM(CQ653:CQ655)</f>
        <v>1103.2464861310086</v>
      </c>
      <c r="CR656" s="23">
        <f t="shared" si="4401"/>
        <v>4.1715020661017066</v>
      </c>
      <c r="CS656" s="23">
        <f t="shared" ref="CS656:CS661" si="4433">IF(ISERROR(((CQ656/CG656)^0.2-1)*100),"NA",IF((((CQ656/CG656)^0.2-1)*100)&gt;100,"NM",IF((((CQ656/CG656)^0.2-1)*100)&lt;-50,"NM",((CQ656/CG656)^0.2-1)*100)))</f>
        <v>15.8754082034535</v>
      </c>
    </row>
    <row r="657" spans="1:99" ht="12.75" customHeight="1" x14ac:dyDescent="0.2">
      <c r="A657" s="4" t="s">
        <v>22</v>
      </c>
      <c r="B657" s="56">
        <f>B636</f>
        <v>87.63</v>
      </c>
      <c r="C657" s="59"/>
      <c r="D657" s="56">
        <f>D636</f>
        <v>105.095</v>
      </c>
      <c r="E657" s="59"/>
      <c r="F657" s="56">
        <f>F636</f>
        <v>107.462</v>
      </c>
      <c r="G657" s="59"/>
      <c r="H657" s="56">
        <f>H636</f>
        <v>91.796999999999997</v>
      </c>
      <c r="I657" s="59"/>
      <c r="J657" s="56">
        <f>J636</f>
        <v>83.947999999999993</v>
      </c>
      <c r="K657" s="23">
        <f t="shared" si="4378"/>
        <v>-4.2017573890220312</v>
      </c>
      <c r="L657" s="56">
        <f>L636</f>
        <v>69.600999999999999</v>
      </c>
      <c r="M657" s="23">
        <f t="shared" si="4378"/>
        <v>-33.773252771302154</v>
      </c>
      <c r="N657" s="56">
        <f>N636</f>
        <v>94.643000000000001</v>
      </c>
      <c r="O657" s="23">
        <f t="shared" si="4378"/>
        <v>-11.928867878878114</v>
      </c>
      <c r="P657" s="56">
        <f>P636</f>
        <v>73.064999999999998</v>
      </c>
      <c r="Q657" s="23">
        <f t="shared" si="4378"/>
        <v>-20.405895617503845</v>
      </c>
      <c r="R657" s="56">
        <f>R636</f>
        <v>89.9</v>
      </c>
      <c r="S657" s="23">
        <f t="shared" si="4378"/>
        <v>7.0901033973412186</v>
      </c>
      <c r="T657" s="56">
        <f>T636</f>
        <v>95.200000000000074</v>
      </c>
      <c r="U657" s="23">
        <f t="shared" si="4378"/>
        <v>36.779643970632712</v>
      </c>
      <c r="V657" s="56">
        <f>V636</f>
        <v>152.32000000000008</v>
      </c>
      <c r="W657" s="23">
        <f t="shared" si="4378"/>
        <v>60.941643861669718</v>
      </c>
      <c r="X657" s="56">
        <f>X636</f>
        <v>106.71500000000003</v>
      </c>
      <c r="Y657" s="23">
        <f t="shared" si="4378"/>
        <v>46.054882638746378</v>
      </c>
      <c r="Z657" s="56">
        <f>Z636</f>
        <v>80.885000000000048</v>
      </c>
      <c r="AA657" s="23">
        <f t="shared" si="4379"/>
        <v>-10.027808676306959</v>
      </c>
      <c r="AB657" s="56">
        <f>AB636</f>
        <v>114.87000000000009</v>
      </c>
      <c r="AC657" s="23">
        <f t="shared" si="4380"/>
        <v>20.661764705882348</v>
      </c>
      <c r="AD657" s="56">
        <f>AD636</f>
        <v>103.03999999999995</v>
      </c>
      <c r="AE657" s="23">
        <f t="shared" si="4381"/>
        <v>-32.352941176470651</v>
      </c>
      <c r="AF657" s="56">
        <f>AF636</f>
        <v>131.94999999999999</v>
      </c>
      <c r="AG657" s="23">
        <f t="shared" si="4382"/>
        <v>23.647097408986497</v>
      </c>
      <c r="AH657" s="56">
        <f>AH636</f>
        <v>92.704000000000008</v>
      </c>
      <c r="AI657" s="23">
        <f t="shared" si="4383"/>
        <v>14.612103603881987</v>
      </c>
      <c r="AJ657" s="56">
        <f>AJ636</f>
        <v>83.999999999999929</v>
      </c>
      <c r="AK657" s="23">
        <f t="shared" si="4384"/>
        <v>-26.873857404022061</v>
      </c>
      <c r="AL657" s="56">
        <f>AL636</f>
        <v>43.872000000000114</v>
      </c>
      <c r="AM657" s="23" t="str">
        <f t="shared" si="4385"/>
        <v>NM</v>
      </c>
      <c r="AN657" s="413">
        <f>AN636</f>
        <v>92.256000000000057</v>
      </c>
      <c r="AO657" s="23">
        <f t="shared" si="4386"/>
        <v>-30.082607048124245</v>
      </c>
      <c r="AP657" s="413">
        <f>AP636</f>
        <v>27.904000000000014</v>
      </c>
      <c r="AQ657" s="23" t="str">
        <f t="shared" si="4387"/>
        <v>NM</v>
      </c>
      <c r="AR657" s="413">
        <f>AR636</f>
        <v>41.759999999999927</v>
      </c>
      <c r="AS657" s="23" t="str">
        <f t="shared" si="4388"/>
        <v>NM</v>
      </c>
      <c r="AT657" s="413">
        <f>AT636</f>
        <v>-11.808000000000028</v>
      </c>
      <c r="AU657" s="23" t="str">
        <f t="shared" si="4389"/>
        <v>NM</v>
      </c>
      <c r="AV657" s="413">
        <f>AV636</f>
        <v>47.872000000000043</v>
      </c>
      <c r="AW657" s="23">
        <f t="shared" si="4390"/>
        <v>-48.109608047173069</v>
      </c>
      <c r="AX657" s="413">
        <f>AX636</f>
        <v>46.528000000000027</v>
      </c>
      <c r="AY657" s="23">
        <f t="shared" si="4391"/>
        <v>66.743119266055047</v>
      </c>
      <c r="AZ657" s="413">
        <f>AZ636</f>
        <v>34.239999999999924</v>
      </c>
      <c r="BA657" s="23">
        <f t="shared" si="4392"/>
        <v>-18.007662835249082</v>
      </c>
      <c r="BB657" s="413">
        <f>BB636</f>
        <v>13.504000000000014</v>
      </c>
      <c r="BC657" s="23" t="str">
        <f t="shared" si="4393"/>
        <v>NM</v>
      </c>
      <c r="BD657" s="413">
        <f>BD636</f>
        <v>74.72</v>
      </c>
      <c r="BE657" s="23">
        <f t="shared" si="4394"/>
        <v>56.08288770053462</v>
      </c>
      <c r="BF657" s="56">
        <f>BF636</f>
        <v>33.746946796319754</v>
      </c>
      <c r="BG657" s="23">
        <f t="shared" si="4395"/>
        <v>-27.469595090440734</v>
      </c>
      <c r="BH657" s="56">
        <f>BH636</f>
        <v>39.386559704650928</v>
      </c>
      <c r="BI657" s="23">
        <f t="shared" si="4396"/>
        <v>15.030840258910683</v>
      </c>
      <c r="BJ657" s="56">
        <f>BJ636</f>
        <v>41.798552142860601</v>
      </c>
      <c r="BK657" s="23" t="str">
        <f t="shared" si="4397"/>
        <v>NM</v>
      </c>
      <c r="BL657" s="56">
        <f>BL636</f>
        <v>43.651030905880297</v>
      </c>
      <c r="BM657" s="23">
        <f t="shared" si="4398"/>
        <v>-41.580526089560635</v>
      </c>
      <c r="BN657" s="10"/>
      <c r="BO657" s="137"/>
      <c r="BP657" s="10"/>
      <c r="BQ657" s="56">
        <f>BQ636</f>
        <v>0</v>
      </c>
      <c r="BR657" s="10"/>
      <c r="BS657" s="56">
        <f>BS636</f>
        <v>0</v>
      </c>
      <c r="BT657" s="10"/>
      <c r="BU657" s="56">
        <f>BU636</f>
        <v>391.98400000000004</v>
      </c>
      <c r="BV657" s="23" t="str">
        <f t="shared" si="4399"/>
        <v>NA</v>
      </c>
      <c r="BW657" s="56">
        <f>BW636</f>
        <v>321.25699999999995</v>
      </c>
      <c r="BX657" s="23">
        <f t="shared" si="4400"/>
        <v>-18.043338503612418</v>
      </c>
      <c r="BY657" s="56">
        <f>BY636</f>
        <v>444.13500000000022</v>
      </c>
      <c r="BZ657" s="23">
        <f t="shared" si="4401"/>
        <v>38.24912764546773</v>
      </c>
      <c r="CA657" s="56">
        <f>CA636</f>
        <v>430.74500000000006</v>
      </c>
      <c r="CB657" s="23">
        <f t="shared" si="4401"/>
        <v>-3.0148490886780288</v>
      </c>
      <c r="CC657" s="56">
        <f>CC636</f>
        <v>312.83200000000011</v>
      </c>
      <c r="CD657" s="23">
        <f t="shared" si="4401"/>
        <v>-27.374200513064562</v>
      </c>
      <c r="CE657" s="56">
        <f>CE636</f>
        <v>105.72799999999995</v>
      </c>
      <c r="CF657" s="23" t="str">
        <f t="shared" si="4401"/>
        <v>NM</v>
      </c>
      <c r="CG657" s="56">
        <f>CG636</f>
        <v>168.99199999999996</v>
      </c>
      <c r="CH657" s="23">
        <f t="shared" si="4401"/>
        <v>59.836561743341441</v>
      </c>
      <c r="CI657" s="56">
        <f>CI636</f>
        <v>158.58308954971159</v>
      </c>
      <c r="CJ657" s="23">
        <f t="shared" si="4401"/>
        <v>-6.1594101793507221</v>
      </c>
      <c r="CK657" s="56">
        <f>CK636</f>
        <v>179.22211824616949</v>
      </c>
      <c r="CL657" s="23">
        <f t="shared" si="4401"/>
        <v>13.014646615261016</v>
      </c>
      <c r="CM657" s="56">
        <f>CM636</f>
        <v>187.67324432150701</v>
      </c>
      <c r="CN657" s="23">
        <f t="shared" si="4401"/>
        <v>4.7154481589875674</v>
      </c>
      <c r="CO657" s="56">
        <f>CO636</f>
        <v>195.92748101560949</v>
      </c>
      <c r="CP657" s="23">
        <f t="shared" si="4401"/>
        <v>4.3981957704967156</v>
      </c>
      <c r="CQ657" s="56">
        <f>CQ636</f>
        <v>204.1005999342367</v>
      </c>
      <c r="CR657" s="23">
        <f t="shared" si="4401"/>
        <v>4.1715020661017288</v>
      </c>
      <c r="CS657" s="23">
        <f t="shared" si="4433"/>
        <v>3.8473998576445512</v>
      </c>
    </row>
    <row r="658" spans="1:99" ht="12.75" customHeight="1" x14ac:dyDescent="0.2">
      <c r="A658" s="4" t="s">
        <v>23</v>
      </c>
      <c r="B658" s="37">
        <f t="shared" ref="B658:Z658" si="4434">B657/B656*100</f>
        <v>34.990842272468129</v>
      </c>
      <c r="C658" s="59"/>
      <c r="D658" s="37">
        <f t="shared" si="4434"/>
        <v>34.973276822507977</v>
      </c>
      <c r="E658" s="59"/>
      <c r="F658" s="37">
        <f t="shared" si="4434"/>
        <v>35.014608094529635</v>
      </c>
      <c r="G658" s="59"/>
      <c r="H658" s="37">
        <f t="shared" si="4434"/>
        <v>35.025734793585478</v>
      </c>
      <c r="I658" s="59"/>
      <c r="J658" s="37">
        <f t="shared" si="4434"/>
        <v>34.985038799103194</v>
      </c>
      <c r="K658" s="23">
        <f t="shared" si="4378"/>
        <v>-1.6585692106940719E-2</v>
      </c>
      <c r="L658" s="37">
        <f t="shared" si="4434"/>
        <v>34.978892350990044</v>
      </c>
      <c r="M658" s="23">
        <f t="shared" si="4378"/>
        <v>1.6056626636862248E-2</v>
      </c>
      <c r="N658" s="37">
        <f t="shared" si="4434"/>
        <v>35.028702343191938</v>
      </c>
      <c r="O658" s="23">
        <f t="shared" si="4378"/>
        <v>4.0252481547842223E-2</v>
      </c>
      <c r="P658" s="37">
        <f t="shared" si="4434"/>
        <v>35.023176220766061</v>
      </c>
      <c r="Q658" s="23">
        <f t="shared" si="4378"/>
        <v>-7.3048369563011306E-3</v>
      </c>
      <c r="R658" s="37">
        <f t="shared" si="4434"/>
        <v>35.035074045206549</v>
      </c>
      <c r="S658" s="23">
        <f t="shared" si="4378"/>
        <v>0.14301898131563462</v>
      </c>
      <c r="T658" s="37">
        <f t="shared" si="4434"/>
        <v>35.000000000000028</v>
      </c>
      <c r="U658" s="23">
        <f t="shared" si="4378"/>
        <v>6.0343960575370836E-2</v>
      </c>
      <c r="V658" s="37">
        <f t="shared" si="4434"/>
        <v>35.000000000000028</v>
      </c>
      <c r="W658" s="23">
        <f t="shared" si="4378"/>
        <v>-8.1939498959171519E-2</v>
      </c>
      <c r="X658" s="37">
        <f t="shared" si="4434"/>
        <v>35.000000000000021</v>
      </c>
      <c r="Y658" s="23">
        <f t="shared" si="4378"/>
        <v>-6.6173954697745785E-2</v>
      </c>
      <c r="Z658" s="37">
        <f t="shared" si="4434"/>
        <v>35</v>
      </c>
      <c r="AA658" s="23">
        <f t="shared" si="4379"/>
        <v>-0.10011123470523575</v>
      </c>
      <c r="AB658" s="37">
        <f t="shared" ref="AB658:AD658" si="4435">AB657/AB656*100</f>
        <v>35.000000000000021</v>
      </c>
      <c r="AC658" s="23">
        <f t="shared" si="4380"/>
        <v>-2.2204460492503131E-14</v>
      </c>
      <c r="AD658" s="37">
        <f t="shared" si="4435"/>
        <v>34.999999999999986</v>
      </c>
      <c r="AE658" s="23">
        <f t="shared" si="4381"/>
        <v>-1.2212453270876722E-13</v>
      </c>
      <c r="AF658" s="37">
        <f t="shared" ref="AF658:AH658" si="4436">AF657/AF656*100</f>
        <v>35.000000000000007</v>
      </c>
      <c r="AG658" s="23">
        <f t="shared" si="4382"/>
        <v>-4.4408920985006262E-14</v>
      </c>
      <c r="AH658" s="37">
        <f t="shared" si="4436"/>
        <v>31.999999999999996</v>
      </c>
      <c r="AI658" s="23">
        <f t="shared" si="4383"/>
        <v>-8.5714285714285854</v>
      </c>
      <c r="AJ658" s="37">
        <f t="shared" ref="AJ658:AL658" si="4437">AJ657/AJ656*100</f>
        <v>31.999999999999972</v>
      </c>
      <c r="AK658" s="23">
        <f t="shared" si="4384"/>
        <v>-8.571428571428708</v>
      </c>
      <c r="AL658" s="37">
        <f t="shared" si="4437"/>
        <v>32.000000000000114</v>
      </c>
      <c r="AM658" s="23">
        <f t="shared" si="4385"/>
        <v>-8.571428571428207</v>
      </c>
      <c r="AN658" s="411">
        <f t="shared" ref="AN658:AP658" si="4438">AN657/AN656*100</f>
        <v>32.000000000000014</v>
      </c>
      <c r="AO658" s="23">
        <f t="shared" si="4386"/>
        <v>-8.5714285714285516</v>
      </c>
      <c r="AP658" s="411">
        <f t="shared" si="4438"/>
        <v>32.000000000000071</v>
      </c>
      <c r="AQ658" s="23">
        <f t="shared" si="4387"/>
        <v>2.2204460492503131E-13</v>
      </c>
      <c r="AR658" s="411">
        <f t="shared" ref="AR658:AT658" si="4439">AR657/AR656*100</f>
        <v>31.99999999999995</v>
      </c>
      <c r="AS658" s="23">
        <f t="shared" si="4388"/>
        <v>-6.6613381477509392E-14</v>
      </c>
      <c r="AT658" s="411">
        <f t="shared" si="4439"/>
        <v>32.000000000000007</v>
      </c>
      <c r="AU658" s="23">
        <f t="shared" si="4389"/>
        <v>-3.3306690738754696E-13</v>
      </c>
      <c r="AV658" s="411">
        <f t="shared" ref="AV658:AX658" si="4440">AV657/AV656*100</f>
        <v>32.00000000000005</v>
      </c>
      <c r="AW658" s="23">
        <f t="shared" si="4390"/>
        <v>1.1102230246251565E-13</v>
      </c>
      <c r="AX658" s="411">
        <f t="shared" si="4440"/>
        <v>32.000000000000057</v>
      </c>
      <c r="AY658" s="23">
        <f t="shared" si="4391"/>
        <v>-4.4408920985006262E-14</v>
      </c>
      <c r="AZ658" s="411">
        <f t="shared" ref="AZ658" si="4441">AZ657/AZ656*100</f>
        <v>31.999999999999972</v>
      </c>
      <c r="BA658" s="23">
        <f t="shared" si="4392"/>
        <v>6.6613381477509392E-14</v>
      </c>
      <c r="BB658" s="411">
        <f t="shared" ref="BB658:BD658" si="4442">BB657/BB656*100</f>
        <v>32</v>
      </c>
      <c r="BC658" s="23">
        <f t="shared" si="4393"/>
        <v>-2.2204460492503131E-14</v>
      </c>
      <c r="BD658" s="411">
        <f t="shared" si="4442"/>
        <v>32.000000000000007</v>
      </c>
      <c r="BE658" s="23">
        <f t="shared" si="4394"/>
        <v>-1.3322676295501878E-13</v>
      </c>
      <c r="BF658" s="37">
        <f t="shared" ref="BF658" si="4443">BF657/BF656*100</f>
        <v>18.499999999999993</v>
      </c>
      <c r="BG658" s="23">
        <f t="shared" si="4395"/>
        <v>-42.187500000000121</v>
      </c>
      <c r="BH658" s="37">
        <f t="shared" ref="BH658" si="4444">BH657/BH656*100</f>
        <v>18.499999999999989</v>
      </c>
      <c r="BI658" s="23">
        <f t="shared" si="4396"/>
        <v>-42.187499999999979</v>
      </c>
      <c r="BJ658" s="37">
        <f t="shared" ref="BJ658" si="4445">BJ657/BJ656*100</f>
        <v>18.5</v>
      </c>
      <c r="BK658" s="23">
        <f t="shared" si="4397"/>
        <v>-42.1875</v>
      </c>
      <c r="BL658" s="37">
        <f t="shared" ref="BL658" si="4446">BL657/BL656*100</f>
        <v>18.500000000000004</v>
      </c>
      <c r="BM658" s="23">
        <f t="shared" si="4398"/>
        <v>-42.1875</v>
      </c>
      <c r="BN658" s="10"/>
      <c r="BO658" s="138"/>
      <c r="BP658" s="10"/>
      <c r="BQ658" s="114">
        <v>35</v>
      </c>
      <c r="BR658" s="28"/>
      <c r="BS658" s="114">
        <v>35</v>
      </c>
      <c r="BT658" s="28"/>
      <c r="BU658" s="37">
        <f>BU657/BU656*100</f>
        <v>35.00080740171358</v>
      </c>
      <c r="BV658" s="23">
        <f t="shared" si="4399"/>
        <v>2.3068620387922678E-3</v>
      </c>
      <c r="BW658" s="37">
        <f>BW657/BW656*100</f>
        <v>35.005230239501358</v>
      </c>
      <c r="BX658" s="23">
        <f t="shared" si="4400"/>
        <v>1.2636387889619627E-2</v>
      </c>
      <c r="BY658" s="37">
        <f>BY657/BY656*100</f>
        <v>35.007093875620725</v>
      </c>
      <c r="BZ658" s="23">
        <f t="shared" si="4401"/>
        <v>5.3238790507004197E-3</v>
      </c>
      <c r="CA658" s="37">
        <f>CA657/CA656*100</f>
        <v>35</v>
      </c>
      <c r="CB658" s="23">
        <f t="shared" si="4401"/>
        <v>-2.0264108885847953E-2</v>
      </c>
      <c r="CC658" s="37">
        <f>CC657/CC656*100</f>
        <v>32.000000000000014</v>
      </c>
      <c r="CD658" s="23">
        <f t="shared" si="4401"/>
        <v>-8.5714285714285303</v>
      </c>
      <c r="CE658" s="37">
        <f>CE657/CE656*100</f>
        <v>32.000000000000007</v>
      </c>
      <c r="CF658" s="23">
        <f t="shared" si="4401"/>
        <v>-2.2204460492503131E-14</v>
      </c>
      <c r="CG658" s="37">
        <f>CG657/CG656*100</f>
        <v>31.999999999999986</v>
      </c>
      <c r="CH658" s="23">
        <f t="shared" si="4401"/>
        <v>-6.6613381477509392E-14</v>
      </c>
      <c r="CI658" s="37">
        <f>CI657/CI656*100</f>
        <v>18.5</v>
      </c>
      <c r="CJ658" s="23">
        <f t="shared" si="4401"/>
        <v>-42.187499999999979</v>
      </c>
      <c r="CK658" s="37">
        <f>CK657/CK656*100</f>
        <v>18.499999999999989</v>
      </c>
      <c r="CL658" s="23">
        <f t="shared" si="4401"/>
        <v>-5.5511151231257827E-14</v>
      </c>
      <c r="CM658" s="37">
        <f>CM657/CM656*100</f>
        <v>18.500000000000004</v>
      </c>
      <c r="CN658" s="23">
        <f t="shared" si="4401"/>
        <v>6.6613381477509392E-14</v>
      </c>
      <c r="CO658" s="37">
        <f>CO657/CO656*100</f>
        <v>18.500000000000007</v>
      </c>
      <c r="CP658" s="23">
        <f t="shared" si="4401"/>
        <v>2.2204460492503131E-14</v>
      </c>
      <c r="CQ658" s="37">
        <f>CQ657/CQ656*100</f>
        <v>18.500000000000007</v>
      </c>
      <c r="CR658" s="23">
        <f t="shared" si="4401"/>
        <v>0</v>
      </c>
      <c r="CS658" s="23">
        <f t="shared" si="4433"/>
        <v>-10.380121660232023</v>
      </c>
    </row>
    <row r="659" spans="1:99" ht="12.75" customHeight="1" x14ac:dyDescent="0.2">
      <c r="A659" s="3" t="s">
        <v>24</v>
      </c>
      <c r="B659" s="73">
        <f t="shared" ref="B659:N659" si="4447">B656-B657</f>
        <v>162.80695524000001</v>
      </c>
      <c r="C659" s="59"/>
      <c r="D659" s="73">
        <f t="shared" si="4447"/>
        <v>195.4058668000001</v>
      </c>
      <c r="E659" s="59"/>
      <c r="F659" s="73">
        <f t="shared" si="4447"/>
        <v>199.44419100999994</v>
      </c>
      <c r="G659" s="59"/>
      <c r="H659" s="73">
        <f t="shared" si="4447"/>
        <v>170.28743746000001</v>
      </c>
      <c r="I659" s="59"/>
      <c r="J659" s="73">
        <f t="shared" si="4447"/>
        <v>156.0059999999998</v>
      </c>
      <c r="K659" s="23">
        <f t="shared" si="4378"/>
        <v>-4.1773124679929445</v>
      </c>
      <c r="L659" s="73">
        <f t="shared" si="4447"/>
        <v>129.37900000000002</v>
      </c>
      <c r="M659" s="23">
        <f t="shared" si="4378"/>
        <v>-33.789603086778996</v>
      </c>
      <c r="N659" s="73">
        <f t="shared" si="4447"/>
        <v>175.54400000000001</v>
      </c>
      <c r="O659" s="23">
        <f t="shared" si="4378"/>
        <v>-11.983397906435689</v>
      </c>
      <c r="P659" s="73">
        <f>P656-P657</f>
        <v>135.55400000000014</v>
      </c>
      <c r="Q659" s="23">
        <f t="shared" si="4378"/>
        <v>-20.396946467738488</v>
      </c>
      <c r="R659" s="73">
        <f>R656-R657</f>
        <v>166.70000000000002</v>
      </c>
      <c r="S659" s="23">
        <f t="shared" si="4378"/>
        <v>6.8548645564915578</v>
      </c>
      <c r="T659" s="73">
        <f>T656-T657</f>
        <v>176.79999999999993</v>
      </c>
      <c r="U659" s="23">
        <f t="shared" si="4378"/>
        <v>36.652779817435508</v>
      </c>
      <c r="V659" s="73">
        <f>V656-V657</f>
        <v>282.87999999999977</v>
      </c>
      <c r="W659" s="23">
        <f t="shared" si="4378"/>
        <v>61.144784213644307</v>
      </c>
      <c r="X659" s="73">
        <f>X656-X657</f>
        <v>198.18499999999989</v>
      </c>
      <c r="Y659" s="23">
        <f t="shared" si="4378"/>
        <v>46.203726928013687</v>
      </c>
      <c r="Z659" s="73">
        <f>Z656-Z657</f>
        <v>150.21500000000012</v>
      </c>
      <c r="AA659" s="23">
        <f t="shared" si="4379"/>
        <v>-9.8890221955608268</v>
      </c>
      <c r="AB659" s="73">
        <f>AB656-AB657</f>
        <v>213.32999999999996</v>
      </c>
      <c r="AC659" s="23">
        <f t="shared" si="4380"/>
        <v>20.661764705882369</v>
      </c>
      <c r="AD659" s="73">
        <f>AD656-AD657</f>
        <v>191.36</v>
      </c>
      <c r="AE659" s="23">
        <f t="shared" si="4381"/>
        <v>-32.35294117647053</v>
      </c>
      <c r="AF659" s="73">
        <f>AF656-AF657</f>
        <v>245.0499999999999</v>
      </c>
      <c r="AG659" s="23">
        <f t="shared" si="4382"/>
        <v>23.647097408986561</v>
      </c>
      <c r="AH659" s="73">
        <f>AH656-AH657</f>
        <v>196.99600000000004</v>
      </c>
      <c r="AI659" s="23">
        <f t="shared" si="4383"/>
        <v>31.14269546982651</v>
      </c>
      <c r="AJ659" s="73">
        <f>AJ656-AJ657</f>
        <v>178.50000000000006</v>
      </c>
      <c r="AK659" s="23">
        <f t="shared" si="4384"/>
        <v>-16.326817606525058</v>
      </c>
      <c r="AL659" s="73">
        <f>AL656-AL657</f>
        <v>93.227999999999767</v>
      </c>
      <c r="AM659" s="23" t="str">
        <f t="shared" si="4385"/>
        <v>NM</v>
      </c>
      <c r="AN659" s="73">
        <f t="shared" ref="AN659:AP659" si="4448">AN656-AN657</f>
        <v>196.04400000000001</v>
      </c>
      <c r="AO659" s="23">
        <f t="shared" si="4386"/>
        <v>-19.998367680065254</v>
      </c>
      <c r="AP659" s="73">
        <f t="shared" si="4448"/>
        <v>59.295999999999836</v>
      </c>
      <c r="AQ659" s="23" t="str">
        <f t="shared" si="4387"/>
        <v>NM</v>
      </c>
      <c r="AR659" s="73">
        <f t="shared" ref="AR659:AT659" si="4449">AR656-AR657</f>
        <v>88.740000000000038</v>
      </c>
      <c r="AS659" s="23" t="str">
        <f t="shared" si="4388"/>
        <v>NM</v>
      </c>
      <c r="AT659" s="73">
        <f t="shared" si="4449"/>
        <v>-25.092000000000056</v>
      </c>
      <c r="AU659" s="23" t="str">
        <f t="shared" si="4389"/>
        <v>NM</v>
      </c>
      <c r="AV659" s="73">
        <f t="shared" ref="AV659:AX659" si="4450">AV656-AV657</f>
        <v>101.72799999999987</v>
      </c>
      <c r="AW659" s="23">
        <f t="shared" si="4390"/>
        <v>-48.109608047173161</v>
      </c>
      <c r="AX659" s="73">
        <f t="shared" si="4450"/>
        <v>98.871999999999815</v>
      </c>
      <c r="AY659" s="23">
        <f t="shared" si="4391"/>
        <v>66.743119266055203</v>
      </c>
      <c r="AZ659" s="73">
        <f t="shared" ref="AZ659" si="4451">AZ656-AZ657</f>
        <v>72.759999999999934</v>
      </c>
      <c r="BA659" s="23">
        <f t="shared" si="4392"/>
        <v>-18.00766283524915</v>
      </c>
      <c r="BB659" s="73">
        <f t="shared" ref="BB659:BD659" si="4452">BB656-BB657</f>
        <v>28.696000000000033</v>
      </c>
      <c r="BC659" s="23" t="str">
        <f t="shared" si="4393"/>
        <v>NM</v>
      </c>
      <c r="BD659" s="73">
        <f t="shared" si="4452"/>
        <v>158.77999999999994</v>
      </c>
      <c r="BE659" s="23">
        <f t="shared" si="4394"/>
        <v>56.082887700534911</v>
      </c>
      <c r="BF659" s="73">
        <f t="shared" ref="BF659" si="4453">BF656-BF657</f>
        <v>148.66898183243578</v>
      </c>
      <c r="BG659" s="23">
        <f t="shared" si="4395"/>
        <v>50.36510016226643</v>
      </c>
      <c r="BH659" s="73">
        <f t="shared" ref="BH659" si="4454">BH656-BH657</f>
        <v>173.51376302319207</v>
      </c>
      <c r="BI659" s="23" t="str">
        <f t="shared" si="4396"/>
        <v>NM</v>
      </c>
      <c r="BJ659" s="73">
        <f t="shared" ref="BJ659" si="4455">BJ656-BJ657</f>
        <v>184.1395675482778</v>
      </c>
      <c r="BK659" s="23" t="str">
        <f t="shared" si="4397"/>
        <v>NM</v>
      </c>
      <c r="BL659" s="73">
        <f t="shared" ref="BL659" si="4456">BL656-BL657</f>
        <v>192.30048750428344</v>
      </c>
      <c r="BM659" s="23">
        <f t="shared" si="4398"/>
        <v>21.111278186348102</v>
      </c>
      <c r="BN659" s="8"/>
      <c r="BO659" s="137"/>
      <c r="BP659" s="8"/>
      <c r="BQ659" s="73">
        <f>BQ656-BQ657</f>
        <v>327.9</v>
      </c>
      <c r="BR659" s="8"/>
      <c r="BS659" s="73">
        <f>BS656-BS657</f>
        <v>620.60000000000025</v>
      </c>
      <c r="BT659" s="8"/>
      <c r="BU659" s="73">
        <f>BU656-BU657</f>
        <v>727.94445050999923</v>
      </c>
      <c r="BV659" s="23">
        <f t="shared" si="4399"/>
        <v>17.296882131807756</v>
      </c>
      <c r="BW659" s="73">
        <f t="shared" ref="BW659:BY659" si="4457">BW656-BW657</f>
        <v>596.48300000000052</v>
      </c>
      <c r="BX659" s="23">
        <f t="shared" si="4400"/>
        <v>-18.059269552490797</v>
      </c>
      <c r="BY659" s="73">
        <f t="shared" si="4457"/>
        <v>824.56500000000005</v>
      </c>
      <c r="BZ659" s="23">
        <f t="shared" si="4401"/>
        <v>38.237803927354072</v>
      </c>
      <c r="CA659" s="73">
        <f>CA656-CA657</f>
        <v>799.95500000000015</v>
      </c>
      <c r="CB659" s="23">
        <f t="shared" si="4401"/>
        <v>-2.9846040033229548</v>
      </c>
      <c r="CC659" s="73">
        <f>CC656-CC657</f>
        <v>664.76799999999969</v>
      </c>
      <c r="CD659" s="23">
        <f t="shared" si="4401"/>
        <v>-16.899325587064329</v>
      </c>
      <c r="CE659" s="73">
        <f>CE656-CE657</f>
        <v>224.67199999999985</v>
      </c>
      <c r="CF659" s="23" t="str">
        <f t="shared" si="4401"/>
        <v>NM</v>
      </c>
      <c r="CG659" s="73">
        <f>CG656-CG657</f>
        <v>359.10800000000017</v>
      </c>
      <c r="CH659" s="23">
        <f t="shared" si="4401"/>
        <v>59.836561743341576</v>
      </c>
      <c r="CI659" s="73">
        <f>CI656-CI657</f>
        <v>698.62279990818888</v>
      </c>
      <c r="CJ659" s="23">
        <f t="shared" si="4401"/>
        <v>94.543925478738572</v>
      </c>
      <c r="CK659" s="73">
        <f>CK656-CK657</f>
        <v>789.54608848988232</v>
      </c>
      <c r="CL659" s="23">
        <f t="shared" si="4401"/>
        <v>13.014646615261105</v>
      </c>
      <c r="CM659" s="73">
        <f>CM656-CM657</f>
        <v>826.77672498393611</v>
      </c>
      <c r="CN659" s="23">
        <f t="shared" si="4401"/>
        <v>4.7154481589874786</v>
      </c>
      <c r="CO659" s="73">
        <f>CO656-CO657</f>
        <v>863.13998393363056</v>
      </c>
      <c r="CP659" s="23">
        <f t="shared" si="4401"/>
        <v>4.3981957704966712</v>
      </c>
      <c r="CQ659" s="73">
        <f>CQ656-CQ657</f>
        <v>899.14588619677193</v>
      </c>
      <c r="CR659" s="23">
        <f t="shared" si="4401"/>
        <v>4.1715020661017066</v>
      </c>
      <c r="CS659" s="23">
        <f t="shared" si="4433"/>
        <v>20.149236749895149</v>
      </c>
    </row>
    <row r="660" spans="1:99" ht="12.75" hidden="1" customHeight="1" outlineLevel="1" x14ac:dyDescent="0.2">
      <c r="A660" s="4" t="s">
        <v>88</v>
      </c>
      <c r="B660" s="37"/>
      <c r="C660" s="59"/>
      <c r="D660" s="37"/>
      <c r="E660" s="59"/>
      <c r="F660" s="37"/>
      <c r="G660" s="59"/>
      <c r="H660" s="37"/>
      <c r="I660" s="59"/>
      <c r="J660" s="37"/>
      <c r="K660" s="23" t="str">
        <f t="shared" si="4378"/>
        <v>NA</v>
      </c>
      <c r="L660" s="37"/>
      <c r="M660" s="23" t="str">
        <f t="shared" si="4378"/>
        <v>NA</v>
      </c>
      <c r="N660" s="37"/>
      <c r="O660" s="23" t="str">
        <f t="shared" si="4378"/>
        <v>NA</v>
      </c>
      <c r="P660" s="37"/>
      <c r="Q660" s="23" t="str">
        <f t="shared" si="4378"/>
        <v>NA</v>
      </c>
      <c r="R660" s="37"/>
      <c r="S660" s="23" t="str">
        <f t="shared" si="4378"/>
        <v>NA</v>
      </c>
      <c r="T660" s="37"/>
      <c r="U660" s="23" t="str">
        <f t="shared" si="4378"/>
        <v>NA</v>
      </c>
      <c r="V660" s="37"/>
      <c r="W660" s="23" t="str">
        <f t="shared" si="4378"/>
        <v>NA</v>
      </c>
      <c r="X660" s="37"/>
      <c r="Y660" s="23" t="str">
        <f t="shared" si="4378"/>
        <v>NA</v>
      </c>
      <c r="Z660" s="37"/>
      <c r="AA660" s="23" t="str">
        <f t="shared" si="4379"/>
        <v>NA</v>
      </c>
      <c r="AB660" s="37"/>
      <c r="AC660" s="23" t="str">
        <f t="shared" si="4380"/>
        <v>NA</v>
      </c>
      <c r="AD660" s="37"/>
      <c r="AE660" s="23" t="str">
        <f t="shared" si="4381"/>
        <v>NA</v>
      </c>
      <c r="AF660" s="37"/>
      <c r="AG660" s="23" t="str">
        <f t="shared" si="4382"/>
        <v>NA</v>
      </c>
      <c r="AH660" s="37"/>
      <c r="AI660" s="23" t="str">
        <f t="shared" si="4383"/>
        <v>NA</v>
      </c>
      <c r="AJ660" s="37"/>
      <c r="AK660" s="23" t="str">
        <f t="shared" si="4384"/>
        <v>NA</v>
      </c>
      <c r="AL660" s="37"/>
      <c r="AM660" s="23" t="str">
        <f t="shared" si="4385"/>
        <v>NA</v>
      </c>
      <c r="AN660" s="411"/>
      <c r="AO660" s="23" t="str">
        <f t="shared" si="4386"/>
        <v>NA</v>
      </c>
      <c r="AP660" s="411"/>
      <c r="AQ660" s="23" t="str">
        <f t="shared" si="4387"/>
        <v>NA</v>
      </c>
      <c r="AR660" s="411"/>
      <c r="AS660" s="23" t="str">
        <f t="shared" si="4388"/>
        <v>NA</v>
      </c>
      <c r="AT660" s="411"/>
      <c r="AU660" s="23" t="str">
        <f t="shared" si="4389"/>
        <v>NA</v>
      </c>
      <c r="AV660" s="411"/>
      <c r="AW660" s="23" t="str">
        <f t="shared" si="4390"/>
        <v>NA</v>
      </c>
      <c r="AX660" s="411"/>
      <c r="AY660" s="23" t="str">
        <f t="shared" si="4391"/>
        <v>NA</v>
      </c>
      <c r="AZ660" s="411"/>
      <c r="BA660" s="23" t="str">
        <f t="shared" si="4392"/>
        <v>NA</v>
      </c>
      <c r="BB660" s="411"/>
      <c r="BC660" s="23" t="str">
        <f t="shared" si="4393"/>
        <v>NA</v>
      </c>
      <c r="BD660" s="411"/>
      <c r="BE660" s="23" t="str">
        <f t="shared" si="4394"/>
        <v>NA</v>
      </c>
      <c r="BF660" s="37"/>
      <c r="BG660" s="23" t="str">
        <f t="shared" si="4395"/>
        <v>NA</v>
      </c>
      <c r="BH660" s="37"/>
      <c r="BI660" s="23" t="str">
        <f t="shared" si="4396"/>
        <v>NA</v>
      </c>
      <c r="BJ660" s="37"/>
      <c r="BK660" s="23" t="str">
        <f t="shared" si="4397"/>
        <v>NA</v>
      </c>
      <c r="BL660" s="37"/>
      <c r="BM660" s="23" t="str">
        <f t="shared" si="4398"/>
        <v>NA</v>
      </c>
      <c r="BN660" s="8"/>
      <c r="BO660" s="136"/>
      <c r="BP660" s="8"/>
      <c r="BQ660" s="37"/>
      <c r="BR660" s="10"/>
      <c r="BS660" s="37"/>
      <c r="BT660" s="10"/>
      <c r="BU660" s="37"/>
      <c r="BV660" s="23"/>
      <c r="BW660" s="37"/>
      <c r="BX660" s="23"/>
      <c r="BY660" s="37"/>
      <c r="BZ660" s="23"/>
      <c r="CA660" s="37"/>
      <c r="CB660" s="23"/>
      <c r="CC660" s="37"/>
      <c r="CD660" s="23"/>
      <c r="CE660" s="37"/>
      <c r="CF660" s="23"/>
      <c r="CG660" s="37"/>
      <c r="CH660" s="23"/>
      <c r="CI660" s="37"/>
      <c r="CJ660" s="23"/>
      <c r="CK660" s="37"/>
      <c r="CL660" s="23"/>
      <c r="CM660" s="37"/>
      <c r="CN660" s="23"/>
      <c r="CO660" s="37"/>
      <c r="CP660" s="23"/>
      <c r="CQ660" s="37"/>
      <c r="CR660" s="23"/>
      <c r="CS660" s="23" t="str">
        <f t="shared" si="4433"/>
        <v>NA</v>
      </c>
    </row>
    <row r="661" spans="1:99" ht="12.75" customHeight="1" collapsed="1" x14ac:dyDescent="0.2">
      <c r="A661" s="3" t="s">
        <v>89</v>
      </c>
      <c r="B661" s="73">
        <f>+B659-B660</f>
        <v>162.80695524000001</v>
      </c>
      <c r="C661" s="59"/>
      <c r="D661" s="73">
        <f>+D659-D660</f>
        <v>195.4058668000001</v>
      </c>
      <c r="E661" s="59"/>
      <c r="F661" s="73">
        <f>+F659-F660</f>
        <v>199.44419100999994</v>
      </c>
      <c r="G661" s="59"/>
      <c r="H661" s="73">
        <f>+H659-H660</f>
        <v>170.28743746000001</v>
      </c>
      <c r="I661" s="59"/>
      <c r="J661" s="73">
        <f>+J659-J660</f>
        <v>156.0059999999998</v>
      </c>
      <c r="K661" s="23">
        <f t="shared" si="4378"/>
        <v>-4.1773124679929445</v>
      </c>
      <c r="L661" s="73">
        <f>+L659-L660</f>
        <v>129.37900000000002</v>
      </c>
      <c r="M661" s="23">
        <f t="shared" si="4378"/>
        <v>-33.789603086778996</v>
      </c>
      <c r="N661" s="73">
        <f>+N659-N660</f>
        <v>175.54400000000001</v>
      </c>
      <c r="O661" s="23">
        <f t="shared" si="4378"/>
        <v>-11.983397906435689</v>
      </c>
      <c r="P661" s="73">
        <f>+P659-P660</f>
        <v>135.55400000000014</v>
      </c>
      <c r="Q661" s="23">
        <f t="shared" si="4378"/>
        <v>-20.396946467738488</v>
      </c>
      <c r="R661" s="73">
        <f>+R659-R660</f>
        <v>166.70000000000002</v>
      </c>
      <c r="S661" s="23">
        <f t="shared" si="4378"/>
        <v>6.8548645564915578</v>
      </c>
      <c r="T661" s="73">
        <f>+T659-T660</f>
        <v>176.79999999999993</v>
      </c>
      <c r="U661" s="23">
        <f t="shared" si="4378"/>
        <v>36.652779817435508</v>
      </c>
      <c r="V661" s="73">
        <f>+V659-V660</f>
        <v>282.87999999999977</v>
      </c>
      <c r="W661" s="23">
        <f t="shared" si="4378"/>
        <v>61.144784213644307</v>
      </c>
      <c r="X661" s="73">
        <f>+X659-X660</f>
        <v>198.18499999999989</v>
      </c>
      <c r="Y661" s="23">
        <f t="shared" si="4378"/>
        <v>46.203726928013687</v>
      </c>
      <c r="Z661" s="73">
        <f>+Z659-Z660</f>
        <v>150.21500000000012</v>
      </c>
      <c r="AA661" s="23">
        <f t="shared" si="4379"/>
        <v>-9.8890221955608268</v>
      </c>
      <c r="AB661" s="73">
        <f>+AB659-AB660</f>
        <v>213.32999999999996</v>
      </c>
      <c r="AC661" s="23">
        <f t="shared" si="4380"/>
        <v>20.661764705882369</v>
      </c>
      <c r="AD661" s="73">
        <f>+AD659-AD660</f>
        <v>191.36</v>
      </c>
      <c r="AE661" s="23">
        <f t="shared" si="4381"/>
        <v>-32.35294117647053</v>
      </c>
      <c r="AF661" s="73">
        <f>+AF659-AF660</f>
        <v>245.0499999999999</v>
      </c>
      <c r="AG661" s="23">
        <f t="shared" si="4382"/>
        <v>23.647097408986561</v>
      </c>
      <c r="AH661" s="73">
        <f>+AH659-AH660</f>
        <v>196.99600000000004</v>
      </c>
      <c r="AI661" s="23">
        <f t="shared" si="4383"/>
        <v>31.14269546982651</v>
      </c>
      <c r="AJ661" s="73">
        <f>+AJ659-AJ660</f>
        <v>178.50000000000006</v>
      </c>
      <c r="AK661" s="23">
        <f t="shared" si="4384"/>
        <v>-16.326817606525058</v>
      </c>
      <c r="AL661" s="73">
        <f>+AL659-AL660</f>
        <v>93.227999999999767</v>
      </c>
      <c r="AM661" s="23" t="str">
        <f t="shared" si="4385"/>
        <v>NM</v>
      </c>
      <c r="AN661" s="73">
        <f t="shared" ref="AN661:AP661" si="4458">+AN659-AN660</f>
        <v>196.04400000000001</v>
      </c>
      <c r="AO661" s="23">
        <f t="shared" si="4386"/>
        <v>-19.998367680065254</v>
      </c>
      <c r="AP661" s="73">
        <f t="shared" si="4458"/>
        <v>59.295999999999836</v>
      </c>
      <c r="AQ661" s="23" t="str">
        <f t="shared" si="4387"/>
        <v>NM</v>
      </c>
      <c r="AR661" s="73">
        <f t="shared" ref="AR661:AT661" si="4459">+AR659-AR660</f>
        <v>88.740000000000038</v>
      </c>
      <c r="AS661" s="23" t="str">
        <f t="shared" si="4388"/>
        <v>NM</v>
      </c>
      <c r="AT661" s="73">
        <f t="shared" si="4459"/>
        <v>-25.092000000000056</v>
      </c>
      <c r="AU661" s="23" t="str">
        <f t="shared" si="4389"/>
        <v>NM</v>
      </c>
      <c r="AV661" s="73">
        <f t="shared" ref="AV661:AX661" si="4460">+AV659-AV660</f>
        <v>101.72799999999987</v>
      </c>
      <c r="AW661" s="23">
        <f t="shared" si="4390"/>
        <v>-48.109608047173161</v>
      </c>
      <c r="AX661" s="73">
        <f t="shared" si="4460"/>
        <v>98.871999999999815</v>
      </c>
      <c r="AY661" s="23">
        <f t="shared" si="4391"/>
        <v>66.743119266055203</v>
      </c>
      <c r="AZ661" s="73">
        <f t="shared" ref="AZ661" si="4461">+AZ659-AZ660</f>
        <v>72.759999999999934</v>
      </c>
      <c r="BA661" s="23">
        <f t="shared" si="4392"/>
        <v>-18.00766283524915</v>
      </c>
      <c r="BB661" s="73">
        <f t="shared" ref="BB661:BD661" si="4462">+BB659-BB660</f>
        <v>28.696000000000033</v>
      </c>
      <c r="BC661" s="23" t="str">
        <f t="shared" si="4393"/>
        <v>NM</v>
      </c>
      <c r="BD661" s="73">
        <f t="shared" si="4462"/>
        <v>158.77999999999994</v>
      </c>
      <c r="BE661" s="23">
        <f t="shared" si="4394"/>
        <v>56.082887700534911</v>
      </c>
      <c r="BF661" s="73">
        <f t="shared" ref="BF661" si="4463">+BF659-BF660</f>
        <v>148.66898183243578</v>
      </c>
      <c r="BG661" s="23">
        <f t="shared" si="4395"/>
        <v>50.36510016226643</v>
      </c>
      <c r="BH661" s="73">
        <f t="shared" ref="BH661" si="4464">+BH659-BH660</f>
        <v>173.51376302319207</v>
      </c>
      <c r="BI661" s="23" t="str">
        <f t="shared" si="4396"/>
        <v>NM</v>
      </c>
      <c r="BJ661" s="73">
        <f t="shared" ref="BJ661" si="4465">+BJ659-BJ660</f>
        <v>184.1395675482778</v>
      </c>
      <c r="BK661" s="23" t="str">
        <f t="shared" si="4397"/>
        <v>NM</v>
      </c>
      <c r="BL661" s="73">
        <f t="shared" ref="BL661" si="4466">+BL659-BL660</f>
        <v>192.30048750428344</v>
      </c>
      <c r="BM661" s="23">
        <f t="shared" si="4398"/>
        <v>21.111278186348102</v>
      </c>
      <c r="BN661" s="8"/>
      <c r="BO661" s="137"/>
      <c r="BP661" s="8"/>
      <c r="BQ661" s="73">
        <f>+BQ659-BQ660</f>
        <v>327.9</v>
      </c>
      <c r="BR661" s="8"/>
      <c r="BS661" s="73">
        <f>+BS659-BS660</f>
        <v>620.60000000000025</v>
      </c>
      <c r="BT661" s="8"/>
      <c r="BU661" s="73">
        <f>+BU659-BU660</f>
        <v>727.94445050999923</v>
      </c>
      <c r="BV661" s="23">
        <f>IF(ISERROR((BU661/BS661-1)*100),"NA",IF(((BU661/BS661-1)*100)&gt;100,"NM",IF(((BU661/BS661-1)*100)&lt;-50,"NM",(BU661/BS661-1)*100)))</f>
        <v>17.296882131807756</v>
      </c>
      <c r="BW661" s="73">
        <f>+BW659-BW660</f>
        <v>596.48300000000052</v>
      </c>
      <c r="BX661" s="23">
        <f>IF(ISERROR((BW661/BU661-1)*100),"NA",IF(((BW661/BU661-1)*100)&gt;100,"NM",IF(((BW661/BU661-1)*100)&lt;-50,"NM",(BW661/BU661-1)*100)))</f>
        <v>-18.059269552490797</v>
      </c>
      <c r="BY661" s="73">
        <f>+BY659-BY660</f>
        <v>824.56500000000005</v>
      </c>
      <c r="BZ661" s="23">
        <f>IF(ISERROR((BY661/BW661-1)*100),"NA",IF(((BY661/BW661-1)*100)&gt;100,"NM",IF(((BY661/BW661-1)*100)&lt;-50,"NM",(BY661/BW661-1)*100)))</f>
        <v>38.237803927354072</v>
      </c>
      <c r="CA661" s="73">
        <f>+CA659-CA660</f>
        <v>799.95500000000015</v>
      </c>
      <c r="CB661" s="23">
        <f>IF(ISERROR((CA661/BY661-1)*100),"NA",IF(((CA661/BY661-1)*100)&gt;100,"NM",IF(((CA661/BY661-1)*100)&lt;-50,"NM",(CA661/BY661-1)*100)))</f>
        <v>-2.9846040033229548</v>
      </c>
      <c r="CC661" s="73">
        <f>+CC659-CC660</f>
        <v>664.76799999999969</v>
      </c>
      <c r="CD661" s="23">
        <f>IF(ISERROR((CC661/CA661-1)*100),"NA",IF(((CC661/CA661-1)*100)&gt;100,"NM",IF(((CC661/CA661-1)*100)&lt;-50,"NM",(CC661/CA661-1)*100)))</f>
        <v>-16.899325587064329</v>
      </c>
      <c r="CE661" s="73">
        <f>+CE659-CE660</f>
        <v>224.67199999999985</v>
      </c>
      <c r="CF661" s="23" t="str">
        <f>IF(ISERROR((CE661/CC661-1)*100),"NA",IF(((CE661/CC661-1)*100)&gt;100,"NM",IF(((CE661/CC661-1)*100)&lt;-50,"NM",(CE661/CC661-1)*100)))</f>
        <v>NM</v>
      </c>
      <c r="CG661" s="73">
        <f>+CG659-CG660</f>
        <v>359.10800000000017</v>
      </c>
      <c r="CH661" s="23">
        <f>IF(ISERROR((CG661/CE661-1)*100),"NA",IF(((CG661/CE661-1)*100)&gt;100,"NM",IF(((CG661/CE661-1)*100)&lt;-50,"NM",(CG661/CE661-1)*100)))</f>
        <v>59.836561743341576</v>
      </c>
      <c r="CI661" s="73">
        <f>+CI659-CI660</f>
        <v>698.62279990818888</v>
      </c>
      <c r="CJ661" s="23">
        <f>IF(ISERROR((CI661/CG661-1)*100),"NA",IF(((CI661/CG661-1)*100)&gt;100,"NM",IF(((CI661/CG661-1)*100)&lt;-50,"NM",(CI661/CG661-1)*100)))</f>
        <v>94.543925478738572</v>
      </c>
      <c r="CK661" s="73">
        <f>+CK659-CK660</f>
        <v>789.54608848988232</v>
      </c>
      <c r="CL661" s="23">
        <f>IF(ISERROR((CK661/CI661-1)*100),"NA",IF(((CK661/CI661-1)*100)&gt;100,"NM",IF(((CK661/CI661-1)*100)&lt;-50,"NM",(CK661/CI661-1)*100)))</f>
        <v>13.014646615261105</v>
      </c>
      <c r="CM661" s="73">
        <f>+CM659-CM660</f>
        <v>826.77672498393611</v>
      </c>
      <c r="CN661" s="23">
        <f>IF(ISERROR((CM661/CK661-1)*100),"NA",IF(((CM661/CK661-1)*100)&gt;100,"NM",IF(((CM661/CK661-1)*100)&lt;-50,"NM",(CM661/CK661-1)*100)))</f>
        <v>4.7154481589874786</v>
      </c>
      <c r="CO661" s="73">
        <f>+CO659-CO660</f>
        <v>863.13998393363056</v>
      </c>
      <c r="CP661" s="23">
        <f>IF(ISERROR((CO661/CM661-1)*100),"NA",IF(((CO661/CM661-1)*100)&gt;100,"NM",IF(((CO661/CM661-1)*100)&lt;-50,"NM",(CO661/CM661-1)*100)))</f>
        <v>4.3981957704966712</v>
      </c>
      <c r="CQ661" s="73">
        <f>+CQ659-CQ660</f>
        <v>899.14588619677193</v>
      </c>
      <c r="CR661" s="23">
        <f>IF(ISERROR((CQ661/CO661-1)*100),"NA",IF(((CQ661/CO661-1)*100)&gt;100,"NM",IF(((CQ661/CO661-1)*100)&lt;-50,"NM",(CQ661/CO661-1)*100)))</f>
        <v>4.1715020661017066</v>
      </c>
      <c r="CS661" s="23">
        <f t="shared" si="4433"/>
        <v>20.149236749895149</v>
      </c>
    </row>
    <row r="662" spans="1:99" ht="12.75" customHeight="1" x14ac:dyDescent="0.2">
      <c r="A662" s="7"/>
      <c r="B662" s="35"/>
      <c r="D662" s="35"/>
      <c r="F662" s="35"/>
      <c r="H662" s="35"/>
      <c r="J662" s="35"/>
      <c r="K662" s="177"/>
      <c r="L662" s="35"/>
      <c r="M662" s="177"/>
      <c r="N662" s="37"/>
      <c r="O662" s="177"/>
      <c r="P662" s="37"/>
      <c r="Q662" s="177"/>
      <c r="R662" s="37"/>
      <c r="S662" s="177"/>
      <c r="T662" s="37"/>
      <c r="U662" s="177"/>
      <c r="V662" s="37"/>
      <c r="W662" s="177"/>
      <c r="X662" s="37"/>
      <c r="Y662" s="177"/>
      <c r="Z662" s="37"/>
      <c r="AA662" s="177"/>
      <c r="AB662" s="37"/>
      <c r="AC662" s="177"/>
      <c r="AD662" s="37"/>
      <c r="AE662" s="177"/>
      <c r="AF662" s="37"/>
      <c r="AG662" s="177"/>
      <c r="AH662" s="37"/>
      <c r="AI662" s="177"/>
      <c r="AJ662" s="37"/>
      <c r="AK662" s="177"/>
      <c r="AL662" s="37"/>
      <c r="AM662" s="177"/>
      <c r="AN662" s="411"/>
      <c r="AO662" s="177"/>
      <c r="AP662" s="411"/>
      <c r="AQ662" s="177"/>
      <c r="AR662" s="411"/>
      <c r="AS662" s="177"/>
      <c r="AT662" s="411"/>
      <c r="AU662" s="177"/>
      <c r="AV662" s="411"/>
      <c r="AW662" s="177"/>
      <c r="AX662" s="411"/>
      <c r="AY662" s="177"/>
      <c r="AZ662" s="411"/>
      <c r="BA662" s="177"/>
      <c r="BB662" s="411"/>
      <c r="BC662" s="177"/>
      <c r="BD662" s="411"/>
      <c r="BE662" s="177"/>
      <c r="BF662" s="37"/>
      <c r="BG662" s="177"/>
      <c r="BH662" s="37"/>
      <c r="BI662" s="177"/>
      <c r="BJ662" s="37"/>
      <c r="BK662" s="177"/>
      <c r="BL662" s="37"/>
      <c r="BM662" s="177"/>
      <c r="BN662" s="10"/>
      <c r="BO662" s="138"/>
      <c r="BP662" s="10"/>
      <c r="BQ662" s="37"/>
      <c r="BR662" s="10"/>
      <c r="BS662" s="37"/>
      <c r="BT662" s="10"/>
      <c r="BU662" s="37"/>
      <c r="BV662" s="177"/>
      <c r="BW662" s="37"/>
      <c r="BX662" s="177"/>
      <c r="BY662" s="37"/>
      <c r="BZ662" s="177"/>
      <c r="CA662" s="37"/>
      <c r="CB662" s="177"/>
      <c r="CC662" s="37"/>
      <c r="CD662" s="177"/>
      <c r="CE662" s="37"/>
      <c r="CF662" s="177"/>
      <c r="CG662" s="37"/>
      <c r="CH662" s="177"/>
      <c r="CI662" s="37"/>
      <c r="CJ662" s="177"/>
      <c r="CK662" s="37"/>
      <c r="CL662" s="177"/>
      <c r="CM662" s="37"/>
      <c r="CN662" s="177"/>
      <c r="CO662" s="37"/>
      <c r="CP662" s="177"/>
      <c r="CQ662" s="37"/>
      <c r="CR662" s="177"/>
      <c r="CS662" s="177"/>
    </row>
    <row r="663" spans="1:99" ht="12.75" customHeight="1" x14ac:dyDescent="0.2">
      <c r="A663" s="7" t="s">
        <v>25</v>
      </c>
      <c r="B663" s="35"/>
      <c r="D663" s="35"/>
      <c r="F663" s="35"/>
      <c r="H663" s="35"/>
      <c r="J663" s="35"/>
      <c r="K663" s="177"/>
      <c r="L663" s="35"/>
      <c r="M663" s="177"/>
      <c r="N663" s="37"/>
      <c r="O663" s="177"/>
      <c r="P663" s="37"/>
      <c r="Q663" s="177"/>
      <c r="R663" s="37"/>
      <c r="S663" s="177"/>
      <c r="T663" s="37"/>
      <c r="U663" s="177"/>
      <c r="V663" s="37"/>
      <c r="W663" s="177"/>
      <c r="X663" s="37"/>
      <c r="Y663" s="177"/>
      <c r="Z663" s="37"/>
      <c r="AA663" s="177"/>
      <c r="AB663" s="37"/>
      <c r="AC663" s="177"/>
      <c r="AD663" s="37"/>
      <c r="AE663" s="177"/>
      <c r="AF663" s="37"/>
      <c r="AG663" s="177"/>
      <c r="AH663" s="37"/>
      <c r="AI663" s="177"/>
      <c r="AJ663" s="37"/>
      <c r="AK663" s="177"/>
      <c r="AL663" s="37"/>
      <c r="AM663" s="177"/>
      <c r="AN663" s="411"/>
      <c r="AO663" s="177"/>
      <c r="AP663" s="411"/>
      <c r="AQ663" s="177"/>
      <c r="AR663" s="411"/>
      <c r="AS663" s="177"/>
      <c r="AT663" s="411"/>
      <c r="AU663" s="177"/>
      <c r="AV663" s="411"/>
      <c r="AW663" s="177"/>
      <c r="AX663" s="411"/>
      <c r="AY663" s="177"/>
      <c r="AZ663" s="411"/>
      <c r="BA663" s="177"/>
      <c r="BB663" s="411"/>
      <c r="BC663" s="177"/>
      <c r="BD663" s="411"/>
      <c r="BE663" s="177"/>
      <c r="BF663" s="37"/>
      <c r="BG663" s="177"/>
      <c r="BH663" s="37"/>
      <c r="BI663" s="177"/>
      <c r="BJ663" s="37"/>
      <c r="BK663" s="177"/>
      <c r="BL663" s="37"/>
      <c r="BM663" s="177"/>
      <c r="BN663" s="10"/>
      <c r="BO663" s="138"/>
      <c r="BP663" s="10"/>
      <c r="BQ663" s="37"/>
      <c r="BR663" s="10"/>
      <c r="BS663" s="37"/>
      <c r="BT663" s="10"/>
      <c r="BU663" s="37"/>
      <c r="BV663" s="177"/>
      <c r="BW663" s="37"/>
      <c r="BX663" s="177"/>
      <c r="BY663" s="37"/>
      <c r="BZ663" s="177"/>
      <c r="CA663" s="37"/>
      <c r="CB663" s="177"/>
      <c r="CC663" s="37"/>
      <c r="CD663" s="177"/>
      <c r="CE663" s="37"/>
      <c r="CF663" s="177"/>
      <c r="CG663" s="116"/>
      <c r="CH663" s="177"/>
      <c r="CI663" s="116"/>
      <c r="CJ663" s="177"/>
      <c r="CK663" s="37"/>
      <c r="CL663" s="177"/>
      <c r="CM663" s="37"/>
      <c r="CN663" s="177"/>
      <c r="CO663" s="37"/>
      <c r="CP663" s="177"/>
      <c r="CQ663" s="37"/>
      <c r="CR663" s="177"/>
      <c r="CS663" s="177"/>
      <c r="CT663" s="402"/>
    </row>
    <row r="664" spans="1:99" ht="12.75" customHeight="1" x14ac:dyDescent="0.2">
      <c r="A664" s="31" t="s">
        <v>192</v>
      </c>
      <c r="B664" s="56">
        <f>B90</f>
        <v>108.36500000000009</v>
      </c>
      <c r="C664" s="59"/>
      <c r="D664" s="56">
        <f>D90</f>
        <v>132.928</v>
      </c>
      <c r="E664" s="59"/>
      <c r="F664" s="56">
        <f>F90</f>
        <v>114.86999999999996</v>
      </c>
      <c r="G664" s="59"/>
      <c r="H664" s="56">
        <f>H90</f>
        <v>41.507000000000062</v>
      </c>
      <c r="I664" s="59"/>
      <c r="J664" s="56">
        <f>J90</f>
        <v>100.48499999999993</v>
      </c>
      <c r="K664" s="23">
        <f t="shared" ref="K664:Y679" si="4467">IF(ISERROR((J664/B664-1)*100),"NA",IF(((J664/B664-1)*100)&gt;100,"NM",IF(((J664/B664-1)*100)&lt;-50,"NM",(J664/B664-1)*100)))</f>
        <v>-7.2717205739862179</v>
      </c>
      <c r="L664" s="56">
        <f>L90</f>
        <v>126.20999999999989</v>
      </c>
      <c r="M664" s="23">
        <f t="shared" si="4467"/>
        <v>-5.0538637457872682</v>
      </c>
      <c r="N664" s="56">
        <f>N90</f>
        <v>130.3960000000001</v>
      </c>
      <c r="O664" s="23">
        <f t="shared" si="4467"/>
        <v>13.516148689823403</v>
      </c>
      <c r="P664" s="56">
        <f>P90</f>
        <v>116.70000000000007</v>
      </c>
      <c r="Q664" s="23" t="str">
        <f t="shared" si="4467"/>
        <v>NM</v>
      </c>
      <c r="R664" s="56">
        <f>R90</f>
        <v>128.30000000000007</v>
      </c>
      <c r="S664" s="23">
        <f t="shared" si="4467"/>
        <v>27.680748370403705</v>
      </c>
      <c r="T664" s="56">
        <f>T90</f>
        <v>127.08200000000011</v>
      </c>
      <c r="U664" s="23">
        <f t="shared" si="4467"/>
        <v>0.69091197211015309</v>
      </c>
      <c r="V664" s="56">
        <f>V90</f>
        <v>134.59999999999997</v>
      </c>
      <c r="W664" s="23">
        <f t="shared" si="4467"/>
        <v>3.2240252768488853</v>
      </c>
      <c r="X664" s="56">
        <f>X90</f>
        <v>134.39999999999992</v>
      </c>
      <c r="Y664" s="23">
        <f t="shared" si="4467"/>
        <v>15.167095115681084</v>
      </c>
      <c r="Z664" s="56">
        <f>Z90</f>
        <v>126.20000000000003</v>
      </c>
      <c r="AA664" s="23">
        <f t="shared" ref="AA664:AA679" si="4468">IF(ISERROR((Z664/R664-1)*100),"NA",IF(((Z664/R664-1)*100)&gt;100,"NM",IF(((Z664/R664-1)*100)&lt;-50,"NM",(Z664/R664-1)*100)))</f>
        <v>-1.6367887763055644</v>
      </c>
      <c r="AB664" s="56">
        <f>AB90</f>
        <v>128.60000000000011</v>
      </c>
      <c r="AC664" s="23">
        <f t="shared" ref="AC664:AC679" si="4469">IF(ISERROR((AB664/T664-1)*100),"NA",IF(((AB664/T664-1)*100)&gt;100,"NM",IF(((AB664/T664-1)*100)&lt;-50,"NM",(AB664/T664-1)*100)))</f>
        <v>1.1945043357831864</v>
      </c>
      <c r="AD664" s="56">
        <f>AD90</f>
        <v>137.74</v>
      </c>
      <c r="AE664" s="23">
        <f t="shared" ref="AE664:AE679" si="4470">IF(ISERROR((AD664/V664-1)*100),"NA",IF(((AD664/V664-1)*100)&gt;100,"NM",IF(((AD664/V664-1)*100)&lt;-50,"NM",(AD664/V664-1)*100)))</f>
        <v>2.3328380386330227</v>
      </c>
      <c r="AF664" s="56">
        <f>AF90</f>
        <v>145.39999999999984</v>
      </c>
      <c r="AG664" s="23">
        <f t="shared" ref="AG664:AG679" si="4471">IF(ISERROR((AF664/X664-1)*100),"NA",IF(((AF664/X664-1)*100)&gt;100,"NM",IF(((AF664/X664-1)*100)&lt;-50,"NM",(AF664/X664-1)*100)))</f>
        <v>8.1845238095237463</v>
      </c>
      <c r="AH664" s="56">
        <f>AH90</f>
        <v>129.91000000000003</v>
      </c>
      <c r="AI664" s="23">
        <f t="shared" ref="AI664:AI679" si="4472">IF(ISERROR((AH664/Z664-1)*100),"NA",IF(((AH664/Z664-1)*100)&gt;100,"NM",IF(((AH664/Z664-1)*100)&lt;-50,"NM",(AH664/Z664-1)*100)))</f>
        <v>2.9397781299524528</v>
      </c>
      <c r="AJ664" s="56">
        <f>AJ90</f>
        <v>124.90000000000003</v>
      </c>
      <c r="AK664" s="23">
        <f t="shared" ref="AK664:AK679" si="4473">IF(ISERROR((AJ664/AB664-1)*100),"NA",IF(((AJ664/AB664-1)*100)&gt;100,"NM",IF(((AJ664/AB664-1)*100)&lt;-50,"NM",(AJ664/AB664-1)*100)))</f>
        <v>-2.877138413685898</v>
      </c>
      <c r="AL664" s="56">
        <f>AL90</f>
        <v>127.99999999999989</v>
      </c>
      <c r="AM664" s="23">
        <f t="shared" ref="AM664:AM679" si="4474">IF(ISERROR((AL664/AD664-1)*100),"NA",IF(((AL664/AD664-1)*100)&gt;100,"NM",IF(((AL664/AD664-1)*100)&lt;-50,"NM",(AL664/AD664-1)*100)))</f>
        <v>-7.0712937418325295</v>
      </c>
      <c r="AN664" s="413">
        <f>AN90</f>
        <v>125.40000000000002</v>
      </c>
      <c r="AO664" s="23">
        <f t="shared" ref="AO664:AO679" si="4475">IF(ISERROR((AN664/AF664-1)*100),"NA",IF(((AN664/AF664-1)*100)&gt;100,"NM",IF(((AN664/AF664-1)*100)&lt;-50,"NM",(AN664/AF664-1)*100)))</f>
        <v>-13.755158184319004</v>
      </c>
      <c r="AP664" s="413">
        <f>AP90</f>
        <v>101.89999999999988</v>
      </c>
      <c r="AQ664" s="23">
        <f t="shared" ref="AQ664:AQ679" si="4476">IF(ISERROR((AP664/AH664-1)*100),"NA",IF(((AP664/AH664-1)*100)&gt;100,"NM",IF(((AP664/AH664-1)*100)&lt;-50,"NM",(AP664/AH664-1)*100)))</f>
        <v>-21.561080748210404</v>
      </c>
      <c r="AR664" s="413">
        <f>AR90</f>
        <v>129.79999999999995</v>
      </c>
      <c r="AS664" s="23">
        <f t="shared" ref="AS664:AS679" si="4477">IF(ISERROR((AR664/AJ664-1)*100),"NA",IF(((AR664/AJ664-1)*100)&gt;100,"NM",IF(((AR664/AJ664-1)*100)&lt;-50,"NM",(AR664/AJ664-1)*100)))</f>
        <v>3.9231385108085881</v>
      </c>
      <c r="AT664" s="413">
        <f>AT90</f>
        <v>130.99999999999997</v>
      </c>
      <c r="AU664" s="23">
        <f t="shared" ref="AU664:AU679" si="4478">IF(ISERROR((AT664/AL664-1)*100),"NA",IF(((AT664/AL664-1)*100)&gt;100,"NM",IF(((AT664/AL664-1)*100)&lt;-50,"NM",(AT664/AL664-1)*100)))</f>
        <v>2.3437500000000666</v>
      </c>
      <c r="AV664" s="413">
        <f>AV90</f>
        <v>142.6</v>
      </c>
      <c r="AW664" s="23">
        <f t="shared" ref="AW664:AW679" si="4479">IF(ISERROR((AV664/AN664-1)*100),"NA",IF(((AV664/AN664-1)*100)&gt;100,"NM",IF(((AV664/AN664-1)*100)&lt;-50,"NM",(AV664/AN664-1)*100)))</f>
        <v>13.716108452950525</v>
      </c>
      <c r="AX664" s="413">
        <f>AX90</f>
        <v>132.39999999999984</v>
      </c>
      <c r="AY664" s="23">
        <f t="shared" ref="AY664:AY679" si="4480">IF(ISERROR((AX664/AP664-1)*100),"NA",IF(((AX664/AP664-1)*100)&gt;100,"NM",IF(((AX664/AP664-1)*100)&lt;-50,"NM",(AX664/AP664-1)*100)))</f>
        <v>29.931305201177615</v>
      </c>
      <c r="AZ664" s="413">
        <f>AZ90</f>
        <v>143.49999999999989</v>
      </c>
      <c r="BA664" s="23">
        <f t="shared" ref="BA664:BA679" si="4481">IF(ISERROR((AZ664/AR664-1)*100),"NA",IF(((AZ664/AR664-1)*100)&gt;100,"NM",IF(((AZ664/AR664-1)*100)&lt;-50,"NM",(AZ664/AR664-1)*100)))</f>
        <v>10.554699537750345</v>
      </c>
      <c r="BB664" s="413">
        <f>BB90</f>
        <v>144.80000000000007</v>
      </c>
      <c r="BC664" s="23">
        <f t="shared" ref="BC664:BC679" si="4482">IF(ISERROR((BB664/AT664-1)*100),"NA",IF(((BB664/AT664-1)*100)&gt;100,"NM",IF(((BB664/AT664-1)*100)&lt;-50,"NM",(BB664/AT664-1)*100)))</f>
        <v>10.534351145038245</v>
      </c>
      <c r="BD664" s="413">
        <f>BD90</f>
        <v>149.19999999999993</v>
      </c>
      <c r="BE664" s="23">
        <f t="shared" ref="BE664:BE679" si="4483">IF(ISERROR((BD664/AV664-1)*100),"NA",IF(((BD664/AV664-1)*100)&gt;100,"NM",IF(((BD664/AV664-1)*100)&lt;-50,"NM",(BD664/AV664-1)*100)))</f>
        <v>4.6283309957923846</v>
      </c>
      <c r="BF664" s="56">
        <f>BF90</f>
        <v>146.08209365133052</v>
      </c>
      <c r="BG664" s="23">
        <f t="shared" ref="BG664:BG679" si="4484">IF(ISERROR((BF664/AX664-1)*100),"NA",IF(((BF664/AX664-1)*100)&gt;100,"NM",IF(((BF664/AX664-1)*100)&lt;-50,"NM",(BF664/AX664-1)*100)))</f>
        <v>10.333907591639502</v>
      </c>
      <c r="BH664" s="56">
        <f>BH90</f>
        <v>144.52612268654821</v>
      </c>
      <c r="BI664" s="23">
        <f t="shared" ref="BI664:BI679" si="4485">IF(ISERROR((BH664/AZ664-1)*100),"NA",IF(((BH664/AZ664-1)*100)&gt;100,"NM",IF(((BH664/AZ664-1)*100)&lt;-50,"NM",(BH664/AZ664-1)*100)))</f>
        <v>0.71506807424970287</v>
      </c>
      <c r="BJ664" s="56">
        <f>BJ90</f>
        <v>147.28583837809941</v>
      </c>
      <c r="BK664" s="23">
        <f t="shared" ref="BK664:BK679" si="4486">IF(ISERROR((BJ664/BB664-1)*100),"NA",IF(((BJ664/BB664-1)*100)&gt;100,"NM",IF(((BJ664/BB664-1)*100)&lt;-50,"NM",(BJ664/BB664-1)*100)))</f>
        <v>1.716739211394569</v>
      </c>
      <c r="BL664" s="56">
        <f>BL90</f>
        <v>153.07992156593758</v>
      </c>
      <c r="BM664" s="23">
        <f t="shared" ref="BM664:BM679" si="4487">IF(ISERROR((BL664/BD664-1)*100),"NA",IF(((BL664/BD664-1)*100)&gt;100,"NM",IF(((BL664/BD664-1)*100)&lt;-50,"NM",(BL664/BD664-1)*100)))</f>
        <v>2.6004836232826012</v>
      </c>
      <c r="BN664" s="10"/>
      <c r="BO664" s="137"/>
      <c r="BP664" s="10"/>
      <c r="BQ664" s="56">
        <f>BQ90</f>
        <v>291.10000000000008</v>
      </c>
      <c r="BR664" s="10"/>
      <c r="BS664" s="56">
        <f>BS90</f>
        <v>309.20000000000027</v>
      </c>
      <c r="BT664" s="10"/>
      <c r="BU664" s="56">
        <f>BU90</f>
        <v>397.66999999999945</v>
      </c>
      <c r="BV664" s="23">
        <f t="shared" ref="BV664:BV677" si="4488">IF(ISERROR((BU664/BS664-1)*100),"NA",IF(((BU664/BS664-1)*100)&gt;100,"NM",IF(((BU664/BS664-1)*100)&lt;-50,"NM",(BU664/BS664-1)*100)))</f>
        <v>28.612548512289493</v>
      </c>
      <c r="BW664" s="56">
        <f>BW90</f>
        <v>473.79100000000062</v>
      </c>
      <c r="BX664" s="23">
        <f t="shared" ref="BX664:BX677" si="4489">IF(ISERROR((BW664/BU664-1)*100),"NA",IF(((BW664/BU664-1)*100)&gt;100,"NM",IF(((BW664/BU664-1)*100)&lt;-50,"NM",(BW664/BU664-1)*100)))</f>
        <v>19.141750697815098</v>
      </c>
      <c r="BY664" s="56">
        <f>BY90</f>
        <v>524.38200000000006</v>
      </c>
      <c r="BZ664" s="23">
        <f t="shared" ref="BZ664:CR677" si="4490">IF(ISERROR((BY664/BW664-1)*100),"NA",IF(((BY664/BW664-1)*100)&gt;100,"NM",IF(((BY664/BW664-1)*100)&lt;-50,"NM",(BY664/BW664-1)*100)))</f>
        <v>10.67791494561936</v>
      </c>
      <c r="CA664" s="56">
        <f>CA90</f>
        <v>537.94000000000005</v>
      </c>
      <c r="CB664" s="23">
        <f t="shared" si="4490"/>
        <v>2.5855197165425281</v>
      </c>
      <c r="CC664" s="56">
        <f>CC90</f>
        <v>508.20999999999992</v>
      </c>
      <c r="CD664" s="23">
        <f t="shared" si="4490"/>
        <v>-5.5266386585864797</v>
      </c>
      <c r="CE664" s="56">
        <f>CE90</f>
        <v>505.30000000000018</v>
      </c>
      <c r="CF664" s="23">
        <f t="shared" si="4490"/>
        <v>-0.57259794179566059</v>
      </c>
      <c r="CG664" s="56">
        <f>CG90</f>
        <v>569.9000000000002</v>
      </c>
      <c r="CH664" s="23">
        <f t="shared" si="4490"/>
        <v>12.784484464674462</v>
      </c>
      <c r="CI664" s="56">
        <f>CI90</f>
        <v>590.97397628191584</v>
      </c>
      <c r="CJ664" s="23">
        <f t="shared" si="4490"/>
        <v>3.6978375648211381</v>
      </c>
      <c r="CK664" s="56">
        <f>CK90</f>
        <v>617.18412268518705</v>
      </c>
      <c r="CL664" s="23">
        <f t="shared" si="4490"/>
        <v>4.4350762394261611</v>
      </c>
      <c r="CM664" s="56">
        <f>CM90</f>
        <v>646.89799005747</v>
      </c>
      <c r="CN664" s="23">
        <f t="shared" si="4490"/>
        <v>4.814425109156506</v>
      </c>
      <c r="CO664" s="56">
        <f>CO90</f>
        <v>677.64068580846333</v>
      </c>
      <c r="CP664" s="23">
        <f t="shared" si="4490"/>
        <v>4.7523251306225589</v>
      </c>
      <c r="CQ664" s="56">
        <f>CQ90</f>
        <v>707.23859556709749</v>
      </c>
      <c r="CR664" s="23">
        <f t="shared" si="4490"/>
        <v>4.3677881771992721</v>
      </c>
      <c r="CS664" s="23">
        <f t="shared" ref="CS664:CS670" si="4491">IF(ISERROR(((CQ664/CG664)^0.2-1)*100),"NA",IF((((CQ664/CG664)^0.2-1)*100)&gt;100,"NM",IF((((CQ664/CG664)^0.2-1)*100)&lt;-50,"NM",((CQ664/CG664)^0.2-1)*100)))</f>
        <v>4.4127319568730838</v>
      </c>
      <c r="CT664" s="91"/>
      <c r="CU664" s="91"/>
    </row>
    <row r="665" spans="1:99" ht="12.75" customHeight="1" x14ac:dyDescent="0.2">
      <c r="A665" s="31" t="s">
        <v>193</v>
      </c>
      <c r="B665" s="56">
        <f>B175</f>
        <v>26.699999999999978</v>
      </c>
      <c r="C665" s="59"/>
      <c r="D665" s="56">
        <f>D175</f>
        <v>41.700000000000031</v>
      </c>
      <c r="E665" s="59"/>
      <c r="F665" s="56">
        <f>F175</f>
        <v>31.200000000000003</v>
      </c>
      <c r="G665" s="59"/>
      <c r="H665" s="56">
        <f>H175</f>
        <v>22</v>
      </c>
      <c r="I665" s="59"/>
      <c r="J665" s="56">
        <f>J175</f>
        <v>49.099999999999923</v>
      </c>
      <c r="K665" s="23">
        <f t="shared" si="4467"/>
        <v>83.8951310861422</v>
      </c>
      <c r="L665" s="56">
        <f>L175</f>
        <v>54.200000000000024</v>
      </c>
      <c r="M665" s="23">
        <f t="shared" si="4467"/>
        <v>29.976019184652248</v>
      </c>
      <c r="N665" s="56">
        <f>N175</f>
        <v>45.800000000000026</v>
      </c>
      <c r="O665" s="23">
        <f t="shared" si="4467"/>
        <v>46.794871794871874</v>
      </c>
      <c r="P665" s="56">
        <f>P175</f>
        <v>50.70000000000001</v>
      </c>
      <c r="Q665" s="23" t="str">
        <f t="shared" si="4467"/>
        <v>NM</v>
      </c>
      <c r="R665" s="56">
        <f>R175</f>
        <v>45.674999999999955</v>
      </c>
      <c r="S665" s="23">
        <f t="shared" si="4467"/>
        <v>-6.9755600814663481</v>
      </c>
      <c r="T665" s="56">
        <f>T175</f>
        <v>44.499999999999972</v>
      </c>
      <c r="U665" s="23">
        <f t="shared" si="4467"/>
        <v>-17.896678966789757</v>
      </c>
      <c r="V665" s="56">
        <f>V175</f>
        <v>44.2</v>
      </c>
      <c r="W665" s="23">
        <f t="shared" si="4467"/>
        <v>-3.4934497816594412</v>
      </c>
      <c r="X665" s="56">
        <f>X175</f>
        <v>55.600000000000044</v>
      </c>
      <c r="Y665" s="23">
        <f t="shared" si="4467"/>
        <v>9.664694280078967</v>
      </c>
      <c r="Z665" s="56">
        <f>Z175</f>
        <v>51.600000000000065</v>
      </c>
      <c r="AA665" s="23">
        <f t="shared" si="4468"/>
        <v>12.972085385878751</v>
      </c>
      <c r="AB665" s="56">
        <f>AB175</f>
        <v>57.700000000000045</v>
      </c>
      <c r="AC665" s="23">
        <f t="shared" si="4469"/>
        <v>29.662921348314786</v>
      </c>
      <c r="AD665" s="56">
        <f>AD175</f>
        <v>54.279999999999959</v>
      </c>
      <c r="AE665" s="23">
        <f t="shared" si="4470"/>
        <v>22.805429864253291</v>
      </c>
      <c r="AF665" s="56">
        <f>AF175</f>
        <v>63.000000000000014</v>
      </c>
      <c r="AG665" s="23">
        <f t="shared" si="4471"/>
        <v>13.309352517985552</v>
      </c>
      <c r="AH665" s="56">
        <f>AH175</f>
        <v>60.880000000000024</v>
      </c>
      <c r="AI665" s="23">
        <f t="shared" si="4472"/>
        <v>17.984496124030901</v>
      </c>
      <c r="AJ665" s="56">
        <f>AJ175</f>
        <v>55.999999999999943</v>
      </c>
      <c r="AK665" s="23">
        <f t="shared" si="4473"/>
        <v>-2.9462738301561542</v>
      </c>
      <c r="AL665" s="56">
        <f>AL175</f>
        <v>64.399999999999963</v>
      </c>
      <c r="AM665" s="23">
        <f t="shared" si="4474"/>
        <v>18.644067796610187</v>
      </c>
      <c r="AN665" s="413">
        <f>AN175</f>
        <v>52.000000000000036</v>
      </c>
      <c r="AO665" s="23">
        <f t="shared" si="4475"/>
        <v>-17.46031746031742</v>
      </c>
      <c r="AP665" s="413">
        <f>AP175</f>
        <v>0</v>
      </c>
      <c r="AQ665" s="23" t="str">
        <f t="shared" si="4476"/>
        <v>NM</v>
      </c>
      <c r="AR665" s="413">
        <f>AR175</f>
        <v>0</v>
      </c>
      <c r="AS665" s="23" t="str">
        <f t="shared" si="4477"/>
        <v>NM</v>
      </c>
      <c r="AT665" s="413">
        <f>AT175</f>
        <v>0</v>
      </c>
      <c r="AU665" s="23" t="str">
        <f t="shared" si="4478"/>
        <v>NM</v>
      </c>
      <c r="AV665" s="413">
        <f>AV175</f>
        <v>0</v>
      </c>
      <c r="AW665" s="23" t="str">
        <f t="shared" si="4479"/>
        <v>NM</v>
      </c>
      <c r="AX665" s="413">
        <f>AX175</f>
        <v>0</v>
      </c>
      <c r="AY665" s="23" t="str">
        <f t="shared" si="4480"/>
        <v>NA</v>
      </c>
      <c r="AZ665" s="413">
        <f>AZ175</f>
        <v>0</v>
      </c>
      <c r="BA665" s="23" t="str">
        <f t="shared" si="4481"/>
        <v>NA</v>
      </c>
      <c r="BB665" s="413">
        <f>BB175</f>
        <v>0</v>
      </c>
      <c r="BC665" s="23" t="str">
        <f t="shared" si="4482"/>
        <v>NA</v>
      </c>
      <c r="BD665" s="413">
        <f>BD175</f>
        <v>0</v>
      </c>
      <c r="BE665" s="23" t="str">
        <f t="shared" si="4483"/>
        <v>NA</v>
      </c>
      <c r="BF665" s="56">
        <f>BF175</f>
        <v>0</v>
      </c>
      <c r="BG665" s="23" t="str">
        <f t="shared" si="4484"/>
        <v>NA</v>
      </c>
      <c r="BH665" s="56">
        <f>BH175</f>
        <v>0</v>
      </c>
      <c r="BI665" s="23" t="str">
        <f t="shared" si="4485"/>
        <v>NA</v>
      </c>
      <c r="BJ665" s="56">
        <f>BJ175</f>
        <v>0</v>
      </c>
      <c r="BK665" s="23" t="str">
        <f t="shared" si="4486"/>
        <v>NA</v>
      </c>
      <c r="BL665" s="56">
        <f>BL175</f>
        <v>0</v>
      </c>
      <c r="BM665" s="23" t="str">
        <f t="shared" si="4487"/>
        <v>NA</v>
      </c>
      <c r="BN665" s="5"/>
      <c r="BO665" s="137"/>
      <c r="BP665" s="5"/>
      <c r="BQ665" s="56">
        <f>BQ175</f>
        <v>42.699999999999989</v>
      </c>
      <c r="BR665" s="10"/>
      <c r="BS665" s="56">
        <f>BS175</f>
        <v>125.20000000000006</v>
      </c>
      <c r="BT665" s="10"/>
      <c r="BU665" s="56">
        <f>BU175</f>
        <v>121.60000000000014</v>
      </c>
      <c r="BV665" s="23">
        <f t="shared" si="4488"/>
        <v>-2.8753993610223016</v>
      </c>
      <c r="BW665" s="56">
        <f>BW175</f>
        <v>199.80000000000007</v>
      </c>
      <c r="BX665" s="23">
        <f t="shared" si="4489"/>
        <v>64.309210526315667</v>
      </c>
      <c r="BY665" s="56">
        <f>BY175</f>
        <v>189.97499999999997</v>
      </c>
      <c r="BZ665" s="23">
        <f t="shared" si="4490"/>
        <v>-4.917417417417469</v>
      </c>
      <c r="CA665" s="56">
        <f>CA175</f>
        <v>226.5800000000001</v>
      </c>
      <c r="CB665" s="23">
        <f t="shared" si="4490"/>
        <v>19.268324779576339</v>
      </c>
      <c r="CC665" s="56">
        <f>CC175</f>
        <v>233.28000000000014</v>
      </c>
      <c r="CD665" s="23">
        <f t="shared" si="4490"/>
        <v>2.9570129755494889</v>
      </c>
      <c r="CE665" s="56">
        <f>CE175</f>
        <v>0</v>
      </c>
      <c r="CF665" s="23" t="str">
        <f t="shared" si="4490"/>
        <v>NM</v>
      </c>
      <c r="CG665" s="56">
        <f>CG175</f>
        <v>0</v>
      </c>
      <c r="CH665" s="23" t="str">
        <f t="shared" si="4490"/>
        <v>NA</v>
      </c>
      <c r="CI665" s="56">
        <f>CI175</f>
        <v>0</v>
      </c>
      <c r="CJ665" s="23" t="str">
        <f t="shared" si="4490"/>
        <v>NA</v>
      </c>
      <c r="CK665" s="56">
        <f>CK175</f>
        <v>0</v>
      </c>
      <c r="CL665" s="23" t="str">
        <f t="shared" si="4490"/>
        <v>NA</v>
      </c>
      <c r="CM665" s="56">
        <f>CM175</f>
        <v>0</v>
      </c>
      <c r="CN665" s="23" t="str">
        <f t="shared" si="4490"/>
        <v>NA</v>
      </c>
      <c r="CO665" s="56">
        <f>CO175</f>
        <v>0</v>
      </c>
      <c r="CP665" s="23" t="str">
        <f t="shared" si="4490"/>
        <v>NA</v>
      </c>
      <c r="CQ665" s="56">
        <f>CQ175</f>
        <v>0</v>
      </c>
      <c r="CR665" s="23" t="str">
        <f t="shared" si="4490"/>
        <v>NA</v>
      </c>
      <c r="CS665" s="23" t="str">
        <f t="shared" si="4491"/>
        <v>NA</v>
      </c>
      <c r="CT665" s="91"/>
      <c r="CU665" s="91"/>
    </row>
    <row r="666" spans="1:99" ht="12.75" customHeight="1" x14ac:dyDescent="0.2">
      <c r="A666" s="31" t="s">
        <v>187</v>
      </c>
      <c r="B666" s="56">
        <f>B279</f>
        <v>25.297999999999988</v>
      </c>
      <c r="C666" s="59"/>
      <c r="D666" s="56">
        <f>D279</f>
        <v>26.352000000000004</v>
      </c>
      <c r="E666" s="59"/>
      <c r="F666" s="56">
        <f>F279</f>
        <v>22.780999999999992</v>
      </c>
      <c r="G666" s="59"/>
      <c r="H666" s="56">
        <f>H279</f>
        <v>13.064999999999998</v>
      </c>
      <c r="I666" s="59"/>
      <c r="J666" s="56">
        <f>J279</f>
        <v>32.994</v>
      </c>
      <c r="K666" s="23">
        <f t="shared" si="4467"/>
        <v>30.421377183967181</v>
      </c>
      <c r="L666" s="56">
        <f>L279</f>
        <v>29.094000000000012</v>
      </c>
      <c r="M666" s="23">
        <f t="shared" si="4467"/>
        <v>10.405282331511877</v>
      </c>
      <c r="N666" s="56">
        <f>N279</f>
        <v>38.959999999999994</v>
      </c>
      <c r="O666" s="23">
        <f t="shared" si="4467"/>
        <v>71.019709406961979</v>
      </c>
      <c r="P666" s="56">
        <f>P279</f>
        <v>31.219000000000008</v>
      </c>
      <c r="Q666" s="23" t="str">
        <f t="shared" si="4467"/>
        <v>NM</v>
      </c>
      <c r="R666" s="56">
        <f>R279</f>
        <v>28.475000000000009</v>
      </c>
      <c r="S666" s="23">
        <f t="shared" si="4467"/>
        <v>-13.696429653876441</v>
      </c>
      <c r="T666" s="56">
        <f>T279</f>
        <v>41</v>
      </c>
      <c r="U666" s="23">
        <f t="shared" si="4467"/>
        <v>40.922526981508156</v>
      </c>
      <c r="V666" s="56">
        <f>V279</f>
        <v>42.500000000000028</v>
      </c>
      <c r="W666" s="23">
        <f t="shared" si="4467"/>
        <v>9.0862422997947547</v>
      </c>
      <c r="X666" s="56">
        <f>X279</f>
        <v>51.199999999999989</v>
      </c>
      <c r="Y666" s="23">
        <f t="shared" si="4467"/>
        <v>64.002690669143703</v>
      </c>
      <c r="Z666" s="56">
        <f>Z279</f>
        <v>49.8</v>
      </c>
      <c r="AA666" s="23">
        <f t="shared" si="4468"/>
        <v>74.890254609306339</v>
      </c>
      <c r="AB666" s="56">
        <f>AB279</f>
        <v>54.899999999999991</v>
      </c>
      <c r="AC666" s="23">
        <f t="shared" si="4469"/>
        <v>33.902439024390233</v>
      </c>
      <c r="AD666" s="56">
        <f>AD279</f>
        <v>53.730000000000011</v>
      </c>
      <c r="AE666" s="23">
        <f t="shared" si="4470"/>
        <v>26.423529411764648</v>
      </c>
      <c r="AF666" s="56">
        <f>AF279</f>
        <v>53.7</v>
      </c>
      <c r="AG666" s="23">
        <f t="shared" si="4471"/>
        <v>4.8828125000000222</v>
      </c>
      <c r="AH666" s="56">
        <f>AH279</f>
        <v>44.54999999999999</v>
      </c>
      <c r="AI666" s="23">
        <f t="shared" si="4472"/>
        <v>-10.542168674698814</v>
      </c>
      <c r="AJ666" s="56">
        <f>AJ279</f>
        <v>47</v>
      </c>
      <c r="AK666" s="23">
        <f t="shared" si="4473"/>
        <v>-14.389799635701262</v>
      </c>
      <c r="AL666" s="56">
        <f>AL279</f>
        <v>45.599999999999994</v>
      </c>
      <c r="AM666" s="23">
        <f t="shared" si="4474"/>
        <v>-15.131211613623707</v>
      </c>
      <c r="AN666" s="413">
        <f>AN279</f>
        <v>42.400000000000006</v>
      </c>
      <c r="AO666" s="23">
        <f t="shared" si="4475"/>
        <v>-21.042830540037237</v>
      </c>
      <c r="AP666" s="413">
        <f>AP279</f>
        <v>22.700000000000017</v>
      </c>
      <c r="AQ666" s="23">
        <f t="shared" si="4476"/>
        <v>-49.046015712682333</v>
      </c>
      <c r="AR666" s="413">
        <f>AR279</f>
        <v>43.670588235294133</v>
      </c>
      <c r="AS666" s="23">
        <f t="shared" si="4477"/>
        <v>-7.0838548185231165</v>
      </c>
      <c r="AT666" s="413">
        <f>AT279</f>
        <v>48.799999999999976</v>
      </c>
      <c r="AU666" s="23">
        <f t="shared" si="4478"/>
        <v>7.017543859649078</v>
      </c>
      <c r="AV666" s="413">
        <f>AV279</f>
        <v>64.699999999999989</v>
      </c>
      <c r="AW666" s="23">
        <f t="shared" si="4479"/>
        <v>52.594339622641463</v>
      </c>
      <c r="AX666" s="413">
        <f>AX279</f>
        <v>45.400000000000006</v>
      </c>
      <c r="AY666" s="23">
        <f t="shared" si="4480"/>
        <v>99.999999999999872</v>
      </c>
      <c r="AZ666" s="413">
        <f>AZ279</f>
        <v>53.700000000000017</v>
      </c>
      <c r="BA666" s="23">
        <f t="shared" si="4481"/>
        <v>22.966056034482762</v>
      </c>
      <c r="BB666" s="413">
        <f>BB279</f>
        <v>52.599999999999994</v>
      </c>
      <c r="BC666" s="23">
        <f t="shared" si="4482"/>
        <v>7.7868852459016757</v>
      </c>
      <c r="BD666" s="413">
        <f>BD279</f>
        <v>59</v>
      </c>
      <c r="BE666" s="23">
        <f t="shared" si="4483"/>
        <v>-8.8098918083461939</v>
      </c>
      <c r="BF666" s="56">
        <f>BF279</f>
        <v>49.016247705139676</v>
      </c>
      <c r="BG666" s="23">
        <f t="shared" si="4484"/>
        <v>7.9653033152856212</v>
      </c>
      <c r="BH666" s="56">
        <f>BH279</f>
        <v>60.328951767677012</v>
      </c>
      <c r="BI666" s="23">
        <f t="shared" si="4485"/>
        <v>12.344416699584727</v>
      </c>
      <c r="BJ666" s="56">
        <f>BJ279</f>
        <v>52.798766754802131</v>
      </c>
      <c r="BK666" s="23">
        <f t="shared" si="4486"/>
        <v>0.37788356426262659</v>
      </c>
      <c r="BL666" s="56">
        <f>BL279</f>
        <v>55.339618962435878</v>
      </c>
      <c r="BM666" s="23">
        <f t="shared" si="4487"/>
        <v>-6.2040356568883404</v>
      </c>
      <c r="BN666" s="5"/>
      <c r="BO666" s="137"/>
      <c r="BP666" s="5"/>
      <c r="BQ666" s="56">
        <f>BQ279</f>
        <v>44.399999999999977</v>
      </c>
      <c r="BR666" s="10"/>
      <c r="BS666" s="56">
        <f>BS279</f>
        <v>50.099999999999966</v>
      </c>
      <c r="BT666" s="10"/>
      <c r="BU666" s="56">
        <f>BU279</f>
        <v>87.496000000000038</v>
      </c>
      <c r="BV666" s="23">
        <f t="shared" si="4488"/>
        <v>74.642714570858473</v>
      </c>
      <c r="BW666" s="56">
        <f>BW279</f>
        <v>132.267</v>
      </c>
      <c r="BX666" s="23">
        <f t="shared" si="4489"/>
        <v>51.169196306116781</v>
      </c>
      <c r="BY666" s="56">
        <f>BY279</f>
        <v>163.17500000000018</v>
      </c>
      <c r="BZ666" s="23">
        <f t="shared" si="4490"/>
        <v>23.367884657548888</v>
      </c>
      <c r="CA666" s="56">
        <f>CA279</f>
        <v>212.12999999999997</v>
      </c>
      <c r="CB666" s="23">
        <f t="shared" si="4490"/>
        <v>30.001532097441231</v>
      </c>
      <c r="CC666" s="56">
        <f>CC279</f>
        <v>179.54999999999993</v>
      </c>
      <c r="CD666" s="23">
        <f t="shared" si="4490"/>
        <v>-15.358506576156151</v>
      </c>
      <c r="CE666" s="56">
        <f>CE279</f>
        <v>179.87058823529398</v>
      </c>
      <c r="CF666" s="23">
        <f t="shared" si="4490"/>
        <v>0.17855095254473152</v>
      </c>
      <c r="CG666" s="56">
        <f>CG279</f>
        <v>210.69999999999993</v>
      </c>
      <c r="CH666" s="23">
        <f t="shared" si="4490"/>
        <v>17.139773693505191</v>
      </c>
      <c r="CI666" s="56">
        <f>CI279</f>
        <v>217.48358519005455</v>
      </c>
      <c r="CJ666" s="23">
        <f t="shared" si="4490"/>
        <v>3.2195468391336579</v>
      </c>
      <c r="CK666" s="56">
        <f>CK279</f>
        <v>228.82649070227592</v>
      </c>
      <c r="CL666" s="23">
        <f t="shared" si="4490"/>
        <v>5.2155225886629575</v>
      </c>
      <c r="CM666" s="56">
        <f>CM279</f>
        <v>238.92389714011205</v>
      </c>
      <c r="CN666" s="23">
        <f t="shared" si="4490"/>
        <v>4.4126912084553105</v>
      </c>
      <c r="CO666" s="56">
        <f>CO279</f>
        <v>246.91519455282821</v>
      </c>
      <c r="CP666" s="23">
        <f t="shared" si="4490"/>
        <v>3.3447041122177223</v>
      </c>
      <c r="CQ666" s="56">
        <f>CQ279</f>
        <v>255.60776598641326</v>
      </c>
      <c r="CR666" s="23">
        <f t="shared" si="4490"/>
        <v>3.5204684139943598</v>
      </c>
      <c r="CS666" s="23">
        <f t="shared" si="4491"/>
        <v>3.9398059780662686</v>
      </c>
      <c r="CT666" s="91"/>
      <c r="CU666" s="91"/>
    </row>
    <row r="667" spans="1:99" ht="12.75" customHeight="1" x14ac:dyDescent="0.2">
      <c r="A667" s="31" t="s">
        <v>194</v>
      </c>
      <c r="B667" s="56">
        <f>B349</f>
        <v>77.527999999999977</v>
      </c>
      <c r="C667" s="59"/>
      <c r="D667" s="56">
        <f>D349</f>
        <v>85.192000000000064</v>
      </c>
      <c r="E667" s="59"/>
      <c r="F667" s="56">
        <f>F349</f>
        <v>65.16</v>
      </c>
      <c r="G667" s="59"/>
      <c r="H667" s="56">
        <f>H349</f>
        <v>57.918999999999976</v>
      </c>
      <c r="I667" s="59"/>
      <c r="J667" s="56">
        <f>J349</f>
        <v>46.764999999999951</v>
      </c>
      <c r="K667" s="23">
        <f t="shared" si="4467"/>
        <v>-39.679857599834946</v>
      </c>
      <c r="L667" s="56">
        <f>L349</f>
        <v>36.708000000000098</v>
      </c>
      <c r="M667" s="23" t="str">
        <f t="shared" si="4467"/>
        <v>NM</v>
      </c>
      <c r="N667" s="56">
        <f>N349</f>
        <v>44.452999999999946</v>
      </c>
      <c r="O667" s="23">
        <f t="shared" si="4467"/>
        <v>-31.778698588090936</v>
      </c>
      <c r="P667" s="56">
        <f>P349</f>
        <v>49.87300000000004</v>
      </c>
      <c r="Q667" s="23">
        <f t="shared" si="4467"/>
        <v>-13.891814430497663</v>
      </c>
      <c r="R667" s="56">
        <f>R349</f>
        <v>51.774999999999991</v>
      </c>
      <c r="S667" s="23">
        <f t="shared" si="4467"/>
        <v>10.713140168929858</v>
      </c>
      <c r="T667" s="56">
        <f>T349</f>
        <v>44.9</v>
      </c>
      <c r="U667" s="23">
        <f t="shared" si="4467"/>
        <v>22.316661218262723</v>
      </c>
      <c r="V667" s="56">
        <f>V349</f>
        <v>60.299999999999969</v>
      </c>
      <c r="W667" s="23">
        <f t="shared" si="4467"/>
        <v>35.648887589139179</v>
      </c>
      <c r="X667" s="56">
        <f>X349</f>
        <v>51.7</v>
      </c>
      <c r="Y667" s="23">
        <f t="shared" si="4467"/>
        <v>3.6633047941771357</v>
      </c>
      <c r="Z667" s="56">
        <f>Z349</f>
        <v>38.200000000000081</v>
      </c>
      <c r="AA667" s="23">
        <f t="shared" si="4468"/>
        <v>-26.21921776919346</v>
      </c>
      <c r="AB667" s="56">
        <f>AB349</f>
        <v>64.89999999999992</v>
      </c>
      <c r="AC667" s="23">
        <f t="shared" si="4469"/>
        <v>44.54342984409783</v>
      </c>
      <c r="AD667" s="56">
        <f>AD349</f>
        <v>41.790000000000013</v>
      </c>
      <c r="AE667" s="23">
        <f t="shared" si="4470"/>
        <v>-30.696517412935265</v>
      </c>
      <c r="AF667" s="56">
        <f>AF349</f>
        <v>75.800000000000054</v>
      </c>
      <c r="AG667" s="23">
        <f t="shared" si="4471"/>
        <v>46.615087040619052</v>
      </c>
      <c r="AH667" s="56">
        <f>AH349</f>
        <v>41.519999999999975</v>
      </c>
      <c r="AI667" s="23">
        <f t="shared" si="4472"/>
        <v>8.69109947643949</v>
      </c>
      <c r="AJ667" s="56">
        <f>AJ349</f>
        <v>52.300000000000047</v>
      </c>
      <c r="AK667" s="23">
        <f t="shared" si="4473"/>
        <v>-19.414483821263307</v>
      </c>
      <c r="AL667" s="56">
        <f>AL349</f>
        <v>18.400000000000045</v>
      </c>
      <c r="AM667" s="23" t="str">
        <f t="shared" si="4474"/>
        <v>NM</v>
      </c>
      <c r="AN667" s="413">
        <f>AN349</f>
        <v>75.899999999999977</v>
      </c>
      <c r="AO667" s="23">
        <f t="shared" si="4475"/>
        <v>0.13192612137193915</v>
      </c>
      <c r="AP667" s="413">
        <f>AP349</f>
        <v>48.999999999999964</v>
      </c>
      <c r="AQ667" s="23">
        <f t="shared" si="4476"/>
        <v>18.015414258188798</v>
      </c>
      <c r="AR667" s="413">
        <f>AR349</f>
        <v>54.299999999999983</v>
      </c>
      <c r="AS667" s="23">
        <f t="shared" si="4477"/>
        <v>3.8240917782025541</v>
      </c>
      <c r="AT667" s="413">
        <f>AT349</f>
        <v>43.899999999999949</v>
      </c>
      <c r="AU667" s="23" t="str">
        <f t="shared" si="4478"/>
        <v>NM</v>
      </c>
      <c r="AV667" s="413">
        <f>AV349</f>
        <v>42.499999999999979</v>
      </c>
      <c r="AW667" s="23">
        <f t="shared" si="4479"/>
        <v>-44.005270092226624</v>
      </c>
      <c r="AX667" s="413">
        <f>AX349</f>
        <v>38.599999999999987</v>
      </c>
      <c r="AY667" s="23">
        <f t="shared" si="4480"/>
        <v>-21.224489795918334</v>
      </c>
      <c r="AZ667" s="413">
        <f>AZ349</f>
        <v>59.299999999999955</v>
      </c>
      <c r="BA667" s="23">
        <f t="shared" si="4481"/>
        <v>9.2081031307550187</v>
      </c>
      <c r="BB667" s="413">
        <f>BB349</f>
        <v>54.799999999999955</v>
      </c>
      <c r="BC667" s="23">
        <f t="shared" si="4482"/>
        <v>24.829157175398684</v>
      </c>
      <c r="BD667" s="413">
        <f>BD349</f>
        <v>66</v>
      </c>
      <c r="BE667" s="23">
        <f t="shared" si="4483"/>
        <v>55.294117647058897</v>
      </c>
      <c r="BF667" s="56">
        <f>BF349</f>
        <v>48.933121618771906</v>
      </c>
      <c r="BG667" s="23">
        <f t="shared" si="4484"/>
        <v>26.769745126352127</v>
      </c>
      <c r="BH667" s="56">
        <f>BH349</f>
        <v>56.043941810855813</v>
      </c>
      <c r="BI667" s="23">
        <f t="shared" si="4485"/>
        <v>-5.4908232531941774</v>
      </c>
      <c r="BJ667" s="56">
        <f>BJ349</f>
        <v>59.296178110277367</v>
      </c>
      <c r="BK667" s="23">
        <f t="shared" si="4486"/>
        <v>8.2047045807982055</v>
      </c>
      <c r="BL667" s="56">
        <f>BL349</f>
        <v>60.63713400486904</v>
      </c>
      <c r="BM667" s="23">
        <f t="shared" si="4487"/>
        <v>-8.1255545380772176</v>
      </c>
      <c r="BN667" s="5"/>
      <c r="BO667" s="137"/>
      <c r="BP667" s="5"/>
      <c r="BQ667" s="56">
        <f>BQ349</f>
        <v>351.5</v>
      </c>
      <c r="BR667" s="10"/>
      <c r="BS667" s="56">
        <f>BS349</f>
        <v>285.89999999999998</v>
      </c>
      <c r="BT667" s="10"/>
      <c r="BU667" s="56">
        <f>BU349</f>
        <v>285.79899999999975</v>
      </c>
      <c r="BV667" s="23">
        <f t="shared" si="4488"/>
        <v>-3.5327037425747498E-2</v>
      </c>
      <c r="BW667" s="56">
        <f>BW349</f>
        <v>177.79899999999975</v>
      </c>
      <c r="BX667" s="23">
        <f t="shared" si="4489"/>
        <v>-37.788795622098078</v>
      </c>
      <c r="BY667" s="56">
        <f>BY349</f>
        <v>208.67499999999995</v>
      </c>
      <c r="BZ667" s="23">
        <f t="shared" si="4490"/>
        <v>17.365676972311572</v>
      </c>
      <c r="CA667" s="56">
        <f>CA349</f>
        <v>220.69000000000017</v>
      </c>
      <c r="CB667" s="23">
        <f t="shared" si="4490"/>
        <v>5.7577572780640685</v>
      </c>
      <c r="CC667" s="56">
        <f>CC349</f>
        <v>188.12000000000003</v>
      </c>
      <c r="CD667" s="23">
        <f t="shared" si="4490"/>
        <v>-14.758258190221628</v>
      </c>
      <c r="CE667" s="56">
        <f>CE349</f>
        <v>189.6999999999999</v>
      </c>
      <c r="CF667" s="23">
        <f t="shared" si="4490"/>
        <v>0.83988943227719659</v>
      </c>
      <c r="CG667" s="56">
        <f>CG349</f>
        <v>218.69999999999996</v>
      </c>
      <c r="CH667" s="23">
        <f t="shared" si="4490"/>
        <v>15.287295730100192</v>
      </c>
      <c r="CI667" s="56">
        <f>CI349</f>
        <v>224.91037554477407</v>
      </c>
      <c r="CJ667" s="23">
        <f t="shared" si="4490"/>
        <v>2.8396778897000985</v>
      </c>
      <c r="CK667" s="56">
        <f>CK349</f>
        <v>227.57663464966186</v>
      </c>
      <c r="CL667" s="23">
        <f t="shared" si="4490"/>
        <v>1.1854762584561085</v>
      </c>
      <c r="CM667" s="56">
        <f>CM349</f>
        <v>231.32052167082247</v>
      </c>
      <c r="CN667" s="23">
        <f t="shared" si="4490"/>
        <v>1.6451104600101241</v>
      </c>
      <c r="CO667" s="56">
        <f>CO349</f>
        <v>235.11407968444178</v>
      </c>
      <c r="CP667" s="23">
        <f t="shared" si="4490"/>
        <v>1.6399574003285622</v>
      </c>
      <c r="CQ667" s="56">
        <f>CQ349</f>
        <v>238.95766936922246</v>
      </c>
      <c r="CR667" s="23">
        <f t="shared" si="4490"/>
        <v>1.6347764837985723</v>
      </c>
      <c r="CS667" s="23">
        <f t="shared" si="4491"/>
        <v>1.7874977388157021</v>
      </c>
      <c r="CT667" s="91"/>
      <c r="CU667" s="91"/>
    </row>
    <row r="668" spans="1:99" ht="12.75" customHeight="1" x14ac:dyDescent="0.2">
      <c r="A668" s="31" t="s">
        <v>195</v>
      </c>
      <c r="B668" s="56">
        <f>B422</f>
        <v>13.335955239999976</v>
      </c>
      <c r="C668" s="59"/>
      <c r="D668" s="56">
        <f>D422</f>
        <v>30.890866800000012</v>
      </c>
      <c r="E668" s="59"/>
      <c r="F668" s="56">
        <f>F422</f>
        <v>17.992191009999985</v>
      </c>
      <c r="G668" s="59"/>
      <c r="H668" s="56">
        <f>H422</f>
        <v>21.099437460000019</v>
      </c>
      <c r="I668" s="59"/>
      <c r="J668" s="56">
        <f>J422</f>
        <v>12.196000000000009</v>
      </c>
      <c r="K668" s="23">
        <f t="shared" si="4467"/>
        <v>-8.5479833989002607</v>
      </c>
      <c r="L668" s="56">
        <f>L422</f>
        <v>32.804999999999993</v>
      </c>
      <c r="M668" s="23">
        <f t="shared" si="4467"/>
        <v>6.1964373236686798</v>
      </c>
      <c r="N668" s="56">
        <f>N422</f>
        <v>35.429999999999986</v>
      </c>
      <c r="O668" s="23">
        <f t="shared" si="4467"/>
        <v>96.918763147346198</v>
      </c>
      <c r="P668" s="56">
        <f>P422</f>
        <v>28.621000000000038</v>
      </c>
      <c r="Q668" s="23">
        <f t="shared" si="4467"/>
        <v>35.64816623314853</v>
      </c>
      <c r="R668" s="56">
        <f>R422</f>
        <v>10.774999999999991</v>
      </c>
      <c r="S668" s="23">
        <f t="shared" si="4467"/>
        <v>-11.65136110200079</v>
      </c>
      <c r="T668" s="56">
        <f>T422</f>
        <v>34.09999999999998</v>
      </c>
      <c r="U668" s="23">
        <f t="shared" si="4467"/>
        <v>3.9475689681450543</v>
      </c>
      <c r="V668" s="56">
        <f>V422</f>
        <v>25.09999999999998</v>
      </c>
      <c r="W668" s="23">
        <f t="shared" si="4467"/>
        <v>-29.156082416031637</v>
      </c>
      <c r="X668" s="56">
        <f>X422</f>
        <v>30.699999999999985</v>
      </c>
      <c r="Y668" s="23">
        <f t="shared" si="4467"/>
        <v>7.263897138464559</v>
      </c>
      <c r="Z668" s="56">
        <f>Z422</f>
        <v>21.499999999999993</v>
      </c>
      <c r="AA668" s="23">
        <f t="shared" si="4468"/>
        <v>99.535962877030258</v>
      </c>
      <c r="AB668" s="56">
        <f>AB422</f>
        <v>39.600000000000009</v>
      </c>
      <c r="AC668" s="23">
        <f t="shared" si="4469"/>
        <v>16.129032258064612</v>
      </c>
      <c r="AD668" s="56">
        <f>AD422</f>
        <v>37.76</v>
      </c>
      <c r="AE668" s="23">
        <f t="shared" si="4470"/>
        <v>50.438247011952299</v>
      </c>
      <c r="AF668" s="56">
        <f>AF422</f>
        <v>57.5</v>
      </c>
      <c r="AG668" s="23">
        <f t="shared" si="4471"/>
        <v>87.296416938110838</v>
      </c>
      <c r="AH668" s="56">
        <f>AH422</f>
        <v>42.109999999999992</v>
      </c>
      <c r="AI668" s="23">
        <f t="shared" si="4472"/>
        <v>95.860465116279101</v>
      </c>
      <c r="AJ668" s="56">
        <f>AJ422</f>
        <v>38.599999999999987</v>
      </c>
      <c r="AK668" s="23">
        <f t="shared" si="4473"/>
        <v>-2.5252525252525748</v>
      </c>
      <c r="AL668" s="56">
        <f>AL422</f>
        <v>46.79999999999999</v>
      </c>
      <c r="AM668" s="23">
        <f t="shared" si="4474"/>
        <v>23.940677966101664</v>
      </c>
      <c r="AN668" s="413">
        <f>AN422</f>
        <v>23.799999999999994</v>
      </c>
      <c r="AO668" s="23" t="str">
        <f t="shared" si="4475"/>
        <v>NM</v>
      </c>
      <c r="AP668" s="413">
        <f>AP422</f>
        <v>23.099999999999998</v>
      </c>
      <c r="AQ668" s="23">
        <f t="shared" si="4476"/>
        <v>-45.143671336974592</v>
      </c>
      <c r="AR668" s="413">
        <f>AR422</f>
        <v>33.800000000000011</v>
      </c>
      <c r="AS668" s="23">
        <f t="shared" si="4477"/>
        <v>-12.435233160621706</v>
      </c>
      <c r="AT668" s="413">
        <f>AT422</f>
        <v>23.500000000000011</v>
      </c>
      <c r="AU668" s="23">
        <f t="shared" si="4478"/>
        <v>-49.786324786324755</v>
      </c>
      <c r="AV668" s="413">
        <f>AV422</f>
        <v>30.899999999999991</v>
      </c>
      <c r="AW668" s="23">
        <f t="shared" si="4479"/>
        <v>29.831932773109248</v>
      </c>
      <c r="AX668" s="413">
        <f>AX422</f>
        <v>11.600000000000009</v>
      </c>
      <c r="AY668" s="23">
        <f t="shared" si="4480"/>
        <v>-49.783549783549738</v>
      </c>
      <c r="AZ668" s="413">
        <f>AZ422</f>
        <v>26</v>
      </c>
      <c r="BA668" s="23">
        <f t="shared" si="4481"/>
        <v>-23.076923076923105</v>
      </c>
      <c r="BB668" s="413">
        <f>BB422</f>
        <v>32.000000000000014</v>
      </c>
      <c r="BC668" s="23">
        <f t="shared" si="4482"/>
        <v>36.170212765957444</v>
      </c>
      <c r="BD668" s="413">
        <f>BD422</f>
        <v>29</v>
      </c>
      <c r="BE668" s="23">
        <f t="shared" si="4483"/>
        <v>-6.1488673139158294</v>
      </c>
      <c r="BF668" s="56">
        <f>BF422</f>
        <v>16.884465653513402</v>
      </c>
      <c r="BG668" s="23">
        <f t="shared" si="4484"/>
        <v>45.555738392356801</v>
      </c>
      <c r="BH668" s="56">
        <f>BH422</f>
        <v>33.501306462761917</v>
      </c>
      <c r="BI668" s="23">
        <f t="shared" si="4485"/>
        <v>28.851178702930458</v>
      </c>
      <c r="BJ668" s="56">
        <f>BJ422</f>
        <v>36.909836447959435</v>
      </c>
      <c r="BK668" s="23">
        <f t="shared" si="4486"/>
        <v>15.343238899873191</v>
      </c>
      <c r="BL668" s="56">
        <f>BL422</f>
        <v>32.247343876921292</v>
      </c>
      <c r="BM668" s="23">
        <f t="shared" si="4487"/>
        <v>11.197737506625138</v>
      </c>
      <c r="BN668" s="5"/>
      <c r="BO668" s="137"/>
      <c r="BP668" s="5"/>
      <c r="BQ668" s="56">
        <f>BQ422</f>
        <v>37.19999999999996</v>
      </c>
      <c r="BR668" s="10"/>
      <c r="BS668" s="56">
        <f>BS422</f>
        <v>83.999999999999943</v>
      </c>
      <c r="BT668" s="10"/>
      <c r="BU668" s="56">
        <f>BU422</f>
        <v>83.318450509999991</v>
      </c>
      <c r="BV668" s="23">
        <f t="shared" si="4488"/>
        <v>-0.81136844047613454</v>
      </c>
      <c r="BW668" s="56">
        <f>BW422</f>
        <v>109.05199999999988</v>
      </c>
      <c r="BX668" s="23">
        <f t="shared" si="4489"/>
        <v>30.885775398465086</v>
      </c>
      <c r="BY668" s="56">
        <f>BY422</f>
        <v>100.67500000000008</v>
      </c>
      <c r="BZ668" s="23">
        <f t="shared" si="4490"/>
        <v>-7.6816564574696544</v>
      </c>
      <c r="CA668" s="56">
        <f>CA422</f>
        <v>156.35999999999987</v>
      </c>
      <c r="CB668" s="23">
        <f t="shared" si="4490"/>
        <v>55.311646386888256</v>
      </c>
      <c r="CC668" s="56">
        <f>CC422</f>
        <v>151.30999999999992</v>
      </c>
      <c r="CD668" s="23">
        <f t="shared" si="4490"/>
        <v>-3.2297262727039922</v>
      </c>
      <c r="CE668" s="56">
        <f>CE422</f>
        <v>111.30000000000001</v>
      </c>
      <c r="CF668" s="23">
        <f t="shared" si="4490"/>
        <v>-26.442403013680472</v>
      </c>
      <c r="CG668" s="56">
        <f>CG422</f>
        <v>98.60000000000008</v>
      </c>
      <c r="CH668" s="23">
        <f t="shared" si="4490"/>
        <v>-11.410601976639645</v>
      </c>
      <c r="CI668" s="56">
        <f>CI422</f>
        <v>119.54295244115605</v>
      </c>
      <c r="CJ668" s="23">
        <f t="shared" si="4490"/>
        <v>21.240316877440101</v>
      </c>
      <c r="CK668" s="56">
        <f>CK422</f>
        <v>127.59095869892695</v>
      </c>
      <c r="CL668" s="23">
        <f t="shared" si="4490"/>
        <v>6.7323134433478815</v>
      </c>
      <c r="CM668" s="56">
        <f>CM422</f>
        <v>130.03756043703845</v>
      </c>
      <c r="CN668" s="23">
        <f t="shared" si="4490"/>
        <v>1.917535351297639</v>
      </c>
      <c r="CO668" s="56">
        <f>CO422</f>
        <v>132.45070490350696</v>
      </c>
      <c r="CP668" s="23">
        <f t="shared" si="4490"/>
        <v>1.8557288050915943</v>
      </c>
      <c r="CQ668" s="56">
        <f>CQ422</f>
        <v>134.82208720827538</v>
      </c>
      <c r="CR668" s="23">
        <f t="shared" si="4490"/>
        <v>1.7903885875851122</v>
      </c>
      <c r="CS668" s="23">
        <f t="shared" si="4491"/>
        <v>6.4576380271017753</v>
      </c>
      <c r="CT668" s="91"/>
      <c r="CU668" s="91"/>
    </row>
    <row r="669" spans="1:99" ht="12.75" customHeight="1" x14ac:dyDescent="0.2">
      <c r="A669" s="3" t="s">
        <v>223</v>
      </c>
      <c r="B669" s="73">
        <f t="shared" ref="B669:N669" si="4492">SUM(B664:B668)</f>
        <v>251.22695524</v>
      </c>
      <c r="C669" s="59"/>
      <c r="D669" s="73">
        <f t="shared" si="4492"/>
        <v>317.06286680000017</v>
      </c>
      <c r="E669" s="59"/>
      <c r="F669" s="73">
        <f t="shared" si="4492"/>
        <v>252.00319100999991</v>
      </c>
      <c r="G669" s="59"/>
      <c r="H669" s="73">
        <f t="shared" si="4492"/>
        <v>155.59043746000006</v>
      </c>
      <c r="I669" s="59"/>
      <c r="J669" s="73">
        <f t="shared" si="4492"/>
        <v>241.53999999999982</v>
      </c>
      <c r="K669" s="23">
        <f t="shared" si="4467"/>
        <v>-3.8558582341397751</v>
      </c>
      <c r="L669" s="73">
        <f t="shared" si="4492"/>
        <v>279.01700000000005</v>
      </c>
      <c r="M669" s="23">
        <f t="shared" si="4467"/>
        <v>-11.999471014686513</v>
      </c>
      <c r="N669" s="73">
        <f t="shared" si="4492"/>
        <v>295.03900000000004</v>
      </c>
      <c r="O669" s="23">
        <f t="shared" si="4467"/>
        <v>17.077485732429643</v>
      </c>
      <c r="P669" s="73">
        <f>SUM(P664:P668)</f>
        <v>277.11300000000017</v>
      </c>
      <c r="Q669" s="23">
        <f t="shared" si="4467"/>
        <v>78.104133212712185</v>
      </c>
      <c r="R669" s="73">
        <f>SUM(R664:R668)</f>
        <v>265</v>
      </c>
      <c r="S669" s="23">
        <f t="shared" si="4467"/>
        <v>9.7126769893186129</v>
      </c>
      <c r="T669" s="73">
        <f>SUM(T664:T668)</f>
        <v>291.58200000000005</v>
      </c>
      <c r="U669" s="23">
        <f t="shared" si="4467"/>
        <v>4.5033098341678013</v>
      </c>
      <c r="V669" s="73">
        <f>SUM(V664:V668)</f>
        <v>306.69999999999993</v>
      </c>
      <c r="W669" s="23">
        <f t="shared" si="4467"/>
        <v>3.9523588406956023</v>
      </c>
      <c r="X669" s="73">
        <f>SUM(X664:X668)</f>
        <v>323.59999999999997</v>
      </c>
      <c r="Y669" s="23">
        <f t="shared" si="4467"/>
        <v>16.775467047738559</v>
      </c>
      <c r="Z669" s="73">
        <f>SUM(Z664:Z668)</f>
        <v>287.30000000000018</v>
      </c>
      <c r="AA669" s="23">
        <f t="shared" si="4468"/>
        <v>8.4150943396227085</v>
      </c>
      <c r="AB669" s="73">
        <f>SUM(AB664:AB668)</f>
        <v>345.7000000000001</v>
      </c>
      <c r="AC669" s="23">
        <f t="shared" si="4469"/>
        <v>18.560130597910728</v>
      </c>
      <c r="AD669" s="73">
        <f>SUM(AD664:AD668)</f>
        <v>325.3</v>
      </c>
      <c r="AE669" s="23">
        <f t="shared" si="4470"/>
        <v>6.0645582001956688</v>
      </c>
      <c r="AF669" s="73">
        <f>SUM(AF664:AF668)</f>
        <v>395.39999999999992</v>
      </c>
      <c r="AG669" s="23">
        <f t="shared" si="4471"/>
        <v>22.187886279357215</v>
      </c>
      <c r="AH669" s="73">
        <f>SUM(AH664:AH668)</f>
        <v>318.97000000000003</v>
      </c>
      <c r="AI669" s="23">
        <f t="shared" si="4472"/>
        <v>11.023320570831817</v>
      </c>
      <c r="AJ669" s="73">
        <f>SUM(AJ664:AJ668)</f>
        <v>318.8</v>
      </c>
      <c r="AK669" s="23">
        <f t="shared" si="4473"/>
        <v>-7.7813132774081861</v>
      </c>
      <c r="AL669" s="73">
        <f>SUM(AL664:AL668)</f>
        <v>303.19999999999993</v>
      </c>
      <c r="AM669" s="23">
        <f t="shared" si="4474"/>
        <v>-6.7937288656624855</v>
      </c>
      <c r="AN669" s="73">
        <f t="shared" ref="AN669:AP669" si="4493">SUM(AN664:AN668)</f>
        <v>319.50000000000006</v>
      </c>
      <c r="AO669" s="23">
        <f t="shared" si="4475"/>
        <v>-19.195751138087978</v>
      </c>
      <c r="AP669" s="73">
        <f t="shared" si="4493"/>
        <v>196.69999999999985</v>
      </c>
      <c r="AQ669" s="23">
        <f t="shared" si="4476"/>
        <v>-38.332758566636414</v>
      </c>
      <c r="AR669" s="73">
        <f t="shared" ref="AR669:AT669" si="4494">SUM(AR664:AR668)</f>
        <v>261.57058823529405</v>
      </c>
      <c r="AS669" s="23">
        <f t="shared" si="4477"/>
        <v>-17.951509336482417</v>
      </c>
      <c r="AT669" s="73">
        <f t="shared" si="4494"/>
        <v>247.1999999999999</v>
      </c>
      <c r="AU669" s="23">
        <f t="shared" si="4478"/>
        <v>-18.469656992084449</v>
      </c>
      <c r="AV669" s="73">
        <f>SUM(AV664:AV668)</f>
        <v>280.69999999999993</v>
      </c>
      <c r="AW669" s="23">
        <f t="shared" si="4479"/>
        <v>-12.143974960876402</v>
      </c>
      <c r="AX669" s="73">
        <f>SUM(AX664:AX668)</f>
        <v>227.99999999999983</v>
      </c>
      <c r="AY669" s="23">
        <f t="shared" si="4480"/>
        <v>15.912557193695998</v>
      </c>
      <c r="AZ669" s="73">
        <f>SUM(AZ664:AZ668)</f>
        <v>282.49999999999989</v>
      </c>
      <c r="BA669" s="23">
        <f t="shared" si="4481"/>
        <v>8.001439269570664</v>
      </c>
      <c r="BB669" s="73">
        <f>SUM(BB664:BB668)</f>
        <v>284.20000000000005</v>
      </c>
      <c r="BC669" s="23">
        <f t="shared" si="4482"/>
        <v>14.967637540453138</v>
      </c>
      <c r="BD669" s="73">
        <f>SUM(BD664:BD668)</f>
        <v>303.19999999999993</v>
      </c>
      <c r="BE669" s="23">
        <f t="shared" si="4483"/>
        <v>8.0156750979693658</v>
      </c>
      <c r="BF669" s="73">
        <f t="shared" ref="BF669" si="4495">SUM(BF664:BF668)</f>
        <v>260.91592862875552</v>
      </c>
      <c r="BG669" s="23">
        <f t="shared" si="4484"/>
        <v>14.43681080208583</v>
      </c>
      <c r="BH669" s="73">
        <f t="shared" ref="BH669" si="4496">SUM(BH664:BH668)</f>
        <v>294.40032272784299</v>
      </c>
      <c r="BI669" s="23">
        <f t="shared" si="4485"/>
        <v>4.2125036204754274</v>
      </c>
      <c r="BJ669" s="73">
        <f t="shared" ref="BJ669" si="4497">SUM(BJ664:BJ668)</f>
        <v>296.29061969113837</v>
      </c>
      <c r="BK669" s="23">
        <f t="shared" si="4486"/>
        <v>4.2542644937151097</v>
      </c>
      <c r="BL669" s="73">
        <f t="shared" ref="BL669" si="4498">SUM(BL664:BL668)</f>
        <v>301.30401841016374</v>
      </c>
      <c r="BM669" s="23">
        <f t="shared" si="4487"/>
        <v>-0.62532374334967056</v>
      </c>
      <c r="BN669" s="7"/>
      <c r="BO669" s="143"/>
      <c r="BP669" s="7"/>
      <c r="BQ669" s="73">
        <f>SUM(BQ664:BQ668)</f>
        <v>766.9</v>
      </c>
      <c r="BR669" s="8"/>
      <c r="BS669" s="73">
        <f>SUM(BS664:BS668)</f>
        <v>854.40000000000032</v>
      </c>
      <c r="BT669" s="8"/>
      <c r="BU669" s="73">
        <f>SUM(BU664:BU668)</f>
        <v>975.88345050999942</v>
      </c>
      <c r="BV669" s="23">
        <f t="shared" si="4488"/>
        <v>14.218568645833219</v>
      </c>
      <c r="BW669" s="73">
        <f t="shared" ref="BW669:CA669" si="4499">SUM(BW664:BW668)</f>
        <v>1092.7090000000003</v>
      </c>
      <c r="BX669" s="23">
        <f t="shared" si="4489"/>
        <v>11.971260443954401</v>
      </c>
      <c r="BY669" s="73">
        <f t="shared" si="4499"/>
        <v>1186.8820000000003</v>
      </c>
      <c r="BZ669" s="23">
        <f t="shared" si="4490"/>
        <v>8.6183055140938603</v>
      </c>
      <c r="CA669" s="73">
        <f t="shared" si="4499"/>
        <v>1353.7000000000003</v>
      </c>
      <c r="CB669" s="23">
        <f t="shared" si="4490"/>
        <v>14.055146172913568</v>
      </c>
      <c r="CC669" s="73">
        <f t="shared" ref="CC669" si="4500">SUM(CC664:CC668)</f>
        <v>1260.47</v>
      </c>
      <c r="CD669" s="23">
        <f t="shared" si="4490"/>
        <v>-6.8870503065671995</v>
      </c>
      <c r="CE669" s="73">
        <f t="shared" ref="CE669" si="4501">SUM(CE664:CE668)</f>
        <v>986.17058823529419</v>
      </c>
      <c r="CF669" s="23">
        <f t="shared" si="4490"/>
        <v>-21.761677133506218</v>
      </c>
      <c r="CG669" s="73">
        <f t="shared" ref="CG669" si="4502">SUM(CG664:CG668)</f>
        <v>1097.9000000000001</v>
      </c>
      <c r="CH669" s="23">
        <f t="shared" si="4490"/>
        <v>11.329623200854178</v>
      </c>
      <c r="CI669" s="73">
        <f t="shared" ref="CI669" si="4503">SUM(CI664:CI668)</f>
        <v>1152.9108894579006</v>
      </c>
      <c r="CJ669" s="23">
        <f t="shared" si="4490"/>
        <v>5.0105555567811599</v>
      </c>
      <c r="CK669" s="73">
        <f>SUM(CK664:CK668)</f>
        <v>1201.1782067360518</v>
      </c>
      <c r="CL669" s="23">
        <f t="shared" si="4490"/>
        <v>4.186560966636943</v>
      </c>
      <c r="CM669" s="73">
        <f>SUM(CM664:CM668)</f>
        <v>1247.1799693054431</v>
      </c>
      <c r="CN669" s="23">
        <f t="shared" si="4490"/>
        <v>3.8297200458199621</v>
      </c>
      <c r="CO669" s="73">
        <f>SUM(CO664:CO668)</f>
        <v>1292.1206649492401</v>
      </c>
      <c r="CP669" s="23">
        <f t="shared" si="4490"/>
        <v>3.6033849764941728</v>
      </c>
      <c r="CQ669" s="73">
        <f>SUM(CQ664:CQ668)</f>
        <v>1336.6261181310085</v>
      </c>
      <c r="CR669" s="23">
        <f t="shared" si="4490"/>
        <v>3.4443728352194336</v>
      </c>
      <c r="CS669" s="23">
        <f t="shared" si="4491"/>
        <v>4.0134332288120467</v>
      </c>
      <c r="CT669" s="91"/>
      <c r="CU669" s="91"/>
    </row>
    <row r="670" spans="1:99" ht="12.75" customHeight="1" x14ac:dyDescent="0.2">
      <c r="A670" s="4" t="s">
        <v>186</v>
      </c>
      <c r="B670" s="56">
        <f>B443</f>
        <v>-44.3</v>
      </c>
      <c r="C670" s="59"/>
      <c r="D670" s="56">
        <f>D443</f>
        <v>-69.099999999999994</v>
      </c>
      <c r="E670" s="59"/>
      <c r="F670" s="56">
        <f>F443</f>
        <v>-20.800000000000004</v>
      </c>
      <c r="G670" s="59"/>
      <c r="H670" s="56">
        <f>H443</f>
        <v>-27.099999999999994</v>
      </c>
      <c r="I670" s="59"/>
      <c r="J670" s="56">
        <f>J443</f>
        <v>-48.4</v>
      </c>
      <c r="K670" s="23">
        <f t="shared" si="4467"/>
        <v>9.2550790067720037</v>
      </c>
      <c r="L670" s="56">
        <f>L443</f>
        <v>-32.700000000000003</v>
      </c>
      <c r="M670" s="23" t="str">
        <f t="shared" si="4467"/>
        <v>NM</v>
      </c>
      <c r="N670" s="56">
        <f>N443</f>
        <v>-57.6</v>
      </c>
      <c r="O670" s="23" t="str">
        <f t="shared" si="4467"/>
        <v>NM</v>
      </c>
      <c r="P670" s="56">
        <f>P443</f>
        <v>-43.600000000000009</v>
      </c>
      <c r="Q670" s="23">
        <f t="shared" si="4467"/>
        <v>60.885608856088623</v>
      </c>
      <c r="R670" s="56">
        <f>R443</f>
        <v>-50.1</v>
      </c>
      <c r="S670" s="23">
        <f t="shared" si="4467"/>
        <v>3.512396694214881</v>
      </c>
      <c r="T670" s="56">
        <f>T443</f>
        <v>-52.800000000000011</v>
      </c>
      <c r="U670" s="23">
        <f t="shared" si="4467"/>
        <v>61.467889908256915</v>
      </c>
      <c r="V670" s="56">
        <f>V443</f>
        <v>-63.699999999999996</v>
      </c>
      <c r="W670" s="23">
        <f t="shared" si="4467"/>
        <v>10.590277777777768</v>
      </c>
      <c r="X670" s="56">
        <f>X443</f>
        <v>-47.2</v>
      </c>
      <c r="Y670" s="23">
        <f t="shared" si="4467"/>
        <v>8.2568807339449499</v>
      </c>
      <c r="Z670" s="56">
        <f>Z443</f>
        <v>-35.5</v>
      </c>
      <c r="AA670" s="23">
        <f t="shared" si="4468"/>
        <v>-29.141716566866272</v>
      </c>
      <c r="AB670" s="56">
        <f>AB443</f>
        <v>-44.000000000000007</v>
      </c>
      <c r="AC670" s="23">
        <f t="shared" si="4469"/>
        <v>-16.666666666666675</v>
      </c>
      <c r="AD670" s="56">
        <f>AD443</f>
        <v>-48.080000000000005</v>
      </c>
      <c r="AE670" s="23">
        <f t="shared" si="4470"/>
        <v>-24.521193092621651</v>
      </c>
      <c r="AF670" s="56">
        <f>AF443</f>
        <v>-49.2</v>
      </c>
      <c r="AG670" s="23">
        <f t="shared" si="4471"/>
        <v>4.237288135593209</v>
      </c>
      <c r="AH670" s="56">
        <f>AH443</f>
        <v>-48.28</v>
      </c>
      <c r="AI670" s="23">
        <f t="shared" si="4472"/>
        <v>36.000000000000007</v>
      </c>
      <c r="AJ670" s="56">
        <f>AJ443</f>
        <v>-51.899999999999991</v>
      </c>
      <c r="AK670" s="23">
        <f t="shared" si="4473"/>
        <v>17.954545454545425</v>
      </c>
      <c r="AL670" s="56">
        <f>AL443</f>
        <v>-75.400000000000006</v>
      </c>
      <c r="AM670" s="23">
        <f t="shared" si="4474"/>
        <v>56.82196339434276</v>
      </c>
      <c r="AN670" s="413">
        <f>AN443</f>
        <v>-80</v>
      </c>
      <c r="AO670" s="23">
        <f t="shared" si="4475"/>
        <v>62.601626016260155</v>
      </c>
      <c r="AP670" s="413">
        <f>AP443</f>
        <v>-102.5</v>
      </c>
      <c r="AQ670" s="23" t="str">
        <f t="shared" si="4476"/>
        <v>NM</v>
      </c>
      <c r="AR670" s="413">
        <f>AR443</f>
        <v>-108.2</v>
      </c>
      <c r="AS670" s="23" t="str">
        <f t="shared" si="4477"/>
        <v>NM</v>
      </c>
      <c r="AT670" s="413">
        <f>AT443</f>
        <v>-107.6</v>
      </c>
      <c r="AU670" s="23">
        <f t="shared" si="4478"/>
        <v>42.705570291777171</v>
      </c>
      <c r="AV670" s="413">
        <f>AV443</f>
        <v>-131.9</v>
      </c>
      <c r="AW670" s="23">
        <f t="shared" si="4479"/>
        <v>64.875000000000014</v>
      </c>
      <c r="AX670" s="413">
        <f>AX443</f>
        <v>-95.1</v>
      </c>
      <c r="AY670" s="23">
        <f t="shared" si="4480"/>
        <v>-7.2195121951219576</v>
      </c>
      <c r="AZ670" s="413">
        <f>AZ443</f>
        <v>-100.5</v>
      </c>
      <c r="BA670" s="23">
        <f t="shared" si="4481"/>
        <v>-7.1164510166358603</v>
      </c>
      <c r="BB670" s="413">
        <f>BB443</f>
        <v>-110</v>
      </c>
      <c r="BC670" s="23">
        <f t="shared" si="4482"/>
        <v>2.2304832713754719</v>
      </c>
      <c r="BD670" s="413">
        <f>BD443</f>
        <v>-88.699999999999989</v>
      </c>
      <c r="BE670" s="23">
        <f t="shared" si="4483"/>
        <v>-32.752084912812748</v>
      </c>
      <c r="BF670" s="56">
        <f>BF443</f>
        <v>-78.5</v>
      </c>
      <c r="BG670" s="23">
        <f t="shared" si="4484"/>
        <v>-17.455310199789686</v>
      </c>
      <c r="BH670" s="56">
        <f>BH443</f>
        <v>-81.5</v>
      </c>
      <c r="BI670" s="23">
        <f t="shared" si="4485"/>
        <v>-18.905472636815922</v>
      </c>
      <c r="BJ670" s="56">
        <f>BJ443</f>
        <v>-70.352499999999992</v>
      </c>
      <c r="BK670" s="23">
        <f t="shared" si="4486"/>
        <v>-36.043181818181822</v>
      </c>
      <c r="BL670" s="56">
        <f>BL443</f>
        <v>-65.352499999999992</v>
      </c>
      <c r="BM670" s="23">
        <f t="shared" si="4487"/>
        <v>-26.321871476888393</v>
      </c>
      <c r="BN670" s="5"/>
      <c r="BO670" s="137"/>
      <c r="BP670" s="5"/>
      <c r="BQ670" s="56">
        <f>BQ443</f>
        <v>-470.49999999999994</v>
      </c>
      <c r="BR670" s="10"/>
      <c r="BS670" s="56">
        <f>BS443</f>
        <v>-399.1</v>
      </c>
      <c r="BT670" s="10"/>
      <c r="BU670" s="56">
        <f>BU443</f>
        <v>-161.29999999999995</v>
      </c>
      <c r="BV670" s="23" t="str">
        <f t="shared" si="4488"/>
        <v>NM</v>
      </c>
      <c r="BW670" s="56">
        <f>BW443</f>
        <v>-182.3</v>
      </c>
      <c r="BX670" s="23">
        <f t="shared" si="4489"/>
        <v>13.019218846869229</v>
      </c>
      <c r="BY670" s="56">
        <f>BY443</f>
        <v>-213.79999999999998</v>
      </c>
      <c r="BZ670" s="23">
        <f t="shared" si="4490"/>
        <v>17.279210093252861</v>
      </c>
      <c r="CA670" s="56">
        <f>CA443</f>
        <v>-176.78</v>
      </c>
      <c r="CB670" s="23">
        <f t="shared" si="4490"/>
        <v>-17.315247895229181</v>
      </c>
      <c r="CC670" s="56">
        <f>CC443</f>
        <v>-255.58000000000004</v>
      </c>
      <c r="CD670" s="23">
        <f t="shared" si="4490"/>
        <v>44.575178187577812</v>
      </c>
      <c r="CE670" s="56">
        <f>CE443</f>
        <v>-450.20000000000005</v>
      </c>
      <c r="CF670" s="23">
        <f t="shared" si="4490"/>
        <v>76.148368416934019</v>
      </c>
      <c r="CG670" s="56">
        <f>CG443</f>
        <v>-394.29999999999995</v>
      </c>
      <c r="CH670" s="23">
        <f t="shared" si="4490"/>
        <v>-12.416703687250131</v>
      </c>
      <c r="CI670" s="56">
        <f>CI443</f>
        <v>-295.70500000000004</v>
      </c>
      <c r="CJ670" s="23">
        <f t="shared" si="4490"/>
        <v>-25.005072279989836</v>
      </c>
      <c r="CK670" s="56">
        <f>CK443</f>
        <v>-232.40999999999997</v>
      </c>
      <c r="CL670" s="23">
        <f t="shared" si="4490"/>
        <v>-21.404778410916304</v>
      </c>
      <c r="CM670" s="56">
        <f>CM443</f>
        <v>-232.72999999999996</v>
      </c>
      <c r="CN670" s="23">
        <f t="shared" si="4490"/>
        <v>0.13768770706938938</v>
      </c>
      <c r="CO670" s="56">
        <f>CO443</f>
        <v>-233.05319999999998</v>
      </c>
      <c r="CP670" s="23">
        <f t="shared" si="4490"/>
        <v>0.13887337257767474</v>
      </c>
      <c r="CQ670" s="56">
        <f>CQ443</f>
        <v>-233.37963199999996</v>
      </c>
      <c r="CR670" s="23">
        <f t="shared" si="4490"/>
        <v>0.14006758971769617</v>
      </c>
      <c r="CS670" s="23">
        <f t="shared" si="4491"/>
        <v>-9.9575642335450567</v>
      </c>
      <c r="CT670" s="91"/>
      <c r="CU670" s="91"/>
    </row>
    <row r="671" spans="1:99" ht="12.75" customHeight="1" x14ac:dyDescent="0.2">
      <c r="A671" s="4" t="s">
        <v>221</v>
      </c>
      <c r="B671" s="56">
        <f>B613</f>
        <v>15.6</v>
      </c>
      <c r="C671" s="59"/>
      <c r="D671" s="56">
        <f>D613</f>
        <v>18.8</v>
      </c>
      <c r="E671" s="59"/>
      <c r="F671" s="56">
        <f>F613</f>
        <v>20.900000000000002</v>
      </c>
      <c r="G671" s="59"/>
      <c r="H671" s="56">
        <f>H613</f>
        <v>15</v>
      </c>
      <c r="I671" s="59"/>
      <c r="J671" s="56">
        <f>J613</f>
        <v>24.29999999999999</v>
      </c>
      <c r="K671" s="23">
        <f t="shared" si="4467"/>
        <v>55.769230769230703</v>
      </c>
      <c r="L671" s="56">
        <f>L613</f>
        <v>39.800000000000004</v>
      </c>
      <c r="M671" s="23" t="str">
        <f t="shared" si="4467"/>
        <v>NM</v>
      </c>
      <c r="N671" s="56">
        <f>N613</f>
        <v>21.800000000000004</v>
      </c>
      <c r="O671" s="23">
        <f t="shared" si="4467"/>
        <v>4.3062200956937913</v>
      </c>
      <c r="P671" s="56">
        <f>P613</f>
        <v>23.800000000000004</v>
      </c>
      <c r="Q671" s="23">
        <f t="shared" si="4467"/>
        <v>58.666666666666686</v>
      </c>
      <c r="R671" s="56">
        <f>R613</f>
        <v>21.4</v>
      </c>
      <c r="S671" s="23">
        <f t="shared" si="4467"/>
        <v>-11.934156378600791</v>
      </c>
      <c r="T671" s="56">
        <f>T613</f>
        <v>18</v>
      </c>
      <c r="U671" s="23" t="str">
        <f t="shared" si="4467"/>
        <v>NM</v>
      </c>
      <c r="V671" s="56">
        <f>V613</f>
        <v>14.499999999999993</v>
      </c>
      <c r="W671" s="23">
        <f t="shared" si="4467"/>
        <v>-33.486238532110136</v>
      </c>
      <c r="X671" s="56">
        <f>X613</f>
        <v>-3.3000000000000043</v>
      </c>
      <c r="Y671" s="23" t="str">
        <f t="shared" si="4467"/>
        <v>NM</v>
      </c>
      <c r="Z671" s="56">
        <f>Z613</f>
        <v>0.89999999999999858</v>
      </c>
      <c r="AA671" s="23" t="str">
        <f t="shared" si="4468"/>
        <v>NM</v>
      </c>
      <c r="AB671" s="56">
        <f>AB613</f>
        <v>10.5</v>
      </c>
      <c r="AC671" s="23">
        <f t="shared" si="4469"/>
        <v>-41.666666666666664</v>
      </c>
      <c r="AD671" s="56">
        <f>AD613</f>
        <v>9.8699999999999974</v>
      </c>
      <c r="AE671" s="23">
        <f t="shared" si="4470"/>
        <v>-31.931034482758601</v>
      </c>
      <c r="AF671" s="56">
        <f>AF613</f>
        <v>3.2000000000000006</v>
      </c>
      <c r="AG671" s="23" t="str">
        <f t="shared" si="4471"/>
        <v>NM</v>
      </c>
      <c r="AH671" s="56">
        <f>AH613</f>
        <v>14.079999999999998</v>
      </c>
      <c r="AI671" s="23" t="str">
        <f t="shared" si="4472"/>
        <v>NM</v>
      </c>
      <c r="AJ671" s="56">
        <f>AJ613</f>
        <v>4</v>
      </c>
      <c r="AK671" s="23" t="str">
        <f t="shared" si="4473"/>
        <v>NM</v>
      </c>
      <c r="AL671" s="56">
        <f>AL613</f>
        <v>2.5999999999999996</v>
      </c>
      <c r="AM671" s="23" t="str">
        <f t="shared" si="4474"/>
        <v>NM</v>
      </c>
      <c r="AN671" s="413">
        <f>AN613</f>
        <v>2</v>
      </c>
      <c r="AO671" s="23">
        <f t="shared" si="4475"/>
        <v>-37.500000000000014</v>
      </c>
      <c r="AP671" s="413">
        <f>AP613</f>
        <v>3.7999999999999989</v>
      </c>
      <c r="AQ671" s="23" t="str">
        <f t="shared" si="4476"/>
        <v>NM</v>
      </c>
      <c r="AR671" s="413">
        <f>AR613</f>
        <v>1.9000000000000004</v>
      </c>
      <c r="AS671" s="23" t="str">
        <f t="shared" si="4477"/>
        <v>NM</v>
      </c>
      <c r="AT671" s="413">
        <f>AT613</f>
        <v>-6.9</v>
      </c>
      <c r="AU671" s="23" t="str">
        <f t="shared" si="4478"/>
        <v>NM</v>
      </c>
      <c r="AV671" s="413">
        <f>AV613</f>
        <v>0</v>
      </c>
      <c r="AW671" s="23" t="str">
        <f t="shared" si="4479"/>
        <v>NM</v>
      </c>
      <c r="AX671" s="413">
        <f>AX613</f>
        <v>0</v>
      </c>
      <c r="AY671" s="23" t="str">
        <f t="shared" si="4480"/>
        <v>NM</v>
      </c>
      <c r="AZ671" s="413">
        <f>AZ613</f>
        <v>0</v>
      </c>
      <c r="BA671" s="23" t="str">
        <f t="shared" si="4481"/>
        <v>NM</v>
      </c>
      <c r="BB671" s="413">
        <f>BB613</f>
        <v>0</v>
      </c>
      <c r="BC671" s="23" t="str">
        <f t="shared" si="4482"/>
        <v>NM</v>
      </c>
      <c r="BD671" s="413">
        <f>BD613</f>
        <v>0</v>
      </c>
      <c r="BE671" s="23" t="str">
        <f t="shared" si="4483"/>
        <v>NA</v>
      </c>
      <c r="BF671" s="56">
        <f>BF613</f>
        <v>0</v>
      </c>
      <c r="BG671" s="23" t="str">
        <f t="shared" si="4484"/>
        <v>NA</v>
      </c>
      <c r="BH671" s="56">
        <f>BH613</f>
        <v>0</v>
      </c>
      <c r="BI671" s="23" t="str">
        <f t="shared" si="4485"/>
        <v>NA</v>
      </c>
      <c r="BJ671" s="56">
        <f>BJ613</f>
        <v>0</v>
      </c>
      <c r="BK671" s="23" t="str">
        <f t="shared" si="4486"/>
        <v>NA</v>
      </c>
      <c r="BL671" s="56">
        <f>BL613</f>
        <v>0</v>
      </c>
      <c r="BM671" s="23" t="str">
        <f t="shared" si="4487"/>
        <v>NA</v>
      </c>
      <c r="BN671" s="5"/>
      <c r="BO671" s="137"/>
      <c r="BP671" s="5"/>
      <c r="BQ671" s="56">
        <f>BQ613</f>
        <v>8.6999999999999993</v>
      </c>
      <c r="BR671" s="10"/>
      <c r="BS671" s="56">
        <f>BS613</f>
        <v>-10.5</v>
      </c>
      <c r="BT671" s="10"/>
      <c r="BU671" s="56">
        <f>BU613</f>
        <v>70.300000000000011</v>
      </c>
      <c r="BV671" s="23" t="str">
        <f t="shared" si="4488"/>
        <v>NM</v>
      </c>
      <c r="BW671" s="56">
        <f>BW613</f>
        <v>109.69999999999999</v>
      </c>
      <c r="BX671" s="23">
        <f t="shared" si="4489"/>
        <v>56.045519203413896</v>
      </c>
      <c r="BY671" s="56">
        <f>BY613</f>
        <v>50.600000000000009</v>
      </c>
      <c r="BZ671" s="23" t="str">
        <f t="shared" si="4490"/>
        <v>NM</v>
      </c>
      <c r="CA671" s="56">
        <f>CA613</f>
        <v>24.470000000000017</v>
      </c>
      <c r="CB671" s="23" t="str">
        <f t="shared" si="4490"/>
        <v>NM</v>
      </c>
      <c r="CC671" s="56">
        <f>CC613</f>
        <v>22.679999999999993</v>
      </c>
      <c r="CD671" s="23">
        <f t="shared" si="4490"/>
        <v>-7.315079689415704</v>
      </c>
      <c r="CE671" s="56">
        <f>CE613</f>
        <v>-1.1999999999999957</v>
      </c>
      <c r="CF671" s="23" t="str">
        <f t="shared" si="4490"/>
        <v>NM</v>
      </c>
      <c r="CG671" s="56">
        <f>CG613</f>
        <v>0</v>
      </c>
      <c r="CH671" s="23" t="str">
        <f t="shared" si="4490"/>
        <v>NM</v>
      </c>
      <c r="CI671" s="56">
        <f>CI613</f>
        <v>0</v>
      </c>
      <c r="CJ671" s="23" t="str">
        <f t="shared" si="4490"/>
        <v>NA</v>
      </c>
      <c r="CK671" s="56">
        <f>CK613</f>
        <v>0</v>
      </c>
      <c r="CL671" s="23" t="str">
        <f t="shared" si="4490"/>
        <v>NA</v>
      </c>
      <c r="CM671" s="56">
        <f>CM613</f>
        <v>0</v>
      </c>
      <c r="CN671" s="23" t="str">
        <f t="shared" si="4490"/>
        <v>NA</v>
      </c>
      <c r="CO671" s="56">
        <f>CO613</f>
        <v>0</v>
      </c>
      <c r="CP671" s="23" t="str">
        <f t="shared" si="4490"/>
        <v>NA</v>
      </c>
      <c r="CQ671" s="56">
        <f>CQ613</f>
        <v>0</v>
      </c>
      <c r="CR671" s="23" t="str">
        <f t="shared" si="4490"/>
        <v>NA</v>
      </c>
      <c r="CS671" s="23"/>
      <c r="CT671" s="91"/>
      <c r="CU671" s="91"/>
    </row>
    <row r="672" spans="1:99" ht="12.75" customHeight="1" x14ac:dyDescent="0.2">
      <c r="A672" s="3" t="s">
        <v>229</v>
      </c>
      <c r="B672" s="73">
        <f t="shared" ref="B672:N672" si="4504">SUM(B669:B671)</f>
        <v>222.52695523999998</v>
      </c>
      <c r="C672" s="59"/>
      <c r="D672" s="73">
        <f t="shared" si="4504"/>
        <v>266.76286680000015</v>
      </c>
      <c r="E672" s="59"/>
      <c r="F672" s="73">
        <f t="shared" si="4504"/>
        <v>252.1031910099999</v>
      </c>
      <c r="G672" s="59"/>
      <c r="H672" s="73">
        <f t="shared" si="4504"/>
        <v>143.49043746000007</v>
      </c>
      <c r="I672" s="59"/>
      <c r="J672" s="73">
        <f t="shared" si="4504"/>
        <v>217.4399999999998</v>
      </c>
      <c r="K672" s="23">
        <f t="shared" si="4467"/>
        <v>-2.2859950761981995</v>
      </c>
      <c r="L672" s="73">
        <f t="shared" si="4504"/>
        <v>286.11700000000008</v>
      </c>
      <c r="M672" s="23">
        <f t="shared" si="4467"/>
        <v>7.2551826392352803</v>
      </c>
      <c r="N672" s="73">
        <f t="shared" si="4504"/>
        <v>259.23900000000003</v>
      </c>
      <c r="O672" s="23">
        <f t="shared" si="4467"/>
        <v>2.8305111733857746</v>
      </c>
      <c r="P672" s="73">
        <f>SUM(P669:P671)</f>
        <v>257.31300000000016</v>
      </c>
      <c r="Q672" s="23">
        <f t="shared" si="4467"/>
        <v>79.324144908074246</v>
      </c>
      <c r="R672" s="73">
        <f>SUM(R669:R671)</f>
        <v>236.3</v>
      </c>
      <c r="S672" s="23">
        <f t="shared" si="4467"/>
        <v>8.6736571008095176</v>
      </c>
      <c r="T672" s="73">
        <f>SUM(T669:T671)</f>
        <v>256.78200000000004</v>
      </c>
      <c r="U672" s="23">
        <f t="shared" si="4467"/>
        <v>-10.252798680260177</v>
      </c>
      <c r="V672" s="73">
        <f>SUM(V669:V671)</f>
        <v>257.49999999999994</v>
      </c>
      <c r="W672" s="23">
        <f t="shared" si="4467"/>
        <v>-0.67080956183294127</v>
      </c>
      <c r="X672" s="73">
        <f>SUM(X669:X671)</f>
        <v>273.09999999999997</v>
      </c>
      <c r="Y672" s="23">
        <f t="shared" si="4467"/>
        <v>6.135329345971563</v>
      </c>
      <c r="Z672" s="73">
        <f>SUM(Z669:Z671)</f>
        <v>252.70000000000019</v>
      </c>
      <c r="AA672" s="23">
        <f t="shared" si="4468"/>
        <v>6.9403300888701613</v>
      </c>
      <c r="AB672" s="73">
        <f>SUM(AB669:AB671)</f>
        <v>312.2000000000001</v>
      </c>
      <c r="AC672" s="23">
        <f t="shared" si="4469"/>
        <v>21.581730806676489</v>
      </c>
      <c r="AD672" s="73">
        <f>SUM(AD669:AD671)</f>
        <v>287.09000000000003</v>
      </c>
      <c r="AE672" s="23">
        <f t="shared" si="4470"/>
        <v>11.491262135922376</v>
      </c>
      <c r="AF672" s="73">
        <f>SUM(AF669:AF671)</f>
        <v>349.39999999999992</v>
      </c>
      <c r="AG672" s="23">
        <f t="shared" si="4471"/>
        <v>27.938484071768578</v>
      </c>
      <c r="AH672" s="73">
        <f>SUM(AH669:AH671)</f>
        <v>284.77000000000004</v>
      </c>
      <c r="AI672" s="23">
        <f t="shared" si="4472"/>
        <v>12.690937870993203</v>
      </c>
      <c r="AJ672" s="73">
        <f>SUM(AJ669:AJ671)</f>
        <v>270.90000000000003</v>
      </c>
      <c r="AK672" s="23">
        <f t="shared" si="4473"/>
        <v>-13.228699551569523</v>
      </c>
      <c r="AL672" s="73">
        <f>SUM(AL669:AL671)</f>
        <v>230.39999999999992</v>
      </c>
      <c r="AM672" s="23">
        <f t="shared" si="4474"/>
        <v>-19.746420982967049</v>
      </c>
      <c r="AN672" s="73">
        <f>SUM(AN669:AN671)</f>
        <v>241.50000000000006</v>
      </c>
      <c r="AO672" s="23">
        <f t="shared" si="4475"/>
        <v>-30.881511161991959</v>
      </c>
      <c r="AP672" s="73">
        <f>SUM(AP669:AP671)</f>
        <v>97.999999999999844</v>
      </c>
      <c r="AQ672" s="23" t="str">
        <f t="shared" si="4476"/>
        <v>NM</v>
      </c>
      <c r="AR672" s="73">
        <f>SUM(AR669:AR671)</f>
        <v>155.27058823529407</v>
      </c>
      <c r="AS672" s="23">
        <f t="shared" si="4477"/>
        <v>-42.683429961131772</v>
      </c>
      <c r="AT672" s="73">
        <f>SUM(AT669:AT671)</f>
        <v>132.6999999999999</v>
      </c>
      <c r="AU672" s="23">
        <f t="shared" si="4478"/>
        <v>-42.404513888888907</v>
      </c>
      <c r="AV672" s="73">
        <f>SUM(AV669:AV671)</f>
        <v>148.79999999999993</v>
      </c>
      <c r="AW672" s="23">
        <f t="shared" si="4479"/>
        <v>-38.38509316770191</v>
      </c>
      <c r="AX672" s="73">
        <f>SUM(AX669:AX671)</f>
        <v>132.89999999999984</v>
      </c>
      <c r="AY672" s="23">
        <f t="shared" si="4480"/>
        <v>35.612244897959222</v>
      </c>
      <c r="AZ672" s="73">
        <f>SUM(AZ669:AZ671)</f>
        <v>181.99999999999989</v>
      </c>
      <c r="BA672" s="23">
        <f t="shared" si="4481"/>
        <v>17.214729504470338</v>
      </c>
      <c r="BB672" s="73">
        <f>SUM(BB669:BB671)</f>
        <v>174.20000000000005</v>
      </c>
      <c r="BC672" s="23">
        <f t="shared" si="4482"/>
        <v>31.27354935945754</v>
      </c>
      <c r="BD672" s="73">
        <f>SUM(BD669:BD671)</f>
        <v>214.49999999999994</v>
      </c>
      <c r="BE672" s="23">
        <f t="shared" si="4483"/>
        <v>44.153225806451644</v>
      </c>
      <c r="BF672" s="73">
        <f t="shared" ref="BF672" si="4505">SUM(BF669:BF671)</f>
        <v>182.41592862875552</v>
      </c>
      <c r="BG672" s="23">
        <f t="shared" si="4484"/>
        <v>37.258035085594997</v>
      </c>
      <c r="BH672" s="73">
        <f t="shared" ref="BH672" si="4506">SUM(BH669:BH671)</f>
        <v>212.90032272784299</v>
      </c>
      <c r="BI672" s="23">
        <f t="shared" si="4485"/>
        <v>16.978199301012697</v>
      </c>
      <c r="BJ672" s="73">
        <f t="shared" ref="BJ672" si="4507">SUM(BJ669:BJ671)</f>
        <v>225.93811969113838</v>
      </c>
      <c r="BK672" s="23">
        <f t="shared" si="4486"/>
        <v>29.700413140722336</v>
      </c>
      <c r="BL672" s="73">
        <f t="shared" ref="BL672" si="4508">SUM(BL669:BL671)</f>
        <v>235.95151841016374</v>
      </c>
      <c r="BM672" s="23">
        <f t="shared" si="4487"/>
        <v>10.00070788352625</v>
      </c>
      <c r="BN672" s="5"/>
      <c r="BO672" s="137"/>
      <c r="BP672" s="5"/>
      <c r="BQ672" s="73">
        <f>SUM(BQ669:BQ671)</f>
        <v>305.10000000000002</v>
      </c>
      <c r="BR672" s="8"/>
      <c r="BS672" s="73">
        <f>SUM(BS669:BS671)</f>
        <v>444.8000000000003</v>
      </c>
      <c r="BT672" s="8"/>
      <c r="BU672" s="73">
        <f>SUM(BU669:BU671)</f>
        <v>884.88345050999942</v>
      </c>
      <c r="BV672" s="23">
        <f t="shared" si="4488"/>
        <v>98.939624665017732</v>
      </c>
      <c r="BW672" s="73">
        <f t="shared" ref="BW672:CA672" si="4509">SUM(BW669:BW671)</f>
        <v>1020.1090000000004</v>
      </c>
      <c r="BX672" s="23">
        <f t="shared" si="4489"/>
        <v>15.281735624286362</v>
      </c>
      <c r="BY672" s="73">
        <f t="shared" si="4509"/>
        <v>1023.6820000000004</v>
      </c>
      <c r="BZ672" s="23">
        <f t="shared" si="4490"/>
        <v>0.35025668825585665</v>
      </c>
      <c r="CA672" s="73">
        <f t="shared" si="4509"/>
        <v>1201.3900000000003</v>
      </c>
      <c r="CB672" s="23">
        <f t="shared" si="4490"/>
        <v>17.359687871819563</v>
      </c>
      <c r="CC672" s="73">
        <f t="shared" ref="CC672" si="4510">SUM(CC669:CC671)</f>
        <v>1027.57</v>
      </c>
      <c r="CD672" s="23">
        <f t="shared" si="4490"/>
        <v>-14.468240954228051</v>
      </c>
      <c r="CE672" s="73">
        <f t="shared" ref="CE672" si="4511">SUM(CE669:CE671)</f>
        <v>534.7705882352941</v>
      </c>
      <c r="CF672" s="23">
        <f t="shared" si="4490"/>
        <v>-47.957746116051055</v>
      </c>
      <c r="CG672" s="73">
        <f t="shared" ref="CG672" si="4512">SUM(CG669:CG671)</f>
        <v>703.60000000000014</v>
      </c>
      <c r="CH672" s="23">
        <f t="shared" si="4490"/>
        <v>31.570437020822585</v>
      </c>
      <c r="CI672" s="73">
        <f t="shared" ref="CI672" si="4513">SUM(CI669:CI671)</f>
        <v>857.20588945790053</v>
      </c>
      <c r="CJ672" s="23">
        <f t="shared" si="4490"/>
        <v>21.831422606296247</v>
      </c>
      <c r="CK672" s="73">
        <f>SUM(CK669:CK671)</f>
        <v>968.76820673605187</v>
      </c>
      <c r="CL672" s="23">
        <f t="shared" si="4490"/>
        <v>13.014646615261082</v>
      </c>
      <c r="CM672" s="73">
        <f>SUM(CM669:CM671)</f>
        <v>1014.4499693054431</v>
      </c>
      <c r="CN672" s="23">
        <f t="shared" si="4490"/>
        <v>4.7154481589874786</v>
      </c>
      <c r="CO672" s="73">
        <f>SUM(CO669:CO671)</f>
        <v>1059.06746494924</v>
      </c>
      <c r="CP672" s="23">
        <f t="shared" si="4490"/>
        <v>4.3981957704966934</v>
      </c>
      <c r="CQ672" s="73">
        <f>SUM(CQ669:CQ671)</f>
        <v>1103.2464861310086</v>
      </c>
      <c r="CR672" s="23">
        <f t="shared" si="4490"/>
        <v>4.1715020661017066</v>
      </c>
      <c r="CS672" s="23">
        <f t="shared" ref="CS672:CS679" si="4514">IF(ISERROR(((CQ672/CG672)^0.2-1)*100),"NA",IF((((CQ672/CG672)^0.2-1)*100)&gt;100,"NM",IF((((CQ672/CG672)^0.2-1)*100)&lt;-50,"NM",((CQ672/CG672)^0.2-1)*100)))</f>
        <v>9.4131053791285844</v>
      </c>
      <c r="CT672" s="91"/>
      <c r="CU672" s="91"/>
    </row>
    <row r="673" spans="1:99" ht="12.75" customHeight="1" x14ac:dyDescent="0.2">
      <c r="A673" s="4" t="s">
        <v>22</v>
      </c>
      <c r="B673" s="56">
        <f t="shared" ref="B673:Z673" si="4515">(B674/100)*B672</f>
        <v>77.864055921754144</v>
      </c>
      <c r="C673" s="59"/>
      <c r="D673" s="56">
        <f t="shared" si="4515"/>
        <v>93.295715865622284</v>
      </c>
      <c r="E673" s="59"/>
      <c r="F673" s="56">
        <f t="shared" si="4515"/>
        <v>88.272944325954938</v>
      </c>
      <c r="G673" s="59"/>
      <c r="H673" s="56">
        <f t="shared" si="4515"/>
        <v>50.258580078895257</v>
      </c>
      <c r="I673" s="59"/>
      <c r="J673" s="56">
        <f t="shared" si="4515"/>
        <v>76.071468364769913</v>
      </c>
      <c r="K673" s="23">
        <f t="shared" si="4467"/>
        <v>-2.3022016202002171</v>
      </c>
      <c r="L673" s="56">
        <f t="shared" si="4515"/>
        <v>100.08055742788221</v>
      </c>
      <c r="M673" s="23">
        <f t="shared" si="4467"/>
        <v>7.2724042034603364</v>
      </c>
      <c r="N673" s="56">
        <f t="shared" si="4515"/>
        <v>90.808057667467352</v>
      </c>
      <c r="O673" s="23">
        <f t="shared" si="4467"/>
        <v>2.8719030059213946</v>
      </c>
      <c r="P673" s="56">
        <f t="shared" si="4515"/>
        <v>90.119185428939829</v>
      </c>
      <c r="Q673" s="23">
        <f t="shared" si="4467"/>
        <v>79.311045571665417</v>
      </c>
      <c r="R673" s="56">
        <f t="shared" si="4515"/>
        <v>82.787879968823077</v>
      </c>
      <c r="S673" s="23">
        <f t="shared" si="4467"/>
        <v>8.8290810581535428</v>
      </c>
      <c r="T673" s="56">
        <f t="shared" si="4515"/>
        <v>89.873700000000099</v>
      </c>
      <c r="U673" s="23">
        <f t="shared" si="4467"/>
        <v>-10.198641664478281</v>
      </c>
      <c r="V673" s="56">
        <f t="shared" si="4515"/>
        <v>90.125000000000057</v>
      </c>
      <c r="W673" s="23">
        <f t="shared" si="4467"/>
        <v>-0.75219940279815933</v>
      </c>
      <c r="X673" s="56">
        <f t="shared" si="4515"/>
        <v>95.585000000000036</v>
      </c>
      <c r="Y673" s="23">
        <f t="shared" si="4467"/>
        <v>6.0650954012118508</v>
      </c>
      <c r="Z673" s="56">
        <f t="shared" si="4515"/>
        <v>88.445000000000064</v>
      </c>
      <c r="AA673" s="23">
        <f t="shared" si="4468"/>
        <v>6.8332708040203416</v>
      </c>
      <c r="AB673" s="56">
        <f t="shared" ref="AB673:AD673" si="4516">(AB674/100)*AB672</f>
        <v>109.2700000000001</v>
      </c>
      <c r="AC673" s="23">
        <f t="shared" si="4469"/>
        <v>21.581730806676447</v>
      </c>
      <c r="AD673" s="56">
        <f t="shared" si="4516"/>
        <v>100.48149999999997</v>
      </c>
      <c r="AE673" s="23">
        <f t="shared" si="4470"/>
        <v>11.49126213592222</v>
      </c>
      <c r="AF673" s="56">
        <f t="shared" ref="AF673:AH673" si="4517">(AF674/100)*AF672</f>
        <v>122.29</v>
      </c>
      <c r="AG673" s="23">
        <f t="shared" si="4471"/>
        <v>27.938484071768531</v>
      </c>
      <c r="AH673" s="56">
        <f t="shared" si="4517"/>
        <v>91.126400000000004</v>
      </c>
      <c r="AI673" s="23">
        <f t="shared" si="4472"/>
        <v>3.0317146249080551</v>
      </c>
      <c r="AJ673" s="56">
        <f t="shared" ref="AJ673:AL673" si="4518">(AJ674/100)*AJ672</f>
        <v>86.687999999999931</v>
      </c>
      <c r="AK673" s="23">
        <f t="shared" si="4473"/>
        <v>-20.666239590006541</v>
      </c>
      <c r="AL673" s="56">
        <f t="shared" si="4518"/>
        <v>73.728000000000236</v>
      </c>
      <c r="AM673" s="23">
        <f t="shared" si="4474"/>
        <v>-26.62529918442673</v>
      </c>
      <c r="AN673" s="413">
        <f t="shared" ref="AN673:AP673" si="4519">(AN674/100)*AN672</f>
        <v>77.280000000000044</v>
      </c>
      <c r="AO673" s="23">
        <f t="shared" si="4475"/>
        <v>-36.805953062392639</v>
      </c>
      <c r="AP673" s="413">
        <f t="shared" si="4519"/>
        <v>31.360000000000021</v>
      </c>
      <c r="AQ673" s="23" t="str">
        <f t="shared" si="4476"/>
        <v>NM</v>
      </c>
      <c r="AR673" s="413">
        <f t="shared" ref="AR673:AT673" si="4520">(AR674/100)*AR672</f>
        <v>49.686588235294025</v>
      </c>
      <c r="AS673" s="23">
        <f t="shared" si="4477"/>
        <v>-42.6834299611318</v>
      </c>
      <c r="AT673" s="413">
        <f t="shared" si="4520"/>
        <v>42.463999999999977</v>
      </c>
      <c r="AU673" s="23">
        <f t="shared" si="4478"/>
        <v>-42.404513888889106</v>
      </c>
      <c r="AV673" s="413">
        <f t="shared" ref="AV673:AX673" si="4521">(AV674/100)*AV672</f>
        <v>47.616000000000049</v>
      </c>
      <c r="AW673" s="23">
        <f t="shared" si="4479"/>
        <v>-38.385093167701832</v>
      </c>
      <c r="AX673" s="413">
        <f t="shared" si="4521"/>
        <v>42.52800000000002</v>
      </c>
      <c r="AY673" s="23">
        <f t="shared" si="4480"/>
        <v>35.612244897959158</v>
      </c>
      <c r="AZ673" s="413">
        <f t="shared" ref="AZ673" si="4522">(AZ674/100)*AZ672</f>
        <v>58.239999999999917</v>
      </c>
      <c r="BA673" s="23">
        <f t="shared" si="4481"/>
        <v>17.214729504470426</v>
      </c>
      <c r="BB673" s="413">
        <f t="shared" ref="BB673:BD673" si="4523">(BB674/100)*BB672</f>
        <v>55.744000000000014</v>
      </c>
      <c r="BC673" s="23">
        <f t="shared" si="4482"/>
        <v>31.273549359457519</v>
      </c>
      <c r="BD673" s="413">
        <f t="shared" si="4523"/>
        <v>68.64</v>
      </c>
      <c r="BE673" s="23">
        <f t="shared" si="4483"/>
        <v>44.153225806451466</v>
      </c>
      <c r="BF673" s="56">
        <f t="shared" ref="BF673" si="4524">(BF674/100)*BF672</f>
        <v>33.746946796319762</v>
      </c>
      <c r="BG673" s="23">
        <f t="shared" si="4484"/>
        <v>-20.64769846614055</v>
      </c>
      <c r="BH673" s="56">
        <f t="shared" ref="BH673" si="4525">(BH674/100)*BH672</f>
        <v>39.386559704650928</v>
      </c>
      <c r="BI673" s="23">
        <f t="shared" si="4485"/>
        <v>-32.371978529102016</v>
      </c>
      <c r="BJ673" s="56">
        <f t="shared" ref="BJ673" si="4526">(BJ674/100)*BJ672</f>
        <v>41.798552142860601</v>
      </c>
      <c r="BK673" s="23">
        <f t="shared" si="4486"/>
        <v>-25.016948653019899</v>
      </c>
      <c r="BL673" s="56">
        <f t="shared" ref="BL673" si="4527">(BL674/100)*BL672</f>
        <v>43.651030905880297</v>
      </c>
      <c r="BM673" s="23">
        <f t="shared" si="4487"/>
        <v>-36.40584075483639</v>
      </c>
      <c r="BN673" s="5"/>
      <c r="BO673" s="137"/>
      <c r="BP673" s="5"/>
      <c r="BQ673" s="56">
        <f t="shared" ref="BQ673:CA673" si="4528">(BQ674/100)*BQ672</f>
        <v>106.785</v>
      </c>
      <c r="BR673" s="5"/>
      <c r="BS673" s="56">
        <f t="shared" si="4528"/>
        <v>155.68000000000009</v>
      </c>
      <c r="BT673" s="5"/>
      <c r="BU673" s="56">
        <f t="shared" si="4528"/>
        <v>309.71635224264242</v>
      </c>
      <c r="BV673" s="23">
        <f t="shared" si="4488"/>
        <v>98.94421392769928</v>
      </c>
      <c r="BW673" s="56">
        <f t="shared" si="4528"/>
        <v>357.091504143875</v>
      </c>
      <c r="BX673" s="23">
        <f t="shared" si="4489"/>
        <v>15.29630307156571</v>
      </c>
      <c r="BY673" s="56">
        <f t="shared" si="4528"/>
        <v>358.36131872783187</v>
      </c>
      <c r="BZ673" s="23">
        <f t="shared" si="4490"/>
        <v>0.35559921454901833</v>
      </c>
      <c r="CA673" s="56">
        <f t="shared" si="4528"/>
        <v>420.48650000000009</v>
      </c>
      <c r="CB673" s="23">
        <f t="shared" si="4490"/>
        <v>17.335905976881129</v>
      </c>
      <c r="CC673" s="56">
        <f t="shared" ref="CC673" si="4529">(CC674/100)*CC672</f>
        <v>328.82240000000007</v>
      </c>
      <c r="CD673" s="23">
        <f t="shared" si="4490"/>
        <v>-21.799534586722757</v>
      </c>
      <c r="CE673" s="56">
        <f t="shared" ref="CE673" si="4530">(CE674/100)*CE672</f>
        <v>171.12658823529415</v>
      </c>
      <c r="CF673" s="23">
        <f t="shared" si="4490"/>
        <v>-47.957746116051055</v>
      </c>
      <c r="CG673" s="56">
        <f t="shared" ref="CG673" si="4531">(CG674/100)*CG672</f>
        <v>225.15199999999993</v>
      </c>
      <c r="CH673" s="23">
        <f t="shared" si="4490"/>
        <v>31.570437020822496</v>
      </c>
      <c r="CI673" s="56">
        <f t="shared" ref="CI673" si="4532">(CI674/100)*CI672</f>
        <v>158.58308954971159</v>
      </c>
      <c r="CJ673" s="23">
        <f t="shared" si="4490"/>
        <v>-29.566208805734952</v>
      </c>
      <c r="CK673" s="56">
        <f>(CK674/100)*CK672</f>
        <v>179.22211824616949</v>
      </c>
      <c r="CL673" s="23">
        <f t="shared" si="4490"/>
        <v>13.014646615261016</v>
      </c>
      <c r="CM673" s="56">
        <f>(CM674/100)*CM672</f>
        <v>187.67324432150701</v>
      </c>
      <c r="CN673" s="23">
        <f t="shared" si="4490"/>
        <v>4.7154481589875674</v>
      </c>
      <c r="CO673" s="56">
        <f>(CO674/100)*CO672</f>
        <v>195.92748101560949</v>
      </c>
      <c r="CP673" s="23">
        <f t="shared" si="4490"/>
        <v>4.3981957704967156</v>
      </c>
      <c r="CQ673" s="56">
        <f>(CQ674/100)*CQ672</f>
        <v>204.1005999342367</v>
      </c>
      <c r="CR673" s="23">
        <f t="shared" si="4490"/>
        <v>4.1715020661017288</v>
      </c>
      <c r="CS673" s="23">
        <f t="shared" si="4514"/>
        <v>-1.9441080714628467</v>
      </c>
      <c r="CT673" s="91"/>
      <c r="CU673" s="91"/>
    </row>
    <row r="674" spans="1:99" ht="12.75" customHeight="1" x14ac:dyDescent="0.2">
      <c r="A674" s="4" t="s">
        <v>23</v>
      </c>
      <c r="B674" s="37">
        <f t="shared" ref="B674:N674" si="4533">+B658</f>
        <v>34.990842272468129</v>
      </c>
      <c r="C674" s="59"/>
      <c r="D674" s="37">
        <f t="shared" si="4533"/>
        <v>34.973276822507977</v>
      </c>
      <c r="E674" s="59"/>
      <c r="F674" s="37">
        <f t="shared" si="4533"/>
        <v>35.014608094529635</v>
      </c>
      <c r="G674" s="59"/>
      <c r="H674" s="37">
        <f t="shared" si="4533"/>
        <v>35.025734793585478</v>
      </c>
      <c r="I674" s="59"/>
      <c r="J674" s="37">
        <f t="shared" si="4533"/>
        <v>34.985038799103194</v>
      </c>
      <c r="K674" s="23">
        <f t="shared" si="4467"/>
        <v>-1.6585692106940719E-2</v>
      </c>
      <c r="L674" s="37">
        <f t="shared" si="4533"/>
        <v>34.978892350990044</v>
      </c>
      <c r="M674" s="23">
        <f t="shared" si="4467"/>
        <v>1.6056626636862248E-2</v>
      </c>
      <c r="N674" s="37">
        <f t="shared" si="4533"/>
        <v>35.028702343191938</v>
      </c>
      <c r="O674" s="23">
        <f t="shared" si="4467"/>
        <v>4.0252481547842223E-2</v>
      </c>
      <c r="P674" s="37">
        <f>+P658</f>
        <v>35.023176220766061</v>
      </c>
      <c r="Q674" s="23">
        <f t="shared" si="4467"/>
        <v>-7.3048369563011306E-3</v>
      </c>
      <c r="R674" s="37">
        <f>+R658</f>
        <v>35.035074045206549</v>
      </c>
      <c r="S674" s="23">
        <f t="shared" si="4467"/>
        <v>0.14301898131563462</v>
      </c>
      <c r="T674" s="37">
        <f>+T658</f>
        <v>35.000000000000028</v>
      </c>
      <c r="U674" s="23">
        <f t="shared" si="4467"/>
        <v>6.0343960575370836E-2</v>
      </c>
      <c r="V674" s="37">
        <f>+V658</f>
        <v>35.000000000000028</v>
      </c>
      <c r="W674" s="23">
        <f t="shared" si="4467"/>
        <v>-8.1939498959171519E-2</v>
      </c>
      <c r="X674" s="37">
        <f>+X658</f>
        <v>35.000000000000021</v>
      </c>
      <c r="Y674" s="23">
        <f t="shared" si="4467"/>
        <v>-6.6173954697745785E-2</v>
      </c>
      <c r="Z674" s="37">
        <f>+Z658</f>
        <v>35</v>
      </c>
      <c r="AA674" s="23">
        <f t="shared" si="4468"/>
        <v>-0.10011123470523575</v>
      </c>
      <c r="AB674" s="37">
        <f>+AB658</f>
        <v>35.000000000000021</v>
      </c>
      <c r="AC674" s="23">
        <f t="shared" si="4469"/>
        <v>-2.2204460492503131E-14</v>
      </c>
      <c r="AD674" s="37">
        <f>+AD658</f>
        <v>34.999999999999986</v>
      </c>
      <c r="AE674" s="23">
        <f t="shared" si="4470"/>
        <v>-1.2212453270876722E-13</v>
      </c>
      <c r="AF674" s="37">
        <f>+AF658</f>
        <v>35.000000000000007</v>
      </c>
      <c r="AG674" s="23">
        <f t="shared" si="4471"/>
        <v>-4.4408920985006262E-14</v>
      </c>
      <c r="AH674" s="37">
        <f>+AH658</f>
        <v>31.999999999999996</v>
      </c>
      <c r="AI674" s="23">
        <f t="shared" si="4472"/>
        <v>-8.5714285714285854</v>
      </c>
      <c r="AJ674" s="37">
        <f>+AJ658</f>
        <v>31.999999999999972</v>
      </c>
      <c r="AK674" s="23">
        <f t="shared" si="4473"/>
        <v>-8.571428571428708</v>
      </c>
      <c r="AL674" s="37">
        <f>+AL658</f>
        <v>32.000000000000114</v>
      </c>
      <c r="AM674" s="23">
        <f t="shared" si="4474"/>
        <v>-8.571428571428207</v>
      </c>
      <c r="AN674" s="411">
        <f t="shared" ref="AN674:AP674" si="4534">+AN658</f>
        <v>32.000000000000014</v>
      </c>
      <c r="AO674" s="23">
        <f t="shared" si="4475"/>
        <v>-8.5714285714285516</v>
      </c>
      <c r="AP674" s="411">
        <f t="shared" si="4534"/>
        <v>32.000000000000071</v>
      </c>
      <c r="AQ674" s="23">
        <f t="shared" si="4476"/>
        <v>2.2204460492503131E-13</v>
      </c>
      <c r="AR674" s="411">
        <f t="shared" ref="AR674:AT674" si="4535">+AR658</f>
        <v>31.99999999999995</v>
      </c>
      <c r="AS674" s="23">
        <f t="shared" si="4477"/>
        <v>-6.6613381477509392E-14</v>
      </c>
      <c r="AT674" s="411">
        <f t="shared" si="4535"/>
        <v>32.000000000000007</v>
      </c>
      <c r="AU674" s="23">
        <f t="shared" si="4478"/>
        <v>-3.3306690738754696E-13</v>
      </c>
      <c r="AV674" s="411">
        <f t="shared" ref="AV674:AX674" si="4536">+AV658</f>
        <v>32.00000000000005</v>
      </c>
      <c r="AW674" s="23">
        <f t="shared" si="4479"/>
        <v>1.1102230246251565E-13</v>
      </c>
      <c r="AX674" s="411">
        <f t="shared" si="4536"/>
        <v>32.000000000000057</v>
      </c>
      <c r="AY674" s="23">
        <f t="shared" si="4480"/>
        <v>-4.4408920985006262E-14</v>
      </c>
      <c r="AZ674" s="411">
        <f t="shared" ref="AZ674" si="4537">+AZ658</f>
        <v>31.999999999999972</v>
      </c>
      <c r="BA674" s="23">
        <f t="shared" si="4481"/>
        <v>6.6613381477509392E-14</v>
      </c>
      <c r="BB674" s="411">
        <f t="shared" ref="BB674:BD674" si="4538">+BB658</f>
        <v>32</v>
      </c>
      <c r="BC674" s="23">
        <f t="shared" si="4482"/>
        <v>-2.2204460492503131E-14</v>
      </c>
      <c r="BD674" s="411">
        <f t="shared" si="4538"/>
        <v>32.000000000000007</v>
      </c>
      <c r="BE674" s="23">
        <f t="shared" si="4483"/>
        <v>-1.3322676295501878E-13</v>
      </c>
      <c r="BF674" s="37">
        <f t="shared" ref="BF674" si="4539">+BF658</f>
        <v>18.499999999999993</v>
      </c>
      <c r="BG674" s="23">
        <f t="shared" si="4484"/>
        <v>-42.187500000000121</v>
      </c>
      <c r="BH674" s="37">
        <f t="shared" ref="BH674" si="4540">+BH658</f>
        <v>18.499999999999989</v>
      </c>
      <c r="BI674" s="23">
        <f t="shared" si="4485"/>
        <v>-42.187499999999979</v>
      </c>
      <c r="BJ674" s="37">
        <f t="shared" ref="BJ674" si="4541">+BJ658</f>
        <v>18.5</v>
      </c>
      <c r="BK674" s="23">
        <f t="shared" si="4486"/>
        <v>-42.1875</v>
      </c>
      <c r="BL674" s="37">
        <f t="shared" ref="BL674" si="4542">+BL658</f>
        <v>18.500000000000004</v>
      </c>
      <c r="BM674" s="23">
        <f t="shared" si="4487"/>
        <v>-42.1875</v>
      </c>
      <c r="BN674" s="5"/>
      <c r="BO674" s="138"/>
      <c r="BP674" s="5"/>
      <c r="BQ674" s="37">
        <f>+BQ658</f>
        <v>35</v>
      </c>
      <c r="BR674" s="6"/>
      <c r="BS674" s="37">
        <f>+BS658</f>
        <v>35</v>
      </c>
      <c r="BT674" s="6"/>
      <c r="BU674" s="37">
        <f>+BU658</f>
        <v>35.00080740171358</v>
      </c>
      <c r="BV674" s="23">
        <f t="shared" si="4488"/>
        <v>2.3068620387922678E-3</v>
      </c>
      <c r="BW674" s="37">
        <f t="shared" ref="BW674:BY674" si="4543">+BW658</f>
        <v>35.005230239501358</v>
      </c>
      <c r="BX674" s="23">
        <f t="shared" si="4489"/>
        <v>1.2636387889619627E-2</v>
      </c>
      <c r="BY674" s="37">
        <f t="shared" si="4543"/>
        <v>35.007093875620725</v>
      </c>
      <c r="BZ674" s="23">
        <f t="shared" si="4490"/>
        <v>5.3238790507004197E-3</v>
      </c>
      <c r="CA674" s="37">
        <f>+CA658</f>
        <v>35</v>
      </c>
      <c r="CB674" s="23">
        <f t="shared" si="4490"/>
        <v>-2.0264108885847953E-2</v>
      </c>
      <c r="CC674" s="37">
        <f>+CC658</f>
        <v>32.000000000000014</v>
      </c>
      <c r="CD674" s="23">
        <f t="shared" si="4490"/>
        <v>-8.5714285714285303</v>
      </c>
      <c r="CE674" s="37">
        <f>+CE658</f>
        <v>32.000000000000007</v>
      </c>
      <c r="CF674" s="23">
        <f t="shared" si="4490"/>
        <v>-2.2204460492503131E-14</v>
      </c>
      <c r="CG674" s="37">
        <f>+CG658</f>
        <v>31.999999999999986</v>
      </c>
      <c r="CH674" s="23">
        <f t="shared" si="4490"/>
        <v>-6.6613381477509392E-14</v>
      </c>
      <c r="CI674" s="37">
        <f>+CI658</f>
        <v>18.5</v>
      </c>
      <c r="CJ674" s="23">
        <f t="shared" si="4490"/>
        <v>-42.187499999999979</v>
      </c>
      <c r="CK674" s="37">
        <f>+CK658</f>
        <v>18.499999999999989</v>
      </c>
      <c r="CL674" s="23">
        <f t="shared" si="4490"/>
        <v>-5.5511151231257827E-14</v>
      </c>
      <c r="CM674" s="37">
        <f>+CM658</f>
        <v>18.500000000000004</v>
      </c>
      <c r="CN674" s="23">
        <f t="shared" si="4490"/>
        <v>6.6613381477509392E-14</v>
      </c>
      <c r="CO674" s="37">
        <f>+CO658</f>
        <v>18.500000000000007</v>
      </c>
      <c r="CP674" s="23">
        <f t="shared" si="4490"/>
        <v>2.2204460492503131E-14</v>
      </c>
      <c r="CQ674" s="37">
        <f>+CQ658</f>
        <v>18.500000000000007</v>
      </c>
      <c r="CR674" s="23">
        <f t="shared" si="4490"/>
        <v>0</v>
      </c>
      <c r="CS674" s="23">
        <f t="shared" si="4514"/>
        <v>-10.380121660232023</v>
      </c>
      <c r="CT674" s="91"/>
      <c r="CU674" s="91"/>
    </row>
    <row r="675" spans="1:99" ht="12.75" customHeight="1" x14ac:dyDescent="0.2">
      <c r="A675" s="3" t="s">
        <v>230</v>
      </c>
      <c r="B675" s="73">
        <f t="shared" ref="B675:N675" si="4544">+B672-B673</f>
        <v>144.66289931824582</v>
      </c>
      <c r="C675" s="59"/>
      <c r="D675" s="73">
        <f t="shared" si="4544"/>
        <v>173.46715093437786</v>
      </c>
      <c r="E675" s="59"/>
      <c r="F675" s="73">
        <f t="shared" si="4544"/>
        <v>163.83024668404497</v>
      </c>
      <c r="G675" s="59"/>
      <c r="H675" s="73">
        <f t="shared" si="4544"/>
        <v>93.231857381104817</v>
      </c>
      <c r="I675" s="59"/>
      <c r="J675" s="73">
        <f t="shared" si="4544"/>
        <v>141.36853163522989</v>
      </c>
      <c r="K675" s="23">
        <f t="shared" si="4467"/>
        <v>-2.2772719878706549</v>
      </c>
      <c r="L675" s="73">
        <f t="shared" si="4544"/>
        <v>186.03644257211786</v>
      </c>
      <c r="M675" s="23">
        <f t="shared" si="4467"/>
        <v>7.2459203774522862</v>
      </c>
      <c r="N675" s="73">
        <f t="shared" si="4544"/>
        <v>168.43094233253268</v>
      </c>
      <c r="O675" s="23">
        <f t="shared" si="4467"/>
        <v>2.8082089489618989</v>
      </c>
      <c r="P675" s="73">
        <f>+P672-P673</f>
        <v>167.19381457106033</v>
      </c>
      <c r="Q675" s="23">
        <f t="shared" si="4467"/>
        <v>79.331206378974599</v>
      </c>
      <c r="R675" s="73">
        <f>+R672-R673</f>
        <v>153.51212003117695</v>
      </c>
      <c r="S675" s="23">
        <f t="shared" si="4467"/>
        <v>8.5900223023331002</v>
      </c>
      <c r="T675" s="73">
        <f>+T672-T673</f>
        <v>166.90829999999994</v>
      </c>
      <c r="U675" s="23">
        <f t="shared" si="4467"/>
        <v>-10.2819331028128</v>
      </c>
      <c r="V675" s="73">
        <f>+V672-V673</f>
        <v>167.37499999999989</v>
      </c>
      <c r="W675" s="23">
        <f t="shared" si="4467"/>
        <v>-0.62692894661127152</v>
      </c>
      <c r="X675" s="73">
        <f>+X672-X673</f>
        <v>177.51499999999993</v>
      </c>
      <c r="Y675" s="23">
        <f t="shared" si="4467"/>
        <v>6.1731861644635844</v>
      </c>
      <c r="Z675" s="73">
        <f>+Z672-Z673</f>
        <v>164.25500000000011</v>
      </c>
      <c r="AA675" s="23">
        <f t="shared" si="4468"/>
        <v>6.9980663198719206</v>
      </c>
      <c r="AB675" s="73">
        <f>+AB672-AB673</f>
        <v>202.93</v>
      </c>
      <c r="AC675" s="23">
        <f t="shared" si="4469"/>
        <v>21.581730806676536</v>
      </c>
      <c r="AD675" s="73">
        <f>+AD672-AD673</f>
        <v>186.60850000000005</v>
      </c>
      <c r="AE675" s="23">
        <f t="shared" si="4470"/>
        <v>11.491262135922442</v>
      </c>
      <c r="AF675" s="73">
        <f>+AF672-AF673</f>
        <v>227.1099999999999</v>
      </c>
      <c r="AG675" s="23">
        <f t="shared" si="4471"/>
        <v>27.938484071768578</v>
      </c>
      <c r="AH675" s="73">
        <f>+AH672-AH673</f>
        <v>193.64360000000005</v>
      </c>
      <c r="AI675" s="23">
        <f t="shared" si="4472"/>
        <v>17.892058080423688</v>
      </c>
      <c r="AJ675" s="73">
        <f>+AJ672-AJ673</f>
        <v>184.2120000000001</v>
      </c>
      <c r="AK675" s="23">
        <f t="shared" si="4473"/>
        <v>-9.2238703001034317</v>
      </c>
      <c r="AL675" s="73">
        <f>+AL672-AL673</f>
        <v>156.67199999999968</v>
      </c>
      <c r="AM675" s="23">
        <f t="shared" si="4474"/>
        <v>-16.042409643719523</v>
      </c>
      <c r="AN675" s="73">
        <f t="shared" ref="AN675:AP675" si="4545">+AN672-AN673</f>
        <v>164.22000000000003</v>
      </c>
      <c r="AO675" s="23">
        <f t="shared" si="4475"/>
        <v>-27.691427061776185</v>
      </c>
      <c r="AP675" s="73">
        <f t="shared" si="4545"/>
        <v>66.639999999999816</v>
      </c>
      <c r="AQ675" s="23" t="str">
        <f t="shared" si="4476"/>
        <v>NM</v>
      </c>
      <c r="AR675" s="73">
        <f t="shared" ref="AR675:AT675" si="4546">+AR672-AR673</f>
        <v>105.58400000000005</v>
      </c>
      <c r="AS675" s="23">
        <f t="shared" si="4477"/>
        <v>-42.68342996113175</v>
      </c>
      <c r="AT675" s="73">
        <f t="shared" si="4546"/>
        <v>90.235999999999933</v>
      </c>
      <c r="AU675" s="23">
        <f t="shared" si="4478"/>
        <v>-42.404513888888815</v>
      </c>
      <c r="AV675" s="73">
        <f t="shared" ref="AV675:AX675" si="4547">+AV672-AV673</f>
        <v>101.18399999999988</v>
      </c>
      <c r="AW675" s="23">
        <f t="shared" si="4479"/>
        <v>-38.385093167701946</v>
      </c>
      <c r="AX675" s="73">
        <f t="shared" si="4547"/>
        <v>90.371999999999815</v>
      </c>
      <c r="AY675" s="23">
        <f t="shared" si="4480"/>
        <v>35.612244897959286</v>
      </c>
      <c r="AZ675" s="73">
        <f t="shared" ref="AZ675" si="4548">+AZ672-AZ673</f>
        <v>123.75999999999996</v>
      </c>
      <c r="BA675" s="23">
        <f t="shared" si="4481"/>
        <v>17.214729504470295</v>
      </c>
      <c r="BB675" s="73">
        <f t="shared" ref="BB675:BD675" si="4549">+BB672-BB673</f>
        <v>118.45600000000003</v>
      </c>
      <c r="BC675" s="23">
        <f t="shared" si="4482"/>
        <v>31.273549359457565</v>
      </c>
      <c r="BD675" s="73">
        <f t="shared" si="4549"/>
        <v>145.85999999999996</v>
      </c>
      <c r="BE675" s="23">
        <f t="shared" si="4483"/>
        <v>44.153225806451736</v>
      </c>
      <c r="BF675" s="73">
        <f t="shared" ref="BF675" si="4550">+BF672-BF673</f>
        <v>148.66898183243575</v>
      </c>
      <c r="BG675" s="23">
        <f t="shared" si="4484"/>
        <v>64.507792051117647</v>
      </c>
      <c r="BH675" s="73">
        <f t="shared" ref="BH675" si="4551">+BH672-BH673</f>
        <v>173.51376302319207</v>
      </c>
      <c r="BI675" s="23">
        <f t="shared" si="4485"/>
        <v>40.20181239753726</v>
      </c>
      <c r="BJ675" s="73">
        <f t="shared" ref="BJ675" si="4552">+BJ672-BJ673</f>
        <v>184.1395675482778</v>
      </c>
      <c r="BK675" s="23">
        <f t="shared" si="4486"/>
        <v>55.4497598671893</v>
      </c>
      <c r="BL675" s="73">
        <f t="shared" ref="BL675" si="4553">+BL672-BL673</f>
        <v>192.30048750428344</v>
      </c>
      <c r="BM675" s="23">
        <f t="shared" si="4487"/>
        <v>31.839083713343964</v>
      </c>
      <c r="BN675" s="5"/>
      <c r="BO675" s="137"/>
      <c r="BP675" s="5"/>
      <c r="BQ675" s="73">
        <f>+BQ672-BQ673</f>
        <v>198.31500000000003</v>
      </c>
      <c r="BR675" s="7"/>
      <c r="BS675" s="73">
        <f>+BS672-BS673</f>
        <v>289.12000000000023</v>
      </c>
      <c r="BT675" s="7"/>
      <c r="BU675" s="73">
        <f>+BU672-BU673</f>
        <v>575.16709826735701</v>
      </c>
      <c r="BV675" s="23">
        <f t="shared" si="4488"/>
        <v>98.937153523573798</v>
      </c>
      <c r="BW675" s="73">
        <f t="shared" ref="BW675:BY675" si="4554">+BW672-BW673</f>
        <v>663.01749585612538</v>
      </c>
      <c r="BX675" s="23">
        <f t="shared" si="4489"/>
        <v>15.273891335824041</v>
      </c>
      <c r="BY675" s="73">
        <f t="shared" si="4554"/>
        <v>665.32068127216849</v>
      </c>
      <c r="BZ675" s="23">
        <f t="shared" si="4490"/>
        <v>0.34737928191006517</v>
      </c>
      <c r="CA675" s="73">
        <f>+CA672-CA673</f>
        <v>780.90350000000024</v>
      </c>
      <c r="CB675" s="23">
        <f t="shared" si="4490"/>
        <v>17.372497501028271</v>
      </c>
      <c r="CC675" s="73">
        <f>+CC672-CC673</f>
        <v>698.74759999999992</v>
      </c>
      <c r="CD675" s="23">
        <f t="shared" si="4490"/>
        <v>-10.520621305961653</v>
      </c>
      <c r="CE675" s="73">
        <f>+CE672-CE673</f>
        <v>363.64399999999995</v>
      </c>
      <c r="CF675" s="23">
        <f t="shared" si="4490"/>
        <v>-47.957746116051055</v>
      </c>
      <c r="CG675" s="73">
        <f>+CG672-CG673</f>
        <v>478.44800000000021</v>
      </c>
      <c r="CH675" s="23">
        <f t="shared" si="4490"/>
        <v>31.570437020822627</v>
      </c>
      <c r="CI675" s="73">
        <f>+CI672-CI673</f>
        <v>698.62279990818888</v>
      </c>
      <c r="CJ675" s="23">
        <f t="shared" si="4490"/>
        <v>46.018543270781478</v>
      </c>
      <c r="CK675" s="73">
        <f>+CK672-CK673</f>
        <v>789.54608848988232</v>
      </c>
      <c r="CL675" s="23">
        <f t="shared" si="4490"/>
        <v>13.014646615261105</v>
      </c>
      <c r="CM675" s="73">
        <f>+CM672-CM673</f>
        <v>826.77672498393611</v>
      </c>
      <c r="CN675" s="23">
        <f t="shared" si="4490"/>
        <v>4.7154481589874786</v>
      </c>
      <c r="CO675" s="73">
        <f>+CO672-CO673</f>
        <v>863.13998393363056</v>
      </c>
      <c r="CP675" s="23">
        <f t="shared" si="4490"/>
        <v>4.3981957704966712</v>
      </c>
      <c r="CQ675" s="73">
        <f>+CQ672-CQ673</f>
        <v>899.14588619677193</v>
      </c>
      <c r="CR675" s="23">
        <f t="shared" si="4490"/>
        <v>4.1715020661017066</v>
      </c>
      <c r="CS675" s="23">
        <f t="shared" si="4514"/>
        <v>13.44858504106956</v>
      </c>
      <c r="CT675" s="91"/>
      <c r="CU675" s="91"/>
    </row>
    <row r="676" spans="1:99" ht="12.75" customHeight="1" x14ac:dyDescent="0.2">
      <c r="A676" s="4" t="s">
        <v>26</v>
      </c>
      <c r="B676" s="36">
        <f>(B89+B174+B278+B348+B421+B442+B612)*(1-B658/100)</f>
        <v>18.144055921754145</v>
      </c>
      <c r="C676" s="59"/>
      <c r="D676" s="36">
        <f>(D89+D174+D278+D348+D421+D442+D612)*(1-D658/100)</f>
        <v>21.93871586562226</v>
      </c>
      <c r="E676" s="59"/>
      <c r="F676" s="36">
        <f>(F89+F174+F278+F348+F421+F442+F612)*(1-F658/100)</f>
        <v>35.613944325954925</v>
      </c>
      <c r="G676" s="59"/>
      <c r="H676" s="36">
        <f>(H89+H174+H278+H348+H421+H442+H612)*(1-H658/100)</f>
        <v>77.055580078895233</v>
      </c>
      <c r="I676" s="59"/>
      <c r="J676" s="36">
        <f>(J89+J174+J278+J348+J421+J442+J612)*(1-J658/100)</f>
        <v>14.637468364769905</v>
      </c>
      <c r="K676" s="23">
        <f t="shared" si="4467"/>
        <v>-19.326370972985995</v>
      </c>
      <c r="L676" s="36">
        <f>(L89+L174+L278+L348+L421+L442+L612)*(1-L658/100)</f>
        <v>-56.657442572117809</v>
      </c>
      <c r="M676" s="23" t="str">
        <f t="shared" si="4467"/>
        <v>NM</v>
      </c>
      <c r="N676" s="36">
        <f>(N89+N174+N278+N348+N421+N442+N612)*(1-N658/100)</f>
        <v>7.1130576674673467</v>
      </c>
      <c r="O676" s="23" t="str">
        <f t="shared" si="4467"/>
        <v>NM</v>
      </c>
      <c r="P676" s="36">
        <f>(P89+P174+P278+P348+P421+P442+P612)*(1-P658/100)</f>
        <v>-31.639814571060171</v>
      </c>
      <c r="Q676" s="23" t="str">
        <f t="shared" si="4467"/>
        <v>NM</v>
      </c>
      <c r="R676" s="36">
        <f>(R89+R174+R278+R348+R421+R442+R612)*(1-R658/100)</f>
        <v>13.18787996882307</v>
      </c>
      <c r="S676" s="23">
        <f t="shared" si="4467"/>
        <v>-9.9032726139703708</v>
      </c>
      <c r="T676" s="36">
        <f>(T89+T174+T278+T348+T421+T442+T612)*(1-T658/100)</f>
        <v>9.8916999999999948</v>
      </c>
      <c r="U676" s="23" t="str">
        <f t="shared" si="4467"/>
        <v>NM</v>
      </c>
      <c r="V676" s="36">
        <f>(V89+V174+V278+V348+V421+V442+V612)*(1-V658/100)</f>
        <v>115.50499999999994</v>
      </c>
      <c r="W676" s="23" t="str">
        <f t="shared" si="4467"/>
        <v>NM</v>
      </c>
      <c r="X676" s="36">
        <f>(X89+X174+X278+X348+X421+X442+X612)*(1-X658/100)</f>
        <v>20.669999999999995</v>
      </c>
      <c r="Y676" s="23" t="str">
        <f t="shared" si="4467"/>
        <v>NM</v>
      </c>
      <c r="Z676" s="36">
        <f>(Z89+Z174+Z278+Z348+Z421+Z442+Z612)*(1-Z658/100)</f>
        <v>-14.040000000000001</v>
      </c>
      <c r="AA676" s="23" t="str">
        <f t="shared" si="4468"/>
        <v>NM</v>
      </c>
      <c r="AB676" s="36">
        <f>(AB89+AB174+AB278+AB348+AB421+AB442+AB612)*(1-AB658/100)</f>
        <v>10.399999999999997</v>
      </c>
      <c r="AC676" s="23">
        <f t="shared" si="4469"/>
        <v>5.1386515967932977</v>
      </c>
      <c r="AD676" s="36">
        <f>(AD89+AD174+AD278+AD348+AD421+AD442+AD612)*(1-AD658/100)</f>
        <v>4.7515000000000072</v>
      </c>
      <c r="AE676" s="23" t="str">
        <f t="shared" si="4470"/>
        <v>NM</v>
      </c>
      <c r="AF676" s="36">
        <f>(AF89+AF174+AF278+AF348+AF421+AF442+AF612)*(1-AF658/100)</f>
        <v>17.939999999999998</v>
      </c>
      <c r="AG676" s="23">
        <f t="shared" si="4471"/>
        <v>-13.207547169811306</v>
      </c>
      <c r="AH676" s="36">
        <f>(AH89+AH174+AH278+AH348+AH421+AH442+AH612)*(1-AH658/100)</f>
        <v>3.352399999999998</v>
      </c>
      <c r="AI676" s="23" t="str">
        <f t="shared" si="4472"/>
        <v>NM</v>
      </c>
      <c r="AJ676" s="36">
        <f>(AJ89+AJ174+AJ278+AJ348+AJ421+AJ442+AJ612)*(1-AJ658/100)</f>
        <v>-5.7120000000000015</v>
      </c>
      <c r="AK676" s="23" t="str">
        <f t="shared" si="4473"/>
        <v>NM</v>
      </c>
      <c r="AL676" s="36">
        <f>(AL89+AL174+AL278+AL348+AL421+AL442+AL612)*(1-AL658/100)</f>
        <v>-63.443999999999889</v>
      </c>
      <c r="AM676" s="23" t="str">
        <f t="shared" si="4474"/>
        <v>NM</v>
      </c>
      <c r="AN676" s="410">
        <f>(AN89+AN174+AN278+AN348+AN421+AN442+AN612)*(1-AN658/100)</f>
        <v>31.823999999999995</v>
      </c>
      <c r="AO676" s="23">
        <f t="shared" si="4475"/>
        <v>77.391304347826079</v>
      </c>
      <c r="AP676" s="410">
        <f>(AP89+AP174+AP278+AP348+AP421+AP442+AP612)*(1-AP658/100)</f>
        <v>-7.3439999999999914</v>
      </c>
      <c r="AQ676" s="23" t="str">
        <f t="shared" si="4476"/>
        <v>NM</v>
      </c>
      <c r="AR676" s="410">
        <f>(AR89+AR174+AR278+AR348+AR421+AR442+AR612)*(1-AR658/100)</f>
        <v>-16.844000000000015</v>
      </c>
      <c r="AS676" s="23" t="str">
        <f t="shared" si="4477"/>
        <v>NM</v>
      </c>
      <c r="AT676" s="410">
        <f>(AT89+AT174+AT278+AT348+AT421+AT442+AT612)*(1-AT658/100)</f>
        <v>-115.32799999999999</v>
      </c>
      <c r="AU676" s="23">
        <f t="shared" si="4478"/>
        <v>81.779206859593017</v>
      </c>
      <c r="AV676" s="410">
        <f>(AV89+AV174+AV278+AV348+AV421+AV442+AV612)*(1-AV658/100)</f>
        <v>0.54399999999999582</v>
      </c>
      <c r="AW676" s="23" t="str">
        <f t="shared" si="4479"/>
        <v>NM</v>
      </c>
      <c r="AX676" s="410">
        <f>(AX89+AX174+AX278+AX348+AX421+AX442+AX612)*(1-AX658/100)</f>
        <v>8.4999999999999929</v>
      </c>
      <c r="AY676" s="23" t="str">
        <f t="shared" si="4480"/>
        <v>NM</v>
      </c>
      <c r="AZ676" s="410">
        <f>(AZ89+AZ174+AZ278+AZ348+AZ421+AZ442+AZ612)*(1-AZ658/100)</f>
        <v>-51.000000000000021</v>
      </c>
      <c r="BA676" s="23" t="str">
        <f t="shared" si="4481"/>
        <v>NM</v>
      </c>
      <c r="BB676" s="410">
        <f>(BB89+BB174+BB278+BB348+BB421+BB442+BB612)*(1-BB658/100)</f>
        <v>-89.759999999999991</v>
      </c>
      <c r="BC676" s="23">
        <f t="shared" si="4482"/>
        <v>-22.169811320754718</v>
      </c>
      <c r="BD676" s="410">
        <f>(BD89+BD174+BD278+BD348+BD421+BD442+BD612)*(1-BD658/100)</f>
        <v>12.919999999999998</v>
      </c>
      <c r="BE676" s="23" t="str">
        <f t="shared" si="4483"/>
        <v>NM</v>
      </c>
      <c r="BF676" s="36">
        <f>(BF89+BF174+BF278+BF348+BF421+BF442+BF612)*(1-BF658/100)</f>
        <v>0</v>
      </c>
      <c r="BG676" s="23" t="str">
        <f t="shared" si="4484"/>
        <v>NM</v>
      </c>
      <c r="BH676" s="36">
        <f>(BH89+BH174+BH278+BH348+BH421+BH442+BH612)*(1-BH658/100)</f>
        <v>0</v>
      </c>
      <c r="BI676" s="23" t="str">
        <f t="shared" si="4485"/>
        <v>NM</v>
      </c>
      <c r="BJ676" s="36">
        <f>(BJ89+BJ174+BJ278+BJ348+BJ421+BJ442+BJ612)*(1-BJ658/100)</f>
        <v>0</v>
      </c>
      <c r="BK676" s="23" t="str">
        <f t="shared" si="4486"/>
        <v>NM</v>
      </c>
      <c r="BL676" s="36">
        <f>(BL89+BL174+BL278+BL348+BL421+BL442+BL612)*(1-BL658/100)</f>
        <v>0</v>
      </c>
      <c r="BM676" s="23" t="str">
        <f t="shared" si="4487"/>
        <v>NM</v>
      </c>
      <c r="BN676" s="5"/>
      <c r="BO676" s="137"/>
      <c r="BP676" s="5"/>
      <c r="BQ676" s="36">
        <f>(BQ89+BQ174+BQ278+BQ348+BQ421+BQ442+BQ612)*(1-BQ658/100)</f>
        <v>14.820000000000004</v>
      </c>
      <c r="BR676" s="5"/>
      <c r="BS676" s="36">
        <f>(BS89+BS174+BS278+BS348+BS421+BS442+BS612)*(1-BS658/100)</f>
        <v>114.27000000000001</v>
      </c>
      <c r="BT676" s="5"/>
      <c r="BU676" s="36">
        <f>(BU89+BU174+BU278+BU348+BU421+BU442+BU612)*(1-BU658/100)</f>
        <v>152.77735224264231</v>
      </c>
      <c r="BV676" s="23">
        <f t="shared" si="4488"/>
        <v>33.698566765242234</v>
      </c>
      <c r="BW676" s="36">
        <f>(BW89+BW174+BW278+BW348+BW421+BW442+BW612)*(1-BW658/100)</f>
        <v>-66.534495856124863</v>
      </c>
      <c r="BX676" s="23" t="str">
        <f t="shared" si="4489"/>
        <v>NM</v>
      </c>
      <c r="BY676" s="36">
        <f>(BY89+BY174+BY278+BY348+BY421+BY442+BY612)*(1-BY658/100)</f>
        <v>159.24431872783157</v>
      </c>
      <c r="BZ676" s="23" t="str">
        <f t="shared" si="4490"/>
        <v>NM</v>
      </c>
      <c r="CA676" s="36">
        <f>(CA89+CA174+CA278+CA348+CA421+CA442+CA612)*(1-CA658/100)</f>
        <v>19.051500000000008</v>
      </c>
      <c r="CB676" s="23" t="str">
        <f t="shared" si="4490"/>
        <v>NM</v>
      </c>
      <c r="CC676" s="36">
        <f>(CC89+CC174+CC278+CC348+CC421+CC442+CC612)*(1-CC658/100)</f>
        <v>-33.979599999999998</v>
      </c>
      <c r="CD676" s="23" t="str">
        <f t="shared" si="4490"/>
        <v>NM</v>
      </c>
      <c r="CE676" s="36">
        <f>(CE89+CE174+CE278+CE348+CE421+CE442+CE612)*(1-CE658/100)</f>
        <v>-138.97199999999998</v>
      </c>
      <c r="CF676" s="23" t="str">
        <f t="shared" si="4490"/>
        <v>NM</v>
      </c>
      <c r="CG676" s="36">
        <f>(CG89+CG174+CG278+CG348+CG421+CG442+CG612)*(1-CG658/100)</f>
        <v>-119.34000000000003</v>
      </c>
      <c r="CH676" s="23">
        <f t="shared" si="4490"/>
        <v>-14.126586650548278</v>
      </c>
      <c r="CI676" s="36">
        <f>(CI89+CI174+CI278+CI348+CI421+CI442+CI612)*(1-CI658/100)</f>
        <v>0</v>
      </c>
      <c r="CJ676" s="23" t="str">
        <f t="shared" si="4490"/>
        <v>NM</v>
      </c>
      <c r="CK676" s="36">
        <f>(CK89+CK174+CK278+CK348+CK421+CK442+CK612)*(1-CK658/100)</f>
        <v>0</v>
      </c>
      <c r="CL676" s="23" t="str">
        <f t="shared" si="4490"/>
        <v>NA</v>
      </c>
      <c r="CM676" s="36">
        <f>(CM89+CM174+CM278+CM348+CM421+CM442+CM612)*(1-CM658/100)</f>
        <v>0</v>
      </c>
      <c r="CN676" s="23" t="str">
        <f t="shared" si="4490"/>
        <v>NA</v>
      </c>
      <c r="CO676" s="36">
        <f>(CO89+CO174+CO278+CO348+CO421+CO442+CO612)*(1-CO658/100)</f>
        <v>0</v>
      </c>
      <c r="CP676" s="23" t="str">
        <f t="shared" si="4490"/>
        <v>NA</v>
      </c>
      <c r="CQ676" s="36">
        <f>(CQ89+CQ174+CQ278+CQ348+CQ421+CQ442+CQ612)*(1-CQ658/100)</f>
        <v>0</v>
      </c>
      <c r="CR676" s="23" t="str">
        <f t="shared" si="4490"/>
        <v>NA</v>
      </c>
      <c r="CS676" s="23" t="str">
        <f t="shared" si="4514"/>
        <v>NM</v>
      </c>
      <c r="CT676" s="91"/>
      <c r="CU676" s="91"/>
    </row>
    <row r="677" spans="1:99" ht="12.75" customHeight="1" x14ac:dyDescent="0.2">
      <c r="A677" s="3" t="s">
        <v>24</v>
      </c>
      <c r="B677" s="72">
        <f>B675+B676</f>
        <v>162.80695523999998</v>
      </c>
      <c r="C677" s="59"/>
      <c r="D677" s="72">
        <f>D675+D676</f>
        <v>195.40586680000013</v>
      </c>
      <c r="E677" s="59"/>
      <c r="F677" s="72">
        <f>F675+F676</f>
        <v>199.44419100999988</v>
      </c>
      <c r="G677" s="59"/>
      <c r="H677" s="72">
        <f>H675+H676</f>
        <v>170.28743746000004</v>
      </c>
      <c r="I677" s="59"/>
      <c r="J677" s="72">
        <f>J675+J676</f>
        <v>156.0059999999998</v>
      </c>
      <c r="K677" s="23">
        <f t="shared" si="4467"/>
        <v>-4.1773124679929214</v>
      </c>
      <c r="L677" s="72">
        <f>L675+L676</f>
        <v>129.37900000000005</v>
      </c>
      <c r="M677" s="23">
        <f t="shared" si="4467"/>
        <v>-33.789603086778982</v>
      </c>
      <c r="N677" s="72">
        <f>N675+N676</f>
        <v>175.54400000000004</v>
      </c>
      <c r="O677" s="23">
        <f t="shared" si="4467"/>
        <v>-11.983397906435645</v>
      </c>
      <c r="P677" s="72">
        <f>P675+P676</f>
        <v>135.55400000000014</v>
      </c>
      <c r="Q677" s="23">
        <f t="shared" si="4467"/>
        <v>-20.396946467738509</v>
      </c>
      <c r="R677" s="72">
        <f>R675+R676</f>
        <v>166.70000000000002</v>
      </c>
      <c r="S677" s="23">
        <f t="shared" si="4467"/>
        <v>6.8548645564915578</v>
      </c>
      <c r="T677" s="72">
        <f>T675+T676</f>
        <v>176.79999999999993</v>
      </c>
      <c r="U677" s="23">
        <f t="shared" si="4467"/>
        <v>36.652779817435487</v>
      </c>
      <c r="V677" s="72">
        <f>V675+V676</f>
        <v>282.87999999999982</v>
      </c>
      <c r="W677" s="23">
        <f t="shared" si="4467"/>
        <v>61.144784213644307</v>
      </c>
      <c r="X677" s="72">
        <f>X675+X676</f>
        <v>198.18499999999992</v>
      </c>
      <c r="Y677" s="23">
        <f t="shared" si="4467"/>
        <v>46.203726928013708</v>
      </c>
      <c r="Z677" s="72">
        <f>Z675+Z676</f>
        <v>150.21500000000012</v>
      </c>
      <c r="AA677" s="23">
        <f t="shared" si="4468"/>
        <v>-9.8890221955608268</v>
      </c>
      <c r="AB677" s="72">
        <f>AB675+AB676</f>
        <v>213.33</v>
      </c>
      <c r="AC677" s="23">
        <f t="shared" si="4469"/>
        <v>20.661764705882412</v>
      </c>
      <c r="AD677" s="72">
        <f>AD675+AD676</f>
        <v>191.36000000000007</v>
      </c>
      <c r="AE677" s="23">
        <f t="shared" si="4470"/>
        <v>-32.352941176470516</v>
      </c>
      <c r="AF677" s="72">
        <f>AF675+AF676</f>
        <v>245.0499999999999</v>
      </c>
      <c r="AG677" s="23">
        <f t="shared" si="4471"/>
        <v>23.647097408986561</v>
      </c>
      <c r="AH677" s="72">
        <f>AH675+AH676</f>
        <v>196.99600000000004</v>
      </c>
      <c r="AI677" s="23">
        <f t="shared" si="4472"/>
        <v>31.14269546982651</v>
      </c>
      <c r="AJ677" s="72">
        <f>AJ675+AJ676</f>
        <v>178.50000000000011</v>
      </c>
      <c r="AK677" s="23">
        <f t="shared" si="4473"/>
        <v>-16.326817606525058</v>
      </c>
      <c r="AL677" s="72">
        <f>AL675+AL676</f>
        <v>93.227999999999795</v>
      </c>
      <c r="AM677" s="23" t="str">
        <f t="shared" si="4474"/>
        <v>NM</v>
      </c>
      <c r="AN677" s="72">
        <f t="shared" ref="AN677:AP677" si="4555">AN675+AN676</f>
        <v>196.04400000000001</v>
      </c>
      <c r="AO677" s="23">
        <f t="shared" si="4475"/>
        <v>-19.998367680065254</v>
      </c>
      <c r="AP677" s="72">
        <f t="shared" si="4555"/>
        <v>59.295999999999822</v>
      </c>
      <c r="AQ677" s="23" t="str">
        <f t="shared" si="4476"/>
        <v>NM</v>
      </c>
      <c r="AR677" s="72">
        <f t="shared" ref="AR677:AT677" si="4556">AR675+AR676</f>
        <v>88.740000000000038</v>
      </c>
      <c r="AS677" s="23" t="str">
        <f t="shared" si="4477"/>
        <v>NM</v>
      </c>
      <c r="AT677" s="72">
        <f t="shared" si="4556"/>
        <v>-25.092000000000056</v>
      </c>
      <c r="AU677" s="23" t="str">
        <f t="shared" si="4478"/>
        <v>NM</v>
      </c>
      <c r="AV677" s="72">
        <f t="shared" ref="AV677:AX677" si="4557">AV675+AV676</f>
        <v>101.72799999999988</v>
      </c>
      <c r="AW677" s="23">
        <f t="shared" si="4479"/>
        <v>-48.109608047173147</v>
      </c>
      <c r="AX677" s="72">
        <f t="shared" si="4557"/>
        <v>98.871999999999815</v>
      </c>
      <c r="AY677" s="23">
        <f t="shared" si="4480"/>
        <v>66.743119266055231</v>
      </c>
      <c r="AZ677" s="72">
        <f t="shared" ref="AZ677" si="4558">AZ675+AZ676</f>
        <v>72.759999999999934</v>
      </c>
      <c r="BA677" s="23">
        <f t="shared" si="4481"/>
        <v>-18.00766283524915</v>
      </c>
      <c r="BB677" s="72">
        <f t="shared" ref="BB677:BD677" si="4559">BB675+BB676</f>
        <v>28.696000000000041</v>
      </c>
      <c r="BC677" s="23" t="str">
        <f t="shared" si="4482"/>
        <v>NM</v>
      </c>
      <c r="BD677" s="72">
        <f t="shared" si="4559"/>
        <v>158.77999999999994</v>
      </c>
      <c r="BE677" s="23">
        <f t="shared" si="4483"/>
        <v>56.08288770053489</v>
      </c>
      <c r="BF677" s="72">
        <f t="shared" ref="BF677" si="4560">BF675+BF676</f>
        <v>148.66898183243575</v>
      </c>
      <c r="BG677" s="23">
        <f t="shared" si="4484"/>
        <v>50.365100162266387</v>
      </c>
      <c r="BH677" s="72">
        <f t="shared" ref="BH677" si="4561">BH675+BH676</f>
        <v>173.51376302319207</v>
      </c>
      <c r="BI677" s="23" t="str">
        <f t="shared" si="4485"/>
        <v>NM</v>
      </c>
      <c r="BJ677" s="72">
        <f t="shared" ref="BJ677" si="4562">BJ675+BJ676</f>
        <v>184.1395675482778</v>
      </c>
      <c r="BK677" s="23" t="str">
        <f t="shared" si="4486"/>
        <v>NM</v>
      </c>
      <c r="BL677" s="72">
        <f t="shared" ref="BL677" si="4563">BL675+BL676</f>
        <v>192.30048750428344</v>
      </c>
      <c r="BM677" s="23">
        <f t="shared" si="4487"/>
        <v>21.111278186348102</v>
      </c>
      <c r="BN677" s="5"/>
      <c r="BO677" s="137"/>
      <c r="BP677" s="5"/>
      <c r="BQ677" s="72">
        <f>BQ675+BQ676</f>
        <v>213.13500000000002</v>
      </c>
      <c r="BR677" s="7"/>
      <c r="BS677" s="72">
        <f>BS675+BS676</f>
        <v>403.39000000000021</v>
      </c>
      <c r="BT677" s="7"/>
      <c r="BU677" s="72">
        <f>BU675+BU676</f>
        <v>727.94445050999934</v>
      </c>
      <c r="BV677" s="23">
        <f t="shared" si="4488"/>
        <v>80.456741741242709</v>
      </c>
      <c r="BW677" s="72">
        <f>BW675+BW676</f>
        <v>596.48300000000052</v>
      </c>
      <c r="BX677" s="23">
        <f t="shared" si="4489"/>
        <v>-18.059269552490807</v>
      </c>
      <c r="BY677" s="72">
        <f>BY675+BY676</f>
        <v>824.56500000000005</v>
      </c>
      <c r="BZ677" s="23">
        <f t="shared" si="4490"/>
        <v>38.237803927354072</v>
      </c>
      <c r="CA677" s="72">
        <f>CA675+CA676</f>
        <v>799.95500000000027</v>
      </c>
      <c r="CB677" s="23">
        <f t="shared" si="4490"/>
        <v>-2.9846040033229326</v>
      </c>
      <c r="CC677" s="72">
        <f>CC675+CC676</f>
        <v>664.76799999999992</v>
      </c>
      <c r="CD677" s="23">
        <f t="shared" si="4490"/>
        <v>-16.899325587064308</v>
      </c>
      <c r="CE677" s="72">
        <f>CE675+CE676</f>
        <v>224.67199999999997</v>
      </c>
      <c r="CF677" s="23" t="str">
        <f t="shared" si="4490"/>
        <v>NM</v>
      </c>
      <c r="CG677" s="72">
        <f>CG675+CG676</f>
        <v>359.10800000000017</v>
      </c>
      <c r="CH677" s="23">
        <f t="shared" si="4490"/>
        <v>59.836561743341512</v>
      </c>
      <c r="CI677" s="72">
        <f>CI675+CI676</f>
        <v>698.62279990818888</v>
      </c>
      <c r="CJ677" s="23">
        <f t="shared" si="4490"/>
        <v>94.543925478738572</v>
      </c>
      <c r="CK677" s="72">
        <f>CK675+CK676</f>
        <v>789.54608848988232</v>
      </c>
      <c r="CL677" s="23">
        <f t="shared" si="4490"/>
        <v>13.014646615261105</v>
      </c>
      <c r="CM677" s="72">
        <f>CM675+CM676</f>
        <v>826.77672498393611</v>
      </c>
      <c r="CN677" s="23">
        <f t="shared" si="4490"/>
        <v>4.7154481589874786</v>
      </c>
      <c r="CO677" s="72">
        <f>CO675+CO676</f>
        <v>863.13998393363056</v>
      </c>
      <c r="CP677" s="23">
        <f t="shared" si="4490"/>
        <v>4.3981957704966712</v>
      </c>
      <c r="CQ677" s="72">
        <f>CQ675+CQ676</f>
        <v>899.14588619677193</v>
      </c>
      <c r="CR677" s="23">
        <f t="shared" si="4490"/>
        <v>4.1715020661017066</v>
      </c>
      <c r="CS677" s="23">
        <f t="shared" si="4514"/>
        <v>20.149236749895149</v>
      </c>
      <c r="CT677" s="91"/>
      <c r="CU677" s="91"/>
    </row>
    <row r="678" spans="1:99" ht="12.75" hidden="1" customHeight="1" outlineLevel="1" x14ac:dyDescent="0.2">
      <c r="A678" s="4" t="s">
        <v>88</v>
      </c>
      <c r="B678" s="35"/>
      <c r="C678" s="60"/>
      <c r="D678" s="35"/>
      <c r="E678" s="60"/>
      <c r="F678" s="35"/>
      <c r="G678" s="60"/>
      <c r="H678" s="35"/>
      <c r="I678" s="60"/>
      <c r="J678" s="35"/>
      <c r="K678" s="23" t="str">
        <f t="shared" si="4467"/>
        <v>NA</v>
      </c>
      <c r="L678" s="35"/>
      <c r="M678" s="23" t="str">
        <f t="shared" si="4467"/>
        <v>NA</v>
      </c>
      <c r="N678" s="35"/>
      <c r="O678" s="23" t="str">
        <f t="shared" si="4467"/>
        <v>NA</v>
      </c>
      <c r="P678" s="35"/>
      <c r="Q678" s="23" t="str">
        <f t="shared" si="4467"/>
        <v>NA</v>
      </c>
      <c r="R678" s="35"/>
      <c r="S678" s="23" t="str">
        <f t="shared" si="4467"/>
        <v>NA</v>
      </c>
      <c r="T678" s="35"/>
      <c r="U678" s="23" t="str">
        <f t="shared" si="4467"/>
        <v>NA</v>
      </c>
      <c r="V678" s="35"/>
      <c r="W678" s="23" t="str">
        <f t="shared" si="4467"/>
        <v>NA</v>
      </c>
      <c r="X678" s="35"/>
      <c r="Y678" s="23" t="str">
        <f t="shared" si="4467"/>
        <v>NA</v>
      </c>
      <c r="Z678" s="35"/>
      <c r="AA678" s="23" t="str">
        <f t="shared" si="4468"/>
        <v>NA</v>
      </c>
      <c r="AB678" s="35"/>
      <c r="AC678" s="23" t="str">
        <f t="shared" si="4469"/>
        <v>NA</v>
      </c>
      <c r="AD678" s="35"/>
      <c r="AE678" s="23" t="str">
        <f t="shared" si="4470"/>
        <v>NA</v>
      </c>
      <c r="AF678" s="35"/>
      <c r="AG678" s="23" t="str">
        <f t="shared" si="4471"/>
        <v>NA</v>
      </c>
      <c r="AH678" s="35"/>
      <c r="AI678" s="23" t="str">
        <f t="shared" si="4472"/>
        <v>NA</v>
      </c>
      <c r="AJ678" s="35"/>
      <c r="AK678" s="23" t="str">
        <f t="shared" si="4473"/>
        <v>NA</v>
      </c>
      <c r="AL678" s="35"/>
      <c r="AM678" s="23" t="str">
        <f t="shared" si="4474"/>
        <v>NA</v>
      </c>
      <c r="AN678" s="409"/>
      <c r="AO678" s="23" t="str">
        <f t="shared" si="4475"/>
        <v>NA</v>
      </c>
      <c r="AP678" s="409"/>
      <c r="AQ678" s="23" t="str">
        <f t="shared" si="4476"/>
        <v>NA</v>
      </c>
      <c r="AR678" s="409"/>
      <c r="AS678" s="23" t="str">
        <f t="shared" si="4477"/>
        <v>NA</v>
      </c>
      <c r="AT678" s="409"/>
      <c r="AU678" s="23" t="str">
        <f t="shared" si="4478"/>
        <v>NA</v>
      </c>
      <c r="AV678" s="409"/>
      <c r="AW678" s="23" t="str">
        <f t="shared" si="4479"/>
        <v>NA</v>
      </c>
      <c r="AX678" s="409"/>
      <c r="AY678" s="23" t="str">
        <f t="shared" si="4480"/>
        <v>NA</v>
      </c>
      <c r="AZ678" s="409"/>
      <c r="BA678" s="23" t="str">
        <f t="shared" si="4481"/>
        <v>NA</v>
      </c>
      <c r="BB678" s="409"/>
      <c r="BC678" s="23" t="str">
        <f t="shared" si="4482"/>
        <v>NA</v>
      </c>
      <c r="BD678" s="409"/>
      <c r="BE678" s="23" t="str">
        <f t="shared" si="4483"/>
        <v>NA</v>
      </c>
      <c r="BF678" s="35"/>
      <c r="BG678" s="23" t="str">
        <f t="shared" si="4484"/>
        <v>NA</v>
      </c>
      <c r="BH678" s="35"/>
      <c r="BI678" s="23" t="str">
        <f t="shared" si="4485"/>
        <v>NA</v>
      </c>
      <c r="BJ678" s="35"/>
      <c r="BK678" s="23" t="str">
        <f t="shared" si="4486"/>
        <v>NA</v>
      </c>
      <c r="BL678" s="35"/>
      <c r="BM678" s="23" t="str">
        <f t="shared" si="4487"/>
        <v>NA</v>
      </c>
      <c r="BN678" s="5"/>
      <c r="BO678" s="136"/>
      <c r="BP678" s="5"/>
      <c r="BQ678" s="35"/>
      <c r="BR678" s="5"/>
      <c r="BS678" s="35"/>
      <c r="BT678" s="5"/>
      <c r="BU678" s="35"/>
      <c r="BV678" s="23"/>
      <c r="BW678" s="35"/>
      <c r="BX678" s="23"/>
      <c r="BY678" s="35"/>
      <c r="BZ678" s="23"/>
      <c r="CA678" s="35"/>
      <c r="CB678" s="23"/>
      <c r="CC678" s="35"/>
      <c r="CD678" s="23"/>
      <c r="CE678" s="35"/>
      <c r="CF678" s="23"/>
      <c r="CG678" s="35"/>
      <c r="CH678" s="23"/>
      <c r="CI678" s="35"/>
      <c r="CJ678" s="23"/>
      <c r="CK678" s="35"/>
      <c r="CL678" s="23"/>
      <c r="CM678" s="35"/>
      <c r="CN678" s="23"/>
      <c r="CO678" s="35"/>
      <c r="CP678" s="23"/>
      <c r="CQ678" s="35"/>
      <c r="CR678" s="23"/>
      <c r="CS678" s="23" t="str">
        <f t="shared" si="4514"/>
        <v>NA</v>
      </c>
    </row>
    <row r="679" spans="1:99" ht="12.75" customHeight="1" collapsed="1" x14ac:dyDescent="0.2">
      <c r="A679" s="3" t="s">
        <v>313</v>
      </c>
      <c r="B679" s="72">
        <f t="shared" ref="B679:Z679" si="4564">+B677-B678</f>
        <v>162.80695523999998</v>
      </c>
      <c r="C679" s="59"/>
      <c r="D679" s="72">
        <f t="shared" si="4564"/>
        <v>195.40586680000013</v>
      </c>
      <c r="E679" s="59"/>
      <c r="F679" s="72">
        <f t="shared" si="4564"/>
        <v>199.44419100999988</v>
      </c>
      <c r="G679" s="59"/>
      <c r="H679" s="72">
        <f t="shared" si="4564"/>
        <v>170.28743746000004</v>
      </c>
      <c r="I679" s="59"/>
      <c r="J679" s="72">
        <f t="shared" si="4564"/>
        <v>156.0059999999998</v>
      </c>
      <c r="K679" s="23">
        <f t="shared" si="4467"/>
        <v>-4.1773124679929214</v>
      </c>
      <c r="L679" s="72">
        <f t="shared" si="4564"/>
        <v>129.37900000000005</v>
      </c>
      <c r="M679" s="23">
        <f t="shared" si="4467"/>
        <v>-33.789603086778982</v>
      </c>
      <c r="N679" s="72">
        <f t="shared" si="4564"/>
        <v>175.54400000000004</v>
      </c>
      <c r="O679" s="23">
        <f t="shared" si="4467"/>
        <v>-11.983397906435645</v>
      </c>
      <c r="P679" s="72">
        <f t="shared" si="4564"/>
        <v>135.55400000000014</v>
      </c>
      <c r="Q679" s="23">
        <f t="shared" si="4467"/>
        <v>-20.396946467738509</v>
      </c>
      <c r="R679" s="72">
        <f t="shared" si="4564"/>
        <v>166.70000000000002</v>
      </c>
      <c r="S679" s="23">
        <f t="shared" si="4467"/>
        <v>6.8548645564915578</v>
      </c>
      <c r="T679" s="72">
        <f t="shared" si="4564"/>
        <v>176.79999999999993</v>
      </c>
      <c r="U679" s="23">
        <f t="shared" si="4467"/>
        <v>36.652779817435487</v>
      </c>
      <c r="V679" s="72">
        <f t="shared" si="4564"/>
        <v>282.87999999999982</v>
      </c>
      <c r="W679" s="23">
        <f t="shared" si="4467"/>
        <v>61.144784213644307</v>
      </c>
      <c r="X679" s="72">
        <f t="shared" si="4564"/>
        <v>198.18499999999992</v>
      </c>
      <c r="Y679" s="23">
        <f t="shared" si="4467"/>
        <v>46.203726928013708</v>
      </c>
      <c r="Z679" s="72">
        <f t="shared" si="4564"/>
        <v>150.21500000000012</v>
      </c>
      <c r="AA679" s="23">
        <f t="shared" si="4468"/>
        <v>-9.8890221955608268</v>
      </c>
      <c r="AB679" s="72">
        <f t="shared" ref="AB679:AD679" si="4565">+AB677-AB678</f>
        <v>213.33</v>
      </c>
      <c r="AC679" s="23">
        <f t="shared" si="4469"/>
        <v>20.661764705882412</v>
      </c>
      <c r="AD679" s="72">
        <f t="shared" si="4565"/>
        <v>191.36000000000007</v>
      </c>
      <c r="AE679" s="23">
        <f t="shared" si="4470"/>
        <v>-32.352941176470516</v>
      </c>
      <c r="AF679" s="72">
        <f t="shared" ref="AF679:AH679" si="4566">+AF677-AF678</f>
        <v>245.0499999999999</v>
      </c>
      <c r="AG679" s="23">
        <f t="shared" si="4471"/>
        <v>23.647097408986561</v>
      </c>
      <c r="AH679" s="72">
        <f t="shared" si="4566"/>
        <v>196.99600000000004</v>
      </c>
      <c r="AI679" s="23">
        <f t="shared" si="4472"/>
        <v>31.14269546982651</v>
      </c>
      <c r="AJ679" s="72">
        <f t="shared" ref="AJ679:AL679" si="4567">+AJ677-AJ678</f>
        <v>178.50000000000011</v>
      </c>
      <c r="AK679" s="23">
        <f t="shared" si="4473"/>
        <v>-16.326817606525058</v>
      </c>
      <c r="AL679" s="72">
        <f t="shared" si="4567"/>
        <v>93.227999999999795</v>
      </c>
      <c r="AM679" s="23" t="str">
        <f t="shared" si="4474"/>
        <v>NM</v>
      </c>
      <c r="AN679" s="72">
        <f t="shared" ref="AN679:AP679" si="4568">+AN677-AN678</f>
        <v>196.04400000000001</v>
      </c>
      <c r="AO679" s="23">
        <f t="shared" si="4475"/>
        <v>-19.998367680065254</v>
      </c>
      <c r="AP679" s="72">
        <f t="shared" si="4568"/>
        <v>59.295999999999822</v>
      </c>
      <c r="AQ679" s="23" t="str">
        <f t="shared" si="4476"/>
        <v>NM</v>
      </c>
      <c r="AR679" s="72">
        <f t="shared" ref="AR679:AT679" si="4569">+AR677-AR678</f>
        <v>88.740000000000038</v>
      </c>
      <c r="AS679" s="23" t="str">
        <f t="shared" si="4477"/>
        <v>NM</v>
      </c>
      <c r="AT679" s="72">
        <f t="shared" si="4569"/>
        <v>-25.092000000000056</v>
      </c>
      <c r="AU679" s="23" t="str">
        <f t="shared" si="4478"/>
        <v>NM</v>
      </c>
      <c r="AV679" s="72">
        <f t="shared" ref="AV679:AX679" si="4570">+AV677-AV678</f>
        <v>101.72799999999988</v>
      </c>
      <c r="AW679" s="23">
        <f t="shared" si="4479"/>
        <v>-48.109608047173147</v>
      </c>
      <c r="AX679" s="72">
        <f t="shared" si="4570"/>
        <v>98.871999999999815</v>
      </c>
      <c r="AY679" s="23">
        <f t="shared" si="4480"/>
        <v>66.743119266055231</v>
      </c>
      <c r="AZ679" s="72">
        <f t="shared" ref="AZ679" si="4571">+AZ677-AZ678</f>
        <v>72.759999999999934</v>
      </c>
      <c r="BA679" s="23">
        <f t="shared" si="4481"/>
        <v>-18.00766283524915</v>
      </c>
      <c r="BB679" s="72">
        <f t="shared" ref="BB679:BD679" si="4572">+BB677-BB678</f>
        <v>28.696000000000041</v>
      </c>
      <c r="BC679" s="23" t="str">
        <f t="shared" si="4482"/>
        <v>NM</v>
      </c>
      <c r="BD679" s="72">
        <f t="shared" si="4572"/>
        <v>158.77999999999994</v>
      </c>
      <c r="BE679" s="23">
        <f t="shared" si="4483"/>
        <v>56.08288770053489</v>
      </c>
      <c r="BF679" s="72">
        <f t="shared" ref="BF679" si="4573">+BF677-BF678</f>
        <v>148.66898183243575</v>
      </c>
      <c r="BG679" s="23">
        <f t="shared" si="4484"/>
        <v>50.365100162266387</v>
      </c>
      <c r="BH679" s="72">
        <f t="shared" ref="BH679" si="4574">+BH677-BH678</f>
        <v>173.51376302319207</v>
      </c>
      <c r="BI679" s="23" t="str">
        <f t="shared" si="4485"/>
        <v>NM</v>
      </c>
      <c r="BJ679" s="72">
        <f t="shared" ref="BJ679" si="4575">+BJ677-BJ678</f>
        <v>184.1395675482778</v>
      </c>
      <c r="BK679" s="23" t="str">
        <f t="shared" si="4486"/>
        <v>NM</v>
      </c>
      <c r="BL679" s="72">
        <f t="shared" ref="BL679" si="4576">+BL677-BL678</f>
        <v>192.30048750428344</v>
      </c>
      <c r="BM679" s="23">
        <f t="shared" si="4487"/>
        <v>21.111278186348102</v>
      </c>
      <c r="BN679" s="5"/>
      <c r="BO679" s="137"/>
      <c r="BP679" s="5"/>
      <c r="BQ679" s="72">
        <f t="shared" ref="BQ679:CA679" si="4577">+BQ677-BQ678</f>
        <v>213.13500000000002</v>
      </c>
      <c r="BR679" s="7"/>
      <c r="BS679" s="72">
        <f t="shared" si="4577"/>
        <v>403.39000000000021</v>
      </c>
      <c r="BT679" s="7"/>
      <c r="BU679" s="72">
        <f t="shared" si="4577"/>
        <v>727.94445050999934</v>
      </c>
      <c r="BV679" s="23">
        <f>IF(ISERROR((BU679/BS679-1)*100),"NA",IF(((BU679/BS679-1)*100)&gt;100,"NM",IF(((BU679/BS679-1)*100)&lt;-50,"NM",(BU679/BS679-1)*100)))</f>
        <v>80.456741741242709</v>
      </c>
      <c r="BW679" s="72">
        <f t="shared" si="4577"/>
        <v>596.48300000000052</v>
      </c>
      <c r="BX679" s="23">
        <f>IF(ISERROR((BW679/BU679-1)*100),"NA",IF(((BW679/BU679-1)*100)&gt;100,"NM",IF(((BW679/BU679-1)*100)&lt;-50,"NM",(BW679/BU679-1)*100)))</f>
        <v>-18.059269552490807</v>
      </c>
      <c r="BY679" s="72">
        <f t="shared" si="4577"/>
        <v>824.56500000000005</v>
      </c>
      <c r="BZ679" s="23">
        <f>IF(ISERROR((BY679/BW679-1)*100),"NA",IF(((BY679/BW679-1)*100)&gt;100,"NM",IF(((BY679/BW679-1)*100)&lt;-50,"NM",(BY679/BW679-1)*100)))</f>
        <v>38.237803927354072</v>
      </c>
      <c r="CA679" s="72">
        <f t="shared" si="4577"/>
        <v>799.95500000000027</v>
      </c>
      <c r="CB679" s="23">
        <f>IF(ISERROR((CA679/BY679-1)*100),"NA",IF(((CA679/BY679-1)*100)&gt;100,"NM",IF(((CA679/BY679-1)*100)&lt;-50,"NM",(CA679/BY679-1)*100)))</f>
        <v>-2.9846040033229326</v>
      </c>
      <c r="CC679" s="72">
        <f t="shared" ref="CC679" si="4578">+CC677-CC678</f>
        <v>664.76799999999992</v>
      </c>
      <c r="CD679" s="23">
        <f>IF(ISERROR((CC679/CA679-1)*100),"NA",IF(((CC679/CA679-1)*100)&gt;100,"NM",IF(((CC679/CA679-1)*100)&lt;-50,"NM",(CC679/CA679-1)*100)))</f>
        <v>-16.899325587064308</v>
      </c>
      <c r="CE679" s="72">
        <f t="shared" ref="CE679" si="4579">+CE677-CE678</f>
        <v>224.67199999999997</v>
      </c>
      <c r="CF679" s="23" t="str">
        <f>IF(ISERROR((CE679/CC679-1)*100),"NA",IF(((CE679/CC679-1)*100)&gt;100,"NM",IF(((CE679/CC679-1)*100)&lt;-50,"NM",(CE679/CC679-1)*100)))</f>
        <v>NM</v>
      </c>
      <c r="CG679" s="72">
        <f t="shared" ref="CG679" si="4580">+CG677-CG678</f>
        <v>359.10800000000017</v>
      </c>
      <c r="CH679" s="23">
        <f>IF(ISERROR((CG679/CE679-1)*100),"NA",IF(((CG679/CE679-1)*100)&gt;100,"NM",IF(((CG679/CE679-1)*100)&lt;-50,"NM",(CG679/CE679-1)*100)))</f>
        <v>59.836561743341512</v>
      </c>
      <c r="CI679" s="72">
        <f t="shared" ref="CI679" si="4581">+CI677-CI678</f>
        <v>698.62279990818888</v>
      </c>
      <c r="CJ679" s="23">
        <f>IF(ISERROR((CI679/CG679-1)*100),"NA",IF(((CI679/CG679-1)*100)&gt;100,"NM",IF(((CI679/CG679-1)*100)&lt;-50,"NM",(CI679/CG679-1)*100)))</f>
        <v>94.543925478738572</v>
      </c>
      <c r="CK679" s="72">
        <f>+CK677-CK678</f>
        <v>789.54608848988232</v>
      </c>
      <c r="CL679" s="23">
        <f>IF(ISERROR((CK679/CI679-1)*100),"NA",IF(((CK679/CI679-1)*100)&gt;100,"NM",IF(((CK679/CI679-1)*100)&lt;-50,"NM",(CK679/CI679-1)*100)))</f>
        <v>13.014646615261105</v>
      </c>
      <c r="CM679" s="72">
        <f>+CM677-CM678</f>
        <v>826.77672498393611</v>
      </c>
      <c r="CN679" s="23">
        <f>IF(ISERROR((CM679/CK679-1)*100),"NA",IF(((CM679/CK679-1)*100)&gt;100,"NM",IF(((CM679/CK679-1)*100)&lt;-50,"NM",(CM679/CK679-1)*100)))</f>
        <v>4.7154481589874786</v>
      </c>
      <c r="CO679" s="72">
        <f>+CO677-CO678</f>
        <v>863.13998393363056</v>
      </c>
      <c r="CP679" s="23">
        <f>IF(ISERROR((CO679/CM679-1)*100),"NA",IF(((CO679/CM679-1)*100)&gt;100,"NM",IF(((CO679/CM679-1)*100)&lt;-50,"NM",(CO679/CM679-1)*100)))</f>
        <v>4.3981957704966712</v>
      </c>
      <c r="CQ679" s="72">
        <f>+CQ677-CQ678</f>
        <v>899.14588619677193</v>
      </c>
      <c r="CR679" s="23">
        <f>IF(ISERROR((CQ679/CO679-1)*100),"NA",IF(((CQ679/CO679-1)*100)&gt;100,"NM",IF(((CQ679/CO679-1)*100)&lt;-50,"NM",(CQ679/CO679-1)*100)))</f>
        <v>4.1715020661017066</v>
      </c>
      <c r="CS679" s="23">
        <f t="shared" si="4514"/>
        <v>20.149236749895149</v>
      </c>
      <c r="CT679" s="91"/>
    </row>
    <row r="680" spans="1:99" ht="12.75" customHeight="1" x14ac:dyDescent="0.2">
      <c r="A680" s="3"/>
      <c r="B680" s="72"/>
      <c r="C680" s="59"/>
      <c r="D680" s="72"/>
      <c r="E680" s="59"/>
      <c r="F680" s="72"/>
      <c r="G680" s="59"/>
      <c r="H680" s="72"/>
      <c r="I680" s="59"/>
      <c r="J680" s="72"/>
      <c r="K680" s="23"/>
      <c r="L680" s="72"/>
      <c r="M680" s="23"/>
      <c r="N680" s="72"/>
      <c r="O680" s="23"/>
      <c r="P680" s="72"/>
      <c r="Q680" s="23"/>
      <c r="R680" s="72"/>
      <c r="S680" s="23"/>
      <c r="T680" s="72"/>
      <c r="U680" s="23"/>
      <c r="V680" s="72"/>
      <c r="W680" s="23"/>
      <c r="X680" s="72"/>
      <c r="Y680" s="23"/>
      <c r="Z680" s="72"/>
      <c r="AA680" s="23"/>
      <c r="AB680" s="72"/>
      <c r="AC680" s="23"/>
      <c r="AD680" s="72"/>
      <c r="AE680" s="23"/>
      <c r="AF680" s="72"/>
      <c r="AG680" s="23"/>
      <c r="AH680" s="72"/>
      <c r="AI680" s="23"/>
      <c r="AJ680" s="72"/>
      <c r="AK680" s="23"/>
      <c r="AL680" s="72"/>
      <c r="AM680" s="23"/>
      <c r="AN680" s="72"/>
      <c r="AO680" s="23"/>
      <c r="AP680" s="72"/>
      <c r="AQ680" s="23"/>
      <c r="AR680" s="72"/>
      <c r="AS680" s="23"/>
      <c r="AT680" s="72"/>
      <c r="AU680" s="23"/>
      <c r="AV680" s="72"/>
      <c r="AW680" s="23"/>
      <c r="AX680" s="72"/>
      <c r="AY680" s="23"/>
      <c r="AZ680" s="72"/>
      <c r="BA680" s="23"/>
      <c r="BB680" s="72"/>
      <c r="BC680" s="23"/>
      <c r="BD680" s="72"/>
      <c r="BE680" s="23"/>
      <c r="BF680" s="72"/>
      <c r="BG680" s="23"/>
      <c r="BH680" s="72"/>
      <c r="BI680" s="23"/>
      <c r="BJ680" s="72"/>
      <c r="BK680" s="23"/>
      <c r="BL680" s="72"/>
      <c r="BM680" s="23"/>
      <c r="BN680" s="5"/>
      <c r="BO680" s="137"/>
      <c r="BP680" s="5"/>
      <c r="BQ680" s="72"/>
      <c r="BR680" s="7"/>
      <c r="BS680" s="72"/>
      <c r="BT680" s="7"/>
      <c r="BU680" s="72"/>
      <c r="BV680" s="23"/>
      <c r="BW680" s="72"/>
      <c r="BX680" s="23"/>
      <c r="BY680" s="72"/>
      <c r="BZ680" s="23"/>
      <c r="CA680" s="72"/>
      <c r="CB680" s="23"/>
      <c r="CC680" s="72"/>
      <c r="CD680" s="23"/>
      <c r="CE680" s="72"/>
      <c r="CF680" s="23"/>
      <c r="CG680" s="72"/>
      <c r="CH680" s="23"/>
      <c r="CI680" s="72"/>
      <c r="CJ680" s="23"/>
      <c r="CK680" s="72"/>
      <c r="CL680" s="23"/>
      <c r="CM680" s="72"/>
      <c r="CN680" s="23"/>
      <c r="CO680" s="72"/>
      <c r="CP680" s="23"/>
      <c r="CQ680" s="72"/>
      <c r="CR680" s="23"/>
      <c r="CS680" s="23"/>
    </row>
    <row r="681" spans="1:99" ht="12.75" customHeight="1" x14ac:dyDescent="0.2">
      <c r="A681" s="4" t="s">
        <v>0</v>
      </c>
      <c r="B681" s="36">
        <f>(B756*B763)-B661</f>
        <v>0</v>
      </c>
      <c r="C681" s="36"/>
      <c r="D681" s="36">
        <f>(D756*D763)-D661</f>
        <v>0</v>
      </c>
      <c r="E681" s="36"/>
      <c r="F681" s="36">
        <f>(F756*F763)-F661</f>
        <v>0</v>
      </c>
      <c r="G681" s="36"/>
      <c r="H681" s="36">
        <f>(H756*H763)-H661</f>
        <v>0</v>
      </c>
      <c r="I681" s="36"/>
      <c r="J681" s="36">
        <f>(J756*J763)-J661</f>
        <v>0</v>
      </c>
      <c r="K681" s="36"/>
      <c r="L681" s="36">
        <f>(L756*L763)-L661</f>
        <v>0</v>
      </c>
      <c r="M681" s="36"/>
      <c r="N681" s="36">
        <f>(N756*N763)-N661</f>
        <v>0</v>
      </c>
      <c r="O681" s="36"/>
      <c r="P681" s="36">
        <f>(P756*P763)-P661</f>
        <v>0</v>
      </c>
      <c r="Q681" s="36"/>
      <c r="R681" s="36">
        <f>(R756*R763)-R661</f>
        <v>0</v>
      </c>
      <c r="S681" s="36"/>
      <c r="T681" s="36">
        <f>(T756*T763)-T661</f>
        <v>0</v>
      </c>
      <c r="U681" s="36"/>
      <c r="V681" s="36">
        <f>(V756*V763)-V661</f>
        <v>0</v>
      </c>
      <c r="W681" s="36"/>
      <c r="X681" s="36">
        <f>(X756*X763)-X661</f>
        <v>0</v>
      </c>
      <c r="Y681" s="36"/>
      <c r="Z681" s="36">
        <f>(Z756*Z763)-Z661</f>
        <v>0</v>
      </c>
      <c r="AA681" s="36"/>
      <c r="AB681" s="36">
        <f>(AB756*AB763)-AB661</f>
        <v>0</v>
      </c>
      <c r="AC681" s="36"/>
      <c r="AD681" s="36">
        <f>(AD756*AD763)-AD661</f>
        <v>0</v>
      </c>
      <c r="AE681" s="36"/>
      <c r="AF681" s="36">
        <f>(AF756*AF763)-AF661</f>
        <v>0</v>
      </c>
      <c r="AG681" s="23"/>
      <c r="AH681" s="36">
        <f>(AH756*AH763)-AH661</f>
        <v>0</v>
      </c>
      <c r="AI681" s="23"/>
      <c r="AJ681" s="36">
        <f>(AJ756*AJ763)-AJ661</f>
        <v>0</v>
      </c>
      <c r="AK681" s="23"/>
      <c r="AL681" s="36">
        <f>(AL756*AL763)-AL661</f>
        <v>0</v>
      </c>
      <c r="AM681" s="23"/>
      <c r="AN681" s="410">
        <f>(AN756*AN763)-AN661</f>
        <v>0</v>
      </c>
      <c r="AO681" s="23"/>
      <c r="AP681" s="410">
        <f>(AP756*AP763)-AP661</f>
        <v>0</v>
      </c>
      <c r="AQ681" s="23"/>
      <c r="AR681" s="410">
        <f>(AR756*AR763)-AR661</f>
        <v>0</v>
      </c>
      <c r="AS681" s="23"/>
      <c r="AT681" s="410">
        <f>(AT756*AT763)-AT661</f>
        <v>0</v>
      </c>
      <c r="AU681" s="23"/>
      <c r="AV681" s="410">
        <f>(AV756*AV763)-AV661</f>
        <v>0</v>
      </c>
      <c r="AW681" s="23"/>
      <c r="AX681" s="410">
        <f>(AX756*AX763)-AX661</f>
        <v>0</v>
      </c>
      <c r="AY681" s="23"/>
      <c r="AZ681" s="410">
        <f>(AZ756*AZ763)-AZ661</f>
        <v>0</v>
      </c>
      <c r="BA681" s="23"/>
      <c r="BB681" s="410">
        <f>(BB756*BB763)-BB661</f>
        <v>0</v>
      </c>
      <c r="BC681" s="23"/>
      <c r="BD681" s="410">
        <f>(BD756*BD763)-BD661</f>
        <v>0</v>
      </c>
      <c r="BE681" s="23"/>
      <c r="BF681" s="36">
        <f t="shared" ref="BF681" si="4582">(BF756*BF763)-BF661</f>
        <v>0</v>
      </c>
      <c r="BG681" s="23"/>
      <c r="BH681" s="36">
        <f t="shared" ref="BH681" si="4583">(BH756*BH763)-BH661</f>
        <v>0</v>
      </c>
      <c r="BI681" s="23"/>
      <c r="BJ681" s="36">
        <f t="shared" ref="BJ681" si="4584">(BJ756*BJ763)-BJ661</f>
        <v>0</v>
      </c>
      <c r="BK681" s="23"/>
      <c r="BL681" s="36">
        <f t="shared" ref="BL681" si="4585">(BL756*BL763)-BL661</f>
        <v>0</v>
      </c>
      <c r="BM681" s="23"/>
      <c r="BN681" s="5"/>
      <c r="BO681" s="137"/>
      <c r="BP681" s="5"/>
      <c r="BQ681" s="36"/>
      <c r="BR681" s="5"/>
      <c r="BS681" s="36"/>
      <c r="BT681" s="5"/>
      <c r="BU681" s="36">
        <f>BU682-BU677</f>
        <v>0</v>
      </c>
      <c r="BV681" s="36"/>
      <c r="BW681" s="36">
        <f>BW682-BW677</f>
        <v>0</v>
      </c>
      <c r="BX681" s="36"/>
      <c r="BY681" s="36">
        <f>BY682-BY677</f>
        <v>0</v>
      </c>
      <c r="BZ681" s="36"/>
      <c r="CA681" s="36">
        <f>CA682-CA677</f>
        <v>0</v>
      </c>
      <c r="CB681" s="36"/>
      <c r="CC681" s="36">
        <f>CC682-CC677</f>
        <v>0</v>
      </c>
      <c r="CD681" s="36"/>
      <c r="CE681" s="36">
        <f>CE682-CE677</f>
        <v>-2.8421709430404007E-13</v>
      </c>
      <c r="CF681" s="36"/>
      <c r="CG681" s="36">
        <f>CG682-CG677</f>
        <v>-4.5474735088646412E-13</v>
      </c>
      <c r="CH681" s="36"/>
      <c r="CI681" s="36">
        <f>CI682-CI677</f>
        <v>0</v>
      </c>
      <c r="CJ681" s="36"/>
      <c r="CK681" s="36">
        <f>(CK756*CK763)-CK661</f>
        <v>0</v>
      </c>
      <c r="CL681" s="36"/>
      <c r="CM681" s="36">
        <f>(CM756*CM763)-CM661</f>
        <v>0</v>
      </c>
      <c r="CN681" s="36"/>
      <c r="CO681" s="36">
        <f>(CO756*CO763)-CO661</f>
        <v>0</v>
      </c>
      <c r="CP681" s="36"/>
      <c r="CQ681" s="36">
        <f>(CQ756*CQ763)-CQ661</f>
        <v>0</v>
      </c>
      <c r="CR681" s="36"/>
      <c r="CS681" s="23"/>
    </row>
    <row r="682" spans="1:99" ht="12.75" customHeight="1" x14ac:dyDescent="0.2">
      <c r="A682" s="4" t="s">
        <v>1</v>
      </c>
      <c r="B682" s="36">
        <f>B661+B681</f>
        <v>162.80695524000001</v>
      </c>
      <c r="C682" s="36"/>
      <c r="D682" s="36">
        <f t="shared" ref="D682:Z682" si="4586">D661+D681</f>
        <v>195.4058668000001</v>
      </c>
      <c r="E682" s="36"/>
      <c r="F682" s="36">
        <f t="shared" si="4586"/>
        <v>199.44419100999994</v>
      </c>
      <c r="G682" s="36"/>
      <c r="H682" s="36">
        <f t="shared" si="4586"/>
        <v>170.28743746000001</v>
      </c>
      <c r="I682" s="36"/>
      <c r="J682" s="36">
        <f t="shared" si="4586"/>
        <v>156.0059999999998</v>
      </c>
      <c r="K682" s="36"/>
      <c r="L682" s="36">
        <f t="shared" si="4586"/>
        <v>129.37900000000002</v>
      </c>
      <c r="M682" s="36"/>
      <c r="N682" s="36">
        <f t="shared" si="4586"/>
        <v>175.54400000000001</v>
      </c>
      <c r="O682" s="36"/>
      <c r="P682" s="36">
        <f t="shared" si="4586"/>
        <v>135.55400000000014</v>
      </c>
      <c r="Q682" s="36"/>
      <c r="R682" s="36">
        <f t="shared" si="4586"/>
        <v>166.70000000000002</v>
      </c>
      <c r="S682" s="36"/>
      <c r="T682" s="36">
        <f t="shared" si="4586"/>
        <v>176.79999999999993</v>
      </c>
      <c r="U682" s="36"/>
      <c r="V682" s="36">
        <f t="shared" si="4586"/>
        <v>282.87999999999977</v>
      </c>
      <c r="W682" s="36"/>
      <c r="X682" s="36">
        <f t="shared" si="4586"/>
        <v>198.18499999999989</v>
      </c>
      <c r="Y682" s="36"/>
      <c r="Z682" s="36">
        <f t="shared" si="4586"/>
        <v>150.21500000000012</v>
      </c>
      <c r="AA682" s="36"/>
      <c r="AB682" s="36">
        <f t="shared" ref="AB682:AD682" si="4587">AB661+AB681</f>
        <v>213.32999999999996</v>
      </c>
      <c r="AC682" s="36"/>
      <c r="AD682" s="36">
        <f t="shared" si="4587"/>
        <v>191.36</v>
      </c>
      <c r="AE682" s="36"/>
      <c r="AF682" s="36">
        <f t="shared" ref="AF682:AH682" si="4588">AF661+AF681</f>
        <v>245.0499999999999</v>
      </c>
      <c r="AG682" s="23"/>
      <c r="AH682" s="36">
        <f t="shared" si="4588"/>
        <v>196.99600000000004</v>
      </c>
      <c r="AI682" s="23"/>
      <c r="AJ682" s="36">
        <f t="shared" ref="AJ682:AL682" si="4589">AJ661+AJ681</f>
        <v>178.50000000000006</v>
      </c>
      <c r="AK682" s="23"/>
      <c r="AL682" s="36">
        <f t="shared" si="4589"/>
        <v>93.227999999999767</v>
      </c>
      <c r="AM682" s="23"/>
      <c r="AN682" s="410">
        <f t="shared" ref="AN682:AP682" si="4590">AN661+AN681</f>
        <v>196.04400000000001</v>
      </c>
      <c r="AO682" s="23"/>
      <c r="AP682" s="410">
        <f t="shared" si="4590"/>
        <v>59.295999999999836</v>
      </c>
      <c r="AQ682" s="23"/>
      <c r="AR682" s="410">
        <f t="shared" ref="AR682:AT682" si="4591">AR661+AR681</f>
        <v>88.740000000000038</v>
      </c>
      <c r="AS682" s="23"/>
      <c r="AT682" s="410">
        <f t="shared" si="4591"/>
        <v>-25.092000000000056</v>
      </c>
      <c r="AU682" s="23"/>
      <c r="AV682" s="410">
        <f t="shared" ref="AV682:AX682" si="4592">AV661+AV681</f>
        <v>101.72799999999987</v>
      </c>
      <c r="AW682" s="23"/>
      <c r="AX682" s="410">
        <f t="shared" si="4592"/>
        <v>98.871999999999815</v>
      </c>
      <c r="AY682" s="23"/>
      <c r="AZ682" s="410">
        <f t="shared" ref="AZ682" si="4593">AZ661+AZ681</f>
        <v>72.759999999999934</v>
      </c>
      <c r="BA682" s="23"/>
      <c r="BB682" s="410">
        <f t="shared" ref="BB682:BD682" si="4594">BB661+BB681</f>
        <v>28.696000000000033</v>
      </c>
      <c r="BC682" s="23"/>
      <c r="BD682" s="410">
        <f t="shared" si="4594"/>
        <v>158.77999999999994</v>
      </c>
      <c r="BE682" s="23"/>
      <c r="BF682" s="36">
        <f t="shared" ref="BF682" si="4595">BF661+BF681</f>
        <v>148.66898183243578</v>
      </c>
      <c r="BG682" s="23"/>
      <c r="BH682" s="36">
        <f t="shared" ref="BH682" si="4596">BH661+BH681</f>
        <v>173.51376302319207</v>
      </c>
      <c r="BI682" s="23"/>
      <c r="BJ682" s="36">
        <f t="shared" ref="BJ682" si="4597">BJ661+BJ681</f>
        <v>184.1395675482778</v>
      </c>
      <c r="BK682" s="23"/>
      <c r="BL682" s="36">
        <f t="shared" ref="BL682" si="4598">BL661+BL681</f>
        <v>192.30048750428344</v>
      </c>
      <c r="BM682" s="23"/>
      <c r="BN682" s="5"/>
      <c r="BO682" s="137"/>
      <c r="BP682" s="5"/>
      <c r="BQ682" s="36"/>
      <c r="BR682" s="5"/>
      <c r="BS682" s="36"/>
      <c r="BT682" s="5"/>
      <c r="BU682" s="36">
        <f>B682+D682+F682+H682</f>
        <v>727.94445051000002</v>
      </c>
      <c r="BV682" s="36"/>
      <c r="BW682" s="36">
        <f>J682+L682+N682+P682</f>
        <v>596.48299999999995</v>
      </c>
      <c r="BX682" s="36"/>
      <c r="BY682" s="36">
        <f>R682+T682+V682+X682</f>
        <v>824.5649999999996</v>
      </c>
      <c r="BZ682" s="36"/>
      <c r="CA682" s="36">
        <f>Z682+AB682+AD682+AF682</f>
        <v>799.95499999999993</v>
      </c>
      <c r="CB682" s="36"/>
      <c r="CC682" s="36">
        <f>AH682+AJ682+AL682+AN682</f>
        <v>664.76799999999992</v>
      </c>
      <c r="CD682" s="36"/>
      <c r="CE682" s="36">
        <f>AP682+AR682+AT682+AV682</f>
        <v>224.67199999999968</v>
      </c>
      <c r="CF682" s="36"/>
      <c r="CG682" s="36">
        <f>AX682+AZ682+BB682+BD682</f>
        <v>359.10799999999972</v>
      </c>
      <c r="CH682" s="36"/>
      <c r="CI682" s="36">
        <f>BF682+BH682+BJ682+BL682</f>
        <v>698.62279990818911</v>
      </c>
      <c r="CJ682" s="36"/>
      <c r="CK682" s="36">
        <f>CK661+CK681</f>
        <v>789.54608848988232</v>
      </c>
      <c r="CL682" s="36"/>
      <c r="CM682" s="36">
        <f>CM661+CM681</f>
        <v>826.77672498393611</v>
      </c>
      <c r="CN682" s="36"/>
      <c r="CO682" s="36">
        <f>CO661+CO681</f>
        <v>863.13998393363056</v>
      </c>
      <c r="CP682" s="36"/>
      <c r="CQ682" s="36">
        <f>CQ661+CQ681</f>
        <v>899.14588619677193</v>
      </c>
      <c r="CR682" s="36"/>
      <c r="CS682" s="23">
        <f>IF(ISERROR(((CQ682/CG682)^0.2-1)*100),"NA",IF((((CQ682/CG682)^0.2-1)*100)&gt;100,"NM",IF((((CQ682/CG682)^0.2-1)*100)&lt;-50,"NM",((CQ682/CG682)^0.2-1)*100)))</f>
        <v>20.149236749895174</v>
      </c>
    </row>
    <row r="683" spans="1:99" ht="12.75" customHeight="1" x14ac:dyDescent="0.2">
      <c r="A683" s="7"/>
      <c r="B683" s="37"/>
      <c r="C683" s="24"/>
      <c r="D683" s="37"/>
      <c r="E683" s="24"/>
      <c r="F683" s="37"/>
      <c r="G683" s="24"/>
      <c r="H683" s="37"/>
      <c r="I683" s="24"/>
      <c r="J683" s="37"/>
      <c r="K683" s="177"/>
      <c r="L683" s="37"/>
      <c r="M683" s="177"/>
      <c r="N683" s="37"/>
      <c r="O683" s="177"/>
      <c r="P683" s="37"/>
      <c r="Q683" s="177"/>
      <c r="R683" s="37"/>
      <c r="S683" s="177"/>
      <c r="T683" s="37"/>
      <c r="U683" s="177"/>
      <c r="V683" s="37"/>
      <c r="W683" s="177"/>
      <c r="X683" s="37"/>
      <c r="Y683" s="177"/>
      <c r="Z683" s="37"/>
      <c r="AA683" s="177"/>
      <c r="AB683" s="37"/>
      <c r="AC683" s="177"/>
      <c r="AD683" s="37"/>
      <c r="AE683" s="177"/>
      <c r="AF683" s="37"/>
      <c r="AG683" s="177"/>
      <c r="AH683" s="37"/>
      <c r="AI683" s="177"/>
      <c r="AJ683" s="37"/>
      <c r="AK683" s="177"/>
      <c r="AL683" s="37"/>
      <c r="AM683" s="177"/>
      <c r="AN683" s="411"/>
      <c r="AO683" s="177"/>
      <c r="AP683" s="411"/>
      <c r="AQ683" s="177"/>
      <c r="AR683" s="411"/>
      <c r="AS683" s="177"/>
      <c r="AT683" s="411"/>
      <c r="AU683" s="177"/>
      <c r="AV683" s="411"/>
      <c r="AW683" s="177"/>
      <c r="AX683" s="411"/>
      <c r="AY683" s="177"/>
      <c r="AZ683" s="411"/>
      <c r="BA683" s="177"/>
      <c r="BB683" s="411"/>
      <c r="BC683" s="177"/>
      <c r="BD683" s="411"/>
      <c r="BE683" s="177"/>
      <c r="BF683" s="37"/>
      <c r="BG683" s="177"/>
      <c r="BH683" s="37"/>
      <c r="BI683" s="177"/>
      <c r="BJ683" s="37"/>
      <c r="BK683" s="177"/>
      <c r="BL683" s="37"/>
      <c r="BM683" s="177"/>
      <c r="BN683" s="5"/>
      <c r="BO683" s="138"/>
      <c r="BP683" s="5"/>
      <c r="BQ683" s="5"/>
      <c r="BR683" s="10"/>
      <c r="BS683" s="10"/>
      <c r="BT683" s="10"/>
      <c r="BU683" s="37"/>
      <c r="BV683" s="177"/>
      <c r="BW683" s="37"/>
      <c r="BX683" s="177"/>
      <c r="BY683" s="37"/>
      <c r="BZ683" s="177"/>
      <c r="CA683" s="37"/>
      <c r="CB683" s="177"/>
      <c r="CC683" s="37"/>
      <c r="CD683" s="177"/>
      <c r="CE683" s="37"/>
      <c r="CF683" s="177"/>
      <c r="CG683" s="37"/>
      <c r="CH683" s="177"/>
      <c r="CI683" s="37"/>
      <c r="CJ683" s="177"/>
      <c r="CK683" s="37"/>
      <c r="CL683" s="177"/>
      <c r="CM683" s="37"/>
      <c r="CN683" s="177"/>
      <c r="CO683" s="37"/>
      <c r="CP683" s="177"/>
      <c r="CQ683" s="37"/>
      <c r="CR683" s="177"/>
      <c r="CS683" s="177"/>
    </row>
    <row r="684" spans="1:99" ht="12.75" customHeight="1" x14ac:dyDescent="0.2">
      <c r="A684" s="7" t="s">
        <v>330</v>
      </c>
      <c r="B684" s="35"/>
      <c r="D684" s="35"/>
      <c r="F684" s="35"/>
      <c r="H684" s="35"/>
      <c r="J684" s="35"/>
      <c r="L684" s="35"/>
      <c r="N684" s="35"/>
      <c r="P684" s="35"/>
      <c r="R684" s="13"/>
      <c r="T684" s="13"/>
      <c r="V684" s="13"/>
      <c r="X684" s="13"/>
      <c r="Z684" s="13"/>
      <c r="AB684" s="13"/>
      <c r="AD684" s="13"/>
      <c r="AF684" s="13"/>
      <c r="AH684" s="13"/>
      <c r="AJ684" s="13"/>
      <c r="AL684" s="13"/>
      <c r="AN684" s="459"/>
      <c r="AP684" s="459"/>
      <c r="AR684" s="409"/>
      <c r="AT684" s="409"/>
      <c r="AV684" s="409"/>
      <c r="AX684" s="409"/>
      <c r="AZ684" s="409"/>
      <c r="BB684" s="409"/>
      <c r="BD684" s="409"/>
      <c r="BF684" s="35"/>
      <c r="BH684" s="35"/>
      <c r="BJ684" s="35"/>
      <c r="BL684" s="35"/>
      <c r="BN684" s="5"/>
      <c r="BO684" s="138"/>
      <c r="BP684" s="5"/>
      <c r="BQ684" s="5"/>
      <c r="BR684" s="5"/>
      <c r="BS684" s="5"/>
      <c r="BT684" s="5"/>
      <c r="BU684" s="35"/>
      <c r="BW684" s="35"/>
      <c r="BY684" s="37"/>
      <c r="CA684" s="37"/>
      <c r="CC684" s="37"/>
      <c r="CE684" s="37"/>
      <c r="CG684" s="37"/>
      <c r="CI684" s="37"/>
      <c r="CK684" s="37"/>
      <c r="CM684" s="37"/>
      <c r="CO684" s="37"/>
      <c r="CQ684" s="37"/>
    </row>
    <row r="685" spans="1:99" ht="12.75" customHeight="1" x14ac:dyDescent="0.2">
      <c r="A685" s="4" t="s">
        <v>541</v>
      </c>
      <c r="B685" s="36">
        <f>B496</f>
        <v>-64.7</v>
      </c>
      <c r="C685" s="36"/>
      <c r="D685" s="36">
        <f>D496</f>
        <v>196.3</v>
      </c>
      <c r="E685" s="36"/>
      <c r="F685" s="36">
        <f>F496</f>
        <v>813.00000000000011</v>
      </c>
      <c r="G685" s="36"/>
      <c r="H685" s="36">
        <f>H496</f>
        <v>-1509.1000000000001</v>
      </c>
      <c r="I685" s="36"/>
      <c r="J685" s="36">
        <f>J496</f>
        <v>-907.8</v>
      </c>
      <c r="K685" s="36" t="str">
        <f t="shared" ref="K685:K692" si="4599">IF(ISERROR((J685/B685-1)*100),"NA",IF(((J685/B685-1)*100)&gt;100,"NM",IF(((J685/B685-1)*100)&lt;-50,"NM",(J685/B685-1)*100)))</f>
        <v>NM</v>
      </c>
      <c r="L685" s="36">
        <f>L496</f>
        <v>382.00000000000006</v>
      </c>
      <c r="M685" s="36">
        <f t="shared" ref="M685:M692" si="4600">IF(ISERROR((L685/D685-1)*100),"NA",IF(((L685/D685-1)*100)&gt;100,"NM",IF(((L685/D685-1)*100)&lt;-50,"NM",(L685/D685-1)*100)))</f>
        <v>94.600101884870114</v>
      </c>
      <c r="N685" s="36">
        <f>N496</f>
        <v>0.79999999999996163</v>
      </c>
      <c r="O685" s="36" t="str">
        <f t="shared" ref="O685:O692" si="4601">IF(ISERROR((N685/F685-1)*100),"NA",IF(((N685/F685-1)*100)&gt;100,"NM",IF(((N685/F685-1)*100)&lt;-50,"NM",(N685/F685-1)*100)))</f>
        <v>NM</v>
      </c>
      <c r="P685" s="36">
        <f>P496</f>
        <v>-167.3</v>
      </c>
      <c r="Q685" s="36" t="str">
        <f t="shared" ref="Q685:Q692" si="4602">IF(ISERROR((P685/H685-1)*100),"NA",IF(((P685/H685-1)*100)&gt;100,"NM",IF(((P685/H685-1)*100)&lt;-50,"NM",(P685/H685-1)*100)))</f>
        <v>NM</v>
      </c>
      <c r="R685" s="36">
        <f>R496</f>
        <v>-477.1</v>
      </c>
      <c r="S685" s="36">
        <f t="shared" ref="S685:S692" si="4603">IF(ISERROR((R685/J685-1)*100),"NA",IF(((R685/J685-1)*100)&gt;100,"NM",IF(((R685/J685-1)*100)&lt;-50,"NM",(R685/J685-1)*100)))</f>
        <v>-47.444371006829691</v>
      </c>
      <c r="T685" s="36">
        <f>T496</f>
        <v>-338.40000000000003</v>
      </c>
      <c r="U685" s="36" t="str">
        <f t="shared" ref="U685:U692" si="4604">IF(ISERROR((T685/L685-1)*100),"NA",IF(((T685/L685-1)*100)&gt;100,"NM",IF(((T685/L685-1)*100)&lt;-50,"NM",(T685/L685-1)*100)))</f>
        <v>NM</v>
      </c>
      <c r="V685" s="36">
        <f>V496</f>
        <v>-167.39999999999998</v>
      </c>
      <c r="W685" s="36" t="str">
        <f t="shared" ref="W685:W692" si="4605">IF(ISERROR((V685/N685-1)*100),"NA",IF(((V685/N685-1)*100)&gt;100,"NM",IF(((V685/N685-1)*100)&lt;-50,"NM",(V685/N685-1)*100)))</f>
        <v>NM</v>
      </c>
      <c r="X685" s="36">
        <f>X496</f>
        <v>-226.39999999999995</v>
      </c>
      <c r="Y685" s="36">
        <f t="shared" ref="Y685:Y692" si="4606">IF(ISERROR((X685/P685-1)*100),"NA",IF(((X685/P685-1)*100)&gt;100,"NM",IF(((X685/P685-1)*100)&lt;-50,"NM",(X685/P685-1)*100)))</f>
        <v>35.325762104004731</v>
      </c>
      <c r="Z685" s="36">
        <f>Z496</f>
        <v>20.200000000000045</v>
      </c>
      <c r="AA685" s="36" t="str">
        <f t="shared" ref="AA685:AA692" si="4607">IF(ISERROR((Z685/R685-1)*100),"NA",IF(((Z685/R685-1)*100)&gt;100,"NM",IF(((Z685/R685-1)*100)&lt;-50,"NM",(Z685/R685-1)*100)))</f>
        <v>NM</v>
      </c>
      <c r="AB685" s="36">
        <f>AB496</f>
        <v>-82.09999999999998</v>
      </c>
      <c r="AC685" s="36" t="str">
        <f t="shared" ref="AC685:AC692" si="4608">IF(ISERROR((AB685/T685-1)*100),"NA",IF(((AB685/T685-1)*100)&gt;100,"NM",IF(((AB685/T685-1)*100)&lt;-50,"NM",(AB685/T685-1)*100)))</f>
        <v>NM</v>
      </c>
      <c r="AD685" s="36">
        <f>AD496</f>
        <v>135.99999999999989</v>
      </c>
      <c r="AE685" s="36" t="str">
        <f t="shared" ref="AE685:AE692" si="4609">IF(ISERROR((AD685/V685-1)*100),"NA",IF(((AD685/V685-1)*100)&gt;100,"NM",IF(((AD685/V685-1)*100)&lt;-50,"NM",(AD685/V685-1)*100)))</f>
        <v>NM</v>
      </c>
      <c r="AF685" s="36">
        <f>AF496</f>
        <v>-317.3</v>
      </c>
      <c r="AG685" s="23">
        <f t="shared" ref="AG685:AG692" si="4610">IF(ISERROR((AF685/X685-1)*100),"NA",IF(((AF685/X685-1)*100)&gt;100,"NM",IF(((AF685/X685-1)*100)&lt;-50,"NM",(AF685/X685-1)*100)))</f>
        <v>40.15017667844527</v>
      </c>
      <c r="AH685" s="36">
        <f>AH496</f>
        <v>-29.400000000000034</v>
      </c>
      <c r="AI685" s="23" t="str">
        <f t="shared" ref="AI685:AI692" si="4611">IF(ISERROR((AH685/Z685-1)*100),"NA",IF(((AH685/Z685-1)*100)&gt;100,"NM",IF(((AH685/Z685-1)*100)&lt;-50,"NM",(AH685/Z685-1)*100)))</f>
        <v>NM</v>
      </c>
      <c r="AJ685" s="36">
        <f>AJ496</f>
        <v>180.5</v>
      </c>
      <c r="AK685" s="23" t="str">
        <f t="shared" ref="AK685:AK692" si="4612">IF(ISERROR((AJ685/AB685-1)*100),"NA",IF(((AJ685/AB685-1)*100)&gt;100,"NM",IF(((AJ685/AB685-1)*100)&lt;-50,"NM",(AJ685/AB685-1)*100)))</f>
        <v>NM</v>
      </c>
      <c r="AL685" s="36">
        <f>AL496</f>
        <v>-7.1000000000000227</v>
      </c>
      <c r="AM685" s="23" t="str">
        <f t="shared" ref="AM685:AM692" si="4613">IF(ISERROR((AL685/AD685-1)*100),"NA",IF(((AL685/AD685-1)*100)&gt;100,"NM",IF(((AL685/AD685-1)*100)&lt;-50,"NM",(AL685/AD685-1)*100)))</f>
        <v>NM</v>
      </c>
      <c r="AN685" s="410">
        <f>AN496</f>
        <v>-317.3</v>
      </c>
      <c r="AO685" s="23">
        <f t="shared" ref="AO685:AO692" si="4614">IF(ISERROR((AN685/AF685-1)*100),"NA",IF(((AN685/AF685-1)*100)&gt;100,"NM",IF(((AN685/AF685-1)*100)&lt;-50,"NM",(AN685/AF685-1)*100)))</f>
        <v>0</v>
      </c>
      <c r="AP685" s="410">
        <f>AP496+AP583</f>
        <v>88.999999999999972</v>
      </c>
      <c r="AQ685" s="23" t="str">
        <f t="shared" ref="AQ685:AQ692" si="4615">IF(ISERROR((AP685/AH685-1)*100),"NA",IF(((AP685/AH685-1)*100)&gt;100,"NM",IF(((AP685/AH685-1)*100)&lt;-50,"NM",(AP685/AH685-1)*100)))</f>
        <v>NM</v>
      </c>
      <c r="AR685" s="410">
        <f>AR496+AR583</f>
        <v>114.70000000000005</v>
      </c>
      <c r="AS685" s="23">
        <f t="shared" ref="AS685:AS692" si="4616">IF(ISERROR((AR685/AJ685-1)*100),"NA",IF(((AR685/AJ685-1)*100)&gt;100,"NM",IF(((AR685/AJ685-1)*100)&lt;-50,"NM",(AR685/AJ685-1)*100)))</f>
        <v>-36.454293628808841</v>
      </c>
      <c r="AT685" s="410">
        <f>AT496+AT583</f>
        <v>-276.10000000000002</v>
      </c>
      <c r="AU685" s="23" t="str">
        <f t="shared" ref="AU685:AU692" si="4617">IF(ISERROR((AT685/AL685-1)*100),"NA",IF(((AT685/AL685-1)*100)&gt;100,"NM",IF(((AT685/AL685-1)*100)&lt;-50,"NM",(AT685/AL685-1)*100)))</f>
        <v>NM</v>
      </c>
      <c r="AV685" s="410">
        <f>AV496+AV583</f>
        <v>-663.2</v>
      </c>
      <c r="AW685" s="23" t="str">
        <f t="shared" ref="AW685:AW692" si="4618">IF(ISERROR((AV685/AN685-1)*100),"NA",IF(((AV685/AN685-1)*100)&gt;100,"NM",IF(((AV685/AN685-1)*100)&lt;-50,"NM",(AV685/AN685-1)*100)))</f>
        <v>NM</v>
      </c>
      <c r="AX685" s="410">
        <f>AX496+AX583</f>
        <v>-332.09999999999991</v>
      </c>
      <c r="AY685" s="23" t="str">
        <f t="shared" ref="AY685:AY692" si="4619">IF(ISERROR((AX685/AP685-1)*100),"NA",IF(((AX685/AP685-1)*100)&gt;100,"NM",IF(((AX685/AP685-1)*100)&lt;-50,"NM",(AX685/AP685-1)*100)))</f>
        <v>NM</v>
      </c>
      <c r="AZ685" s="410">
        <f>AZ496+AZ583</f>
        <v>26.800000000000011</v>
      </c>
      <c r="BA685" s="23" t="str">
        <f t="shared" ref="BA685:BA692" si="4620">IF(ISERROR((AZ685/AR685-1)*100),"NA",IF(((AZ685/AR685-1)*100)&gt;100,"NM",IF(((AZ685/AR685-1)*100)&lt;-50,"NM",(AZ685/AR685-1)*100)))</f>
        <v>NM</v>
      </c>
      <c r="BB685" s="410">
        <f>BB496+BB583</f>
        <v>198.20000000000002</v>
      </c>
      <c r="BC685" s="23" t="str">
        <f t="shared" ref="BC685:BC692" si="4621">IF(ISERROR((BB685/AT685-1)*100),"NA",IF(((BB685/AT685-1)*100)&gt;100,"NM",IF(((BB685/AT685-1)*100)&lt;-50,"NM",(BB685/AT685-1)*100)))</f>
        <v>NM</v>
      </c>
      <c r="BD685" s="410">
        <f>BD496+BD583</f>
        <v>0</v>
      </c>
      <c r="BE685" s="23" t="str">
        <f t="shared" ref="BE685:BE692" si="4622">IF(ISERROR((BD685/AV685-1)*100),"NA",IF(((BD685/AV685-1)*100)&gt;100,"NM",IF(((BD685/AV685-1)*100)&lt;-50,"NM",(BD685/AV685-1)*100)))</f>
        <v>NM</v>
      </c>
      <c r="BF685" s="36">
        <f>BF496</f>
        <v>52.2</v>
      </c>
      <c r="BG685" s="23" t="str">
        <f t="shared" ref="BG685:BG692" si="4623">IF(ISERROR((BF685/AX685-1)*100),"NA",IF(((BF685/AX685-1)*100)&gt;100,"NM",IF(((BF685/AX685-1)*100)&lt;-50,"NM",(BF685/AX685-1)*100)))</f>
        <v>NM</v>
      </c>
      <c r="BH685" s="36">
        <f>BH496</f>
        <v>47.2</v>
      </c>
      <c r="BI685" s="23">
        <f t="shared" ref="BI685:BI692" si="4624">IF(ISERROR((BH685/AZ685-1)*100),"NA",IF(((BH685/AZ685-1)*100)&gt;100,"NM",IF(((BH685/AZ685-1)*100)&lt;-50,"NM",(BH685/AZ685-1)*100)))</f>
        <v>76.119402985074558</v>
      </c>
      <c r="BJ685" s="36">
        <f>BJ496+BJ583</f>
        <v>0</v>
      </c>
      <c r="BK685" s="23" t="str">
        <f t="shared" ref="BK685:BK692" si="4625">IF(ISERROR((BJ685/BB685-1)*100),"NA",IF(((BJ685/BB685-1)*100)&gt;100,"NM",IF(((BJ685/BB685-1)*100)&lt;-50,"NM",(BJ685/BB685-1)*100)))</f>
        <v>NM</v>
      </c>
      <c r="BL685" s="36">
        <f>BL496+BL583</f>
        <v>0</v>
      </c>
      <c r="BM685" s="23" t="str">
        <f t="shared" ref="BM685:BM692" si="4626">IF(ISERROR((BL685/BD685-1)*100),"NA",IF(((BL685/BD685-1)*100)&gt;100,"NM",IF(((BL685/BD685-1)*100)&lt;-50,"NM",(BL685/BD685-1)*100)))</f>
        <v>NA</v>
      </c>
      <c r="BN685" s="5"/>
      <c r="BO685" s="137"/>
      <c r="BP685" s="5"/>
      <c r="BQ685" s="36"/>
      <c r="BR685" s="5"/>
      <c r="BS685" s="36"/>
      <c r="BT685" s="5"/>
      <c r="BU685" s="36">
        <f>BU496</f>
        <v>-564.50000000000023</v>
      </c>
      <c r="BV685" s="36" t="str">
        <f t="shared" ref="BV685:CR692" si="4627">IF(ISERROR((BU685/BS685-1)*100),"NA",IF(((BU685/BS685-1)*100)&gt;100,"NM",IF(((BU685/BS685-1)*100)&lt;-50,"NM",(BU685/BS685-1)*100)))</f>
        <v>NA</v>
      </c>
      <c r="BW685" s="36">
        <f>BW496</f>
        <v>-692.29999999999973</v>
      </c>
      <c r="BX685" s="36">
        <f t="shared" si="4627"/>
        <v>22.639503985828057</v>
      </c>
      <c r="BY685" s="36">
        <f>BY496</f>
        <v>-1209.3000000000002</v>
      </c>
      <c r="BZ685" s="36">
        <f t="shared" si="4627"/>
        <v>74.67860754008386</v>
      </c>
      <c r="CA685" s="36">
        <f>CA496</f>
        <v>-243.20000000000027</v>
      </c>
      <c r="CB685" s="36" t="str">
        <f t="shared" si="4627"/>
        <v>NM</v>
      </c>
      <c r="CC685" s="36">
        <f>CC496</f>
        <v>-173.30000000000018</v>
      </c>
      <c r="CD685" s="36">
        <f t="shared" si="4627"/>
        <v>-28.74177631578948</v>
      </c>
      <c r="CE685" s="36">
        <f>CE496+CE583</f>
        <v>-735.5999999999998</v>
      </c>
      <c r="CF685" s="36" t="str">
        <f t="shared" si="4627"/>
        <v>NM</v>
      </c>
      <c r="CG685" s="36">
        <f>CG496+CG583</f>
        <v>-107.09999999999985</v>
      </c>
      <c r="CH685" s="36" t="str">
        <f t="shared" si="4627"/>
        <v>NM</v>
      </c>
      <c r="CI685" s="36">
        <f>CI496</f>
        <v>99.4</v>
      </c>
      <c r="CJ685" s="36" t="str">
        <f t="shared" si="4627"/>
        <v>NM</v>
      </c>
      <c r="CK685" s="36">
        <v>0</v>
      </c>
      <c r="CL685" s="36" t="str">
        <f t="shared" si="4627"/>
        <v>NM</v>
      </c>
      <c r="CM685" s="36">
        <v>0</v>
      </c>
      <c r="CN685" s="36" t="str">
        <f t="shared" si="4627"/>
        <v>NA</v>
      </c>
      <c r="CO685" s="36">
        <v>0</v>
      </c>
      <c r="CP685" s="36" t="str">
        <f t="shared" si="4627"/>
        <v>NA</v>
      </c>
      <c r="CQ685" s="36">
        <v>0</v>
      </c>
      <c r="CR685" s="36" t="str">
        <f t="shared" si="4627"/>
        <v>NA</v>
      </c>
      <c r="CS685" s="23" t="str">
        <f t="shared" ref="CS685:CS692" si="4628">IF(ISERROR(((CQ685/CG685)^0.2-1)*100),"NA",IF((((CQ685/CG685)^0.2-1)*100)&gt;100,"NM",IF((((CQ685/CG685)^0.2-1)*100)&lt;-50,"NM",((CQ685/CG685)^0.2-1)*100)))</f>
        <v>NM</v>
      </c>
    </row>
    <row r="686" spans="1:99" ht="12.75" customHeight="1" x14ac:dyDescent="0.2">
      <c r="A686" s="5" t="s">
        <v>27</v>
      </c>
      <c r="B686" s="49">
        <v>39</v>
      </c>
      <c r="D686" s="49">
        <v>52.8</v>
      </c>
      <c r="F686" s="49">
        <v>-51.5</v>
      </c>
      <c r="H686" s="49">
        <v>31.5</v>
      </c>
      <c r="J686" s="49">
        <v>60.3</v>
      </c>
      <c r="K686" s="23">
        <f t="shared" si="4599"/>
        <v>54.615384615384599</v>
      </c>
      <c r="L686" s="49">
        <v>132.6</v>
      </c>
      <c r="M686" s="23" t="str">
        <f t="shared" si="4600"/>
        <v>NM</v>
      </c>
      <c r="N686" s="49">
        <v>207.9</v>
      </c>
      <c r="O686" s="23" t="str">
        <f t="shared" si="4601"/>
        <v>NM</v>
      </c>
      <c r="P686" s="49">
        <v>54.7</v>
      </c>
      <c r="Q686" s="23">
        <f t="shared" si="4602"/>
        <v>73.650793650793659</v>
      </c>
      <c r="R686" s="49">
        <v>41.8</v>
      </c>
      <c r="S686" s="23">
        <f t="shared" si="4603"/>
        <v>-30.679933665008296</v>
      </c>
      <c r="T686" s="49">
        <v>0.8</v>
      </c>
      <c r="U686" s="23" t="str">
        <f t="shared" si="4604"/>
        <v>NM</v>
      </c>
      <c r="V686" s="49">
        <v>64.099999999999994</v>
      </c>
      <c r="W686" s="23" t="str">
        <f t="shared" si="4605"/>
        <v>NM</v>
      </c>
      <c r="X686" s="49">
        <v>105.4</v>
      </c>
      <c r="Y686" s="23">
        <f t="shared" si="4606"/>
        <v>92.687385740402178</v>
      </c>
      <c r="Z686" s="49">
        <v>57.6</v>
      </c>
      <c r="AA686" s="23">
        <f t="shared" si="4607"/>
        <v>37.799043062200965</v>
      </c>
      <c r="AB686" s="49">
        <v>73</v>
      </c>
      <c r="AC686" s="23" t="str">
        <f t="shared" si="4608"/>
        <v>NM</v>
      </c>
      <c r="AD686" s="49">
        <v>43.4</v>
      </c>
      <c r="AE686" s="23">
        <f t="shared" si="4609"/>
        <v>-32.293291731669257</v>
      </c>
      <c r="AF686" s="49">
        <v>41.1</v>
      </c>
      <c r="AG686" s="23" t="str">
        <f t="shared" si="4610"/>
        <v>NM</v>
      </c>
      <c r="AH686" s="49">
        <v>50.4</v>
      </c>
      <c r="AI686" s="23">
        <f t="shared" si="4611"/>
        <v>-12.5</v>
      </c>
      <c r="AJ686" s="49">
        <v>-9.4</v>
      </c>
      <c r="AK686" s="23" t="str">
        <f t="shared" si="4612"/>
        <v>NM</v>
      </c>
      <c r="AL686" s="49">
        <v>-64.599999999999994</v>
      </c>
      <c r="AM686" s="23" t="str">
        <f t="shared" si="4613"/>
        <v>NM</v>
      </c>
      <c r="AN686" s="158">
        <v>-59.7</v>
      </c>
      <c r="AO686" s="23" t="str">
        <f t="shared" si="4614"/>
        <v>NM</v>
      </c>
      <c r="AP686" s="158">
        <v>-60.4</v>
      </c>
      <c r="AQ686" s="23" t="str">
        <f t="shared" si="4615"/>
        <v>NM</v>
      </c>
      <c r="AR686" s="158">
        <v>-24.7</v>
      </c>
      <c r="AS686" s="23" t="str">
        <f t="shared" si="4616"/>
        <v>NM</v>
      </c>
      <c r="AT686" s="158">
        <v>-65.599999999999994</v>
      </c>
      <c r="AU686" s="23">
        <f t="shared" si="4617"/>
        <v>1.5479876160990669</v>
      </c>
      <c r="AV686" s="510">
        <v>18</v>
      </c>
      <c r="AW686" s="576" t="str">
        <f t="shared" si="4618"/>
        <v>NM</v>
      </c>
      <c r="AX686" s="510">
        <v>-20</v>
      </c>
      <c r="AY686" s="576" t="str">
        <f t="shared" si="4619"/>
        <v>NM</v>
      </c>
      <c r="AZ686" s="510">
        <v>2</v>
      </c>
      <c r="BA686" s="576" t="str">
        <f t="shared" si="4620"/>
        <v>NM</v>
      </c>
      <c r="BB686" s="510">
        <v>-12</v>
      </c>
      <c r="BC686" s="23" t="str">
        <f t="shared" si="4621"/>
        <v>NM</v>
      </c>
      <c r="BD686" s="158">
        <v>-54</v>
      </c>
      <c r="BE686" s="23" t="str">
        <f t="shared" si="4622"/>
        <v>NM</v>
      </c>
      <c r="BF686" s="56">
        <f t="shared" ref="BF686" si="4629">BF679*BF692/100</f>
        <v>-3.4193865821460219</v>
      </c>
      <c r="BG686" s="23" t="str">
        <f t="shared" si="4623"/>
        <v>NM</v>
      </c>
      <c r="BH686" s="56">
        <f t="shared" ref="BH686" si="4630">BH679*BH692/100</f>
        <v>-3.9908165495334176</v>
      </c>
      <c r="BI686" s="23" t="str">
        <f t="shared" si="4624"/>
        <v>NM</v>
      </c>
      <c r="BJ686" s="56">
        <f t="shared" ref="BJ686" si="4631">BJ679*BJ692/100</f>
        <v>-4.2352100536103885</v>
      </c>
      <c r="BK686" s="23" t="str">
        <f t="shared" si="4625"/>
        <v>NM</v>
      </c>
      <c r="BL686" s="56">
        <f t="shared" ref="BL686" si="4632">BL679*BL692/100</f>
        <v>-4.4229112125985184</v>
      </c>
      <c r="BM686" s="23" t="str">
        <f t="shared" si="4626"/>
        <v>NM</v>
      </c>
      <c r="BN686" s="5"/>
      <c r="BO686" s="138"/>
      <c r="BP686" s="5"/>
      <c r="BQ686" s="5"/>
      <c r="BR686" s="5"/>
      <c r="BS686" s="5"/>
      <c r="BT686" s="5"/>
      <c r="BU686" s="36">
        <f>B686+D686+F686+H686</f>
        <v>71.8</v>
      </c>
      <c r="BV686" s="23" t="str">
        <f t="shared" si="4627"/>
        <v>NA</v>
      </c>
      <c r="BW686" s="36">
        <f>J686+L686+N686+P686</f>
        <v>455.49999999999994</v>
      </c>
      <c r="BX686" s="23" t="str">
        <f t="shared" si="4627"/>
        <v>NM</v>
      </c>
      <c r="BY686" s="56">
        <f>R686+T686+V686+X686</f>
        <v>212.1</v>
      </c>
      <c r="BZ686" s="23" t="str">
        <f t="shared" si="4627"/>
        <v>NM</v>
      </c>
      <c r="CA686" s="56">
        <f>Z686+AB686+AD686+AF686</f>
        <v>215.1</v>
      </c>
      <c r="CB686" s="23">
        <f t="shared" si="4627"/>
        <v>1.4144271570014189</v>
      </c>
      <c r="CC686" s="56">
        <f>AH686+AJ686+AL686+AN686</f>
        <v>-83.3</v>
      </c>
      <c r="CD686" s="23" t="str">
        <f t="shared" si="4627"/>
        <v>NM</v>
      </c>
      <c r="CE686" s="56">
        <f>AP686+AR686+AT686+AV686</f>
        <v>-132.69999999999999</v>
      </c>
      <c r="CF686" s="23">
        <f t="shared" si="4627"/>
        <v>59.303721488595443</v>
      </c>
      <c r="CG686" s="56">
        <f>AX686+AZ686+BB686+BD686</f>
        <v>-84</v>
      </c>
      <c r="CH686" s="23">
        <f t="shared" si="4627"/>
        <v>-36.699321778447626</v>
      </c>
      <c r="CI686" s="56">
        <f>BF686+BH686+BJ686+BL686</f>
        <v>-16.068324397888347</v>
      </c>
      <c r="CJ686" s="23" t="str">
        <f t="shared" si="4627"/>
        <v>NM</v>
      </c>
      <c r="CK686" s="56">
        <f>CK679*CK692/100</f>
        <v>-18.159560035267294</v>
      </c>
      <c r="CL686" s="23">
        <f t="shared" si="4627"/>
        <v>13.014646615261082</v>
      </c>
      <c r="CM686" s="56">
        <f>CM679*CM692/100</f>
        <v>-19.015864674630532</v>
      </c>
      <c r="CN686" s="23">
        <f t="shared" si="4627"/>
        <v>4.7154481589874786</v>
      </c>
      <c r="CO686" s="56">
        <f>CO679*CO692/100</f>
        <v>-19.852219630473506</v>
      </c>
      <c r="CP686" s="23">
        <f t="shared" si="4627"/>
        <v>4.3981957704966934</v>
      </c>
      <c r="CQ686" s="56">
        <f>CQ679*CQ692/100</f>
        <v>-20.680355382525757</v>
      </c>
      <c r="CR686" s="23">
        <f t="shared" si="4627"/>
        <v>4.1715020661017066</v>
      </c>
      <c r="CS686" s="23">
        <f t="shared" si="4628"/>
        <v>-24.446299140391837</v>
      </c>
    </row>
    <row r="687" spans="1:99" ht="12.75" customHeight="1" x14ac:dyDescent="0.2">
      <c r="A687" s="5" t="s">
        <v>331</v>
      </c>
      <c r="B687" s="49">
        <v>4.5999999999999996</v>
      </c>
      <c r="D687" s="49">
        <v>-15.1</v>
      </c>
      <c r="F687" s="49">
        <v>-167.7</v>
      </c>
      <c r="H687" s="49">
        <v>-90.9</v>
      </c>
      <c r="J687" s="49">
        <v>137.4</v>
      </c>
      <c r="K687" s="23" t="str">
        <f t="shared" si="4599"/>
        <v>NM</v>
      </c>
      <c r="L687" s="49">
        <v>-44.1</v>
      </c>
      <c r="M687" s="23" t="str">
        <f t="shared" si="4600"/>
        <v>NM</v>
      </c>
      <c r="N687" s="49">
        <v>20.6</v>
      </c>
      <c r="O687" s="23" t="str">
        <f t="shared" si="4601"/>
        <v>NM</v>
      </c>
      <c r="P687" s="49">
        <v>-16.7</v>
      </c>
      <c r="Q687" s="23" t="str">
        <f t="shared" si="4602"/>
        <v>NM</v>
      </c>
      <c r="R687" s="49">
        <v>3.1</v>
      </c>
      <c r="S687" s="23" t="str">
        <f t="shared" si="4603"/>
        <v>NM</v>
      </c>
      <c r="T687" s="49">
        <v>32.4</v>
      </c>
      <c r="U687" s="23" t="str">
        <f t="shared" si="4604"/>
        <v>NM</v>
      </c>
      <c r="V687" s="49">
        <v>10.5</v>
      </c>
      <c r="W687" s="23">
        <f t="shared" si="4605"/>
        <v>-49.029126213592235</v>
      </c>
      <c r="X687" s="49">
        <v>-26.6</v>
      </c>
      <c r="Y687" s="23">
        <f t="shared" si="4606"/>
        <v>59.281437125748518</v>
      </c>
      <c r="Z687" s="49">
        <v>6.4</v>
      </c>
      <c r="AA687" s="23" t="str">
        <f t="shared" si="4607"/>
        <v>NM</v>
      </c>
      <c r="AB687" s="49">
        <v>-20.3</v>
      </c>
      <c r="AC687" s="23" t="str">
        <f t="shared" si="4608"/>
        <v>NM</v>
      </c>
      <c r="AD687" s="49">
        <v>33.4</v>
      </c>
      <c r="AE687" s="23" t="str">
        <f t="shared" si="4609"/>
        <v>NM</v>
      </c>
      <c r="AF687" s="49">
        <v>-32.299999999999997</v>
      </c>
      <c r="AG687" s="23">
        <f t="shared" si="4610"/>
        <v>21.42857142857142</v>
      </c>
      <c r="AH687" s="49">
        <v>-47.2</v>
      </c>
      <c r="AI687" s="23" t="str">
        <f t="shared" si="4611"/>
        <v>NM</v>
      </c>
      <c r="AJ687" s="49">
        <v>24.6</v>
      </c>
      <c r="AK687" s="23" t="str">
        <f t="shared" si="4612"/>
        <v>NM</v>
      </c>
      <c r="AL687" s="49">
        <v>-31.7</v>
      </c>
      <c r="AM687" s="23" t="str">
        <f t="shared" si="4613"/>
        <v>NM</v>
      </c>
      <c r="AN687" s="158">
        <v>-39.6</v>
      </c>
      <c r="AO687" s="23">
        <f t="shared" si="4614"/>
        <v>22.600619195046455</v>
      </c>
      <c r="AP687" s="158">
        <v>93.5</v>
      </c>
      <c r="AQ687" s="23" t="str">
        <f t="shared" si="4615"/>
        <v>NM</v>
      </c>
      <c r="AR687" s="158">
        <v>21.2</v>
      </c>
      <c r="AS687" s="23">
        <f t="shared" si="4616"/>
        <v>-13.821138211382122</v>
      </c>
      <c r="AT687" s="158">
        <v>-53.5</v>
      </c>
      <c r="AU687" s="23">
        <f t="shared" si="4617"/>
        <v>68.769716088328067</v>
      </c>
      <c r="AV687" s="510">
        <v>-4</v>
      </c>
      <c r="AW687" s="576" t="str">
        <f t="shared" si="4618"/>
        <v>NM</v>
      </c>
      <c r="AX687" s="510">
        <v>8</v>
      </c>
      <c r="AY687" s="576" t="str">
        <f t="shared" si="4619"/>
        <v>NM</v>
      </c>
      <c r="AZ687" s="510">
        <v>-1</v>
      </c>
      <c r="BA687" s="576" t="str">
        <f t="shared" si="4620"/>
        <v>NM</v>
      </c>
      <c r="BB687" s="510">
        <v>5</v>
      </c>
      <c r="BC687" s="23" t="str">
        <f t="shared" si="4621"/>
        <v>NM</v>
      </c>
      <c r="BD687" s="158">
        <v>34</v>
      </c>
      <c r="BE687" s="23" t="str">
        <f t="shared" si="4622"/>
        <v>NM</v>
      </c>
      <c r="BF687" s="49">
        <v>6</v>
      </c>
      <c r="BG687" s="23">
        <f t="shared" si="4623"/>
        <v>-25</v>
      </c>
      <c r="BH687" s="49">
        <v>6</v>
      </c>
      <c r="BI687" s="23" t="str">
        <f t="shared" si="4624"/>
        <v>NM</v>
      </c>
      <c r="BJ687" s="49">
        <v>7</v>
      </c>
      <c r="BK687" s="23">
        <f t="shared" si="4625"/>
        <v>39.999999999999993</v>
      </c>
      <c r="BL687" s="49">
        <v>7</v>
      </c>
      <c r="BM687" s="23" t="str">
        <f t="shared" si="4626"/>
        <v>NM</v>
      </c>
      <c r="BN687" s="5"/>
      <c r="BO687" s="138"/>
      <c r="BP687" s="5"/>
      <c r="BQ687" s="5"/>
      <c r="BR687" s="5"/>
      <c r="BS687" s="5"/>
      <c r="BT687" s="5"/>
      <c r="BU687" s="36">
        <f>B687+D687+F687+H687</f>
        <v>-269.10000000000002</v>
      </c>
      <c r="BV687" s="23" t="str">
        <f t="shared" si="4627"/>
        <v>NA</v>
      </c>
      <c r="BW687" s="36">
        <f>J687+L687+N687+P687</f>
        <v>97.2</v>
      </c>
      <c r="BX687" s="23" t="str">
        <f t="shared" si="4627"/>
        <v>NM</v>
      </c>
      <c r="BY687" s="56">
        <f>R687+T687+V687+X687</f>
        <v>19.399999999999999</v>
      </c>
      <c r="BZ687" s="23" t="str">
        <f t="shared" si="4627"/>
        <v>NM</v>
      </c>
      <c r="CA687" s="56">
        <f>Z687+AB687+AD687+AF687</f>
        <v>-12.799999999999997</v>
      </c>
      <c r="CB687" s="23" t="str">
        <f t="shared" si="4627"/>
        <v>NM</v>
      </c>
      <c r="CC687" s="56">
        <f>AH687+AJ687+AL687+AN687</f>
        <v>-93.9</v>
      </c>
      <c r="CD687" s="23" t="str">
        <f t="shared" si="4627"/>
        <v>NM</v>
      </c>
      <c r="CE687" s="56">
        <f>AP687+AR687+AT687+AV687</f>
        <v>57.2</v>
      </c>
      <c r="CF687" s="23" t="str">
        <f t="shared" si="4627"/>
        <v>NM</v>
      </c>
      <c r="CG687" s="56">
        <f>AX687+AZ687+BB687+BD687</f>
        <v>46</v>
      </c>
      <c r="CH687" s="23">
        <f t="shared" si="4627"/>
        <v>-19.580419580419584</v>
      </c>
      <c r="CI687" s="56">
        <f>BF687+BH687+BJ687+BL687</f>
        <v>26</v>
      </c>
      <c r="CJ687" s="23">
        <f t="shared" si="4627"/>
        <v>-43.478260869565219</v>
      </c>
      <c r="CK687" s="56">
        <f>CI687</f>
        <v>26</v>
      </c>
      <c r="CL687" s="23">
        <f t="shared" si="4627"/>
        <v>0</v>
      </c>
      <c r="CM687" s="56">
        <f>CK687</f>
        <v>26</v>
      </c>
      <c r="CN687" s="23">
        <f t="shared" si="4627"/>
        <v>0</v>
      </c>
      <c r="CO687" s="56">
        <f>CM687</f>
        <v>26</v>
      </c>
      <c r="CP687" s="23">
        <f t="shared" si="4627"/>
        <v>0</v>
      </c>
      <c r="CQ687" s="56">
        <f>CO687</f>
        <v>26</v>
      </c>
      <c r="CR687" s="23">
        <f t="shared" si="4627"/>
        <v>0</v>
      </c>
      <c r="CS687" s="23">
        <f t="shared" si="4628"/>
        <v>-10.783926968058989</v>
      </c>
    </row>
    <row r="688" spans="1:99" ht="12.75" customHeight="1" x14ac:dyDescent="0.2">
      <c r="A688" s="5" t="s">
        <v>14</v>
      </c>
      <c r="B688" s="49">
        <f>-8.2-51.3-7.2</f>
        <v>-66.7</v>
      </c>
      <c r="D688" s="49">
        <f>-10.1+183.1-14.6</f>
        <v>158.4</v>
      </c>
      <c r="F688" s="49">
        <f>-6.8+-8.7-30.1</f>
        <v>-45.6</v>
      </c>
      <c r="H688" s="49">
        <f>10+67.8-183.5</f>
        <v>-105.7</v>
      </c>
      <c r="J688" s="49">
        <v>-42.7</v>
      </c>
      <c r="K688" s="23">
        <f t="shared" si="4599"/>
        <v>-35.982008995502248</v>
      </c>
      <c r="L688" s="49">
        <v>183.9</v>
      </c>
      <c r="M688" s="23">
        <f t="shared" si="4600"/>
        <v>16.098484848484841</v>
      </c>
      <c r="N688" s="49">
        <v>-126</v>
      </c>
      <c r="O688" s="23" t="str">
        <f t="shared" si="4601"/>
        <v>NM</v>
      </c>
      <c r="P688" s="49">
        <v>-187.9</v>
      </c>
      <c r="Q688" s="23">
        <f t="shared" si="4602"/>
        <v>77.767265846736052</v>
      </c>
      <c r="R688" s="49">
        <v>-38.799999999999997</v>
      </c>
      <c r="S688" s="23">
        <f t="shared" si="4603"/>
        <v>-9.1334894613583231</v>
      </c>
      <c r="T688" s="49">
        <v>-42</v>
      </c>
      <c r="U688" s="23" t="str">
        <f t="shared" si="4604"/>
        <v>NM</v>
      </c>
      <c r="V688" s="49">
        <v>77.8</v>
      </c>
      <c r="W688" s="23" t="str">
        <f t="shared" si="4605"/>
        <v>NM</v>
      </c>
      <c r="X688" s="49">
        <f>405.2+65.1</f>
        <v>470.29999999999995</v>
      </c>
      <c r="Y688" s="23" t="str">
        <f t="shared" si="4606"/>
        <v>NM</v>
      </c>
      <c r="Z688" s="49">
        <f>-10.5+13.5-16</f>
        <v>-13</v>
      </c>
      <c r="AA688" s="23" t="str">
        <f t="shared" si="4607"/>
        <v>NM</v>
      </c>
      <c r="AB688" s="49">
        <f>-26.9+166.6-17.6</f>
        <v>122.1</v>
      </c>
      <c r="AC688" s="23" t="str">
        <f t="shared" si="4608"/>
        <v>NM</v>
      </c>
      <c r="AD688" s="49">
        <f>-31.9+116.6-32</f>
        <v>52.699999999999989</v>
      </c>
      <c r="AE688" s="23">
        <f t="shared" si="4609"/>
        <v>-32.262210796915184</v>
      </c>
      <c r="AF688" s="49">
        <f>-88+-59+-372.7+-34.6</f>
        <v>-554.30000000000007</v>
      </c>
      <c r="AG688" s="23" t="str">
        <f t="shared" si="4610"/>
        <v>NM</v>
      </c>
      <c r="AH688" s="49">
        <f>-15.4+26.1-12.8</f>
        <v>-2.0999999999999996</v>
      </c>
      <c r="AI688" s="23" t="str">
        <f t="shared" si="4611"/>
        <v>NM</v>
      </c>
      <c r="AJ688" s="49">
        <f>-33.3+81.9-10.7-9.9</f>
        <v>28.000000000000007</v>
      </c>
      <c r="AK688" s="23" t="str">
        <f t="shared" si="4612"/>
        <v>NM</v>
      </c>
      <c r="AL688" s="49">
        <f>-16.4+75.9-12.6-0.2</f>
        <v>46.7</v>
      </c>
      <c r="AM688" s="23">
        <f t="shared" si="4613"/>
        <v>-11.385199240986687</v>
      </c>
      <c r="AN688" s="158">
        <f>-104.2-53.6+62.7-20</f>
        <v>-115.10000000000001</v>
      </c>
      <c r="AO688" s="23" t="str">
        <f t="shared" si="4614"/>
        <v>NM</v>
      </c>
      <c r="AP688" s="158">
        <f>1.6+0.7-1.7-8.2</f>
        <v>-7.6</v>
      </c>
      <c r="AQ688" s="23" t="str">
        <f t="shared" si="4615"/>
        <v>NM</v>
      </c>
      <c r="AR688" s="158">
        <f>0.5-25.5-102.4-7.6</f>
        <v>-135</v>
      </c>
      <c r="AS688" s="23" t="str">
        <f t="shared" si="4616"/>
        <v>NM</v>
      </c>
      <c r="AT688" s="158">
        <f>1.3+11.6-0.1-7.1-22.9</f>
        <v>-17.199999999999996</v>
      </c>
      <c r="AU688" s="23" t="str">
        <f t="shared" si="4617"/>
        <v>NM</v>
      </c>
      <c r="AV688" s="510">
        <f>-17+43-48-32</f>
        <v>-54</v>
      </c>
      <c r="AW688" s="576" t="str">
        <f t="shared" si="4618"/>
        <v>NM</v>
      </c>
      <c r="AX688" s="510">
        <f>-5+1-1-14</f>
        <v>-19</v>
      </c>
      <c r="AY688" s="576" t="str">
        <f t="shared" si="4619"/>
        <v>NM</v>
      </c>
      <c r="AZ688" s="510">
        <f>1+52-6</f>
        <v>47</v>
      </c>
      <c r="BA688" s="576" t="str">
        <f t="shared" si="4620"/>
        <v>NM</v>
      </c>
      <c r="BB688" s="510">
        <f>-2+65-3+1-57</f>
        <v>4</v>
      </c>
      <c r="BC688" s="23" t="str">
        <f t="shared" si="4621"/>
        <v>NM</v>
      </c>
      <c r="BD688" s="158">
        <f>-39+82-17-20</f>
        <v>6</v>
      </c>
      <c r="BE688" s="23" t="str">
        <f t="shared" si="4622"/>
        <v>NM</v>
      </c>
      <c r="BF688" s="49">
        <v>4</v>
      </c>
      <c r="BG688" s="23" t="str">
        <f t="shared" si="4623"/>
        <v>NM</v>
      </c>
      <c r="BH688" s="49">
        <v>4</v>
      </c>
      <c r="BI688" s="23" t="str">
        <f t="shared" si="4624"/>
        <v>NM</v>
      </c>
      <c r="BJ688" s="49">
        <v>4</v>
      </c>
      <c r="BK688" s="23">
        <f t="shared" si="4625"/>
        <v>0</v>
      </c>
      <c r="BL688" s="49">
        <v>5</v>
      </c>
      <c r="BM688" s="23">
        <f t="shared" si="4626"/>
        <v>-16.666666666666664</v>
      </c>
      <c r="BN688" s="5"/>
      <c r="BO688" s="138"/>
      <c r="BP688" s="5"/>
      <c r="BQ688" s="5"/>
      <c r="BR688" s="5"/>
      <c r="BS688" s="5"/>
      <c r="BT688" s="5"/>
      <c r="BU688" s="36">
        <f>B688+D688+F688+H688</f>
        <v>-59.6</v>
      </c>
      <c r="BV688" s="23" t="str">
        <f t="shared" si="4627"/>
        <v>NA</v>
      </c>
      <c r="BW688" s="36">
        <f>J688+L688+N688+P688</f>
        <v>-172.70000000000002</v>
      </c>
      <c r="BX688" s="23" t="str">
        <f t="shared" si="4627"/>
        <v>NM</v>
      </c>
      <c r="BY688" s="56">
        <f>R688+T688+V688+X688</f>
        <v>467.29999999999995</v>
      </c>
      <c r="BZ688" s="23" t="str">
        <f t="shared" si="4627"/>
        <v>NM</v>
      </c>
      <c r="CA688" s="56">
        <f>Z688+AB688+AD688+AF688</f>
        <v>-392.50000000000011</v>
      </c>
      <c r="CB688" s="23" t="str">
        <f t="shared" si="4627"/>
        <v>NM</v>
      </c>
      <c r="CC688" s="56">
        <f>AH688+AJ688+AL688+AN688</f>
        <v>-42.5</v>
      </c>
      <c r="CD688" s="23" t="str">
        <f t="shared" si="4627"/>
        <v>NM</v>
      </c>
      <c r="CE688" s="56">
        <f>AP688+AR688+AT688+AV688</f>
        <v>-213.79999999999998</v>
      </c>
      <c r="CF688" s="23" t="str">
        <f t="shared" si="4627"/>
        <v>NM</v>
      </c>
      <c r="CG688" s="56">
        <f>AX688+AZ688+BB688+BD688</f>
        <v>38</v>
      </c>
      <c r="CH688" s="23" t="str">
        <f t="shared" si="4627"/>
        <v>NM</v>
      </c>
      <c r="CI688" s="56">
        <f>BF688+BH688+BJ688+BL688</f>
        <v>17</v>
      </c>
      <c r="CJ688" s="23" t="str">
        <f t="shared" si="4627"/>
        <v>NM</v>
      </c>
      <c r="CK688" s="56">
        <f>CI688</f>
        <v>17</v>
      </c>
      <c r="CL688" s="23">
        <f t="shared" si="4627"/>
        <v>0</v>
      </c>
      <c r="CM688" s="56">
        <f>CK688</f>
        <v>17</v>
      </c>
      <c r="CN688" s="23">
        <f t="shared" si="4627"/>
        <v>0</v>
      </c>
      <c r="CO688" s="56">
        <f>CM688</f>
        <v>17</v>
      </c>
      <c r="CP688" s="23">
        <f t="shared" si="4627"/>
        <v>0</v>
      </c>
      <c r="CQ688" s="56">
        <f>CO688</f>
        <v>17</v>
      </c>
      <c r="CR688" s="23">
        <f t="shared" si="4627"/>
        <v>0</v>
      </c>
      <c r="CS688" s="23">
        <f t="shared" si="4628"/>
        <v>-14.860113878585924</v>
      </c>
    </row>
    <row r="689" spans="1:97" ht="12.75" customHeight="1" x14ac:dyDescent="0.2">
      <c r="A689" s="5" t="s">
        <v>333</v>
      </c>
      <c r="B689" s="56">
        <f>B694-B677-B685-B686-B687-B688-B690</f>
        <v>168.39304476000001</v>
      </c>
      <c r="D689" s="56">
        <f>D694-D677-D685-D686-D687-D688-D690</f>
        <v>-38.30586680000016</v>
      </c>
      <c r="F689" s="56">
        <f>F694-F677-F685-F686-F687-F688-F690</f>
        <v>284.95580898999992</v>
      </c>
      <c r="H689" s="56">
        <f>H694-H677-H685-H686-H687-H688-H690</f>
        <v>-218.68743746000007</v>
      </c>
      <c r="J689" s="49">
        <f>J636-7.9</f>
        <v>76.047999999999988</v>
      </c>
      <c r="K689" s="23" t="str">
        <f t="shared" si="4599"/>
        <v>NM</v>
      </c>
      <c r="L689" s="49">
        <f>L636-1</f>
        <v>68.600999999999999</v>
      </c>
      <c r="M689" s="23" t="str">
        <f t="shared" si="4600"/>
        <v>NM</v>
      </c>
      <c r="N689" s="49">
        <f>N636--12.9</f>
        <v>107.54300000000001</v>
      </c>
      <c r="O689" s="23" t="str">
        <f t="shared" si="4601"/>
        <v>NM</v>
      </c>
      <c r="P689" s="49">
        <f>P636--1.2</f>
        <v>74.265000000000001</v>
      </c>
      <c r="Q689" s="23" t="str">
        <f t="shared" si="4602"/>
        <v>NM</v>
      </c>
      <c r="R689" s="49">
        <f>R636-11.2</f>
        <v>78.7</v>
      </c>
      <c r="S689" s="23">
        <f t="shared" si="4603"/>
        <v>3.4872711971386749</v>
      </c>
      <c r="T689" s="49">
        <f>T636-10.1</f>
        <v>85.10000000000008</v>
      </c>
      <c r="U689" s="23">
        <f t="shared" si="4604"/>
        <v>24.050669815308922</v>
      </c>
      <c r="V689" s="49">
        <f>V636--27.7</f>
        <v>180.02000000000007</v>
      </c>
      <c r="W689" s="23">
        <f t="shared" si="4605"/>
        <v>67.393507713193827</v>
      </c>
      <c r="X689" s="49">
        <f>X636--26.1</f>
        <v>132.81500000000003</v>
      </c>
      <c r="Y689" s="23">
        <f t="shared" si="4606"/>
        <v>78.839291725577354</v>
      </c>
      <c r="Z689" s="49">
        <f>Z636-30.7</f>
        <v>50.185000000000045</v>
      </c>
      <c r="AA689" s="23">
        <f t="shared" si="4607"/>
        <v>-36.232528589580625</v>
      </c>
      <c r="AB689" s="49">
        <f>AB636-6.1</f>
        <v>108.7700000000001</v>
      </c>
      <c r="AC689" s="23">
        <f t="shared" si="4608"/>
        <v>27.814336075205624</v>
      </c>
      <c r="AD689" s="49">
        <f>AD636-37.4</f>
        <v>65.639999999999958</v>
      </c>
      <c r="AE689" s="23" t="str">
        <f t="shared" si="4609"/>
        <v>NM</v>
      </c>
      <c r="AF689" s="49">
        <f>AF636--1805.7</f>
        <v>1937.65</v>
      </c>
      <c r="AG689" s="23" t="str">
        <f t="shared" si="4610"/>
        <v>NM</v>
      </c>
      <c r="AH689" s="49">
        <f>AH636-45.6</f>
        <v>47.104000000000006</v>
      </c>
      <c r="AI689" s="23">
        <f t="shared" si="4611"/>
        <v>-6.1392846468068862</v>
      </c>
      <c r="AJ689" s="49">
        <f>AJ636-119.1</f>
        <v>-35.100000000000065</v>
      </c>
      <c r="AK689" s="23" t="str">
        <f t="shared" si="4612"/>
        <v>NM</v>
      </c>
      <c r="AL689" s="49">
        <f>AL636+35.9</f>
        <v>79.772000000000105</v>
      </c>
      <c r="AM689" s="23">
        <f t="shared" si="4613"/>
        <v>21.529555149299441</v>
      </c>
      <c r="AN689" s="158">
        <f>AN636+82.9</f>
        <v>175.15600000000006</v>
      </c>
      <c r="AO689" s="23" t="str">
        <f t="shared" si="4614"/>
        <v>NM</v>
      </c>
      <c r="AP689" s="158">
        <f>AP636-49</f>
        <v>-21.095999999999986</v>
      </c>
      <c r="AQ689" s="23" t="str">
        <f t="shared" si="4615"/>
        <v>NM</v>
      </c>
      <c r="AR689" s="158">
        <f>AR636-17.1</f>
        <v>24.659999999999926</v>
      </c>
      <c r="AS689" s="23" t="str">
        <f t="shared" si="4616"/>
        <v>NM</v>
      </c>
      <c r="AT689" s="158">
        <f>AT636+119.4</f>
        <v>107.59199999999998</v>
      </c>
      <c r="AU689" s="23">
        <f t="shared" si="4617"/>
        <v>34.874392017248958</v>
      </c>
      <c r="AV689" s="510">
        <f>AV636</f>
        <v>47.872000000000043</v>
      </c>
      <c r="AW689" s="576" t="str">
        <f t="shared" si="4618"/>
        <v>NM</v>
      </c>
      <c r="AX689" s="510">
        <f>AX636</f>
        <v>46.528000000000027</v>
      </c>
      <c r="AY689" s="576" t="str">
        <f t="shared" si="4619"/>
        <v>NM</v>
      </c>
      <c r="AZ689" s="510">
        <f>AZ636</f>
        <v>34.239999999999924</v>
      </c>
      <c r="BA689" s="576">
        <f t="shared" si="4620"/>
        <v>38.848337388483479</v>
      </c>
      <c r="BB689" s="510">
        <f>BB636</f>
        <v>13.504000000000014</v>
      </c>
      <c r="BC689" s="23" t="str">
        <f t="shared" si="4621"/>
        <v>NM</v>
      </c>
      <c r="BD689" s="158">
        <f>BD636</f>
        <v>74.72</v>
      </c>
      <c r="BE689" s="23">
        <f t="shared" si="4622"/>
        <v>56.08288770053462</v>
      </c>
      <c r="BF689" s="413">
        <f>(BB689/SUM(BB685:BB688))*SUM(BF685:BF688)</f>
        <v>4.0664621085794099</v>
      </c>
      <c r="BG689" s="23" t="str">
        <f t="shared" si="4623"/>
        <v>NM</v>
      </c>
      <c r="BH689" s="413">
        <f t="shared" ref="BH689:BJ689" si="4633">(BF689/SUM(BF685:BF688))*SUM(BH685:BH688)</f>
        <v>3.6810287567371995</v>
      </c>
      <c r="BI689" s="23" t="str">
        <f t="shared" si="4624"/>
        <v>NM</v>
      </c>
      <c r="BJ689" s="413">
        <f t="shared" si="4633"/>
        <v>0.46799038645515056</v>
      </c>
      <c r="BK689" s="23" t="str">
        <f t="shared" si="4625"/>
        <v>NM</v>
      </c>
      <c r="BL689" s="413">
        <f t="shared" ref="BL689" si="4634">(BJ689/SUM(BJ685:BJ688))*SUM(BL685:BL688)</f>
        <v>0.52418548660384068</v>
      </c>
      <c r="BM689" s="23" t="str">
        <f t="shared" si="4626"/>
        <v>NM</v>
      </c>
      <c r="BN689" s="5"/>
      <c r="BO689" s="138"/>
      <c r="BP689" s="5"/>
      <c r="BQ689" s="5"/>
      <c r="BR689" s="5"/>
      <c r="BS689" s="5"/>
      <c r="BT689" s="5"/>
      <c r="BU689" s="36">
        <f>B689+D689+F689+H689</f>
        <v>196.3555494899997</v>
      </c>
      <c r="BV689" s="23" t="str">
        <f t="shared" si="4627"/>
        <v>NA</v>
      </c>
      <c r="BW689" s="36">
        <f>J689+L689+N689+P689</f>
        <v>326.45699999999999</v>
      </c>
      <c r="BX689" s="23">
        <f t="shared" si="4627"/>
        <v>66.258097032610877</v>
      </c>
      <c r="BY689" s="56">
        <f>R689+T689+V689+X689</f>
        <v>476.63500000000022</v>
      </c>
      <c r="BZ689" s="23">
        <f t="shared" si="4627"/>
        <v>46.002383162254205</v>
      </c>
      <c r="CA689" s="56">
        <f>Z689+AB689+AD689+AF689</f>
        <v>2162.2450000000003</v>
      </c>
      <c r="CB689" s="23" t="str">
        <f t="shared" si="4627"/>
        <v>NM</v>
      </c>
      <c r="CC689" s="56">
        <f>AH689+AJ689+AL689+AN689</f>
        <v>266.93200000000013</v>
      </c>
      <c r="CD689" s="23" t="str">
        <f t="shared" si="4627"/>
        <v>NM</v>
      </c>
      <c r="CE689" s="56">
        <f>AP689+AR689+AT689+AV689</f>
        <v>159.02799999999996</v>
      </c>
      <c r="CF689" s="23">
        <f t="shared" si="4627"/>
        <v>-40.423778340551195</v>
      </c>
      <c r="CG689" s="56">
        <f>AX689+AZ689+BB689+BD689</f>
        <v>168.99199999999996</v>
      </c>
      <c r="CH689" s="23">
        <f t="shared" si="4627"/>
        <v>6.2655632970294528</v>
      </c>
      <c r="CI689" s="56">
        <f>BF689+BH689+BJ689+BL689</f>
        <v>8.7396667383756004</v>
      </c>
      <c r="CJ689" s="23" t="str">
        <f t="shared" si="4627"/>
        <v>NM</v>
      </c>
      <c r="CK689" s="49">
        <v>0</v>
      </c>
      <c r="CL689" s="23" t="str">
        <f t="shared" si="4627"/>
        <v>NM</v>
      </c>
      <c r="CM689" s="49">
        <v>0</v>
      </c>
      <c r="CN689" s="23" t="str">
        <f t="shared" si="4627"/>
        <v>NA</v>
      </c>
      <c r="CO689" s="49">
        <v>0</v>
      </c>
      <c r="CP689" s="23" t="str">
        <f t="shared" si="4627"/>
        <v>NA</v>
      </c>
      <c r="CQ689" s="49">
        <v>0</v>
      </c>
      <c r="CR689" s="23" t="str">
        <f t="shared" si="4627"/>
        <v>NA</v>
      </c>
      <c r="CS689" s="23" t="str">
        <f t="shared" si="4628"/>
        <v>NM</v>
      </c>
    </row>
    <row r="690" spans="1:97" ht="12.75" customHeight="1" x14ac:dyDescent="0.2">
      <c r="A690" s="5" t="s">
        <v>332</v>
      </c>
      <c r="B690" s="49">
        <v>51.3</v>
      </c>
      <c r="C690" s="65"/>
      <c r="D690" s="49">
        <v>-183.1</v>
      </c>
      <c r="E690" s="65"/>
      <c r="F690" s="49">
        <v>8.6999999999999993</v>
      </c>
      <c r="G690" s="65"/>
      <c r="H690" s="49">
        <v>-67.8</v>
      </c>
      <c r="J690" s="49">
        <v>15.6</v>
      </c>
      <c r="K690" s="23" t="str">
        <f t="shared" si="4599"/>
        <v>NM</v>
      </c>
      <c r="L690" s="49">
        <v>-217.7</v>
      </c>
      <c r="M690" s="23">
        <f t="shared" si="4600"/>
        <v>18.89677771709448</v>
      </c>
      <c r="N690" s="49">
        <v>-20.3</v>
      </c>
      <c r="O690" s="23" t="str">
        <f t="shared" si="4601"/>
        <v>NM</v>
      </c>
      <c r="P690" s="49">
        <v>84.2</v>
      </c>
      <c r="Q690" s="23" t="str">
        <f t="shared" si="4602"/>
        <v>NM</v>
      </c>
      <c r="R690" s="49">
        <v>13.5</v>
      </c>
      <c r="S690" s="23">
        <f t="shared" si="4603"/>
        <v>-13.461538461538458</v>
      </c>
      <c r="T690" s="49">
        <v>3.1</v>
      </c>
      <c r="U690" s="23" t="str">
        <f t="shared" si="4604"/>
        <v>NM</v>
      </c>
      <c r="V690" s="49">
        <v>-101.1</v>
      </c>
      <c r="W690" s="23" t="str">
        <f t="shared" si="4605"/>
        <v>NM</v>
      </c>
      <c r="X690" s="49">
        <v>-105.6</v>
      </c>
      <c r="Y690" s="23" t="str">
        <f t="shared" si="4606"/>
        <v>NM</v>
      </c>
      <c r="Z690" s="49">
        <v>-13.5</v>
      </c>
      <c r="AA690" s="23" t="str">
        <f t="shared" si="4607"/>
        <v>NM</v>
      </c>
      <c r="AB690" s="49">
        <v>-166.6</v>
      </c>
      <c r="AC690" s="23" t="str">
        <f t="shared" si="4608"/>
        <v>NM</v>
      </c>
      <c r="AD690" s="49">
        <v>-116.6</v>
      </c>
      <c r="AE690" s="23">
        <f t="shared" si="4609"/>
        <v>15.331355093966369</v>
      </c>
      <c r="AF690" s="49">
        <v>59</v>
      </c>
      <c r="AG690" s="23" t="str">
        <f t="shared" si="4610"/>
        <v>NM</v>
      </c>
      <c r="AH690" s="49">
        <v>-26.1</v>
      </c>
      <c r="AI690" s="23">
        <f t="shared" si="4611"/>
        <v>93.333333333333329</v>
      </c>
      <c r="AJ690" s="49">
        <v>-81.900000000000006</v>
      </c>
      <c r="AK690" s="23" t="str">
        <f t="shared" si="4612"/>
        <v>NM</v>
      </c>
      <c r="AL690" s="49">
        <v>-75.900000000000006</v>
      </c>
      <c r="AM690" s="23">
        <f t="shared" si="4613"/>
        <v>-34.90566037735848</v>
      </c>
      <c r="AN690" s="158">
        <v>53.6</v>
      </c>
      <c r="AO690" s="23">
        <f t="shared" si="4614"/>
        <v>-9.1525423728813564</v>
      </c>
      <c r="AP690" s="158">
        <v>-0.7</v>
      </c>
      <c r="AQ690" s="23" t="str">
        <f t="shared" si="4615"/>
        <v>NM</v>
      </c>
      <c r="AR690" s="158">
        <v>25.5</v>
      </c>
      <c r="AS690" s="23" t="str">
        <f t="shared" si="4616"/>
        <v>NM</v>
      </c>
      <c r="AT690" s="158">
        <v>-11.6</v>
      </c>
      <c r="AU690" s="23" t="str">
        <f t="shared" si="4617"/>
        <v>NM</v>
      </c>
      <c r="AV690" s="510">
        <v>-42.5</v>
      </c>
      <c r="AW690" s="576" t="str">
        <f t="shared" si="4618"/>
        <v>NM</v>
      </c>
      <c r="AX690" s="510">
        <v>-1.1000000000000001</v>
      </c>
      <c r="AY690" s="576">
        <f t="shared" si="4619"/>
        <v>57.14285714285716</v>
      </c>
      <c r="AZ690" s="510">
        <v>-52</v>
      </c>
      <c r="BA690" s="576" t="str">
        <f t="shared" si="4620"/>
        <v>NM</v>
      </c>
      <c r="BB690" s="510">
        <v>-65.400000000000006</v>
      </c>
      <c r="BC690" s="23" t="str">
        <f t="shared" si="4621"/>
        <v>NM</v>
      </c>
      <c r="BD690" s="158">
        <v>-82</v>
      </c>
      <c r="BE690" s="23">
        <f t="shared" si="4622"/>
        <v>92.941176470588232</v>
      </c>
      <c r="BF690" s="49">
        <v>0</v>
      </c>
      <c r="BG690" s="23" t="str">
        <f t="shared" si="4623"/>
        <v>NM</v>
      </c>
      <c r="BH690" s="49">
        <v>0</v>
      </c>
      <c r="BI690" s="23" t="str">
        <f t="shared" si="4624"/>
        <v>NM</v>
      </c>
      <c r="BJ690" s="49">
        <v>0</v>
      </c>
      <c r="BK690" s="23" t="str">
        <f t="shared" si="4625"/>
        <v>NM</v>
      </c>
      <c r="BL690" s="49">
        <v>0</v>
      </c>
      <c r="BM690" s="23" t="str">
        <f t="shared" si="4626"/>
        <v>NM</v>
      </c>
      <c r="BN690" s="5"/>
      <c r="BO690" s="138"/>
      <c r="BP690" s="5"/>
      <c r="BQ690" s="5"/>
      <c r="BR690" s="5"/>
      <c r="BS690" s="5"/>
      <c r="BT690" s="5"/>
      <c r="BU690" s="36">
        <f>B690+D690+F690+H690</f>
        <v>-190.9</v>
      </c>
      <c r="BV690" s="23" t="str">
        <f t="shared" si="4627"/>
        <v>NA</v>
      </c>
      <c r="BW690" s="36">
        <f>J690+L690+N690+P690</f>
        <v>-138.19999999999999</v>
      </c>
      <c r="BX690" s="23">
        <f t="shared" si="4627"/>
        <v>-27.606076479832385</v>
      </c>
      <c r="BY690" s="56">
        <f>R690+T690+V690+X690</f>
        <v>-190.1</v>
      </c>
      <c r="BZ690" s="23">
        <f t="shared" si="4627"/>
        <v>37.554269175108537</v>
      </c>
      <c r="CA690" s="56">
        <f>Z690+AB690+AD690+AF690</f>
        <v>-237.7</v>
      </c>
      <c r="CB690" s="23">
        <f t="shared" si="4627"/>
        <v>25.039452919516037</v>
      </c>
      <c r="CC690" s="56">
        <f>AH690+AJ690+AL690+AN690</f>
        <v>-130.30000000000001</v>
      </c>
      <c r="CD690" s="23">
        <f t="shared" si="4627"/>
        <v>-45.183003786285227</v>
      </c>
      <c r="CE690" s="56">
        <f>AP690+AR690+AT690+AV690</f>
        <v>-29.299999999999997</v>
      </c>
      <c r="CF690" s="23" t="str">
        <f t="shared" si="4627"/>
        <v>NM</v>
      </c>
      <c r="CG690" s="56">
        <f>AX690+AZ690+BB690+BD690</f>
        <v>-200.5</v>
      </c>
      <c r="CH690" s="23" t="str">
        <f t="shared" si="4627"/>
        <v>NM</v>
      </c>
      <c r="CI690" s="56">
        <f>BF690+BH690+BJ690+BL690</f>
        <v>0</v>
      </c>
      <c r="CJ690" s="23" t="str">
        <f t="shared" si="4627"/>
        <v>NM</v>
      </c>
      <c r="CK690" s="37">
        <v>0</v>
      </c>
      <c r="CL690" s="23" t="str">
        <f t="shared" si="4627"/>
        <v>NA</v>
      </c>
      <c r="CM690" s="37">
        <v>0</v>
      </c>
      <c r="CN690" s="23" t="str">
        <f t="shared" si="4627"/>
        <v>NA</v>
      </c>
      <c r="CO690" s="37">
        <v>0</v>
      </c>
      <c r="CP690" s="23" t="str">
        <f t="shared" si="4627"/>
        <v>NA</v>
      </c>
      <c r="CQ690" s="37">
        <v>0</v>
      </c>
      <c r="CR690" s="23" t="str">
        <f t="shared" si="4627"/>
        <v>NA</v>
      </c>
      <c r="CS690" s="23" t="str">
        <f t="shared" si="4628"/>
        <v>NM</v>
      </c>
    </row>
    <row r="691" spans="1:97" ht="12.75" customHeight="1" x14ac:dyDescent="0.2">
      <c r="A691" s="7" t="s">
        <v>334</v>
      </c>
      <c r="B691" s="73">
        <f>SUM(B685:B690)</f>
        <v>131.89304476000001</v>
      </c>
      <c r="D691" s="73">
        <f>SUM(D685:D690)</f>
        <v>170.99413319999988</v>
      </c>
      <c r="F691" s="73">
        <f>SUM(F685:F690)</f>
        <v>841.85580899000013</v>
      </c>
      <c r="H691" s="73">
        <f>SUM(H685:H690)</f>
        <v>-1960.6874374600004</v>
      </c>
      <c r="J691" s="73">
        <f>SUM(J685:J690)</f>
        <v>-661.15200000000004</v>
      </c>
      <c r="K691" s="23" t="str">
        <f t="shared" si="4599"/>
        <v>NM</v>
      </c>
      <c r="L691" s="73">
        <f>SUM(L685:L690)</f>
        <v>505.30099999999999</v>
      </c>
      <c r="M691" s="23" t="str">
        <f t="shared" si="4600"/>
        <v>NM</v>
      </c>
      <c r="N691" s="73">
        <f>SUM(N685:N690)</f>
        <v>190.54299999999995</v>
      </c>
      <c r="O691" s="23" t="str">
        <f t="shared" si="4601"/>
        <v>NM</v>
      </c>
      <c r="P691" s="73">
        <f>SUM(P685:P690)</f>
        <v>-158.73500000000007</v>
      </c>
      <c r="Q691" s="23" t="str">
        <f t="shared" si="4602"/>
        <v>NM</v>
      </c>
      <c r="R691" s="73">
        <f>SUM(R685:R690)</f>
        <v>-378.8</v>
      </c>
      <c r="S691" s="23">
        <f t="shared" si="4603"/>
        <v>-42.70606456609071</v>
      </c>
      <c r="T691" s="73">
        <f>SUM(T685:T690)</f>
        <v>-258.99999999999994</v>
      </c>
      <c r="U691" s="23" t="str">
        <f t="shared" si="4604"/>
        <v>NM</v>
      </c>
      <c r="V691" s="73">
        <f>SUM(V685:V690)</f>
        <v>63.920000000000101</v>
      </c>
      <c r="W691" s="23" t="str">
        <f t="shared" si="4605"/>
        <v>NM</v>
      </c>
      <c r="X691" s="73">
        <f>SUM(X685:X690)</f>
        <v>349.91500000000008</v>
      </c>
      <c r="Y691" s="23" t="str">
        <f t="shared" si="4606"/>
        <v>NM</v>
      </c>
      <c r="Z691" s="73">
        <f>SUM(Z685:Z690)</f>
        <v>107.88500000000009</v>
      </c>
      <c r="AA691" s="23" t="str">
        <f t="shared" si="4607"/>
        <v>NM</v>
      </c>
      <c r="AB691" s="73">
        <f>SUM(AB685:AB690)</f>
        <v>34.870000000000118</v>
      </c>
      <c r="AC691" s="23" t="str">
        <f t="shared" si="4608"/>
        <v>NM</v>
      </c>
      <c r="AD691" s="73">
        <f>SUM(AD685:AD690)</f>
        <v>214.53999999999988</v>
      </c>
      <c r="AE691" s="23" t="str">
        <f t="shared" si="4609"/>
        <v>NM</v>
      </c>
      <c r="AF691" s="73">
        <f>SUM(AF685:AF690)</f>
        <v>1133.8499999999999</v>
      </c>
      <c r="AG691" s="23" t="str">
        <f t="shared" si="4610"/>
        <v>NM</v>
      </c>
      <c r="AH691" s="73">
        <f>SUM(AH685:AH690)</f>
        <v>-7.2960000000000349</v>
      </c>
      <c r="AI691" s="23" t="str">
        <f t="shared" si="4611"/>
        <v>NM</v>
      </c>
      <c r="AJ691" s="73">
        <f>SUM(AJ685:AJ690)</f>
        <v>106.6999999999999</v>
      </c>
      <c r="AK691" s="23" t="str">
        <f t="shared" si="4612"/>
        <v>NM</v>
      </c>
      <c r="AL691" s="73">
        <f>SUM(AL685:AL690)</f>
        <v>-52.827999999999918</v>
      </c>
      <c r="AM691" s="23" t="str">
        <f t="shared" si="4613"/>
        <v>NM</v>
      </c>
      <c r="AN691" s="73">
        <f t="shared" ref="AN691:AP691" si="4635">SUM(AN685:AN690)</f>
        <v>-302.94399999999996</v>
      </c>
      <c r="AO691" s="23" t="str">
        <f t="shared" si="4614"/>
        <v>NM</v>
      </c>
      <c r="AP691" s="73">
        <f t="shared" si="4635"/>
        <v>92.703999999999979</v>
      </c>
      <c r="AQ691" s="23" t="str">
        <f t="shared" si="4615"/>
        <v>NM</v>
      </c>
      <c r="AR691" s="73">
        <f t="shared" ref="AR691:AT691" si="4636">SUM(AR685:AR690)</f>
        <v>26.359999999999971</v>
      </c>
      <c r="AS691" s="23" t="str">
        <f t="shared" si="4616"/>
        <v>NM</v>
      </c>
      <c r="AT691" s="73">
        <f t="shared" si="4636"/>
        <v>-316.40800000000007</v>
      </c>
      <c r="AU691" s="23" t="str">
        <f t="shared" si="4617"/>
        <v>NM</v>
      </c>
      <c r="AV691" s="73">
        <f t="shared" ref="AV691:AX691" si="4637">SUM(AV685:AV690)</f>
        <v>-697.82799999999997</v>
      </c>
      <c r="AW691" s="23" t="str">
        <f t="shared" si="4618"/>
        <v>NM</v>
      </c>
      <c r="AX691" s="73">
        <f t="shared" si="4637"/>
        <v>-317.67199999999991</v>
      </c>
      <c r="AY691" s="23" t="str">
        <f t="shared" si="4619"/>
        <v>NM</v>
      </c>
      <c r="AZ691" s="73">
        <f t="shared" ref="AZ691" si="4638">SUM(AZ685:AZ690)</f>
        <v>57.039999999999935</v>
      </c>
      <c r="BA691" s="23" t="str">
        <f t="shared" si="4620"/>
        <v>NM</v>
      </c>
      <c r="BB691" s="73">
        <f t="shared" ref="BB691:BD691" si="4639">SUM(BB685:BB690)</f>
        <v>143.30400000000003</v>
      </c>
      <c r="BC691" s="23" t="str">
        <f t="shared" si="4621"/>
        <v>NM</v>
      </c>
      <c r="BD691" s="73">
        <f t="shared" si="4639"/>
        <v>-21.28</v>
      </c>
      <c r="BE691" s="23" t="str">
        <f t="shared" si="4622"/>
        <v>NM</v>
      </c>
      <c r="BF691" s="73">
        <f t="shared" ref="BF691" si="4640">SUM(BF685:BF690)</f>
        <v>62.847075526433386</v>
      </c>
      <c r="BG691" s="23" t="str">
        <f t="shared" si="4623"/>
        <v>NM</v>
      </c>
      <c r="BH691" s="73">
        <f t="shared" ref="BH691" si="4641">SUM(BH685:BH690)</f>
        <v>56.890212207203781</v>
      </c>
      <c r="BI691" s="23">
        <f t="shared" si="4624"/>
        <v>-0.26260131976885148</v>
      </c>
      <c r="BJ691" s="73">
        <f t="shared" ref="BJ691" si="4642">SUM(BJ685:BJ690)</f>
        <v>7.2327803328447624</v>
      </c>
      <c r="BK691" s="23" t="str">
        <f t="shared" si="4625"/>
        <v>NM</v>
      </c>
      <c r="BL691" s="73">
        <f t="shared" ref="BL691" si="4643">SUM(BL685:BL690)</f>
        <v>8.1012742740053216</v>
      </c>
      <c r="BM691" s="23" t="str">
        <f t="shared" si="4626"/>
        <v>NM</v>
      </c>
      <c r="BN691" s="5"/>
      <c r="BO691" s="138"/>
      <c r="BP691" s="5"/>
      <c r="BQ691" s="5"/>
      <c r="BR691" s="5"/>
      <c r="BS691" s="5"/>
      <c r="BT691" s="5"/>
      <c r="BU691" s="73">
        <f>SUM(BU685:BU690)</f>
        <v>-815.94445051000048</v>
      </c>
      <c r="BV691" s="23" t="str">
        <f t="shared" si="4627"/>
        <v>NA</v>
      </c>
      <c r="BW691" s="73">
        <f>SUM(BW685:BW690)</f>
        <v>-124.04299999999984</v>
      </c>
      <c r="BX691" s="23" t="str">
        <f t="shared" si="4627"/>
        <v>NM</v>
      </c>
      <c r="BY691" s="73">
        <f>SUM(BY685:BY690)</f>
        <v>-223.965</v>
      </c>
      <c r="BZ691" s="23">
        <f t="shared" si="4627"/>
        <v>80.554323903807784</v>
      </c>
      <c r="CA691" s="73">
        <f>SUM(CA685:CA690)</f>
        <v>1491.145</v>
      </c>
      <c r="CB691" s="23" t="str">
        <f t="shared" si="4627"/>
        <v>NM</v>
      </c>
      <c r="CC691" s="73">
        <f>SUM(CC685:CC690)</f>
        <v>-256.36800000000011</v>
      </c>
      <c r="CD691" s="23" t="str">
        <f t="shared" si="4627"/>
        <v>NM</v>
      </c>
      <c r="CE691" s="73">
        <f>SUM(CE685:CE690)</f>
        <v>-895.17199999999957</v>
      </c>
      <c r="CF691" s="23" t="str">
        <f t="shared" si="4627"/>
        <v>NM</v>
      </c>
      <c r="CG691" s="73">
        <f>SUM(CG685:CG690)</f>
        <v>-138.60799999999989</v>
      </c>
      <c r="CH691" s="23" t="str">
        <f t="shared" si="4627"/>
        <v>NM</v>
      </c>
      <c r="CI691" s="73">
        <f>SUM(CI685:CI690)</f>
        <v>135.07134234048726</v>
      </c>
      <c r="CJ691" s="23" t="str">
        <f t="shared" si="4627"/>
        <v>NM</v>
      </c>
      <c r="CK691" s="73">
        <f>SUM(CK685:CK690)</f>
        <v>24.840439964732706</v>
      </c>
      <c r="CL691" s="23" t="str">
        <f t="shared" si="4627"/>
        <v>NM</v>
      </c>
      <c r="CM691" s="73">
        <f>SUM(CM685:CM690)</f>
        <v>23.984135325369468</v>
      </c>
      <c r="CN691" s="23">
        <f t="shared" si="4627"/>
        <v>-3.4472200998813984</v>
      </c>
      <c r="CO691" s="73">
        <f>SUM(CO685:CO690)</f>
        <v>23.147780369526494</v>
      </c>
      <c r="CP691" s="23">
        <f t="shared" si="4627"/>
        <v>-3.4871173986343873</v>
      </c>
      <c r="CQ691" s="73">
        <f>SUM(CQ685:CQ690)</f>
        <v>22.319644617474243</v>
      </c>
      <c r="CR691" s="23">
        <f t="shared" si="4627"/>
        <v>-3.5776032899572208</v>
      </c>
      <c r="CS691" s="23" t="str">
        <f t="shared" si="4628"/>
        <v>NM</v>
      </c>
    </row>
    <row r="692" spans="1:97" ht="12.75" customHeight="1" x14ac:dyDescent="0.2">
      <c r="A692" s="10" t="s">
        <v>28</v>
      </c>
      <c r="B692" s="37">
        <f>B686/B679*100</f>
        <v>23.954750546442323</v>
      </c>
      <c r="C692" s="59"/>
      <c r="D692" s="37">
        <f>D686/D679*100</f>
        <v>27.020683086266455</v>
      </c>
      <c r="E692" s="59"/>
      <c r="F692" s="37">
        <f>F686/F679*100</f>
        <v>-25.82175983125919</v>
      </c>
      <c r="G692" s="59"/>
      <c r="H692" s="37">
        <f>H686/H679*100</f>
        <v>18.498134959250443</v>
      </c>
      <c r="I692" s="59"/>
      <c r="J692" s="37">
        <f>J686/J679*100</f>
        <v>38.652359524633717</v>
      </c>
      <c r="K692" s="23">
        <f t="shared" si="4599"/>
        <v>61.355717103780208</v>
      </c>
      <c r="L692" s="37">
        <f>L686/L679*100</f>
        <v>102.48958486307667</v>
      </c>
      <c r="M692" s="23" t="str">
        <f t="shared" si="4600"/>
        <v>NM</v>
      </c>
      <c r="N692" s="37">
        <f>N686/N679*100</f>
        <v>118.43184614683496</v>
      </c>
      <c r="O692" s="23" t="str">
        <f t="shared" si="4601"/>
        <v>NM</v>
      </c>
      <c r="P692" s="37">
        <f>P686/P679*100</f>
        <v>40.352922082712382</v>
      </c>
      <c r="Q692" s="23" t="str">
        <f t="shared" si="4602"/>
        <v>NM</v>
      </c>
      <c r="R692" s="37">
        <f>R686/R679*100</f>
        <v>25.074985002999394</v>
      </c>
      <c r="S692" s="23">
        <f t="shared" si="4603"/>
        <v>-35.126897008658062</v>
      </c>
      <c r="T692" s="37">
        <f>T686/T679*100</f>
        <v>0.45248868778280565</v>
      </c>
      <c r="U692" s="23" t="str">
        <f t="shared" si="4604"/>
        <v>NM</v>
      </c>
      <c r="V692" s="37">
        <f>V686/V679*100</f>
        <v>22.659785067873315</v>
      </c>
      <c r="W692" s="23" t="str">
        <f t="shared" si="4605"/>
        <v>NM</v>
      </c>
      <c r="X692" s="37">
        <f>X686/X679*100</f>
        <v>53.182632388929562</v>
      </c>
      <c r="Y692" s="23">
        <f t="shared" si="4606"/>
        <v>31.793757785173039</v>
      </c>
      <c r="Z692" s="37">
        <f>Z686/Z679*100</f>
        <v>38.34503877775186</v>
      </c>
      <c r="AA692" s="23">
        <f t="shared" si="4607"/>
        <v>52.921482398354946</v>
      </c>
      <c r="AB692" s="37">
        <f>AB686/AB679*100</f>
        <v>34.219284676323063</v>
      </c>
      <c r="AC692" s="23" t="str">
        <f t="shared" si="4608"/>
        <v>NM</v>
      </c>
      <c r="AD692" s="37">
        <f>AD686/AD679*100</f>
        <v>22.679765886287619</v>
      </c>
      <c r="AE692" s="23">
        <f t="shared" si="4609"/>
        <v>8.8177440141001817E-2</v>
      </c>
      <c r="AF692" s="37">
        <f>AF686/AF679*100</f>
        <v>16.772087329116513</v>
      </c>
      <c r="AG692" s="23" t="str">
        <f t="shared" si="4610"/>
        <v>NM</v>
      </c>
      <c r="AH692" s="37">
        <f>AH686/AH679*100</f>
        <v>25.584275822859343</v>
      </c>
      <c r="AI692" s="23">
        <f t="shared" si="4611"/>
        <v>-33.278784848423285</v>
      </c>
      <c r="AJ692" s="37">
        <f>AJ686/AJ679*100</f>
        <v>-5.2661064425770272</v>
      </c>
      <c r="AK692" s="23" t="str">
        <f t="shared" si="4612"/>
        <v>NM</v>
      </c>
      <c r="AL692" s="37">
        <f>AL686/AL679*100</f>
        <v>-69.292487235594606</v>
      </c>
      <c r="AM692" s="23" t="str">
        <f t="shared" si="4613"/>
        <v>NM</v>
      </c>
      <c r="AN692" s="411">
        <f t="shared" ref="AN692:AP692" si="4644">AN686/AN679*100</f>
        <v>-30.452347432209098</v>
      </c>
      <c r="AO692" s="23" t="str">
        <f t="shared" si="4614"/>
        <v>NM</v>
      </c>
      <c r="AP692" s="411">
        <f t="shared" si="4644"/>
        <v>-101.86184565569378</v>
      </c>
      <c r="AQ692" s="23" t="str">
        <f t="shared" si="4615"/>
        <v>NM</v>
      </c>
      <c r="AR692" s="411">
        <f t="shared" ref="AR692:AT692" si="4645">AR686/AR679*100</f>
        <v>-27.834122154608959</v>
      </c>
      <c r="AS692" s="23" t="str">
        <f t="shared" si="4616"/>
        <v>NM</v>
      </c>
      <c r="AT692" s="411">
        <f t="shared" si="4645"/>
        <v>261.43790849673138</v>
      </c>
      <c r="AU692" s="23" t="str">
        <f t="shared" si="4617"/>
        <v>NM</v>
      </c>
      <c r="AV692" s="411">
        <f t="shared" ref="AV692:AX692" si="4646">AV686/AV679*100</f>
        <v>17.694243472790205</v>
      </c>
      <c r="AW692" s="23" t="str">
        <f t="shared" si="4618"/>
        <v>NM</v>
      </c>
      <c r="AX692" s="411">
        <f t="shared" si="4646"/>
        <v>-20.228173800469332</v>
      </c>
      <c r="AY692" s="23" t="str">
        <f t="shared" si="4619"/>
        <v>NM</v>
      </c>
      <c r="AZ692" s="411">
        <f t="shared" ref="AZ692" si="4647">AZ686/AZ679*100</f>
        <v>2.7487630566245214</v>
      </c>
      <c r="BA692" s="23" t="str">
        <f t="shared" si="4620"/>
        <v>NM</v>
      </c>
      <c r="BB692" s="411">
        <f t="shared" ref="BB692:BD692" si="4648">BB686/BB679*100</f>
        <v>-41.817674937273431</v>
      </c>
      <c r="BC692" s="23" t="str">
        <f t="shared" si="4621"/>
        <v>NM</v>
      </c>
      <c r="BD692" s="411">
        <f t="shared" si="4648"/>
        <v>-34.009321073183031</v>
      </c>
      <c r="BE692" s="23" t="str">
        <f t="shared" si="4622"/>
        <v>NM</v>
      </c>
      <c r="BF692" s="114">
        <v>-2.2999999999999998</v>
      </c>
      <c r="BG692" s="23" t="str">
        <f t="shared" si="4623"/>
        <v>NM</v>
      </c>
      <c r="BH692" s="114">
        <f>BF692</f>
        <v>-2.2999999999999998</v>
      </c>
      <c r="BI692" s="23" t="str">
        <f t="shared" si="4624"/>
        <v>NM</v>
      </c>
      <c r="BJ692" s="114">
        <f>BH692</f>
        <v>-2.2999999999999998</v>
      </c>
      <c r="BK692" s="23" t="str">
        <f t="shared" si="4625"/>
        <v>NM</v>
      </c>
      <c r="BL692" s="114">
        <f>BJ692</f>
        <v>-2.2999999999999998</v>
      </c>
      <c r="BM692" s="23" t="str">
        <f t="shared" si="4626"/>
        <v>NM</v>
      </c>
      <c r="BN692" s="28"/>
      <c r="BO692" s="138"/>
      <c r="BP692" s="28"/>
      <c r="BQ692" s="28"/>
      <c r="BR692" s="28"/>
      <c r="BS692" s="28"/>
      <c r="BT692" s="28"/>
      <c r="BU692" s="37">
        <f>BU686/BU679*100</f>
        <v>9.8633899811581465</v>
      </c>
      <c r="BV692" s="23" t="str">
        <f t="shared" si="4627"/>
        <v>NA</v>
      </c>
      <c r="BW692" s="37">
        <f>BW686/BW679*100</f>
        <v>76.364288672099548</v>
      </c>
      <c r="BX692" s="23" t="str">
        <f t="shared" si="4627"/>
        <v>NM</v>
      </c>
      <c r="BY692" s="37">
        <f>BY686/BY679*100</f>
        <v>25.72265376289316</v>
      </c>
      <c r="BZ692" s="23" t="str">
        <f t="shared" si="4627"/>
        <v>NM</v>
      </c>
      <c r="CA692" s="37">
        <f>CA686/CA679*100</f>
        <v>26.88901250695351</v>
      </c>
      <c r="CB692" s="23">
        <f t="shared" si="4627"/>
        <v>4.53436396886433</v>
      </c>
      <c r="CC692" s="37">
        <f>CC686/CC679*100</f>
        <v>-12.530687397708675</v>
      </c>
      <c r="CD692" s="23" t="str">
        <f t="shared" si="4627"/>
        <v>NM</v>
      </c>
      <c r="CE692" s="37">
        <f>CE686/CE679*100</f>
        <v>-59.063879789203824</v>
      </c>
      <c r="CF692" s="23" t="str">
        <f t="shared" si="4627"/>
        <v>NM</v>
      </c>
      <c r="CG692" s="37">
        <f>CG686/CG679*100</f>
        <v>-23.391291756240452</v>
      </c>
      <c r="CH692" s="23" t="str">
        <f t="shared" si="4627"/>
        <v>NM</v>
      </c>
      <c r="CI692" s="37">
        <f>CI686/CI679*100</f>
        <v>-2.3000000000000003</v>
      </c>
      <c r="CJ692" s="23" t="str">
        <f t="shared" si="4627"/>
        <v>NM</v>
      </c>
      <c r="CK692" s="114">
        <f>CI692</f>
        <v>-2.3000000000000003</v>
      </c>
      <c r="CL692" s="23">
        <f t="shared" si="4627"/>
        <v>0</v>
      </c>
      <c r="CM692" s="114">
        <f>CK692</f>
        <v>-2.3000000000000003</v>
      </c>
      <c r="CN692" s="23">
        <f t="shared" si="4627"/>
        <v>0</v>
      </c>
      <c r="CO692" s="114">
        <f>CM692</f>
        <v>-2.3000000000000003</v>
      </c>
      <c r="CP692" s="23">
        <f t="shared" si="4627"/>
        <v>0</v>
      </c>
      <c r="CQ692" s="114">
        <f>CO692</f>
        <v>-2.3000000000000003</v>
      </c>
      <c r="CR692" s="23">
        <f t="shared" si="4627"/>
        <v>0</v>
      </c>
      <c r="CS692" s="23">
        <f t="shared" si="4628"/>
        <v>-37.116786670162426</v>
      </c>
    </row>
    <row r="693" spans="1:97" ht="12.75" customHeight="1" x14ac:dyDescent="0.2">
      <c r="A693" s="7"/>
      <c r="B693" s="35"/>
      <c r="D693" s="35"/>
      <c r="F693" s="35"/>
      <c r="H693" s="35"/>
      <c r="J693" s="35"/>
      <c r="L693" s="35"/>
      <c r="N693" s="35"/>
      <c r="P693" s="35"/>
      <c r="R693" s="35"/>
      <c r="T693" s="35"/>
      <c r="V693" s="35"/>
      <c r="X693" s="35"/>
      <c r="Z693" s="35"/>
      <c r="AB693" s="35"/>
      <c r="AD693" s="115"/>
      <c r="AF693" s="35"/>
      <c r="AH693" s="35"/>
      <c r="AJ693" s="35"/>
      <c r="AL693" s="35"/>
      <c r="AN693" s="409"/>
      <c r="AP693" s="409"/>
      <c r="AR693" s="457"/>
      <c r="AT693" s="457"/>
      <c r="AV693" s="457"/>
      <c r="AX693" s="457"/>
      <c r="AZ693" s="457"/>
      <c r="BB693" s="457"/>
      <c r="BD693" s="457"/>
      <c r="BF693" s="115"/>
      <c r="BH693" s="115"/>
      <c r="BJ693" s="115"/>
      <c r="BL693" s="115"/>
      <c r="BN693" s="5"/>
      <c r="BO693" s="138"/>
      <c r="BP693" s="5"/>
      <c r="BQ693" s="5"/>
      <c r="BR693" s="5"/>
      <c r="BS693" s="5"/>
      <c r="BT693" s="5"/>
      <c r="BU693" s="35"/>
      <c r="BW693" s="35"/>
      <c r="BY693" s="37"/>
      <c r="CA693" s="37"/>
      <c r="CC693" s="37"/>
      <c r="CE693" s="37"/>
      <c r="CG693" s="37"/>
      <c r="CI693" s="37"/>
      <c r="CK693" s="37"/>
      <c r="CM693" s="37"/>
      <c r="CO693" s="37"/>
      <c r="CQ693" s="37"/>
    </row>
    <row r="694" spans="1:97" ht="12.75" customHeight="1" x14ac:dyDescent="0.2">
      <c r="A694" s="7" t="s">
        <v>458</v>
      </c>
      <c r="B694" s="160">
        <v>294.7</v>
      </c>
      <c r="C694" s="59"/>
      <c r="D694" s="160">
        <v>366.4</v>
      </c>
      <c r="E694" s="59"/>
      <c r="F694" s="160">
        <v>1041.3</v>
      </c>
      <c r="G694" s="59"/>
      <c r="H694" s="160">
        <v>-1790.4</v>
      </c>
      <c r="I694" s="59"/>
      <c r="J694" s="72">
        <f>J679+J691</f>
        <v>-505.14600000000024</v>
      </c>
      <c r="K694" s="23" t="str">
        <f>IF(ISERROR((J694/B694-1)*100),"NA",IF(((J694/B694-1)*100)&gt;100,"NM",IF(((J694/B694-1)*100)&lt;-50,"NM",(J694/B694-1)*100)))</f>
        <v>NM</v>
      </c>
      <c r="L694" s="72">
        <f>L679+L691</f>
        <v>634.68000000000006</v>
      </c>
      <c r="M694" s="23">
        <f>IF(ISERROR((L694/D694-1)*100),"NA",IF(((L694/D694-1)*100)&gt;100,"NM",IF(((L694/D694-1)*100)&lt;-50,"NM",(L694/D694-1)*100)))</f>
        <v>73.220524017467284</v>
      </c>
      <c r="N694" s="72">
        <f>N679+N691</f>
        <v>366.08699999999999</v>
      </c>
      <c r="O694" s="23" t="str">
        <f>IF(ISERROR((N694/F694-1)*100),"NA",IF(((N694/F694-1)*100)&gt;100,"NM",IF(((N694/F694-1)*100)&lt;-50,"NM",(N694/F694-1)*100)))</f>
        <v>NM</v>
      </c>
      <c r="P694" s="72">
        <f>P679+P691</f>
        <v>-23.180999999999926</v>
      </c>
      <c r="Q694" s="23" t="str">
        <f>IF(ISERROR((P694/H694-1)*100),"NA",IF(((P694/H694-1)*100)&gt;100,"NM",IF(((P694/H694-1)*100)&lt;-50,"NM",(P694/H694-1)*100)))</f>
        <v>NM</v>
      </c>
      <c r="R694" s="72">
        <f>R679+R691</f>
        <v>-212.1</v>
      </c>
      <c r="S694" s="23" t="str">
        <f>IF(ISERROR((R694/J694-1)*100),"NA",IF(((R694/J694-1)*100)&gt;100,"NM",IF(((R694/J694-1)*100)&lt;-50,"NM",(R694/J694-1)*100)))</f>
        <v>NM</v>
      </c>
      <c r="T694" s="72">
        <f>T679+T691</f>
        <v>-82.200000000000017</v>
      </c>
      <c r="U694" s="23" t="str">
        <f>IF(ISERROR((T694/L694-1)*100),"NA",IF(((T694/L694-1)*100)&gt;100,"NM",IF(((T694/L694-1)*100)&lt;-50,"NM",(T694/L694-1)*100)))</f>
        <v>NM</v>
      </c>
      <c r="V694" s="72">
        <f>V679+V691</f>
        <v>346.79999999999995</v>
      </c>
      <c r="W694" s="23">
        <f>IF(ISERROR((V694/N694-1)*100),"NA",IF(((V694/N694-1)*100)&gt;100,"NM",IF(((V694/N694-1)*100)&lt;-50,"NM",(V694/N694-1)*100)))</f>
        <v>-5.2684198018503885</v>
      </c>
      <c r="X694" s="72">
        <f>X679+X691</f>
        <v>548.1</v>
      </c>
      <c r="Y694" s="23" t="str">
        <f>IF(ISERROR((X694/P694-1)*100),"NA",IF(((X694/P694-1)*100)&gt;100,"NM",IF(((X694/P694-1)*100)&lt;-50,"NM",(X694/P694-1)*100)))</f>
        <v>NM</v>
      </c>
      <c r="Z694" s="72">
        <f>Z679+Z691</f>
        <v>258.10000000000019</v>
      </c>
      <c r="AA694" s="23" t="str">
        <f>IF(ISERROR((Z694/R694-1)*100),"NA",IF(((Z694/R694-1)*100)&gt;100,"NM",IF(((Z694/R694-1)*100)&lt;-50,"NM",(Z694/R694-1)*100)))</f>
        <v>NM</v>
      </c>
      <c r="AB694" s="72">
        <f>AB679+AB691</f>
        <v>248.20000000000013</v>
      </c>
      <c r="AC694" s="23" t="str">
        <f>IF(ISERROR((AB694/T694-1)*100),"NA",IF(((AB694/T694-1)*100)&gt;100,"NM",IF(((AB694/T694-1)*100)&lt;-50,"NM",(AB694/T694-1)*100)))</f>
        <v>NM</v>
      </c>
      <c r="AD694" s="72">
        <f>AD679+AD691</f>
        <v>405.9</v>
      </c>
      <c r="AE694" s="23">
        <f>IF(ISERROR((AD694/V694-1)*100),"NA",IF(((AD694/V694-1)*100)&gt;100,"NM",IF(((AD694/V694-1)*100)&lt;-50,"NM",(AD694/V694-1)*100)))</f>
        <v>17.041522491349493</v>
      </c>
      <c r="AF694" s="72">
        <f>AF679+AF691</f>
        <v>1378.8999999999999</v>
      </c>
      <c r="AG694" s="23" t="str">
        <f>IF(ISERROR((AF694/X694-1)*100),"NA",IF(((AF694/X694-1)*100)&gt;100,"NM",IF(((AF694/X694-1)*100)&lt;-50,"NM",(AF694/X694-1)*100)))</f>
        <v>NM</v>
      </c>
      <c r="AH694" s="72">
        <f>AH679+AH691</f>
        <v>189.7</v>
      </c>
      <c r="AI694" s="23">
        <f>IF(ISERROR((AH694/Z694-1)*100),"NA",IF(((AH694/Z694-1)*100)&gt;100,"NM",IF(((AH694/Z694-1)*100)&lt;-50,"NM",(AH694/Z694-1)*100)))</f>
        <v>-26.501356063541326</v>
      </c>
      <c r="AJ694" s="72">
        <f>AJ679+AJ691</f>
        <v>285.20000000000005</v>
      </c>
      <c r="AK694" s="23">
        <f>IF(ISERROR((AJ694/AB694-1)*100),"NA",IF(((AJ694/AB694-1)*100)&gt;100,"NM",IF(((AJ694/AB694-1)*100)&lt;-50,"NM",(AJ694/AB694-1)*100)))</f>
        <v>14.907332796132099</v>
      </c>
      <c r="AL694" s="72">
        <f>AL679+AL691</f>
        <v>40.399999999999878</v>
      </c>
      <c r="AM694" s="23" t="str">
        <f>IF(ISERROR((AL694/AD694-1)*100),"NA",IF(((AL694/AD694-1)*100)&gt;100,"NM",IF(((AL694/AD694-1)*100)&lt;-50,"NM",(AL694/AD694-1)*100)))</f>
        <v>NM</v>
      </c>
      <c r="AN694" s="72">
        <f t="shared" ref="AN694:AP694" si="4649">AN679+AN691</f>
        <v>-106.89999999999995</v>
      </c>
      <c r="AO694" s="23" t="str">
        <f>IF(ISERROR((AN694/AF694-1)*100),"NA",IF(((AN694/AF694-1)*100)&gt;100,"NM",IF(((AN694/AF694-1)*100)&lt;-50,"NM",(AN694/AF694-1)*100)))</f>
        <v>NM</v>
      </c>
      <c r="AP694" s="72">
        <f t="shared" si="4649"/>
        <v>151.9999999999998</v>
      </c>
      <c r="AQ694" s="23">
        <f t="shared" ref="AQ694" si="4650">IF(ISERROR((AP694/AH694-1)*100),"NA",IF(((AP694/AH694-1)*100)&gt;100,"NM",IF(((AP694/AH694-1)*100)&lt;-50,"NM",(AP694/AH694-1)*100)))</f>
        <v>-19.873484449130309</v>
      </c>
      <c r="AR694" s="72">
        <f t="shared" ref="AR694:AT694" si="4651">AR679+AR691</f>
        <v>115.10000000000001</v>
      </c>
      <c r="AS694" s="23" t="str">
        <f t="shared" ref="AS694" si="4652">IF(ISERROR((AR694/AJ694-1)*100),"NA",IF(((AR694/AJ694-1)*100)&gt;100,"NM",IF(((AR694/AJ694-1)*100)&lt;-50,"NM",(AR694/AJ694-1)*100)))</f>
        <v>NM</v>
      </c>
      <c r="AT694" s="72">
        <f t="shared" si="4651"/>
        <v>-341.50000000000011</v>
      </c>
      <c r="AU694" s="23" t="str">
        <f t="shared" ref="AU694" si="4653">IF(ISERROR((AT694/AL694-1)*100),"NA",IF(((AT694/AL694-1)*100)&gt;100,"NM",IF(((AT694/AL694-1)*100)&lt;-50,"NM",(AT694/AL694-1)*100)))</f>
        <v>NM</v>
      </c>
      <c r="AV694" s="72">
        <f t="shared" ref="AV694:AX694" si="4654">AV679+AV691</f>
        <v>-596.10000000000014</v>
      </c>
      <c r="AW694" s="23" t="str">
        <f t="shared" ref="AW694" si="4655">IF(ISERROR((AV694/AN694-1)*100),"NA",IF(((AV694/AN694-1)*100)&gt;100,"NM",IF(((AV694/AN694-1)*100)&lt;-50,"NM",(AV694/AN694-1)*100)))</f>
        <v>NM</v>
      </c>
      <c r="AX694" s="72">
        <f t="shared" si="4654"/>
        <v>-218.8000000000001</v>
      </c>
      <c r="AY694" s="23" t="str">
        <f t="shared" ref="AY694" si="4656">IF(ISERROR((AX694/AP694-1)*100),"NA",IF(((AX694/AP694-1)*100)&gt;100,"NM",IF(((AX694/AP694-1)*100)&lt;-50,"NM",(AX694/AP694-1)*100)))</f>
        <v>NM</v>
      </c>
      <c r="AZ694" s="72">
        <f t="shared" ref="AZ694" si="4657">AZ679+AZ691</f>
        <v>129.79999999999987</v>
      </c>
      <c r="BA694" s="23">
        <f t="shared" ref="BA694" si="4658">IF(ISERROR((AZ694/AR694-1)*100),"NA",IF(((AZ694/AR694-1)*100)&gt;100,"NM",IF(((AZ694/AR694-1)*100)&lt;-50,"NM",(AZ694/AR694-1)*100)))</f>
        <v>12.771503040833942</v>
      </c>
      <c r="BB694" s="72">
        <f t="shared" ref="BB694:BD694" si="4659">BB679+BB691</f>
        <v>172.00000000000006</v>
      </c>
      <c r="BC694" s="23" t="str">
        <f t="shared" ref="BC694" si="4660">IF(ISERROR((BB694/AT694-1)*100),"NA",IF(((BB694/AT694-1)*100)&gt;100,"NM",IF(((BB694/AT694-1)*100)&lt;-50,"NM",(BB694/AT694-1)*100)))</f>
        <v>NM</v>
      </c>
      <c r="BD694" s="72">
        <f t="shared" si="4659"/>
        <v>137.49999999999994</v>
      </c>
      <c r="BE694" s="23" t="str">
        <f t="shared" ref="BE694" si="4661">IF(ISERROR((BD694/AV694-1)*100),"NA",IF(((BD694/AV694-1)*100)&gt;100,"NM",IF(((BD694/AV694-1)*100)&lt;-50,"NM",(BD694/AV694-1)*100)))</f>
        <v>NM</v>
      </c>
      <c r="BF694" s="72">
        <f>BF679+BF691</f>
        <v>211.51605735886915</v>
      </c>
      <c r="BG694" s="23" t="str">
        <f t="shared" ref="BG694" si="4662">IF(ISERROR((BF694/AX694-1)*100),"NA",IF(((BF694/AX694-1)*100)&gt;100,"NM",IF(((BF694/AX694-1)*100)&lt;-50,"NM",(BF694/AX694-1)*100)))</f>
        <v>NM</v>
      </c>
      <c r="BH694" s="72">
        <f t="shared" ref="BH694" si="4663">BH679+BH691</f>
        <v>230.40397523039584</v>
      </c>
      <c r="BI694" s="23">
        <f t="shared" ref="BI694" si="4664">IF(ISERROR((BH694/AZ694-1)*100),"NA",IF(((BH694/AZ694-1)*100)&gt;100,"NM",IF(((BH694/AZ694-1)*100)&lt;-50,"NM",(BH694/AZ694-1)*100)))</f>
        <v>77.506914661322085</v>
      </c>
      <c r="BJ694" s="72">
        <f t="shared" ref="BJ694" si="4665">BJ679+BJ691</f>
        <v>191.37234788112255</v>
      </c>
      <c r="BK694" s="23">
        <f t="shared" ref="BK694" si="4666">IF(ISERROR((BJ694/BB694-1)*100),"NA",IF(((BJ694/BB694-1)*100)&gt;100,"NM",IF(((BJ694/BB694-1)*100)&lt;-50,"NM",(BJ694/BB694-1)*100)))</f>
        <v>11.262992954140971</v>
      </c>
      <c r="BL694" s="72">
        <f t="shared" ref="BL694" si="4667">BL679+BL691</f>
        <v>200.40176177828877</v>
      </c>
      <c r="BM694" s="23">
        <f t="shared" ref="BM694" si="4668">IF(ISERROR((BL694/BD694-1)*100),"NA",IF(((BL694/BD694-1)*100)&gt;100,"NM",IF(((BL694/BD694-1)*100)&lt;-50,"NM",(BL694/BD694-1)*100)))</f>
        <v>45.746735838755527</v>
      </c>
      <c r="BN694" s="7"/>
      <c r="BO694" s="143"/>
      <c r="BP694" s="7"/>
      <c r="BQ694" s="7"/>
      <c r="BR694" s="7"/>
      <c r="BS694" s="7"/>
      <c r="BT694" s="7"/>
      <c r="BU694" s="72">
        <f>BU679+BU691</f>
        <v>-88.000000000001137</v>
      </c>
      <c r="BV694" s="23" t="str">
        <f>IF(ISERROR((BU694/BS694-1)*100),"NA",IF(((BU694/BS694-1)*100)&gt;100,"NM",IF(((BU694/BS694-1)*100)&lt;-50,"NM",(BU694/BS694-1)*100)))</f>
        <v>NA</v>
      </c>
      <c r="BW694" s="72">
        <f>BW679+BW691</f>
        <v>472.44000000000068</v>
      </c>
      <c r="BX694" s="23" t="str">
        <f>IF(ISERROR((BW694/BU694-1)*100),"NA",IF(((BW694/BU694-1)*100)&gt;100,"NM",IF(((BW694/BU694-1)*100)&lt;-50,"NM",(BW694/BU694-1)*100)))</f>
        <v>NM</v>
      </c>
      <c r="BY694" s="73">
        <f>BY679+BY691</f>
        <v>600.6</v>
      </c>
      <c r="BZ694" s="23">
        <f>IF(ISERROR((BY694/BW694-1)*100),"NA",IF(((BY694/BW694-1)*100)&gt;100,"NM",IF(((BY694/BW694-1)*100)&lt;-50,"NM",(BY694/BW694-1)*100)))</f>
        <v>27.127254254508326</v>
      </c>
      <c r="CA694" s="73">
        <f>CA679+CA691</f>
        <v>2291.1000000000004</v>
      </c>
      <c r="CB694" s="23" t="str">
        <f>IF(ISERROR((CA694/BY694-1)*100),"NA",IF(((CA694/BY694-1)*100)&gt;100,"NM",IF(((CA694/BY694-1)*100)&lt;-50,"NM",(CA694/BY694-1)*100)))</f>
        <v>NM</v>
      </c>
      <c r="CC694" s="73">
        <f>CC679+CC691</f>
        <v>408.39999999999981</v>
      </c>
      <c r="CD694" s="23" t="str">
        <f>IF(ISERROR((CC694/CA694-1)*100),"NA",IF(((CC694/CA694-1)*100)&gt;100,"NM",IF(((CC694/CA694-1)*100)&lt;-50,"NM",(CC694/CA694-1)*100)))</f>
        <v>NM</v>
      </c>
      <c r="CE694" s="73">
        <f>CE679+CE691</f>
        <v>-670.49999999999955</v>
      </c>
      <c r="CF694" s="23" t="str">
        <f>IF(ISERROR((CE694/CC694-1)*100),"NA",IF(((CE694/CC694-1)*100)&gt;100,"NM",IF(((CE694/CC694-1)*100)&lt;-50,"NM",(CE694/CC694-1)*100)))</f>
        <v>NM</v>
      </c>
      <c r="CG694" s="73">
        <f>CG679+CG691</f>
        <v>220.50000000000028</v>
      </c>
      <c r="CH694" s="23" t="str">
        <f>IF(ISERROR((CG694/CE694-1)*100),"NA",IF(((CG694/CE694-1)*100)&gt;100,"NM",IF(((CG694/CE694-1)*100)&lt;-50,"NM",(CG694/CE694-1)*100)))</f>
        <v>NM</v>
      </c>
      <c r="CI694" s="73">
        <f>CI679+CI691</f>
        <v>833.69414224867614</v>
      </c>
      <c r="CJ694" s="23" t="str">
        <f>IF(ISERROR((CI694/CG694-1)*100),"NA",IF(((CI694/CG694-1)*100)&gt;100,"NM",IF(((CI694/CG694-1)*100)&lt;-50,"NM",(CI694/CG694-1)*100)))</f>
        <v>NM</v>
      </c>
      <c r="CK694" s="72">
        <f>CK679+CK691</f>
        <v>814.38652845461502</v>
      </c>
      <c r="CL694" s="23">
        <f>IF(ISERROR((CK694/CI694-1)*100),"NA",IF(((CK694/CI694-1)*100)&gt;100,"NM",IF(((CK694/CI694-1)*100)&lt;-50,"NM",(CK694/CI694-1)*100)))</f>
        <v>-2.3159109337129058</v>
      </c>
      <c r="CM694" s="72">
        <f>CM679+CM691</f>
        <v>850.7608603093056</v>
      </c>
      <c r="CN694" s="23">
        <f>IF(ISERROR((CM694/CK694-1)*100),"NA",IF(((CM694/CK694-1)*100)&gt;100,"NM",IF(((CM694/CK694-1)*100)&lt;-50,"NM",(CM694/CK694-1)*100)))</f>
        <v>4.466470230507702</v>
      </c>
      <c r="CO694" s="72">
        <f>CO679+CO691</f>
        <v>886.28776430315702</v>
      </c>
      <c r="CP694" s="23">
        <f>IF(ISERROR((CO694/CM694-1)*100),"NA",IF(((CO694/CM694-1)*100)&gt;100,"NM",IF(((CO694/CM694-1)*100)&lt;-50,"NM",(CO694/CM694-1)*100)))</f>
        <v>4.1758977935274499</v>
      </c>
      <c r="CQ694" s="72">
        <f>CQ679+CQ691</f>
        <v>921.46553081424622</v>
      </c>
      <c r="CR694" s="23">
        <f>IF(ISERROR((CQ694/CO694-1)*100),"NA",IF(((CQ694/CO694-1)*100)&gt;100,"NM",IF(((CQ694/CO694-1)*100)&lt;-50,"NM",(CQ694/CO694-1)*100)))</f>
        <v>3.9691134107834314</v>
      </c>
      <c r="CS694" s="23">
        <f>IF(ISERROR(((CQ694/CG694)^0.2-1)*100),"NA",IF((((CQ694/CG694)^0.2-1)*100)&gt;100,"NM",IF((((CQ694/CG694)^0.2-1)*100)&lt;-50,"NM",((CQ694/CG694)^0.2-1)*100)))</f>
        <v>33.111047197798712</v>
      </c>
    </row>
    <row r="695" spans="1:97" ht="12.75" customHeight="1" x14ac:dyDescent="0.2">
      <c r="A695" s="7"/>
      <c r="B695" s="160"/>
      <c r="C695" s="59"/>
      <c r="D695" s="160"/>
      <c r="E695" s="59"/>
      <c r="F695" s="160"/>
      <c r="G695" s="59"/>
      <c r="H695" s="160"/>
      <c r="I695" s="59"/>
      <c r="J695" s="72"/>
      <c r="K695" s="23"/>
      <c r="L695" s="72"/>
      <c r="M695" s="23"/>
      <c r="N695" s="72"/>
      <c r="O695" s="23"/>
      <c r="P695" s="72"/>
      <c r="Q695" s="23"/>
      <c r="R695" s="72"/>
      <c r="S695" s="23"/>
      <c r="T695" s="72"/>
      <c r="U695" s="23"/>
      <c r="V695" s="72"/>
      <c r="W695" s="23"/>
      <c r="X695" s="72"/>
      <c r="Y695" s="23"/>
      <c r="Z695" s="72"/>
      <c r="AA695" s="23"/>
      <c r="AB695" s="72"/>
      <c r="AC695" s="23"/>
      <c r="AD695" s="72"/>
      <c r="AE695" s="23"/>
      <c r="AF695" s="72"/>
      <c r="AG695" s="23"/>
      <c r="AH695" s="72"/>
      <c r="AI695" s="23"/>
      <c r="AJ695" s="72"/>
      <c r="AK695" s="23"/>
      <c r="AL695" s="72"/>
      <c r="AM695" s="23"/>
      <c r="AN695" s="72"/>
      <c r="AO695" s="23"/>
      <c r="AP695" s="72"/>
      <c r="AQ695" s="23"/>
      <c r="AR695" s="72"/>
      <c r="AS695" s="23"/>
      <c r="AT695" s="72"/>
      <c r="AU695" s="23"/>
      <c r="AV695" s="72"/>
      <c r="AW695" s="23"/>
      <c r="AX695" s="72"/>
      <c r="AY695" s="23"/>
      <c r="AZ695" s="72"/>
      <c r="BA695" s="23"/>
      <c r="BB695" s="72"/>
      <c r="BC695" s="23"/>
      <c r="BD695" s="72"/>
      <c r="BE695" s="23"/>
      <c r="BF695" s="72"/>
      <c r="BG695" s="23"/>
      <c r="BH695" s="72"/>
      <c r="BI695" s="23"/>
      <c r="BJ695" s="72"/>
      <c r="BK695" s="23"/>
      <c r="BL695" s="72"/>
      <c r="BM695" s="23"/>
      <c r="BN695" s="7"/>
      <c r="BO695" s="143"/>
      <c r="BP695" s="7"/>
      <c r="BQ695" s="7"/>
      <c r="BR695" s="7"/>
      <c r="BS695" s="7"/>
      <c r="BT695" s="7"/>
      <c r="BU695" s="72"/>
      <c r="BV695" s="23"/>
      <c r="BW695" s="72"/>
      <c r="BX695" s="23"/>
      <c r="BY695" s="73"/>
      <c r="BZ695" s="23"/>
      <c r="CA695" s="73"/>
      <c r="CB695" s="23"/>
      <c r="CC695" s="73"/>
      <c r="CD695" s="23"/>
      <c r="CE695" s="73"/>
      <c r="CF695" s="23"/>
      <c r="CG695" s="73"/>
      <c r="CH695" s="23"/>
      <c r="CI695" s="73"/>
      <c r="CJ695" s="23"/>
      <c r="CK695" s="72"/>
      <c r="CL695" s="23"/>
      <c r="CM695" s="72"/>
      <c r="CN695" s="23"/>
      <c r="CO695" s="72"/>
      <c r="CP695" s="23"/>
      <c r="CQ695" s="72"/>
      <c r="CR695" s="23"/>
      <c r="CS695" s="23"/>
    </row>
    <row r="696" spans="1:97" ht="12.75" customHeight="1" x14ac:dyDescent="0.2">
      <c r="A696" s="5" t="s">
        <v>404</v>
      </c>
      <c r="B696" s="36">
        <f>B694+B681</f>
        <v>294.7</v>
      </c>
      <c r="C696" s="36"/>
      <c r="D696" s="36">
        <f>D694+D681</f>
        <v>366.4</v>
      </c>
      <c r="E696" s="36"/>
      <c r="F696" s="36">
        <f>F694+F681</f>
        <v>1041.3</v>
      </c>
      <c r="G696" s="36"/>
      <c r="H696" s="36">
        <f>H694+H681</f>
        <v>-1790.4</v>
      </c>
      <c r="I696" s="36"/>
      <c r="J696" s="36">
        <f>J694+J681</f>
        <v>-505.14600000000024</v>
      </c>
      <c r="K696" s="36"/>
      <c r="L696" s="36">
        <f>L694+L681</f>
        <v>634.68000000000006</v>
      </c>
      <c r="M696" s="36"/>
      <c r="N696" s="36">
        <f>N694+N681</f>
        <v>366.08699999999999</v>
      </c>
      <c r="O696" s="36"/>
      <c r="P696" s="36">
        <f>P694+P681</f>
        <v>-23.180999999999926</v>
      </c>
      <c r="Q696" s="36"/>
      <c r="R696" s="36">
        <f>R694+R681</f>
        <v>-212.1</v>
      </c>
      <c r="S696" s="36"/>
      <c r="T696" s="36">
        <f>T694+T681</f>
        <v>-82.200000000000017</v>
      </c>
      <c r="U696" s="36"/>
      <c r="V696" s="36">
        <f>V694+V681</f>
        <v>346.79999999999995</v>
      </c>
      <c r="W696" s="36"/>
      <c r="X696" s="36">
        <f>X694+X681</f>
        <v>548.1</v>
      </c>
      <c r="Y696" s="36"/>
      <c r="Z696" s="36">
        <f>Z694+Z681</f>
        <v>258.10000000000019</v>
      </c>
      <c r="AA696" s="36"/>
      <c r="AB696" s="36">
        <f>AB694+AB681</f>
        <v>248.20000000000013</v>
      </c>
      <c r="AC696" s="36"/>
      <c r="AD696" s="36">
        <f>AD694+AD681</f>
        <v>405.9</v>
      </c>
      <c r="AE696" s="36"/>
      <c r="AF696" s="36">
        <f>AF694+AF681</f>
        <v>1378.8999999999999</v>
      </c>
      <c r="AG696" s="23"/>
      <c r="AH696" s="36">
        <f>AH694+AH681</f>
        <v>189.7</v>
      </c>
      <c r="AI696" s="23"/>
      <c r="AJ696" s="36">
        <f>AJ694+AJ681</f>
        <v>285.20000000000005</v>
      </c>
      <c r="AK696" s="23"/>
      <c r="AL696" s="36">
        <f>AL694+AL681</f>
        <v>40.399999999999878</v>
      </c>
      <c r="AM696" s="23"/>
      <c r="AN696" s="410">
        <f t="shared" ref="AN696:AP696" si="4669">AN694+AN681</f>
        <v>-106.89999999999995</v>
      </c>
      <c r="AO696" s="23"/>
      <c r="AP696" s="410">
        <f t="shared" si="4669"/>
        <v>151.9999999999998</v>
      </c>
      <c r="AQ696" s="23"/>
      <c r="AR696" s="410">
        <f t="shared" ref="AR696:AT696" si="4670">AR694+AR681</f>
        <v>115.10000000000001</v>
      </c>
      <c r="AS696" s="23"/>
      <c r="AT696" s="410">
        <f t="shared" si="4670"/>
        <v>-341.50000000000011</v>
      </c>
      <c r="AU696" s="23"/>
      <c r="AV696" s="410">
        <f t="shared" ref="AV696:AX696" si="4671">AV694+AV681</f>
        <v>-596.10000000000014</v>
      </c>
      <c r="AW696" s="23"/>
      <c r="AX696" s="410">
        <f t="shared" si="4671"/>
        <v>-218.8000000000001</v>
      </c>
      <c r="AY696" s="23"/>
      <c r="AZ696" s="410">
        <f t="shared" ref="AZ696" si="4672">AZ694+AZ681</f>
        <v>129.79999999999987</v>
      </c>
      <c r="BA696" s="23"/>
      <c r="BB696" s="410">
        <f t="shared" ref="BB696" si="4673">BB694+BB681</f>
        <v>172.00000000000006</v>
      </c>
      <c r="BC696" s="23"/>
      <c r="BD696" s="410">
        <f>BD694+BD681</f>
        <v>137.49999999999994</v>
      </c>
      <c r="BE696" s="23"/>
      <c r="BF696" s="36">
        <f t="shared" ref="BF696" si="4674">BF694+BF681</f>
        <v>211.51605735886915</v>
      </c>
      <c r="BG696" s="23"/>
      <c r="BH696" s="36">
        <f t="shared" ref="BH696" si="4675">BH694+BH681</f>
        <v>230.40397523039584</v>
      </c>
      <c r="BI696" s="23"/>
      <c r="BJ696" s="36">
        <f t="shared" ref="BJ696" si="4676">BJ694+BJ681</f>
        <v>191.37234788112255</v>
      </c>
      <c r="BK696" s="23"/>
      <c r="BL696" s="36">
        <f t="shared" ref="BL696" si="4677">BL694+BL681</f>
        <v>200.40176177828877</v>
      </c>
      <c r="BM696" s="23"/>
      <c r="BN696" s="5"/>
      <c r="BO696" s="137"/>
      <c r="BP696" s="5"/>
      <c r="BQ696" s="5"/>
      <c r="BR696" s="5"/>
      <c r="BS696" s="5"/>
      <c r="BT696" s="5"/>
      <c r="BU696" s="36">
        <f>BU694+BU681</f>
        <v>-88.000000000001137</v>
      </c>
      <c r="BV696" s="36"/>
      <c r="BW696" s="36">
        <f t="shared" ref="BW696:CA696" si="4678">BW694+BW681</f>
        <v>472.44000000000068</v>
      </c>
      <c r="BX696" s="36"/>
      <c r="BY696" s="36">
        <f t="shared" si="4678"/>
        <v>600.6</v>
      </c>
      <c r="BZ696" s="36"/>
      <c r="CA696" s="36">
        <f t="shared" si="4678"/>
        <v>2291.1000000000004</v>
      </c>
      <c r="CB696" s="36"/>
      <c r="CC696" s="36">
        <f t="shared" ref="CC696" si="4679">CC694+CC681</f>
        <v>408.39999999999981</v>
      </c>
      <c r="CD696" s="36"/>
      <c r="CE696" s="36">
        <f t="shared" ref="CE696" si="4680">CE694+CE681</f>
        <v>-670.49999999999977</v>
      </c>
      <c r="CF696" s="36"/>
      <c r="CG696" s="36">
        <f t="shared" ref="CG696" si="4681">CG694+CG681</f>
        <v>220.49999999999983</v>
      </c>
      <c r="CH696" s="36"/>
      <c r="CI696" s="36">
        <f t="shared" ref="CI696" si="4682">CI694+CI681</f>
        <v>833.69414224867614</v>
      </c>
      <c r="CJ696" s="36"/>
      <c r="CK696" s="36">
        <f t="shared" ref="CK696:CM696" si="4683">CK694+CK681</f>
        <v>814.38652845461502</v>
      </c>
      <c r="CL696" s="36"/>
      <c r="CM696" s="36">
        <f t="shared" si="4683"/>
        <v>850.7608603093056</v>
      </c>
      <c r="CN696" s="36"/>
      <c r="CO696" s="36">
        <f t="shared" ref="CO696:CQ696" si="4684">CO694+CO681</f>
        <v>886.28776430315702</v>
      </c>
      <c r="CP696" s="36"/>
      <c r="CQ696" s="36">
        <f t="shared" si="4684"/>
        <v>921.46553081424622</v>
      </c>
      <c r="CR696" s="36"/>
      <c r="CS696" s="23">
        <f>IF(ISERROR(((CQ696/CG696)^0.2-1)*100),"NA",IF((((CQ696/CG696)^0.2-1)*100)&gt;100,"NM",IF((((CQ696/CG696)^0.2-1)*100)&lt;-50,"NM",((CQ696/CG696)^0.2-1)*100)))</f>
        <v>33.111047197798761</v>
      </c>
    </row>
    <row r="697" spans="1:97" ht="12.75" customHeight="1" x14ac:dyDescent="0.2">
      <c r="A697" s="5"/>
      <c r="B697" s="36"/>
      <c r="C697" s="59"/>
      <c r="D697" s="36"/>
      <c r="E697" s="59"/>
      <c r="F697" s="36"/>
      <c r="G697" s="59"/>
      <c r="H697" s="36"/>
      <c r="I697" s="59"/>
      <c r="J697" s="36"/>
      <c r="K697" s="23"/>
      <c r="L697" s="36"/>
      <c r="M697" s="23"/>
      <c r="N697" s="36"/>
      <c r="O697" s="23"/>
      <c r="P697" s="36"/>
      <c r="Q697" s="23"/>
      <c r="R697" s="36"/>
      <c r="S697" s="23"/>
      <c r="T697" s="36"/>
      <c r="U697" s="23"/>
      <c r="V697" s="36"/>
      <c r="W697" s="23"/>
      <c r="X697" s="36"/>
      <c r="Y697" s="23"/>
      <c r="Z697" s="36"/>
      <c r="AA697" s="23"/>
      <c r="AB697" s="36"/>
      <c r="AC697" s="23"/>
      <c r="AD697" s="36"/>
      <c r="AE697" s="23"/>
      <c r="AF697" s="36"/>
      <c r="AG697" s="23"/>
      <c r="AH697" s="36"/>
      <c r="AI697" s="23"/>
      <c r="AJ697" s="36"/>
      <c r="AK697" s="23"/>
      <c r="AL697" s="36"/>
      <c r="AM697" s="23"/>
      <c r="AN697" s="410"/>
      <c r="AO697" s="23"/>
      <c r="AP697" s="410"/>
      <c r="AQ697" s="23"/>
      <c r="AR697" s="410"/>
      <c r="AS697" s="23"/>
      <c r="AT697" s="410"/>
      <c r="AU697" s="23"/>
      <c r="AV697" s="410"/>
      <c r="AW697" s="23"/>
      <c r="AX697" s="410"/>
      <c r="AY697" s="23"/>
      <c r="AZ697" s="410"/>
      <c r="BA697" s="23"/>
      <c r="BB697" s="410"/>
      <c r="BC697" s="23"/>
      <c r="BD697" s="410"/>
      <c r="BE697" s="23"/>
      <c r="BF697" s="36"/>
      <c r="BG697" s="23"/>
      <c r="BH697" s="36"/>
      <c r="BI697" s="23"/>
      <c r="BJ697" s="36"/>
      <c r="BK697" s="23"/>
      <c r="BL697" s="36"/>
      <c r="BM697" s="23"/>
      <c r="BN697" s="5"/>
      <c r="BO697" s="137"/>
      <c r="BP697" s="5"/>
      <c r="BQ697" s="5"/>
      <c r="BR697" s="5"/>
      <c r="BS697" s="5"/>
      <c r="BT697" s="5"/>
      <c r="BU697" s="36"/>
      <c r="BV697" s="23"/>
      <c r="BW697" s="36"/>
      <c r="BX697" s="23"/>
      <c r="BY697" s="36"/>
      <c r="BZ697" s="23"/>
      <c r="CA697" s="36"/>
      <c r="CB697" s="23"/>
      <c r="CC697" s="36"/>
      <c r="CD697" s="23"/>
      <c r="CE697" s="36"/>
      <c r="CF697" s="23"/>
      <c r="CG697" s="36"/>
      <c r="CH697" s="23"/>
      <c r="CI697" s="36"/>
      <c r="CJ697" s="23"/>
      <c r="CK697" s="36"/>
      <c r="CL697" s="23"/>
      <c r="CM697" s="36"/>
      <c r="CN697" s="23"/>
      <c r="CO697" s="36"/>
      <c r="CP697" s="23"/>
      <c r="CQ697" s="36"/>
      <c r="CR697" s="23"/>
      <c r="CS697" s="23"/>
    </row>
    <row r="698" spans="1:97" ht="12.75" hidden="1" customHeight="1" outlineLevel="1" x14ac:dyDescent="0.2">
      <c r="A698" s="8" t="s">
        <v>276</v>
      </c>
      <c r="B698" s="56"/>
      <c r="C698" s="59"/>
      <c r="D698" s="56"/>
      <c r="E698" s="59"/>
      <c r="F698" s="56"/>
      <c r="G698" s="59"/>
      <c r="H698" s="56"/>
      <c r="I698" s="59"/>
      <c r="J698" s="56"/>
      <c r="K698" s="23"/>
      <c r="L698" s="56"/>
      <c r="M698" s="23"/>
      <c r="N698" s="56"/>
      <c r="O698" s="23"/>
      <c r="P698" s="56"/>
      <c r="Q698" s="23"/>
      <c r="R698" s="56"/>
      <c r="S698" s="23"/>
      <c r="T698" s="56"/>
      <c r="U698" s="23"/>
      <c r="V698" s="56"/>
      <c r="W698" s="23"/>
      <c r="X698" s="56"/>
      <c r="Y698" s="23"/>
      <c r="Z698" s="56"/>
      <c r="AA698" s="23"/>
      <c r="AB698" s="56"/>
      <c r="AC698" s="23"/>
      <c r="AD698" s="56"/>
      <c r="AE698" s="23"/>
      <c r="AF698" s="56"/>
      <c r="AG698" s="23"/>
      <c r="AH698" s="56"/>
      <c r="AI698" s="23"/>
      <c r="AJ698" s="56"/>
      <c r="AK698" s="23"/>
      <c r="AL698" s="56"/>
      <c r="AM698" s="23"/>
      <c r="AN698" s="413"/>
      <c r="AO698" s="23"/>
      <c r="AP698" s="413"/>
      <c r="AQ698" s="23"/>
      <c r="AR698" s="413"/>
      <c r="AS698" s="23"/>
      <c r="AT698" s="413"/>
      <c r="AU698" s="23"/>
      <c r="AV698" s="413"/>
      <c r="AW698" s="23"/>
      <c r="AX698" s="413"/>
      <c r="AY698" s="23"/>
      <c r="AZ698" s="413"/>
      <c r="BA698" s="23"/>
      <c r="BB698" s="413"/>
      <c r="BC698" s="23"/>
      <c r="BD698" s="413"/>
      <c r="BE698" s="23"/>
      <c r="BF698" s="56"/>
      <c r="BG698" s="23"/>
      <c r="BH698" s="56"/>
      <c r="BI698" s="23"/>
      <c r="BJ698" s="56"/>
      <c r="BK698" s="23"/>
      <c r="BL698" s="56"/>
      <c r="BM698" s="23"/>
      <c r="BN698" s="10"/>
      <c r="BO698" s="137"/>
      <c r="BP698" s="10"/>
      <c r="BQ698" s="10"/>
      <c r="BR698" s="10"/>
      <c r="BS698" s="10"/>
      <c r="BT698" s="10"/>
      <c r="BU698" s="56"/>
      <c r="BV698" s="23"/>
      <c r="BW698" s="56"/>
      <c r="BX698" s="23"/>
      <c r="BY698" s="56"/>
      <c r="BZ698" s="23"/>
      <c r="CA698" s="56"/>
      <c r="CB698" s="23"/>
      <c r="CC698" s="56"/>
      <c r="CD698" s="23"/>
      <c r="CE698" s="56"/>
      <c r="CF698" s="23"/>
      <c r="CG698" s="56"/>
      <c r="CH698" s="23"/>
      <c r="CI698" s="56"/>
      <c r="CJ698" s="23"/>
      <c r="CK698" s="56"/>
      <c r="CL698" s="23"/>
      <c r="CM698" s="56"/>
      <c r="CN698" s="23"/>
      <c r="CO698" s="56"/>
      <c r="CP698" s="23"/>
      <c r="CQ698" s="56"/>
      <c r="CR698" s="23"/>
      <c r="CS698" s="23" t="str">
        <f t="shared" ref="CS698:CS707" si="4685">IF(ISERROR(((CQ698/CG698)^0.2-1)*100),"NA",IF((((CQ698/CG698)^0.2-1)*100)&gt;100,"NM",IF((((CQ698/CG698)^0.2-1)*100)&lt;-50,"NM",((CQ698/CG698)^0.2-1)*100)))</f>
        <v>NA</v>
      </c>
    </row>
    <row r="699" spans="1:97" ht="12.75" hidden="1" customHeight="1" outlineLevel="1" x14ac:dyDescent="0.2">
      <c r="A699" s="9" t="s">
        <v>220</v>
      </c>
      <c r="B699" s="73">
        <f>B653</f>
        <v>279.13695524000002</v>
      </c>
      <c r="C699" s="95"/>
      <c r="D699" s="73">
        <f>D653</f>
        <v>350.80086680000011</v>
      </c>
      <c r="E699" s="95"/>
      <c r="F699" s="73">
        <f>F653</f>
        <v>306.80619100999996</v>
      </c>
      <c r="G699" s="95"/>
      <c r="H699" s="73">
        <f>H653</f>
        <v>343.08443746</v>
      </c>
      <c r="I699" s="95"/>
      <c r="J699" s="73">
        <f>J653</f>
        <v>264.0539999999998</v>
      </c>
      <c r="K699" s="23"/>
      <c r="L699" s="73">
        <f>L653</f>
        <v>191.88000000000002</v>
      </c>
      <c r="M699" s="23"/>
      <c r="N699" s="73">
        <f>N653</f>
        <v>305.98700000000002</v>
      </c>
      <c r="O699" s="23"/>
      <c r="P699" s="73">
        <f>P653</f>
        <v>228.41900000000015</v>
      </c>
      <c r="Q699" s="23"/>
      <c r="R699" s="73">
        <f>R653</f>
        <v>285.3</v>
      </c>
      <c r="S699" s="23"/>
      <c r="T699" s="73">
        <f>T653</f>
        <v>306.8</v>
      </c>
      <c r="U699" s="23"/>
      <c r="V699" s="73">
        <f>V653</f>
        <v>484.39999999999986</v>
      </c>
      <c r="W699" s="23"/>
      <c r="X699" s="73">
        <f>X653</f>
        <v>352.19999999999993</v>
      </c>
      <c r="Y699" s="23"/>
      <c r="Z699" s="73">
        <f>Z653</f>
        <v>267.50000000000017</v>
      </c>
      <c r="AA699" s="23"/>
      <c r="AB699" s="73">
        <f>AB653</f>
        <v>356.00000000000006</v>
      </c>
      <c r="AC699" s="23"/>
      <c r="AD699" s="73">
        <f>AD653</f>
        <v>331</v>
      </c>
      <c r="AE699" s="23"/>
      <c r="AF699" s="73">
        <f>AF653</f>
        <v>421.89999999999986</v>
      </c>
      <c r="AG699" s="23"/>
      <c r="AH699" s="73">
        <f>AH653</f>
        <v>324.10000000000002</v>
      </c>
      <c r="AI699" s="23"/>
      <c r="AJ699" s="73">
        <f>AJ653</f>
        <v>311.8</v>
      </c>
      <c r="AK699" s="23"/>
      <c r="AL699" s="73">
        <f>AL653</f>
        <v>210.09999999999988</v>
      </c>
      <c r="AM699" s="23"/>
      <c r="AN699" s="73">
        <f t="shared" ref="AN699:AP699" si="4686">AN653</f>
        <v>368.40000000000009</v>
      </c>
      <c r="AO699" s="23"/>
      <c r="AP699" s="73">
        <f t="shared" si="4686"/>
        <v>188.29999999999984</v>
      </c>
      <c r="AQ699" s="23"/>
      <c r="AR699" s="73">
        <f t="shared" ref="AR699:AT699" si="4687">AR653</f>
        <v>254.79999999999995</v>
      </c>
      <c r="AS699" s="23"/>
      <c r="AT699" s="73">
        <f t="shared" si="4687"/>
        <v>79.39999999999992</v>
      </c>
      <c r="AU699" s="23"/>
      <c r="AV699" s="73">
        <f t="shared" ref="AV699:AX699" si="4688">AV653</f>
        <v>282.89999999999992</v>
      </c>
      <c r="AW699" s="23"/>
      <c r="AX699" s="73">
        <f t="shared" si="4688"/>
        <v>240.49999999999983</v>
      </c>
      <c r="AY699" s="23"/>
      <c r="AZ699" s="73">
        <f t="shared" ref="AZ699" si="4689">AZ653</f>
        <v>207.49999999999986</v>
      </c>
      <c r="BA699" s="23"/>
      <c r="BB699" s="73">
        <f t="shared" ref="BB699:BD699" si="4690">BB653</f>
        <v>152.20000000000005</v>
      </c>
      <c r="BC699" s="23"/>
      <c r="BD699" s="73">
        <f t="shared" si="4690"/>
        <v>322.19999999999993</v>
      </c>
      <c r="BE699" s="23"/>
      <c r="BF699" s="73">
        <f t="shared" ref="BF699" si="4691">BF653</f>
        <v>260.91592862875552</v>
      </c>
      <c r="BG699" s="23"/>
      <c r="BH699" s="73">
        <f t="shared" ref="BH699" si="4692">BH653</f>
        <v>294.40032272784299</v>
      </c>
      <c r="BI699" s="23"/>
      <c r="BJ699" s="73">
        <f t="shared" ref="BJ699" si="4693">BJ653</f>
        <v>296.29061969113837</v>
      </c>
      <c r="BK699" s="23"/>
      <c r="BL699" s="73">
        <f t="shared" ref="BL699" si="4694">BL653</f>
        <v>301.30401841016374</v>
      </c>
      <c r="BM699" s="23"/>
      <c r="BN699" s="8"/>
      <c r="BO699" s="144"/>
      <c r="BP699" s="8"/>
      <c r="BQ699" s="8"/>
      <c r="BR699" s="8"/>
      <c r="BS699" s="8"/>
      <c r="BT699" s="8"/>
      <c r="BU699" s="73">
        <f>BU653</f>
        <v>1279.8284505099994</v>
      </c>
      <c r="BV699" s="23"/>
      <c r="BW699" s="73">
        <f>BW653</f>
        <v>990.34000000000037</v>
      </c>
      <c r="BX699" s="23"/>
      <c r="BY699" s="73">
        <f>BY653</f>
        <v>1428.7000000000003</v>
      </c>
      <c r="BZ699" s="23"/>
      <c r="CA699" s="73">
        <f>CA653</f>
        <v>1376.4000000000003</v>
      </c>
      <c r="CB699" s="23"/>
      <c r="CC699" s="73">
        <f>CC653</f>
        <v>1214.3999999999999</v>
      </c>
      <c r="CD699" s="23"/>
      <c r="CE699" s="73">
        <f>CE653</f>
        <v>805.39999999999986</v>
      </c>
      <c r="CF699" s="23"/>
      <c r="CG699" s="73">
        <f>CG653</f>
        <v>922.40000000000009</v>
      </c>
      <c r="CH699" s="23"/>
      <c r="CI699" s="73">
        <f>CI653</f>
        <v>1152.9108894579006</v>
      </c>
      <c r="CJ699" s="23"/>
      <c r="CK699" s="73">
        <f>CK653</f>
        <v>1201.1782067360518</v>
      </c>
      <c r="CL699" s="23"/>
      <c r="CM699" s="73">
        <f>CM653</f>
        <v>1247.1799693054431</v>
      </c>
      <c r="CN699" s="23"/>
      <c r="CO699" s="73">
        <f>CO653</f>
        <v>1292.1206649492401</v>
      </c>
      <c r="CP699" s="23"/>
      <c r="CQ699" s="73">
        <f>CQ653</f>
        <v>1336.6261181310085</v>
      </c>
      <c r="CR699" s="23"/>
      <c r="CS699" s="23">
        <f t="shared" si="4685"/>
        <v>7.7006017384560588</v>
      </c>
    </row>
    <row r="700" spans="1:97" ht="12.75" hidden="1" customHeight="1" outlineLevel="1" x14ac:dyDescent="0.2">
      <c r="A700" s="96" t="s">
        <v>270</v>
      </c>
      <c r="B700" s="56">
        <f>(B86+B171+B345)</f>
        <v>27.91</v>
      </c>
      <c r="C700" s="59"/>
      <c r="D700" s="56">
        <f>(D86+D171+D345)</f>
        <v>33.738</v>
      </c>
      <c r="E700" s="59"/>
      <c r="F700" s="56">
        <f>(F86+F171+F345)</f>
        <v>54.802999999999997</v>
      </c>
      <c r="G700" s="59"/>
      <c r="H700" s="56">
        <f>(H86+H171+H345)</f>
        <v>187.494</v>
      </c>
      <c r="I700" s="59"/>
      <c r="J700" s="56">
        <f>(J86+J171+J345)</f>
        <v>-20.885999999999999</v>
      </c>
      <c r="K700" s="23"/>
      <c r="L700" s="56">
        <f>(L86+L171+L345)</f>
        <v>-13.936999999999999</v>
      </c>
      <c r="M700" s="23"/>
      <c r="N700" s="56">
        <f>(N86+N171+N345)</f>
        <v>6.4480000000000004</v>
      </c>
      <c r="O700" s="23"/>
      <c r="P700" s="56">
        <f>(P86+P171+P345)</f>
        <v>-48.693999999999996</v>
      </c>
      <c r="Q700" s="23"/>
      <c r="R700" s="56">
        <f>(R86+R171+R345)</f>
        <v>7.3</v>
      </c>
      <c r="S700" s="23"/>
      <c r="T700" s="56">
        <f>(T86+T171+T345)</f>
        <v>3.5999999999999988</v>
      </c>
      <c r="U700" s="23"/>
      <c r="V700" s="56">
        <f>(V86+V171+V345)</f>
        <v>99.8</v>
      </c>
      <c r="W700" s="23"/>
      <c r="X700" s="56">
        <f>(X86+X171+X345)</f>
        <v>23</v>
      </c>
      <c r="Y700" s="23"/>
      <c r="Z700" s="56">
        <f>(Z86+Z171+Z345)</f>
        <v>-15.200000000000001</v>
      </c>
      <c r="AA700" s="23"/>
      <c r="AB700" s="56">
        <f>(AB86+AB171+AB345)</f>
        <v>12.1</v>
      </c>
      <c r="AC700" s="23"/>
      <c r="AD700" s="56">
        <f>(AD86+AD171+AD345)</f>
        <v>-19.699999999999996</v>
      </c>
      <c r="AE700" s="23"/>
      <c r="AF700" s="56">
        <f>(AF86+AF171+AF345)</f>
        <v>9</v>
      </c>
      <c r="AG700" s="23"/>
      <c r="AH700" s="56">
        <f>(AH86+AH171+AH345)</f>
        <v>5.3999999999999995</v>
      </c>
      <c r="AI700" s="23"/>
      <c r="AJ700" s="56">
        <f>(AJ86+AJ171+AJ345)</f>
        <v>-6.1</v>
      </c>
      <c r="AK700" s="23"/>
      <c r="AL700" s="56">
        <f>(AL86+AL171+AL345)</f>
        <v>-90.5</v>
      </c>
      <c r="AM700" s="23"/>
      <c r="AN700" s="413">
        <f>(AN86+AN171+AN345)</f>
        <v>28.1</v>
      </c>
      <c r="AO700" s="23"/>
      <c r="AP700" s="413">
        <f>(AP86+AP171+AP345)</f>
        <v>-6.1000000000000005</v>
      </c>
      <c r="AQ700" s="23"/>
      <c r="AR700" s="413">
        <f>(AR86+AR171+AR345)</f>
        <v>6.6999999999999993</v>
      </c>
      <c r="AS700" s="23"/>
      <c r="AT700" s="413">
        <f>(AT86+AT171+AT345)</f>
        <v>-196.2</v>
      </c>
      <c r="AU700" s="23"/>
      <c r="AV700" s="413">
        <f>(AV86+AV171+AV345)</f>
        <v>-11.1</v>
      </c>
      <c r="AW700" s="23"/>
      <c r="AX700" s="413">
        <f>(AX86+AX171+AX345)</f>
        <v>5.5</v>
      </c>
      <c r="AY700" s="23"/>
      <c r="AZ700" s="413">
        <f>(AZ86+AZ171+AZ345)</f>
        <v>-115</v>
      </c>
      <c r="BA700" s="23"/>
      <c r="BB700" s="413">
        <f>(BB86+BB171+BB345)</f>
        <v>-187</v>
      </c>
      <c r="BC700" s="23"/>
      <c r="BD700" s="413">
        <f>(BD86+BD171+BD345)</f>
        <v>-1</v>
      </c>
      <c r="BE700" s="23"/>
      <c r="BF700" s="56">
        <f>(BF86+BF171+BF345)</f>
        <v>0</v>
      </c>
      <c r="BG700" s="23"/>
      <c r="BH700" s="56">
        <f>(BH86+BH171+BH345)</f>
        <v>0</v>
      </c>
      <c r="BI700" s="23"/>
      <c r="BJ700" s="56">
        <f>(BJ86+BJ171+BJ345)</f>
        <v>0</v>
      </c>
      <c r="BK700" s="23"/>
      <c r="BL700" s="56">
        <f>(BL86+BL171+BL345)</f>
        <v>0</v>
      </c>
      <c r="BM700" s="23"/>
      <c r="BN700" s="10"/>
      <c r="BO700" s="137"/>
      <c r="BP700" s="10"/>
      <c r="BQ700" s="10"/>
      <c r="BR700" s="10"/>
      <c r="BS700" s="10"/>
      <c r="BT700" s="10"/>
      <c r="BU700" s="56">
        <f>(BU86+BU171+BU345)</f>
        <v>303.94499999999999</v>
      </c>
      <c r="BV700" s="23"/>
      <c r="BW700" s="56">
        <f>(BW86+BW171+BW345)</f>
        <v>-77.068999999999988</v>
      </c>
      <c r="BX700" s="23"/>
      <c r="BY700" s="56">
        <f>(BY86+BY171+BY345)</f>
        <v>133.70000000000002</v>
      </c>
      <c r="BZ700" s="23"/>
      <c r="CA700" s="56">
        <f>(CA86+CA171+CA345)</f>
        <v>-13.8</v>
      </c>
      <c r="CB700" s="23"/>
      <c r="CC700" s="56">
        <f>(CC86+CC171+CC345)</f>
        <v>-63.1</v>
      </c>
      <c r="CD700" s="23"/>
      <c r="CE700" s="56">
        <f>(CE86+CE171+CE345)</f>
        <v>-206.7</v>
      </c>
      <c r="CF700" s="23"/>
      <c r="CG700" s="56">
        <f>(CG86+CG171+CG345)</f>
        <v>-297.5</v>
      </c>
      <c r="CH700" s="23"/>
      <c r="CI700" s="56">
        <f>(CI86+CI171+CI345)</f>
        <v>0</v>
      </c>
      <c r="CJ700" s="23"/>
      <c r="CK700" s="56">
        <f>(CK86+CK171+CK345)</f>
        <v>0</v>
      </c>
      <c r="CL700" s="23"/>
      <c r="CM700" s="56">
        <f>(CM86+CM171+CM345)</f>
        <v>0</v>
      </c>
      <c r="CN700" s="23"/>
      <c r="CO700" s="56">
        <f>(CO86+CO171+CO345)</f>
        <v>0</v>
      </c>
      <c r="CP700" s="23"/>
      <c r="CQ700" s="56">
        <f>(CQ86+CQ171+CQ345)</f>
        <v>0</v>
      </c>
      <c r="CR700" s="23"/>
      <c r="CS700" s="23" t="str">
        <f t="shared" si="4685"/>
        <v>NM</v>
      </c>
    </row>
    <row r="701" spans="1:97" ht="12.75" hidden="1" customHeight="1" outlineLevel="1" x14ac:dyDescent="0.2">
      <c r="A701" s="96" t="s">
        <v>271</v>
      </c>
      <c r="B701" s="56">
        <f>B87+B172+B277+B346+B420</f>
        <v>0</v>
      </c>
      <c r="C701" s="59"/>
      <c r="D701" s="56">
        <f>D87+D172+D277+D346+D420</f>
        <v>0</v>
      </c>
      <c r="E701" s="59"/>
      <c r="F701" s="56">
        <f>F87+F172+F277+F346+F420</f>
        <v>0</v>
      </c>
      <c r="G701" s="59"/>
      <c r="H701" s="56">
        <f>H87+H172+H277+H346+H420</f>
        <v>0</v>
      </c>
      <c r="I701" s="59"/>
      <c r="J701" s="56">
        <f>J87+J172+J277+J346+J420</f>
        <v>43.399999999999991</v>
      </c>
      <c r="K701" s="23"/>
      <c r="L701" s="56">
        <f>L87+L172+L277+L346+L420</f>
        <v>-73.199999999999989</v>
      </c>
      <c r="M701" s="23"/>
      <c r="N701" s="56">
        <f>N87+N172+N277+N346+N420</f>
        <v>4.5</v>
      </c>
      <c r="O701" s="23"/>
      <c r="P701" s="56">
        <f>P87+P172+P277+P346+P420</f>
        <v>0</v>
      </c>
      <c r="Q701" s="23"/>
      <c r="R701" s="56">
        <f>R87+R172+R277+R346+R420</f>
        <v>3.25</v>
      </c>
      <c r="S701" s="23"/>
      <c r="T701" s="56">
        <f>T87+T172+T277+T346+T420</f>
        <v>0</v>
      </c>
      <c r="U701" s="23"/>
      <c r="V701" s="56">
        <f>V87+V172+V277+V346+V420</f>
        <v>15.5</v>
      </c>
      <c r="W701" s="23"/>
      <c r="X701" s="56">
        <f>X87+X172+X277+X346+X420</f>
        <v>1.5</v>
      </c>
      <c r="Y701" s="23"/>
      <c r="Z701" s="56">
        <f>Z87+Z172+Z277+Z346+Z420</f>
        <v>-4.5999999999999996</v>
      </c>
      <c r="AA701" s="23"/>
      <c r="AB701" s="56">
        <f>AB87+AB172+AB277+AB346+AB420</f>
        <v>-1.8</v>
      </c>
      <c r="AC701" s="23"/>
      <c r="AD701" s="56">
        <f>AD87+AD172+AD277+AD346+AD420</f>
        <v>4.1100000000000003</v>
      </c>
      <c r="AE701" s="23"/>
      <c r="AF701" s="56">
        <f>AF87+AF172+AF277+AF346+AF420</f>
        <v>-7</v>
      </c>
      <c r="AG701" s="23"/>
      <c r="AH701" s="56">
        <f>AH87+AH172+AH277+AH346+AH420</f>
        <v>0.84000000000000008</v>
      </c>
      <c r="AI701" s="23"/>
      <c r="AJ701" s="56">
        <f>AJ87+AJ172+AJ277+AJ346+AJ420</f>
        <v>-0.9</v>
      </c>
      <c r="AK701" s="23"/>
      <c r="AL701" s="56">
        <f>AL87+AL172+AL277+AL346+AL420</f>
        <v>-2.6</v>
      </c>
      <c r="AM701" s="23"/>
      <c r="AN701" s="413">
        <f>AN87+AN172+AN277+AN346+AN420</f>
        <v>-0.2</v>
      </c>
      <c r="AO701" s="23"/>
      <c r="AP701" s="413">
        <f>AP87+AP172+AP277+AP346+AP420</f>
        <v>-2.2999999999999998</v>
      </c>
      <c r="AQ701" s="23"/>
      <c r="AR701" s="413">
        <f>AR87+AR172+AR277+AR346+AR420</f>
        <v>-1.5</v>
      </c>
      <c r="AS701" s="23"/>
      <c r="AT701" s="413">
        <f>AT87+AT172+AT277+AT346+AT420</f>
        <v>20.400000000000002</v>
      </c>
      <c r="AU701" s="23"/>
      <c r="AV701" s="413">
        <f>AV87+AV172+AV277+AV346+AV420</f>
        <v>1.2</v>
      </c>
      <c r="AW701" s="23"/>
      <c r="AX701" s="413">
        <f>AX87+AX172+AX277+AX346+AX420</f>
        <v>3</v>
      </c>
      <c r="AY701" s="23"/>
      <c r="AZ701" s="413">
        <f>AZ87+AZ172+AZ277+AZ346+AZ420</f>
        <v>32</v>
      </c>
      <c r="BA701" s="23"/>
      <c r="BB701" s="413">
        <f>BB87+BB172+BB277+BB346+BB420</f>
        <v>27</v>
      </c>
      <c r="BC701" s="23"/>
      <c r="BD701" s="413">
        <f>BD87+BD172+BD277+BD346+BD420</f>
        <v>3</v>
      </c>
      <c r="BE701" s="23"/>
      <c r="BF701" s="56">
        <f>BF87+BF172+BF277+BF346+BF420</f>
        <v>0</v>
      </c>
      <c r="BG701" s="23"/>
      <c r="BH701" s="56">
        <f>BH87+BH172+BH277+BH346+BH420</f>
        <v>0</v>
      </c>
      <c r="BI701" s="23"/>
      <c r="BJ701" s="56">
        <f>BJ87+BJ172+BJ277+BJ346+BJ420</f>
        <v>0</v>
      </c>
      <c r="BK701" s="23"/>
      <c r="BL701" s="56">
        <f>BL87+BL172+BL277+BL346+BL420</f>
        <v>0</v>
      </c>
      <c r="BM701" s="23"/>
      <c r="BN701" s="10"/>
      <c r="BO701" s="137"/>
      <c r="BP701" s="10"/>
      <c r="BQ701" s="10"/>
      <c r="BR701" s="10"/>
      <c r="BS701" s="10"/>
      <c r="BT701" s="10"/>
      <c r="BU701" s="56">
        <f>BU87+BU172+BU277+BU346+BU420</f>
        <v>0</v>
      </c>
      <c r="BV701" s="23"/>
      <c r="BW701" s="56">
        <f>BW87+BW172+BW277+BW346+BW420</f>
        <v>-25.299999999999994</v>
      </c>
      <c r="BX701" s="23"/>
      <c r="BY701" s="56">
        <f>BY87+BY172+BY277+BY346+BY420</f>
        <v>20.25</v>
      </c>
      <c r="BZ701" s="23"/>
      <c r="CA701" s="56">
        <f>CA87+CA172+CA277+CA346+CA420</f>
        <v>-9.2899999999999991</v>
      </c>
      <c r="CB701" s="23"/>
      <c r="CC701" s="56">
        <f>CC87+CC172+CC277+CC346+CC420</f>
        <v>-2.86</v>
      </c>
      <c r="CD701" s="23"/>
      <c r="CE701" s="56">
        <f>CE87+CE172+CE277+CE346+CE420</f>
        <v>17.8</v>
      </c>
      <c r="CF701" s="23"/>
      <c r="CG701" s="56">
        <f>CG87+CG172+CG277+CG346+CG420</f>
        <v>65</v>
      </c>
      <c r="CH701" s="23"/>
      <c r="CI701" s="56">
        <f>CI87+CI172+CI277+CI346+CI420</f>
        <v>0</v>
      </c>
      <c r="CJ701" s="23"/>
      <c r="CK701" s="56">
        <f>CK87+CK172+CK277+CK346+CK420</f>
        <v>0</v>
      </c>
      <c r="CL701" s="23"/>
      <c r="CM701" s="56">
        <f>CM87+CM172+CM277+CM346+CM420</f>
        <v>0</v>
      </c>
      <c r="CN701" s="23"/>
      <c r="CO701" s="56">
        <f>CO87+CO172+CO277+CO346+CO420</f>
        <v>0</v>
      </c>
      <c r="CP701" s="23"/>
      <c r="CQ701" s="56">
        <f>CQ87+CQ172+CQ277+CQ346+CQ420</f>
        <v>0</v>
      </c>
      <c r="CR701" s="23"/>
      <c r="CS701" s="23" t="str">
        <f t="shared" si="4685"/>
        <v>NM</v>
      </c>
    </row>
    <row r="702" spans="1:97" ht="12.75" hidden="1" customHeight="1" outlineLevel="1" x14ac:dyDescent="0.2">
      <c r="A702" s="13" t="s">
        <v>272</v>
      </c>
      <c r="B702" s="56">
        <f>B700+B701</f>
        <v>27.91</v>
      </c>
      <c r="C702" s="95"/>
      <c r="D702" s="56">
        <f>D700+D701</f>
        <v>33.738</v>
      </c>
      <c r="E702" s="95"/>
      <c r="F702" s="56">
        <f>F700+F701</f>
        <v>54.802999999999997</v>
      </c>
      <c r="G702" s="95"/>
      <c r="H702" s="56">
        <f>H700+H701</f>
        <v>187.494</v>
      </c>
      <c r="I702" s="95"/>
      <c r="J702" s="56">
        <f>J700+J701</f>
        <v>22.513999999999992</v>
      </c>
      <c r="K702" s="23"/>
      <c r="L702" s="56">
        <f>L700+L701</f>
        <v>-87.136999999999986</v>
      </c>
      <c r="M702" s="23"/>
      <c r="N702" s="56">
        <f>N700+N701</f>
        <v>10.948</v>
      </c>
      <c r="O702" s="23"/>
      <c r="P702" s="56">
        <f>P700+P701</f>
        <v>-48.693999999999996</v>
      </c>
      <c r="Q702" s="23"/>
      <c r="R702" s="56">
        <f>R700+R701</f>
        <v>10.55</v>
      </c>
      <c r="S702" s="23"/>
      <c r="T702" s="56">
        <f>T700+T701</f>
        <v>3.5999999999999988</v>
      </c>
      <c r="U702" s="23"/>
      <c r="V702" s="56">
        <f>V700+V701</f>
        <v>115.3</v>
      </c>
      <c r="W702" s="23"/>
      <c r="X702" s="56">
        <f>X700+X701</f>
        <v>24.5</v>
      </c>
      <c r="Y702" s="23"/>
      <c r="Z702" s="56">
        <f>Z700+Z701</f>
        <v>-19.8</v>
      </c>
      <c r="AA702" s="23"/>
      <c r="AB702" s="56">
        <f>AB700+AB701</f>
        <v>10.299999999999999</v>
      </c>
      <c r="AC702" s="23"/>
      <c r="AD702" s="56">
        <f>AD700+AD701</f>
        <v>-15.589999999999996</v>
      </c>
      <c r="AE702" s="23"/>
      <c r="AF702" s="56">
        <f>AF700+AF701</f>
        <v>2</v>
      </c>
      <c r="AG702" s="23"/>
      <c r="AH702" s="56">
        <f>AH700+AH701</f>
        <v>6.2399999999999993</v>
      </c>
      <c r="AI702" s="23"/>
      <c r="AJ702" s="56">
        <f>AJ700+AJ701</f>
        <v>-7</v>
      </c>
      <c r="AK702" s="23"/>
      <c r="AL702" s="56">
        <f>AL700+AL701</f>
        <v>-93.1</v>
      </c>
      <c r="AM702" s="23"/>
      <c r="AN702" s="413">
        <f t="shared" ref="AN702:AP702" si="4695">AN700+AN701</f>
        <v>27.900000000000002</v>
      </c>
      <c r="AO702" s="23"/>
      <c r="AP702" s="413">
        <f t="shared" si="4695"/>
        <v>-8.4</v>
      </c>
      <c r="AQ702" s="23"/>
      <c r="AR702" s="413">
        <f t="shared" ref="AR702:AT702" si="4696">AR700+AR701</f>
        <v>5.1999999999999993</v>
      </c>
      <c r="AS702" s="23"/>
      <c r="AT702" s="413">
        <f t="shared" si="4696"/>
        <v>-175.79999999999998</v>
      </c>
      <c r="AU702" s="23"/>
      <c r="AV702" s="413">
        <f t="shared" ref="AV702:AX702" si="4697">AV700+AV701</f>
        <v>-9.9</v>
      </c>
      <c r="AW702" s="23"/>
      <c r="AX702" s="413">
        <f t="shared" si="4697"/>
        <v>8.5</v>
      </c>
      <c r="AY702" s="23"/>
      <c r="AZ702" s="413">
        <f t="shared" ref="AZ702" si="4698">AZ700+AZ701</f>
        <v>-83</v>
      </c>
      <c r="BA702" s="23"/>
      <c r="BB702" s="413">
        <f t="shared" ref="BB702:BD702" si="4699">BB700+BB701</f>
        <v>-160</v>
      </c>
      <c r="BC702" s="23"/>
      <c r="BD702" s="413">
        <f t="shared" si="4699"/>
        <v>2</v>
      </c>
      <c r="BE702" s="23"/>
      <c r="BF702" s="56">
        <f t="shared" ref="BF702" si="4700">BF700+BF701</f>
        <v>0</v>
      </c>
      <c r="BG702" s="23"/>
      <c r="BH702" s="56">
        <f t="shared" ref="BH702" si="4701">BH700+BH701</f>
        <v>0</v>
      </c>
      <c r="BI702" s="23"/>
      <c r="BJ702" s="56">
        <f t="shared" ref="BJ702" si="4702">BJ700+BJ701</f>
        <v>0</v>
      </c>
      <c r="BK702" s="23"/>
      <c r="BL702" s="56">
        <f t="shared" ref="BL702" si="4703">BL700+BL701</f>
        <v>0</v>
      </c>
      <c r="BM702" s="23"/>
      <c r="BN702" s="8"/>
      <c r="BO702" s="144"/>
      <c r="BP702" s="8"/>
      <c r="BQ702" s="8"/>
      <c r="BR702" s="8"/>
      <c r="BS702" s="8"/>
      <c r="BT702" s="8"/>
      <c r="BU702" s="56">
        <f>BU700+BU701</f>
        <v>303.94499999999999</v>
      </c>
      <c r="BV702" s="23"/>
      <c r="BW702" s="56">
        <f>BW700+BW701</f>
        <v>-102.36899999999999</v>
      </c>
      <c r="BX702" s="23"/>
      <c r="BY702" s="56">
        <f>BY700+BY701</f>
        <v>153.95000000000002</v>
      </c>
      <c r="BZ702" s="23"/>
      <c r="CA702" s="56">
        <f>CA700+CA701</f>
        <v>-23.09</v>
      </c>
      <c r="CB702" s="23"/>
      <c r="CC702" s="56">
        <f>CC700+CC701</f>
        <v>-65.960000000000008</v>
      </c>
      <c r="CD702" s="23"/>
      <c r="CE702" s="56">
        <f>CE700+CE701</f>
        <v>-188.89999999999998</v>
      </c>
      <c r="CF702" s="23"/>
      <c r="CG702" s="56">
        <f>CG700+CG701</f>
        <v>-232.5</v>
      </c>
      <c r="CH702" s="23"/>
      <c r="CI702" s="56">
        <f>CI700+CI701</f>
        <v>0</v>
      </c>
      <c r="CJ702" s="23"/>
      <c r="CK702" s="56">
        <f>CK700+CK701</f>
        <v>0</v>
      </c>
      <c r="CL702" s="23"/>
      <c r="CM702" s="56">
        <f>CM700+CM701</f>
        <v>0</v>
      </c>
      <c r="CN702" s="23"/>
      <c r="CO702" s="56">
        <f>CO700+CO701</f>
        <v>0</v>
      </c>
      <c r="CP702" s="23"/>
      <c r="CQ702" s="56">
        <f>CQ700+CQ701</f>
        <v>0</v>
      </c>
      <c r="CR702" s="23"/>
      <c r="CS702" s="23" t="str">
        <f t="shared" si="4685"/>
        <v>NM</v>
      </c>
    </row>
    <row r="703" spans="1:97" ht="12.75" hidden="1" customHeight="1" outlineLevel="1" x14ac:dyDescent="0.2">
      <c r="A703" s="8" t="s">
        <v>274</v>
      </c>
      <c r="B703" s="73">
        <f>B699-B702</f>
        <v>251.22695524000002</v>
      </c>
      <c r="C703" s="95"/>
      <c r="D703" s="73">
        <f>D699-D702</f>
        <v>317.06286680000011</v>
      </c>
      <c r="E703" s="95"/>
      <c r="F703" s="73">
        <f>F699-F702</f>
        <v>252.00319100999997</v>
      </c>
      <c r="G703" s="95"/>
      <c r="H703" s="73">
        <f>H699-H702</f>
        <v>155.59043746</v>
      </c>
      <c r="I703" s="95"/>
      <c r="J703" s="73">
        <f>J699-J702</f>
        <v>241.53999999999982</v>
      </c>
      <c r="K703" s="23"/>
      <c r="L703" s="73">
        <f>L699-L702</f>
        <v>279.017</v>
      </c>
      <c r="M703" s="23"/>
      <c r="N703" s="73">
        <f>N699-N702</f>
        <v>295.03900000000004</v>
      </c>
      <c r="O703" s="23"/>
      <c r="P703" s="73">
        <f>P699-P702</f>
        <v>277.11300000000017</v>
      </c>
      <c r="Q703" s="23"/>
      <c r="R703" s="73">
        <f>R699-R702</f>
        <v>274.75</v>
      </c>
      <c r="S703" s="23"/>
      <c r="T703" s="73">
        <f>T699-T702</f>
        <v>303.2</v>
      </c>
      <c r="U703" s="23"/>
      <c r="V703" s="73">
        <f>V699-V702</f>
        <v>369.09999999999985</v>
      </c>
      <c r="W703" s="23"/>
      <c r="X703" s="73">
        <f>X699-X702</f>
        <v>327.69999999999993</v>
      </c>
      <c r="Y703" s="23"/>
      <c r="Z703" s="73">
        <f>Z699-Z702</f>
        <v>287.30000000000018</v>
      </c>
      <c r="AA703" s="23"/>
      <c r="AB703" s="73">
        <f>AB699-AB702</f>
        <v>345.70000000000005</v>
      </c>
      <c r="AC703" s="23"/>
      <c r="AD703" s="73">
        <f>AD699-AD702</f>
        <v>346.59</v>
      </c>
      <c r="AE703" s="23"/>
      <c r="AF703" s="73">
        <f>AF699-AF702</f>
        <v>419.89999999999986</v>
      </c>
      <c r="AG703" s="23"/>
      <c r="AH703" s="73">
        <f>AH699-AH702</f>
        <v>317.86</v>
      </c>
      <c r="AI703" s="23"/>
      <c r="AJ703" s="73">
        <f>AJ699-AJ702</f>
        <v>318.8</v>
      </c>
      <c r="AK703" s="23"/>
      <c r="AL703" s="73">
        <f>AL699-AL702</f>
        <v>303.19999999999987</v>
      </c>
      <c r="AM703" s="23"/>
      <c r="AN703" s="73">
        <f t="shared" ref="AN703:AP703" si="4704">AN699-AN702</f>
        <v>340.50000000000011</v>
      </c>
      <c r="AO703" s="23"/>
      <c r="AP703" s="73">
        <f t="shared" si="4704"/>
        <v>196.69999999999985</v>
      </c>
      <c r="AQ703" s="23"/>
      <c r="AR703" s="73">
        <f t="shared" ref="AR703:AT703" si="4705">AR699-AR702</f>
        <v>249.59999999999997</v>
      </c>
      <c r="AS703" s="23"/>
      <c r="AT703" s="73">
        <f t="shared" si="4705"/>
        <v>255.1999999999999</v>
      </c>
      <c r="AU703" s="23"/>
      <c r="AV703" s="73">
        <f t="shared" ref="AV703:AX703" si="4706">AV699-AV702</f>
        <v>292.7999999999999</v>
      </c>
      <c r="AW703" s="23"/>
      <c r="AX703" s="73">
        <f t="shared" si="4706"/>
        <v>231.99999999999983</v>
      </c>
      <c r="AY703" s="23"/>
      <c r="AZ703" s="73">
        <f t="shared" ref="AZ703" si="4707">AZ699-AZ702</f>
        <v>290.49999999999989</v>
      </c>
      <c r="BA703" s="23"/>
      <c r="BB703" s="73">
        <f t="shared" ref="BB703:BD703" si="4708">BB699-BB702</f>
        <v>312.20000000000005</v>
      </c>
      <c r="BC703" s="23"/>
      <c r="BD703" s="73">
        <f t="shared" si="4708"/>
        <v>320.19999999999993</v>
      </c>
      <c r="BE703" s="23"/>
      <c r="BF703" s="73">
        <f t="shared" ref="BF703" si="4709">BF699-BF702</f>
        <v>260.91592862875552</v>
      </c>
      <c r="BG703" s="23"/>
      <c r="BH703" s="73">
        <f t="shared" ref="BH703" si="4710">BH699-BH702</f>
        <v>294.40032272784299</v>
      </c>
      <c r="BI703" s="23"/>
      <c r="BJ703" s="73">
        <f t="shared" ref="BJ703" si="4711">BJ699-BJ702</f>
        <v>296.29061969113837</v>
      </c>
      <c r="BK703" s="23"/>
      <c r="BL703" s="73">
        <f t="shared" ref="BL703" si="4712">BL699-BL702</f>
        <v>301.30401841016374</v>
      </c>
      <c r="BM703" s="23"/>
      <c r="BN703" s="8"/>
      <c r="BO703" s="144"/>
      <c r="BP703" s="8"/>
      <c r="BQ703" s="8"/>
      <c r="BR703" s="8"/>
      <c r="BS703" s="8"/>
      <c r="BT703" s="8"/>
      <c r="BU703" s="73">
        <f>BU699-BU702</f>
        <v>975.88345050999942</v>
      </c>
      <c r="BV703" s="23"/>
      <c r="BW703" s="73">
        <f>BW699-BW702</f>
        <v>1092.7090000000003</v>
      </c>
      <c r="BX703" s="23"/>
      <c r="BY703" s="73">
        <f>BY699-BY702</f>
        <v>1274.7500000000002</v>
      </c>
      <c r="BZ703" s="23"/>
      <c r="CA703" s="73">
        <f>CA699-CA702</f>
        <v>1399.4900000000002</v>
      </c>
      <c r="CB703" s="23"/>
      <c r="CC703" s="73">
        <f>CC699-CC702</f>
        <v>1280.3599999999999</v>
      </c>
      <c r="CD703" s="23"/>
      <c r="CE703" s="73">
        <f>CE699-CE702</f>
        <v>994.29999999999984</v>
      </c>
      <c r="CF703" s="23"/>
      <c r="CG703" s="73">
        <f>CG699-CG702</f>
        <v>1154.9000000000001</v>
      </c>
      <c r="CH703" s="23"/>
      <c r="CI703" s="73">
        <f>CI699-CI702</f>
        <v>1152.9108894579006</v>
      </c>
      <c r="CJ703" s="23"/>
      <c r="CK703" s="73">
        <f>CK699-CK702</f>
        <v>1201.1782067360518</v>
      </c>
      <c r="CL703" s="23"/>
      <c r="CM703" s="73">
        <f>CM699-CM702</f>
        <v>1247.1799693054431</v>
      </c>
      <c r="CN703" s="23"/>
      <c r="CO703" s="73">
        <f>CO699-CO702</f>
        <v>1292.1206649492401</v>
      </c>
      <c r="CP703" s="23"/>
      <c r="CQ703" s="73">
        <f>CQ699-CQ702</f>
        <v>1336.6261181310085</v>
      </c>
      <c r="CR703" s="23"/>
      <c r="CS703" s="23">
        <f t="shared" si="4685"/>
        <v>2.9658270829131528</v>
      </c>
    </row>
    <row r="704" spans="1:97" ht="12.75" hidden="1" customHeight="1" outlineLevel="1" x14ac:dyDescent="0.2">
      <c r="A704" s="13" t="s">
        <v>22</v>
      </c>
      <c r="B704" s="56">
        <f>B703*B705/100</f>
        <v>87.906427653952505</v>
      </c>
      <c r="C704" s="95"/>
      <c r="D704" s="56">
        <f>D703*D705/100</f>
        <v>110.88727410734379</v>
      </c>
      <c r="E704" s="95"/>
      <c r="F704" s="56">
        <f>F703*F705/100</f>
        <v>88.237929717860425</v>
      </c>
      <c r="G704" s="95"/>
      <c r="H704" s="56">
        <f>H703*H705/100</f>
        <v>54.496693988919077</v>
      </c>
      <c r="I704" s="95"/>
      <c r="J704" s="56">
        <f>J703*J705/100</f>
        <v>84.502862715353785</v>
      </c>
      <c r="K704" s="23"/>
      <c r="L704" s="56">
        <f>L703*L705/100</f>
        <v>97.597056070961898</v>
      </c>
      <c r="M704" s="23"/>
      <c r="N704" s="56">
        <f>N703*N705/100</f>
        <v>103.34833310633009</v>
      </c>
      <c r="O704" s="23"/>
      <c r="P704" s="56">
        <f>P703*P705/100</f>
        <v>97.053774320651513</v>
      </c>
      <c r="Q704" s="23"/>
      <c r="R704" s="56">
        <f>R703*R705/100</f>
        <v>96.258865939204995</v>
      </c>
      <c r="S704" s="23"/>
      <c r="T704" s="56">
        <f>T703*T705/100</f>
        <v>106.12000000000009</v>
      </c>
      <c r="U704" s="23"/>
      <c r="V704" s="56">
        <f>V703*V705/100</f>
        <v>129.18500000000006</v>
      </c>
      <c r="W704" s="23"/>
      <c r="X704" s="56">
        <f>X703*X705/100</f>
        <v>114.69500000000005</v>
      </c>
      <c r="Y704" s="23"/>
      <c r="Z704" s="56">
        <f>Z703*Z705/100</f>
        <v>100.55500000000008</v>
      </c>
      <c r="AA704" s="23"/>
      <c r="AB704" s="56">
        <f>AB703*AB705/100</f>
        <v>120.99500000000009</v>
      </c>
      <c r="AC704" s="23"/>
      <c r="AD704" s="56">
        <f>AD703*AD705/100</f>
        <v>121.30649999999994</v>
      </c>
      <c r="AE704" s="23"/>
      <c r="AF704" s="56">
        <f>AF703*AF705/100</f>
        <v>146.96499999999997</v>
      </c>
      <c r="AG704" s="23"/>
      <c r="AH704" s="56">
        <f>AH703*AH705/100</f>
        <v>101.71519999999998</v>
      </c>
      <c r="AI704" s="23"/>
      <c r="AJ704" s="56">
        <f>AJ703*AJ705/100</f>
        <v>102.01599999999991</v>
      </c>
      <c r="AK704" s="23"/>
      <c r="AL704" s="56">
        <f>AL703*AL705/100</f>
        <v>97.024000000000299</v>
      </c>
      <c r="AM704" s="23"/>
      <c r="AN704" s="413">
        <f t="shared" ref="AN704:AP704" si="4713">AN703*AN705/100</f>
        <v>108.96000000000009</v>
      </c>
      <c r="AO704" s="23"/>
      <c r="AP704" s="413">
        <f t="shared" si="4713"/>
        <v>62.944000000000088</v>
      </c>
      <c r="AQ704" s="23"/>
      <c r="AR704" s="413">
        <f t="shared" ref="AR704:AT704" si="4714">AR703*AR705/100</f>
        <v>79.871999999999858</v>
      </c>
      <c r="AS704" s="23"/>
      <c r="AT704" s="413">
        <f t="shared" si="4714"/>
        <v>81.663999999999987</v>
      </c>
      <c r="AU704" s="23"/>
      <c r="AV704" s="413">
        <f t="shared" ref="AV704:AX704" si="4715">AV703*AV705/100</f>
        <v>93.696000000000112</v>
      </c>
      <c r="AW704" s="23"/>
      <c r="AX704" s="413">
        <f t="shared" si="4715"/>
        <v>74.240000000000066</v>
      </c>
      <c r="AY704" s="23"/>
      <c r="AZ704" s="413">
        <f t="shared" ref="AZ704" si="4716">AZ703*AZ705/100</f>
        <v>92.959999999999866</v>
      </c>
      <c r="BA704" s="23"/>
      <c r="BB704" s="413">
        <f t="shared" ref="BB704:BD704" si="4717">BB703*BB705/100</f>
        <v>99.904000000000011</v>
      </c>
      <c r="BC704" s="23"/>
      <c r="BD704" s="413">
        <f t="shared" si="4717"/>
        <v>102.464</v>
      </c>
      <c r="BE704" s="23"/>
      <c r="BF704" s="56">
        <f t="shared" ref="BF704" si="4718">BF703*BF705/100</f>
        <v>48.269446796319755</v>
      </c>
      <c r="BG704" s="23"/>
      <c r="BH704" s="56">
        <f t="shared" ref="BH704" si="4719">BH703*BH705/100</f>
        <v>54.464059704650914</v>
      </c>
      <c r="BI704" s="23"/>
      <c r="BJ704" s="56">
        <f t="shared" ref="BJ704" si="4720">BJ703*BJ705/100</f>
        <v>54.813764642860598</v>
      </c>
      <c r="BK704" s="23"/>
      <c r="BL704" s="56">
        <f t="shared" ref="BL704" si="4721">BL703*BL705/100</f>
        <v>55.741243405880304</v>
      </c>
      <c r="BM704" s="23"/>
      <c r="BN704" s="8"/>
      <c r="BO704" s="144"/>
      <c r="BP704" s="8"/>
      <c r="BQ704" s="8"/>
      <c r="BR704" s="8"/>
      <c r="BS704" s="8"/>
      <c r="BT704" s="8"/>
      <c r="BU704" s="56">
        <f>BU703*BU705/100</f>
        <v>341.56708697820176</v>
      </c>
      <c r="BV704" s="23"/>
      <c r="BW704" s="56">
        <f>BW703*BW705/100</f>
        <v>382.50530129775302</v>
      </c>
      <c r="BX704" s="23"/>
      <c r="BY704" s="56">
        <f>BY703*BY705/100</f>
        <v>446.25292917947525</v>
      </c>
      <c r="BZ704" s="23"/>
      <c r="CA704" s="56">
        <f>CA703*CA705/100</f>
        <v>489.82150000000007</v>
      </c>
      <c r="CB704" s="23"/>
      <c r="CC704" s="56">
        <f>CC703*CC705/100</f>
        <v>409.71520000000021</v>
      </c>
      <c r="CD704" s="23"/>
      <c r="CE704" s="56">
        <f>CE703*CE705/100</f>
        <v>318.17600000000004</v>
      </c>
      <c r="CF704" s="23"/>
      <c r="CG704" s="56">
        <f>CG703*CG705/100</f>
        <v>369.56799999999987</v>
      </c>
      <c r="CH704" s="23"/>
      <c r="CI704" s="56">
        <f>CI703*CI705/100</f>
        <v>213.28851454971161</v>
      </c>
      <c r="CJ704" s="23"/>
      <c r="CK704" s="56">
        <f>CK703*CK705/100</f>
        <v>222.21796824616948</v>
      </c>
      <c r="CL704" s="23"/>
      <c r="CM704" s="56">
        <f>CM703*CM705/100</f>
        <v>230.72829432150701</v>
      </c>
      <c r="CN704" s="23"/>
      <c r="CO704" s="56">
        <f>CO703*CO705/100</f>
        <v>239.0423230156095</v>
      </c>
      <c r="CP704" s="23"/>
      <c r="CQ704" s="56">
        <f>CQ703*CQ705/100</f>
        <v>247.27583185423669</v>
      </c>
      <c r="CR704" s="23"/>
      <c r="CS704" s="23">
        <f t="shared" si="4685"/>
        <v>-7.7221510367573742</v>
      </c>
    </row>
    <row r="705" spans="1:97" ht="12.75" hidden="1" customHeight="1" outlineLevel="1" x14ac:dyDescent="0.2">
      <c r="A705" s="13" t="s">
        <v>23</v>
      </c>
      <c r="B705" s="37">
        <f>B674</f>
        <v>34.990842272468129</v>
      </c>
      <c r="C705" s="95"/>
      <c r="D705" s="37">
        <f>D674</f>
        <v>34.973276822507977</v>
      </c>
      <c r="E705" s="95"/>
      <c r="F705" s="37">
        <f>F674</f>
        <v>35.014608094529635</v>
      </c>
      <c r="G705" s="95"/>
      <c r="H705" s="37">
        <f>H674</f>
        <v>35.025734793585478</v>
      </c>
      <c r="I705" s="95"/>
      <c r="J705" s="37">
        <f>J674</f>
        <v>34.985038799103194</v>
      </c>
      <c r="K705" s="181"/>
      <c r="L705" s="37">
        <f>L674</f>
        <v>34.978892350990044</v>
      </c>
      <c r="M705" s="181"/>
      <c r="N705" s="37">
        <f>N674</f>
        <v>35.028702343191938</v>
      </c>
      <c r="O705" s="181"/>
      <c r="P705" s="37">
        <f>P674</f>
        <v>35.023176220766061</v>
      </c>
      <c r="Q705" s="181"/>
      <c r="R705" s="37">
        <f>R674</f>
        <v>35.035074045206549</v>
      </c>
      <c r="S705" s="181"/>
      <c r="T705" s="37">
        <f>T674</f>
        <v>35.000000000000028</v>
      </c>
      <c r="U705" s="181"/>
      <c r="V705" s="37">
        <f>V674</f>
        <v>35.000000000000028</v>
      </c>
      <c r="W705" s="181"/>
      <c r="X705" s="37">
        <f>X674</f>
        <v>35.000000000000021</v>
      </c>
      <c r="Y705" s="181"/>
      <c r="Z705" s="37">
        <f>Z674</f>
        <v>35</v>
      </c>
      <c r="AA705" s="181"/>
      <c r="AB705" s="37">
        <f>AB674</f>
        <v>35.000000000000021</v>
      </c>
      <c r="AC705" s="181"/>
      <c r="AD705" s="37">
        <f>AD674</f>
        <v>34.999999999999986</v>
      </c>
      <c r="AE705" s="181"/>
      <c r="AF705" s="37">
        <f>AF674</f>
        <v>35.000000000000007</v>
      </c>
      <c r="AG705" s="181"/>
      <c r="AH705" s="37">
        <f>AH674</f>
        <v>31.999999999999996</v>
      </c>
      <c r="AI705" s="181"/>
      <c r="AJ705" s="37">
        <f>AJ674</f>
        <v>31.999999999999972</v>
      </c>
      <c r="AK705" s="181"/>
      <c r="AL705" s="37">
        <f>AL674</f>
        <v>32.000000000000114</v>
      </c>
      <c r="AM705" s="181"/>
      <c r="AN705" s="411">
        <f t="shared" ref="AN705:AP705" si="4722">AN674</f>
        <v>32.000000000000014</v>
      </c>
      <c r="AO705" s="181"/>
      <c r="AP705" s="411">
        <f t="shared" si="4722"/>
        <v>32.000000000000071</v>
      </c>
      <c r="AQ705" s="181"/>
      <c r="AR705" s="411">
        <f t="shared" ref="AR705:AT705" si="4723">AR674</f>
        <v>31.99999999999995</v>
      </c>
      <c r="AS705" s="181"/>
      <c r="AT705" s="411">
        <f t="shared" si="4723"/>
        <v>32.000000000000007</v>
      </c>
      <c r="AU705" s="181"/>
      <c r="AV705" s="411">
        <f t="shared" ref="AV705:AX705" si="4724">AV674</f>
        <v>32.00000000000005</v>
      </c>
      <c r="AW705" s="181"/>
      <c r="AX705" s="411">
        <f t="shared" si="4724"/>
        <v>32.000000000000057</v>
      </c>
      <c r="AY705" s="181"/>
      <c r="AZ705" s="411">
        <f t="shared" ref="AZ705" si="4725">AZ674</f>
        <v>31.999999999999972</v>
      </c>
      <c r="BA705" s="181"/>
      <c r="BB705" s="411">
        <f t="shared" ref="BB705:BD705" si="4726">BB674</f>
        <v>32</v>
      </c>
      <c r="BC705" s="181"/>
      <c r="BD705" s="411">
        <f t="shared" si="4726"/>
        <v>32.000000000000007</v>
      </c>
      <c r="BE705" s="181"/>
      <c r="BF705" s="37">
        <f t="shared" ref="BF705" si="4727">BF674</f>
        <v>18.499999999999993</v>
      </c>
      <c r="BG705" s="181"/>
      <c r="BH705" s="37">
        <f t="shared" ref="BH705" si="4728">BH674</f>
        <v>18.499999999999989</v>
      </c>
      <c r="BI705" s="181"/>
      <c r="BJ705" s="37">
        <f t="shared" ref="BJ705" si="4729">BJ674</f>
        <v>18.5</v>
      </c>
      <c r="BK705" s="181"/>
      <c r="BL705" s="37">
        <f t="shared" ref="BL705" si="4730">BL674</f>
        <v>18.500000000000004</v>
      </c>
      <c r="BM705" s="181"/>
      <c r="BN705" s="8"/>
      <c r="BO705" s="144"/>
      <c r="BP705" s="8"/>
      <c r="BQ705" s="8"/>
      <c r="BR705" s="8"/>
      <c r="BS705" s="8"/>
      <c r="BT705" s="8"/>
      <c r="BU705" s="37">
        <f>BU674</f>
        <v>35.00080740171358</v>
      </c>
      <c r="BV705" s="181"/>
      <c r="BW705" s="37">
        <f>BW674</f>
        <v>35.005230239501358</v>
      </c>
      <c r="BX705" s="181"/>
      <c r="BY705" s="37">
        <f>BY674</f>
        <v>35.007093875620725</v>
      </c>
      <c r="BZ705" s="181"/>
      <c r="CA705" s="37">
        <f>CA674</f>
        <v>35</v>
      </c>
      <c r="CB705" s="181"/>
      <c r="CC705" s="37">
        <f>CC674</f>
        <v>32.000000000000014</v>
      </c>
      <c r="CD705" s="181"/>
      <c r="CE705" s="37">
        <f>CE674</f>
        <v>32.000000000000007</v>
      </c>
      <c r="CF705" s="181"/>
      <c r="CG705" s="37">
        <f>CG674</f>
        <v>31.999999999999986</v>
      </c>
      <c r="CH705" s="181"/>
      <c r="CI705" s="37">
        <f>CI674</f>
        <v>18.5</v>
      </c>
      <c r="CJ705" s="181"/>
      <c r="CK705" s="37">
        <f>CK674</f>
        <v>18.499999999999989</v>
      </c>
      <c r="CL705" s="181"/>
      <c r="CM705" s="37">
        <f>CM674</f>
        <v>18.500000000000004</v>
      </c>
      <c r="CN705" s="181"/>
      <c r="CO705" s="37">
        <f>CO674</f>
        <v>18.500000000000007</v>
      </c>
      <c r="CP705" s="181"/>
      <c r="CQ705" s="37">
        <f>CQ674</f>
        <v>18.500000000000007</v>
      </c>
      <c r="CR705" s="181"/>
      <c r="CS705" s="181">
        <f t="shared" si="4685"/>
        <v>-10.380121660232023</v>
      </c>
    </row>
    <row r="706" spans="1:97" ht="12.75" hidden="1" customHeight="1" outlineLevel="1" x14ac:dyDescent="0.2">
      <c r="A706" s="8" t="s">
        <v>273</v>
      </c>
      <c r="B706" s="73">
        <f>B703-B704</f>
        <v>163.32052758604752</v>
      </c>
      <c r="C706" s="95"/>
      <c r="D706" s="73">
        <f>D703-D704</f>
        <v>206.17559269265632</v>
      </c>
      <c r="E706" s="95"/>
      <c r="F706" s="73">
        <f>F703-F704</f>
        <v>163.76526129213954</v>
      </c>
      <c r="G706" s="95"/>
      <c r="H706" s="73">
        <f>H703-H704</f>
        <v>101.09374347108093</v>
      </c>
      <c r="I706" s="95"/>
      <c r="J706" s="73">
        <f>J703-J704</f>
        <v>157.03713728464604</v>
      </c>
      <c r="K706" s="23"/>
      <c r="L706" s="73">
        <f>L703-L704</f>
        <v>181.41994392903808</v>
      </c>
      <c r="M706" s="23"/>
      <c r="N706" s="73">
        <f>N703-N704</f>
        <v>191.69066689366997</v>
      </c>
      <c r="O706" s="23"/>
      <c r="P706" s="73">
        <f>P703-P704</f>
        <v>180.05922567934866</v>
      </c>
      <c r="Q706" s="23"/>
      <c r="R706" s="73">
        <f>R703-R704</f>
        <v>178.49113406079499</v>
      </c>
      <c r="S706" s="23"/>
      <c r="T706" s="73">
        <f>T703-T704</f>
        <v>197.0799999999999</v>
      </c>
      <c r="U706" s="23"/>
      <c r="V706" s="73">
        <f>V703-V704</f>
        <v>239.91499999999979</v>
      </c>
      <c r="W706" s="23"/>
      <c r="X706" s="73">
        <f>X703-X704</f>
        <v>213.00499999999988</v>
      </c>
      <c r="Y706" s="23"/>
      <c r="Z706" s="73">
        <f>Z703-Z704</f>
        <v>186.74500000000012</v>
      </c>
      <c r="AA706" s="23"/>
      <c r="AB706" s="73">
        <f>AB703-AB704</f>
        <v>224.70499999999996</v>
      </c>
      <c r="AC706" s="23"/>
      <c r="AD706" s="73">
        <f>AD703-AD704</f>
        <v>225.28350000000003</v>
      </c>
      <c r="AE706" s="23"/>
      <c r="AF706" s="73">
        <f>AF703-AF704</f>
        <v>272.93499999999989</v>
      </c>
      <c r="AG706" s="23"/>
      <c r="AH706" s="73">
        <f>AH703-AH704</f>
        <v>216.14480000000003</v>
      </c>
      <c r="AI706" s="23"/>
      <c r="AJ706" s="73">
        <f>AJ703-AJ704</f>
        <v>216.78400000000011</v>
      </c>
      <c r="AK706" s="23"/>
      <c r="AL706" s="73">
        <f>AL703-AL704</f>
        <v>206.17599999999959</v>
      </c>
      <c r="AM706" s="23"/>
      <c r="AN706" s="73">
        <f t="shared" ref="AN706:AP706" si="4731">AN703-AN704</f>
        <v>231.54000000000002</v>
      </c>
      <c r="AO706" s="23"/>
      <c r="AP706" s="73">
        <f t="shared" si="4731"/>
        <v>133.75599999999974</v>
      </c>
      <c r="AQ706" s="23"/>
      <c r="AR706" s="73">
        <f t="shared" ref="AR706:AT706" si="4732">AR703-AR704</f>
        <v>169.72800000000012</v>
      </c>
      <c r="AS706" s="23"/>
      <c r="AT706" s="73">
        <f t="shared" si="4732"/>
        <v>173.53599999999992</v>
      </c>
      <c r="AU706" s="23"/>
      <c r="AV706" s="73">
        <f t="shared" ref="AV706:AX706" si="4733">AV703-AV704</f>
        <v>199.10399999999979</v>
      </c>
      <c r="AW706" s="23"/>
      <c r="AX706" s="73">
        <f t="shared" si="4733"/>
        <v>157.75999999999976</v>
      </c>
      <c r="AY706" s="23"/>
      <c r="AZ706" s="73">
        <f t="shared" ref="AZ706" si="4734">AZ703-AZ704</f>
        <v>197.54000000000002</v>
      </c>
      <c r="BA706" s="23"/>
      <c r="BB706" s="73">
        <f t="shared" ref="BB706:BD706" si="4735">BB703-BB704</f>
        <v>212.29600000000005</v>
      </c>
      <c r="BC706" s="23"/>
      <c r="BD706" s="73">
        <f t="shared" si="4735"/>
        <v>217.73599999999993</v>
      </c>
      <c r="BE706" s="23"/>
      <c r="BF706" s="73">
        <f t="shared" ref="BF706" si="4736">BF703-BF704</f>
        <v>212.64648183243577</v>
      </c>
      <c r="BG706" s="23"/>
      <c r="BH706" s="73">
        <f t="shared" ref="BH706" si="4737">BH703-BH704</f>
        <v>239.93626302319208</v>
      </c>
      <c r="BI706" s="23"/>
      <c r="BJ706" s="73">
        <f t="shared" ref="BJ706" si="4738">BJ703-BJ704</f>
        <v>241.47685504827777</v>
      </c>
      <c r="BK706" s="23"/>
      <c r="BL706" s="73">
        <f t="shared" ref="BL706" si="4739">BL703-BL704</f>
        <v>245.56277500428342</v>
      </c>
      <c r="BM706" s="23"/>
      <c r="BN706" s="8"/>
      <c r="BO706" s="144"/>
      <c r="BP706" s="8"/>
      <c r="BQ706" s="8"/>
      <c r="BR706" s="8"/>
      <c r="BS706" s="8"/>
      <c r="BT706" s="8"/>
      <c r="BU706" s="73">
        <f>BU703-BU704</f>
        <v>634.31636353179761</v>
      </c>
      <c r="BV706" s="23"/>
      <c r="BW706" s="73">
        <f>BW703-BW704</f>
        <v>710.20369870224727</v>
      </c>
      <c r="BX706" s="23"/>
      <c r="BY706" s="73">
        <f>BY703-BY704</f>
        <v>828.49707082052498</v>
      </c>
      <c r="BZ706" s="23"/>
      <c r="CA706" s="73">
        <f>CA703-CA704</f>
        <v>909.66850000000022</v>
      </c>
      <c r="CB706" s="23"/>
      <c r="CC706" s="73">
        <f>CC703-CC704</f>
        <v>870.64479999999969</v>
      </c>
      <c r="CD706" s="23"/>
      <c r="CE706" s="73">
        <f>CE703-CE704</f>
        <v>676.1239999999998</v>
      </c>
      <c r="CF706" s="23"/>
      <c r="CG706" s="73">
        <f>CG703-CG704</f>
        <v>785.33200000000022</v>
      </c>
      <c r="CH706" s="23"/>
      <c r="CI706" s="73">
        <f>CI703-CI704</f>
        <v>939.62237490818893</v>
      </c>
      <c r="CJ706" s="23"/>
      <c r="CK706" s="73">
        <f>CK703-CK704</f>
        <v>978.96023848988239</v>
      </c>
      <c r="CL706" s="23"/>
      <c r="CM706" s="73">
        <f>CM703-CM704</f>
        <v>1016.4516749839361</v>
      </c>
      <c r="CN706" s="23"/>
      <c r="CO706" s="73">
        <f>CO703-CO704</f>
        <v>1053.0783419336306</v>
      </c>
      <c r="CP706" s="23"/>
      <c r="CQ706" s="73">
        <f>CQ703-CQ704</f>
        <v>1089.3502862767718</v>
      </c>
      <c r="CR706" s="23"/>
      <c r="CS706" s="23">
        <f t="shared" si="4685"/>
        <v>6.7635120094876822</v>
      </c>
    </row>
    <row r="707" spans="1:97" ht="12.75" hidden="1" customHeight="1" outlineLevel="1" x14ac:dyDescent="0.2">
      <c r="A707" s="7"/>
      <c r="B707" s="33"/>
      <c r="C707" s="62"/>
      <c r="D707" s="33"/>
      <c r="E707" s="62"/>
      <c r="F707" s="33"/>
      <c r="G707" s="62"/>
      <c r="H707" s="33"/>
      <c r="I707" s="62"/>
      <c r="J707" s="33"/>
      <c r="K707" s="182"/>
      <c r="L707" s="33"/>
      <c r="M707" s="182"/>
      <c r="N707" s="33"/>
      <c r="O707" s="182"/>
      <c r="P707" s="33"/>
      <c r="Q707" s="182"/>
      <c r="R707" s="33"/>
      <c r="S707" s="182"/>
      <c r="T707" s="33"/>
      <c r="U707" s="182"/>
      <c r="V707" s="33"/>
      <c r="W707" s="182"/>
      <c r="X707" s="33"/>
      <c r="Y707" s="182"/>
      <c r="Z707" s="33"/>
      <c r="AA707" s="182"/>
      <c r="AB707" s="33"/>
      <c r="AC707" s="182"/>
      <c r="AD707" s="33"/>
      <c r="AE707" s="182"/>
      <c r="AF707" s="33"/>
      <c r="AG707" s="182"/>
      <c r="AH707" s="33"/>
      <c r="AI707" s="182"/>
      <c r="AJ707" s="33"/>
      <c r="AK707" s="182"/>
      <c r="AL707" s="33"/>
      <c r="AM707" s="182"/>
      <c r="AN707" s="33"/>
      <c r="AO707" s="182"/>
      <c r="AP707" s="33"/>
      <c r="AQ707" s="182"/>
      <c r="AR707" s="33"/>
      <c r="AS707" s="182"/>
      <c r="AT707" s="33"/>
      <c r="AU707" s="182"/>
      <c r="AV707" s="33"/>
      <c r="AW707" s="182"/>
      <c r="AX707" s="33"/>
      <c r="AY707" s="182"/>
      <c r="AZ707" s="33"/>
      <c r="BA707" s="182"/>
      <c r="BB707" s="33"/>
      <c r="BC707" s="182"/>
      <c r="BD707" s="33"/>
      <c r="BE707" s="182"/>
      <c r="BF707" s="33"/>
      <c r="BG707" s="182"/>
      <c r="BH707" s="33"/>
      <c r="BI707" s="182"/>
      <c r="BJ707" s="33"/>
      <c r="BK707" s="182"/>
      <c r="BL707" s="33"/>
      <c r="BM707" s="182"/>
      <c r="BN707" s="7"/>
      <c r="BO707" s="144"/>
      <c r="BP707" s="7"/>
      <c r="BQ707" s="7"/>
      <c r="BR707" s="7"/>
      <c r="BS707" s="7"/>
      <c r="BT707" s="7"/>
      <c r="BU707" s="33"/>
      <c r="BV707" s="182"/>
      <c r="BW707" s="33"/>
      <c r="BX707" s="182"/>
      <c r="BY707" s="33"/>
      <c r="BZ707" s="182"/>
      <c r="CA707" s="33"/>
      <c r="CB707" s="182"/>
      <c r="CC707" s="33"/>
      <c r="CD707" s="182"/>
      <c r="CE707" s="33"/>
      <c r="CF707" s="182"/>
      <c r="CG707" s="33"/>
      <c r="CH707" s="182"/>
      <c r="CI707" s="33"/>
      <c r="CJ707" s="182"/>
      <c r="CK707" s="33"/>
      <c r="CL707" s="182"/>
      <c r="CM707" s="33"/>
      <c r="CN707" s="182"/>
      <c r="CO707" s="33"/>
      <c r="CP707" s="182"/>
      <c r="CQ707" s="33"/>
      <c r="CR707" s="182"/>
      <c r="CS707" s="182" t="str">
        <f t="shared" si="4685"/>
        <v>NA</v>
      </c>
    </row>
    <row r="708" spans="1:97" ht="12.75" customHeight="1" collapsed="1" x14ac:dyDescent="0.2">
      <c r="A708" s="7" t="s">
        <v>225</v>
      </c>
      <c r="B708" s="33"/>
      <c r="C708" s="62"/>
      <c r="D708" s="33"/>
      <c r="E708" s="62"/>
      <c r="F708" s="33"/>
      <c r="G708" s="62"/>
      <c r="H708" s="33"/>
      <c r="I708" s="62"/>
      <c r="J708" s="33"/>
      <c r="K708" s="182"/>
      <c r="L708" s="33"/>
      <c r="M708" s="182"/>
      <c r="N708" s="33"/>
      <c r="O708" s="182"/>
      <c r="P708" s="33"/>
      <c r="Q708" s="182"/>
      <c r="R708" s="33"/>
      <c r="S708" s="182"/>
      <c r="T708" s="33"/>
      <c r="U708" s="182"/>
      <c r="V708" s="33"/>
      <c r="W708" s="182"/>
      <c r="X708" s="33"/>
      <c r="Y708" s="182"/>
      <c r="Z708" s="33"/>
      <c r="AA708" s="182"/>
      <c r="AB708" s="33"/>
      <c r="AC708" s="182"/>
      <c r="AD708" s="33"/>
      <c r="AE708" s="182"/>
      <c r="AF708" s="33"/>
      <c r="AG708" s="182"/>
      <c r="AH708" s="33"/>
      <c r="AI708" s="182"/>
      <c r="AJ708" s="33"/>
      <c r="AK708" s="182"/>
      <c r="AL708" s="33"/>
      <c r="AM708" s="182"/>
      <c r="AN708" s="33"/>
      <c r="AO708" s="182"/>
      <c r="AP708" s="33"/>
      <c r="AQ708" s="182"/>
      <c r="AR708" s="33"/>
      <c r="AS708" s="182"/>
      <c r="AT708" s="33"/>
      <c r="AU708" s="182"/>
      <c r="AV708" s="33"/>
      <c r="AW708" s="182"/>
      <c r="AX708" s="33"/>
      <c r="AY708" s="182"/>
      <c r="AZ708" s="33"/>
      <c r="BA708" s="182"/>
      <c r="BB708" s="33"/>
      <c r="BC708" s="182"/>
      <c r="BD708" s="33"/>
      <c r="BE708" s="182"/>
      <c r="BF708" s="33"/>
      <c r="BG708" s="182"/>
      <c r="BH708" s="33"/>
      <c r="BI708" s="182"/>
      <c r="BJ708" s="33"/>
      <c r="BK708" s="182"/>
      <c r="BL708" s="33"/>
      <c r="BM708" s="182"/>
      <c r="BN708" s="7"/>
      <c r="BO708" s="144"/>
      <c r="BP708" s="7"/>
      <c r="BQ708" s="7"/>
      <c r="BR708" s="7"/>
      <c r="BS708" s="7"/>
      <c r="BT708" s="7"/>
      <c r="BU708" s="33"/>
      <c r="BV708" s="182"/>
      <c r="BW708" s="33"/>
      <c r="BX708" s="182"/>
      <c r="BY708" s="33"/>
      <c r="BZ708" s="182"/>
      <c r="CA708" s="33"/>
      <c r="CB708" s="182"/>
      <c r="CC708" s="33"/>
      <c r="CD708" s="182"/>
      <c r="CE708" s="33"/>
      <c r="CF708" s="182"/>
      <c r="CG708" s="33"/>
      <c r="CH708" s="182"/>
      <c r="CI708" s="33"/>
      <c r="CJ708" s="182"/>
      <c r="CK708" s="33"/>
      <c r="CL708" s="182"/>
      <c r="CM708" s="33"/>
      <c r="CN708" s="182"/>
      <c r="CO708" s="33"/>
      <c r="CP708" s="182"/>
      <c r="CQ708" s="33"/>
      <c r="CR708" s="182"/>
      <c r="CS708" s="182"/>
    </row>
    <row r="709" spans="1:97" ht="12.75" customHeight="1" x14ac:dyDescent="0.2">
      <c r="A709" s="31" t="s">
        <v>192</v>
      </c>
      <c r="B709" s="35">
        <f>B648/B$656*100</f>
        <v>50.098436901919619</v>
      </c>
      <c r="C709" s="59"/>
      <c r="D709" s="35">
        <f>D648/D$656*100</f>
        <v>49.493368050411213</v>
      </c>
      <c r="E709" s="59"/>
      <c r="F709" s="35">
        <f>F648/F$656*100</f>
        <v>31.824056620877215</v>
      </c>
      <c r="G709" s="59"/>
      <c r="H709" s="35">
        <f>H648/H$656*100</f>
        <v>26.711620376423422</v>
      </c>
      <c r="I709" s="59"/>
      <c r="J709" s="35">
        <f>J648/J$656*100</f>
        <v>51.711994799003158</v>
      </c>
      <c r="K709" s="23">
        <f t="shared" ref="K709:Y717" si="4740">IF(ISERROR((J709/B709-1)*100),"NA",IF(((J709/B709-1)*100)&gt;100,"NM",IF(((J709/B709-1)*100)&lt;-50,"NM",(J709/B709-1)*100)))</f>
        <v>3.2207749320452672</v>
      </c>
      <c r="L709" s="35">
        <f>L648/L$656*100</f>
        <v>35.737260026133228</v>
      </c>
      <c r="M709" s="23">
        <f t="shared" si="4740"/>
        <v>-27.793841005661147</v>
      </c>
      <c r="N709" s="35">
        <f>N648/N$656*100</f>
        <v>53.776088412840025</v>
      </c>
      <c r="O709" s="23">
        <f t="shared" si="4740"/>
        <v>68.979363798522897</v>
      </c>
      <c r="P709" s="35">
        <f>P648/P$656*100</f>
        <v>51.673145782503028</v>
      </c>
      <c r="Q709" s="23">
        <f t="shared" si="4740"/>
        <v>93.44818866964539</v>
      </c>
      <c r="R709" s="35">
        <f>R648/R$656*100</f>
        <v>53.702260327357777</v>
      </c>
      <c r="S709" s="23">
        <f t="shared" si="4740"/>
        <v>3.8487502485457847</v>
      </c>
      <c r="T709" s="35">
        <f>T648/T$656*100</f>
        <v>48.60294117647063</v>
      </c>
      <c r="U709" s="23">
        <f t="shared" si="4740"/>
        <v>36.000748633021232</v>
      </c>
      <c r="V709" s="35">
        <f>V648/V$656*100</f>
        <v>43.037683823529413</v>
      </c>
      <c r="W709" s="23">
        <f t="shared" si="4740"/>
        <v>-19.968735001459535</v>
      </c>
      <c r="X709" s="35">
        <f>X648/X$656*100</f>
        <v>45.457527058051802</v>
      </c>
      <c r="Y709" s="23">
        <f t="shared" si="4740"/>
        <v>-12.028721360633487</v>
      </c>
      <c r="Z709" s="35">
        <f>Z648/Z$656*100</f>
        <v>49.718736477715254</v>
      </c>
      <c r="AA709" s="23">
        <f t="shared" ref="AA709:AA717" si="4741">IF(ISERROR((Z709/R709-1)*100),"NA",IF(((Z709/R709-1)*100)&gt;100,"NM",IF(((Z709/R709-1)*100)&lt;-50,"NM",(Z709/R709-1)*100)))</f>
        <v>-7.417795499406898</v>
      </c>
      <c r="AB709" s="35">
        <f>AB648/AB$656*100</f>
        <v>41.346739792809288</v>
      </c>
      <c r="AC709" s="23">
        <f t="shared" ref="AC709:AC717" si="4742">IF(ISERROR((AB709/T709-1)*100),"NA",IF(((AB709/T709-1)*100)&gt;100,"NM",IF(((AB709/T709-1)*100)&lt;-50,"NM",(AB709/T709-1)*100)))</f>
        <v>-14.929552014794877</v>
      </c>
      <c r="AD709" s="35">
        <f>AD648/AD$656*100</f>
        <v>39.843750000000007</v>
      </c>
      <c r="AE709" s="23">
        <f t="shared" ref="AE709:AE717" si="4743">IF(ISERROR((AD709/V709-1)*100),"NA",IF(((AD709/V709-1)*100)&gt;100,"NM",IF(((AD709/V709-1)*100)&lt;-50,"NM",(AD709/V709-1)*100)))</f>
        <v>-7.421249332621449</v>
      </c>
      <c r="AF709" s="35">
        <f>AF648/AF$656*100</f>
        <v>39.78779840848803</v>
      </c>
      <c r="AG709" s="23">
        <f t="shared" ref="AG709:AG717" si="4744">IF(ISERROR((AF709/X709-1)*100),"NA",IF(((AF709/X709-1)*100)&gt;100,"NM",IF(((AF709/X709-1)*100)&lt;-50,"NM",(AF709/X709-1)*100)))</f>
        <v>-12.472584886378035</v>
      </c>
      <c r="AH709" s="35">
        <f>AH648/AH$656*100</f>
        <v>43.01001035554021</v>
      </c>
      <c r="AI709" s="23">
        <f t="shared" ref="AI709:AI717" si="4745">IF(ISERROR((AH709/Z709-1)*100),"NA",IF(((AH709/Z709-1)*100)&gt;100,"NM",IF(((AH709/Z709-1)*100)&lt;-50,"NM",(AH709/Z709-1)*100)))</f>
        <v>-13.493356021189328</v>
      </c>
      <c r="AJ709" s="35">
        <f>AJ648/AJ$656*100</f>
        <v>48.914285714285725</v>
      </c>
      <c r="AK709" s="23">
        <f t="shared" ref="AK709:AK717" si="4746">IF(ISERROR((AJ709/AB709-1)*100),"NA",IF(((AJ709/AB709-1)*100)&gt;100,"NM",IF(((AJ709/AB709-1)*100)&lt;-50,"NM",(AJ709/AB709-1)*100)))</f>
        <v>18.302642383408731</v>
      </c>
      <c r="AL709" s="35">
        <f>AL648/AL$656*100</f>
        <v>58.71626549963527</v>
      </c>
      <c r="AM709" s="23">
        <f t="shared" ref="AM709:AM717" si="4747">IF(ISERROR((AL709/AD709-1)*100),"NA",IF(((AL709/AD709-1)*100)&gt;100,"NM",IF(((AL709/AD709-1)*100)&lt;-50,"NM",(AL709/AD709-1)*100)))</f>
        <v>47.366313410849273</v>
      </c>
      <c r="AN709" s="409">
        <f t="shared" ref="AN709:AP713" si="4748">AN648/AN$656*100</f>
        <v>47.554630593132153</v>
      </c>
      <c r="AO709" s="23">
        <f t="shared" ref="AO709:AO717" si="4749">IF(ISERROR((AN709/AF709-1)*100),"NA",IF(((AN709/AF709-1)*100)&gt;100,"NM",IF(((AN709/AF709-1)*100)&lt;-50,"NM",(AN709/AF709-1)*100)))</f>
        <v>19.52063822407224</v>
      </c>
      <c r="AP709" s="409">
        <f t="shared" si="4748"/>
        <v>118.92201834862392</v>
      </c>
      <c r="AQ709" s="23" t="str">
        <f t="shared" ref="AQ709:AQ717" si="4750">IF(ISERROR((AP709/AH709-1)*100),"NA",IF(((AP709/AH709-1)*100)&gt;100,"NM",IF(((AP709/AH709-1)*100)&lt;-50,"NM",(AP709/AH709-1)*100)))</f>
        <v>NM</v>
      </c>
      <c r="AR709" s="409">
        <f t="shared" ref="AR709:AT713" si="4751">AR648/AR$656*100</f>
        <v>107.66283524904212</v>
      </c>
      <c r="AS709" s="23" t="str">
        <f t="shared" ref="AS709:AS717" si="4752">IF(ISERROR((AR709/AJ709-1)*100),"NA",IF(((AR709/AJ709-1)*100)&gt;100,"NM",IF(((AR709/AJ709-1)*100)&lt;-50,"NM",(AR709/AJ709-1)*100)))</f>
        <v>NM</v>
      </c>
      <c r="AT709" s="409">
        <f t="shared" si="4751"/>
        <v>-170.46070460704564</v>
      </c>
      <c r="AU709" s="23" t="str">
        <f t="shared" ref="AU709:AU717" si="4753">IF(ISERROR((AT709/AL709-1)*100),"NA",IF(((AT709/AL709-1)*100)&gt;100,"NM",IF(((AT709/AL709-1)*100)&lt;-50,"NM",(AT709/AL709-1)*100)))</f>
        <v>NM</v>
      </c>
      <c r="AV709" s="409">
        <f t="shared" ref="AV709:AX713" si="4754">AV648/AV$656*100</f>
        <v>95.387700534759418</v>
      </c>
      <c r="AW709" s="23" t="str">
        <f t="shared" ref="AW709:AW717" si="4755">IF(ISERROR((AV709/AN709-1)*100),"NA",IF(((AV709/AN709-1)*100)&gt;100,"NM",IF(((AV709/AN709-1)*100)&lt;-50,"NM",(AV709/AN709-1)*100)))</f>
        <v>NM</v>
      </c>
      <c r="AX709" s="409">
        <f t="shared" si="4754"/>
        <v>102.33837689133425</v>
      </c>
      <c r="AY709" s="23">
        <f t="shared" ref="AY709:AY717" si="4756">IF(ISERROR((AX709/AP709-1)*100),"NA",IF(((AX709/AP709-1)*100)&gt;100,"NM",IF(((AX709/AP709-1)*100)&lt;-50,"NM",(AX709/AP709-1)*100)))</f>
        <v>-13.94497140863702</v>
      </c>
      <c r="AZ709" s="409">
        <f t="shared" ref="AZ709:AZ713" si="4757">AZ648/AZ$656*100</f>
        <v>31.308411214953207</v>
      </c>
      <c r="BA709" s="23" t="str">
        <f t="shared" ref="BA709:BA717" si="4758">IF(ISERROR((AZ709/AR709-1)*100),"NA",IF(((AZ709/AR709-1)*100)&gt;100,"NM",IF(((AZ709/AR709-1)*100)&lt;-50,"NM",(AZ709/AR709-1)*100)))</f>
        <v>NM</v>
      </c>
      <c r="BB709" s="409">
        <f t="shared" ref="BB709:BD713" si="4759">BB648/BB$656*100</f>
        <v>253.08056872037903</v>
      </c>
      <c r="BC709" s="23" t="str">
        <f t="shared" ref="BC709:BC717" si="4760">IF(ISERROR((BB709/AT709-1)*100),"NA",IF(((BB709/AT709-1)*100)&gt;100,"NM",IF(((BB709/AT709-1)*100)&lt;-50,"NM",(BB709/AT709-1)*100)))</f>
        <v>NM</v>
      </c>
      <c r="BD709" s="409">
        <f t="shared" si="4759"/>
        <v>72.034261241970015</v>
      </c>
      <c r="BE709" s="23">
        <f t="shared" ref="BE709:BE717" si="4761">IF(ISERROR((BD709/AV709-1)*100),"NA",IF(((BD709/AV709-1)*100)&gt;100,"NM",IF(((BD709/AV709-1)*100)&lt;-50,"NM",(BD709/AV709-1)*100)))</f>
        <v>-24.482652545208783</v>
      </c>
      <c r="BF709" s="35">
        <f t="shared" ref="BF709" si="4762">BF648/BF$656*100</f>
        <v>80.081873742851727</v>
      </c>
      <c r="BG709" s="23">
        <f t="shared" ref="BG709:BG717" si="4763">IF(ISERROR((BF709/AX709-1)*100),"NA",IF(((BF709/AX709-1)*100)&gt;100,"NM",IF(((BF709/AX709-1)*100)&lt;-50,"NM",(BF709/AX709-1)*100)))</f>
        <v>-21.747954017401604</v>
      </c>
      <c r="BH709" s="35">
        <f t="shared" ref="BH709" si="4764">BH648/BH$656*100</f>
        <v>67.884407517456125</v>
      </c>
      <c r="BI709" s="23" t="str">
        <f t="shared" ref="BI709:BI717" si="4765">IF(ISERROR((BH709/AZ709-1)*100),"NA",IF(((BH709/AZ709-1)*100)&gt;100,"NM",IF(((BH709/AZ709-1)*100)&lt;-50,"NM",(BH709/AZ709-1)*100)))</f>
        <v>NM</v>
      </c>
      <c r="BJ709" s="35">
        <f t="shared" ref="BJ709" si="4766">BJ648/BJ$656*100</f>
        <v>65.188574012850026</v>
      </c>
      <c r="BK709" s="23" t="str">
        <f t="shared" ref="BK709:BK717" si="4767">IF(ISERROR((BJ709/BB709-1)*100),"NA",IF(((BJ709/BB709-1)*100)&gt;100,"NM",IF(((BJ709/BB709-1)*100)&lt;-50,"NM",(BJ709/BB709-1)*100)))</f>
        <v>NM</v>
      </c>
      <c r="BL709" s="35">
        <f t="shared" ref="BL709" si="4768">BL648/BL$656*100</f>
        <v>64.877701401282266</v>
      </c>
      <c r="BM709" s="23">
        <f t="shared" ref="BM709:BM717" si="4769">IF(ISERROR((BL709/BD709-1)*100),"NA",IF(((BL709/BD709-1)*100)&gt;100,"NM",IF(((BL709/BD709-1)*100)&lt;-50,"NM",(BL709/BD709-1)*100)))</f>
        <v>-9.9349388989333534</v>
      </c>
      <c r="BN709" s="7"/>
      <c r="BO709" s="144"/>
      <c r="BP709" s="7"/>
      <c r="BQ709" s="7"/>
      <c r="BR709" s="5"/>
      <c r="BS709" s="5"/>
      <c r="BT709" s="5"/>
      <c r="BU709" s="35">
        <f>BU648/BU$656*100</f>
        <v>39.455199106583841</v>
      </c>
      <c r="BV709" s="23" t="str">
        <f t="shared" ref="BV709:BV717" si="4770">IF(ISERROR((BU709/BS709-1)*100),"NA",IF(((BU709/BS709-1)*100)&gt;100,"NM",IF(((BU709/BS709-1)*100)&lt;-50,"NM",(BU709/BS709-1)*100)))</f>
        <v>NA</v>
      </c>
      <c r="BW709" s="35">
        <f t="shared" ref="BW709:BY709" si="4771">BW648/BW$656*100</f>
        <v>48.847277006559636</v>
      </c>
      <c r="BX709" s="23">
        <f t="shared" ref="BX709:BX717" si="4772">IF(ISERROR((BW709/BU709-1)*100),"NA",IF(((BW709/BU709-1)*100)&gt;100,"NM",IF(((BW709/BU709-1)*100)&lt;-50,"NM",(BW709/BU709-1)*100)))</f>
        <v>23.804411364403812</v>
      </c>
      <c r="BY709" s="35">
        <f t="shared" si="4771"/>
        <v>46.969338693150462</v>
      </c>
      <c r="BZ709" s="23">
        <f t="shared" ref="BZ709:CR717" si="4773">IF(ISERROR((BY709/BW709-1)*100),"NA",IF(((BY709/BW709-1)*100)&gt;100,"NM",IF(((BY709/BW709-1)*100)&lt;-50,"NM",(BY709/BW709-1)*100)))</f>
        <v>-3.8445097219175328</v>
      </c>
      <c r="CA709" s="35">
        <f>CA648/CA$656*100</f>
        <v>42.081742097993008</v>
      </c>
      <c r="CB709" s="23">
        <f t="shared" si="4773"/>
        <v>-10.405930190092738</v>
      </c>
      <c r="CC709" s="35">
        <f>CC648/CC$656*100</f>
        <v>48.138297872340424</v>
      </c>
      <c r="CD709" s="23">
        <f t="shared" si="4773"/>
        <v>14.392359898608543</v>
      </c>
      <c r="CE709" s="35">
        <f>CE648/CE$656*100</f>
        <v>136.13801452784517</v>
      </c>
      <c r="CF709" s="23" t="str">
        <f t="shared" si="4773"/>
        <v>NM</v>
      </c>
      <c r="CG709" s="35">
        <f>CG648/CG$656*100</f>
        <v>86.593448210566194</v>
      </c>
      <c r="CH709" s="23">
        <f t="shared" si="4773"/>
        <v>-36.392896201042589</v>
      </c>
      <c r="CI709" s="35">
        <f>CI648/CI$656*100</f>
        <v>68.941894071172271</v>
      </c>
      <c r="CJ709" s="23">
        <f t="shared" si="4773"/>
        <v>-20.384399171252852</v>
      </c>
      <c r="CK709" s="35">
        <f>CK648/CK$656*100</f>
        <v>63.708131459494055</v>
      </c>
      <c r="CL709" s="23">
        <f t="shared" si="4773"/>
        <v>-7.5915561679740566</v>
      </c>
      <c r="CM709" s="35">
        <f>CM648/CM$656*100</f>
        <v>63.768348329723693</v>
      </c>
      <c r="CN709" s="23">
        <f t="shared" si="4773"/>
        <v>9.4519912686386043E-2</v>
      </c>
      <c r="CO709" s="35">
        <f>CO648/CO$656*100</f>
        <v>63.984657090843776</v>
      </c>
      <c r="CP709" s="23">
        <f t="shared" si="4773"/>
        <v>0.33921023013114837</v>
      </c>
      <c r="CQ709" s="35">
        <f>CQ648/CQ$656*100</f>
        <v>64.105220769596372</v>
      </c>
      <c r="CR709" s="23">
        <f t="shared" si="4773"/>
        <v>0.18842591995362756</v>
      </c>
      <c r="CS709" s="23">
        <f t="shared" ref="CS709:CS717" si="4774">IF(ISERROR(((CQ709/CG709)^0.2-1)*100),"NA",IF((((CQ709/CG709)^0.2-1)*100)&gt;100,"NM",IF((((CQ709/CG709)^0.2-1)*100)&lt;-50,"NM",((CQ709/CG709)^0.2-1)*100)))</f>
        <v>-5.8366993306786297</v>
      </c>
    </row>
    <row r="710" spans="1:97" ht="12.75" customHeight="1" x14ac:dyDescent="0.2">
      <c r="A710" s="31" t="s">
        <v>193</v>
      </c>
      <c r="B710" s="35">
        <f>B649/B$656*100</f>
        <v>15.732502402547569</v>
      </c>
      <c r="C710" s="59"/>
      <c r="D710" s="35">
        <f>D649/D$656*100</f>
        <v>21.264497730227518</v>
      </c>
      <c r="E710" s="59"/>
      <c r="F710" s="35">
        <f>F649/F$656*100</f>
        <v>27.532843088605773</v>
      </c>
      <c r="G710" s="59"/>
      <c r="H710" s="35">
        <f>H649/H$656*100</f>
        <v>76.273128590670041</v>
      </c>
      <c r="I710" s="59"/>
      <c r="J710" s="35">
        <f>J649/J$656*100</f>
        <v>15.169574168382255</v>
      </c>
      <c r="K710" s="23">
        <f t="shared" si="4740"/>
        <v>-3.5781226645429154</v>
      </c>
      <c r="L710" s="35">
        <f>L649/L$656*100</f>
        <v>13.619459242134898</v>
      </c>
      <c r="M710" s="23">
        <f t="shared" si="4740"/>
        <v>-35.952123511599268</v>
      </c>
      <c r="N710" s="35">
        <f>N649/N$656*100</f>
        <v>12.065717447545596</v>
      </c>
      <c r="O710" s="23" t="str">
        <f t="shared" si="4740"/>
        <v>NM</v>
      </c>
      <c r="P710" s="35">
        <f>P649/P$656*100</f>
        <v>3.0198591691073235</v>
      </c>
      <c r="Q710" s="23" t="str">
        <f t="shared" si="4740"/>
        <v>NM</v>
      </c>
      <c r="R710" s="35">
        <f>R649/R$656*100</f>
        <v>21.161340607950095</v>
      </c>
      <c r="S710" s="23">
        <f t="shared" si="4740"/>
        <v>39.498580336265476</v>
      </c>
      <c r="T710" s="35">
        <f>T649/T$656*100</f>
        <v>21.874999999999989</v>
      </c>
      <c r="U710" s="23">
        <f t="shared" si="4740"/>
        <v>60.615774907748879</v>
      </c>
      <c r="V710" s="35">
        <f>V649/V$656*100</f>
        <v>22.265625000000007</v>
      </c>
      <c r="W710" s="23">
        <f t="shared" si="4740"/>
        <v>84.536270609662509</v>
      </c>
      <c r="X710" s="35">
        <f>X649/X$656*100</f>
        <v>27.287635290259121</v>
      </c>
      <c r="Y710" s="23" t="str">
        <f t="shared" si="4740"/>
        <v>NM</v>
      </c>
      <c r="Z710" s="35">
        <f>Z649/Z$656*100</f>
        <v>23.712678494158386</v>
      </c>
      <c r="AA710" s="23">
        <f t="shared" si="4741"/>
        <v>12.056598556188725</v>
      </c>
      <c r="AB710" s="35">
        <f>AB649/AB$656*100</f>
        <v>19.561243144424143</v>
      </c>
      <c r="AC710" s="23">
        <f t="shared" si="4742"/>
        <v>-10.577174196918159</v>
      </c>
      <c r="AD710" s="35">
        <f>AD649/AD$656*100</f>
        <v>26.596467391304333</v>
      </c>
      <c r="AE710" s="23">
        <f t="shared" si="4743"/>
        <v>19.450800915331712</v>
      </c>
      <c r="AF710" s="35">
        <f>AF649/AF$656*100</f>
        <v>17.161803713527863</v>
      </c>
      <c r="AG710" s="23">
        <f t="shared" si="4744"/>
        <v>-37.107764996939409</v>
      </c>
      <c r="AH710" s="35">
        <f>AH649/AH$656*100</f>
        <v>23.679668622713159</v>
      </c>
      <c r="AI710" s="23">
        <f t="shared" si="4745"/>
        <v>-0.13920768779182024</v>
      </c>
      <c r="AJ710" s="35">
        <f>AJ649/AJ$656*100</f>
        <v>23.238095238095216</v>
      </c>
      <c r="AK710" s="23">
        <f t="shared" si="4746"/>
        <v>18.79661771250538</v>
      </c>
      <c r="AL710" s="35">
        <f>AL649/AL$656*100</f>
        <v>36.907366885485054</v>
      </c>
      <c r="AM710" s="23">
        <f t="shared" si="4747"/>
        <v>38.767928621798276</v>
      </c>
      <c r="AN710" s="409">
        <f t="shared" si="4748"/>
        <v>21.817551161984049</v>
      </c>
      <c r="AO710" s="23">
        <f t="shared" si="4749"/>
        <v>27.128543865038335</v>
      </c>
      <c r="AP710" s="409">
        <f t="shared" si="4748"/>
        <v>0</v>
      </c>
      <c r="AQ710" s="23" t="str">
        <f t="shared" si="4750"/>
        <v>NM</v>
      </c>
      <c r="AR710" s="409">
        <f t="shared" si="4751"/>
        <v>0</v>
      </c>
      <c r="AS710" s="23" t="str">
        <f t="shared" si="4752"/>
        <v>NM</v>
      </c>
      <c r="AT710" s="409">
        <f t="shared" si="4751"/>
        <v>0</v>
      </c>
      <c r="AU710" s="23" t="str">
        <f t="shared" si="4753"/>
        <v>NM</v>
      </c>
      <c r="AV710" s="409">
        <f t="shared" si="4754"/>
        <v>0</v>
      </c>
      <c r="AW710" s="23" t="str">
        <f t="shared" si="4755"/>
        <v>NM</v>
      </c>
      <c r="AX710" s="409">
        <f t="shared" si="4754"/>
        <v>0</v>
      </c>
      <c r="AY710" s="23" t="str">
        <f t="shared" si="4756"/>
        <v>NA</v>
      </c>
      <c r="AZ710" s="409">
        <f t="shared" si="4757"/>
        <v>0</v>
      </c>
      <c r="BA710" s="23" t="str">
        <f t="shared" si="4758"/>
        <v>NA</v>
      </c>
      <c r="BB710" s="409">
        <f t="shared" si="4759"/>
        <v>0</v>
      </c>
      <c r="BC710" s="23" t="str">
        <f t="shared" si="4760"/>
        <v>NA</v>
      </c>
      <c r="BD710" s="409">
        <f t="shared" si="4759"/>
        <v>0</v>
      </c>
      <c r="BE710" s="23" t="str">
        <f t="shared" si="4761"/>
        <v>NA</v>
      </c>
      <c r="BF710" s="35">
        <f t="shared" ref="BF710" si="4775">BF649/BF$656*100</f>
        <v>0</v>
      </c>
      <c r="BG710" s="23" t="str">
        <f t="shared" si="4763"/>
        <v>NA</v>
      </c>
      <c r="BH710" s="35">
        <f t="shared" ref="BH710" si="4776">BH649/BH$656*100</f>
        <v>0</v>
      </c>
      <c r="BI710" s="23" t="str">
        <f t="shared" si="4765"/>
        <v>NA</v>
      </c>
      <c r="BJ710" s="35">
        <f t="shared" ref="BJ710" si="4777">BJ649/BJ$656*100</f>
        <v>0</v>
      </c>
      <c r="BK710" s="23" t="str">
        <f t="shared" si="4767"/>
        <v>NA</v>
      </c>
      <c r="BL710" s="35">
        <f t="shared" ref="BL710" si="4778">BL649/BL$656*100</f>
        <v>0</v>
      </c>
      <c r="BM710" s="23" t="str">
        <f t="shared" si="4769"/>
        <v>NA</v>
      </c>
      <c r="BN710" s="7"/>
      <c r="BO710" s="144"/>
      <c r="BP710" s="7"/>
      <c r="BQ710" s="7"/>
      <c r="BR710" s="5"/>
      <c r="BS710" s="5"/>
      <c r="BT710" s="5"/>
      <c r="BU710" s="35">
        <f>BU649/BU$656*100</f>
        <v>34.618282964723967</v>
      </c>
      <c r="BV710" s="23" t="str">
        <f t="shared" si="4770"/>
        <v>NA</v>
      </c>
      <c r="BW710" s="35">
        <f t="shared" ref="BW710:BY710" si="4779">BW649/BW$656*100</f>
        <v>11.157844269618851</v>
      </c>
      <c r="BX710" s="23" t="str">
        <f t="shared" si="4772"/>
        <v>NM</v>
      </c>
      <c r="BY710" s="35">
        <f t="shared" si="4779"/>
        <v>23.165444943643092</v>
      </c>
      <c r="BZ710" s="23" t="str">
        <f t="shared" si="4773"/>
        <v>NM</v>
      </c>
      <c r="CA710" s="35">
        <f>CA649/CA$656*100</f>
        <v>21.288697489233773</v>
      </c>
      <c r="CB710" s="23">
        <f t="shared" si="4773"/>
        <v>-8.1014953909802738</v>
      </c>
      <c r="CC710" s="35">
        <f>CC649/CC$656*100</f>
        <v>24.867021276595764</v>
      </c>
      <c r="CD710" s="23">
        <f t="shared" si="4773"/>
        <v>16.808561393535882</v>
      </c>
      <c r="CE710" s="35">
        <f>CE649/CE$656*100</f>
        <v>0</v>
      </c>
      <c r="CF710" s="23" t="str">
        <f t="shared" si="4773"/>
        <v>NM</v>
      </c>
      <c r="CG710" s="35">
        <f>CG649/CG$656*100</f>
        <v>0</v>
      </c>
      <c r="CH710" s="23" t="str">
        <f t="shared" si="4773"/>
        <v>NA</v>
      </c>
      <c r="CI710" s="35">
        <f>CI649/CI$656*100</f>
        <v>0</v>
      </c>
      <c r="CJ710" s="23" t="str">
        <f t="shared" si="4773"/>
        <v>NA</v>
      </c>
      <c r="CK710" s="35">
        <f>CK649/CK$656*100</f>
        <v>0</v>
      </c>
      <c r="CL710" s="23" t="str">
        <f t="shared" si="4773"/>
        <v>NA</v>
      </c>
      <c r="CM710" s="35">
        <f>CM649/CM$656*100</f>
        <v>0</v>
      </c>
      <c r="CN710" s="23" t="str">
        <f t="shared" si="4773"/>
        <v>NA</v>
      </c>
      <c r="CO710" s="35">
        <f>CO649/CO$656*100</f>
        <v>0</v>
      </c>
      <c r="CP710" s="23" t="str">
        <f t="shared" si="4773"/>
        <v>NA</v>
      </c>
      <c r="CQ710" s="35">
        <f>CQ649/CQ$656*100</f>
        <v>0</v>
      </c>
      <c r="CR710" s="23" t="str">
        <f t="shared" si="4773"/>
        <v>NA</v>
      </c>
      <c r="CS710" s="23" t="str">
        <f t="shared" si="4774"/>
        <v>NA</v>
      </c>
    </row>
    <row r="711" spans="1:97" ht="12.75" customHeight="1" x14ac:dyDescent="0.2">
      <c r="A711" s="31" t="s">
        <v>187</v>
      </c>
      <c r="B711" s="35">
        <f>B650/B$656*100</f>
        <v>10.101544309128133</v>
      </c>
      <c r="C711" s="59"/>
      <c r="D711" s="35">
        <f>D650/D$656*100</f>
        <v>8.7693590639586123</v>
      </c>
      <c r="E711" s="59"/>
      <c r="F711" s="35">
        <f>F650/F$656*100</f>
        <v>7.4227893301955961</v>
      </c>
      <c r="G711" s="59"/>
      <c r="H711" s="35">
        <f>H650/H$656*100</f>
        <v>4.9850346425067729</v>
      </c>
      <c r="I711" s="59"/>
      <c r="J711" s="35">
        <f>J650/J$656*100</f>
        <v>13.750135442626515</v>
      </c>
      <c r="K711" s="23">
        <f t="shared" si="4740"/>
        <v>36.119142002885418</v>
      </c>
      <c r="L711" s="35">
        <f>L650/L$656*100</f>
        <v>15.727208764699974</v>
      </c>
      <c r="M711" s="23">
        <f t="shared" si="4740"/>
        <v>79.342739303919998</v>
      </c>
      <c r="N711" s="35">
        <f>N650/N$656*100</f>
        <v>14.419642691913376</v>
      </c>
      <c r="O711" s="23">
        <f t="shared" si="4740"/>
        <v>94.261780180866424</v>
      </c>
      <c r="P711" s="35">
        <f>P650/P$656*100</f>
        <v>14.964600539739903</v>
      </c>
      <c r="Q711" s="23" t="str">
        <f t="shared" si="4740"/>
        <v>NM</v>
      </c>
      <c r="R711" s="35">
        <f>R650/R$656*100</f>
        <v>11.730319563522995</v>
      </c>
      <c r="S711" s="23">
        <f t="shared" si="4740"/>
        <v>-14.689425333527485</v>
      </c>
      <c r="T711" s="35">
        <f>T650/T$656*100</f>
        <v>15.073529411764705</v>
      </c>
      <c r="U711" s="23">
        <f t="shared" si="4740"/>
        <v>-4.1563596103745049</v>
      </c>
      <c r="V711" s="35">
        <f>V650/V$656*100</f>
        <v>12.408088235294128</v>
      </c>
      <c r="W711" s="23">
        <f t="shared" si="4740"/>
        <v>-13.950099177889753</v>
      </c>
      <c r="X711" s="35">
        <f>X650/X$656*100</f>
        <v>17.349950803542146</v>
      </c>
      <c r="Y711" s="23">
        <f t="shared" si="4740"/>
        <v>15.939952807077763</v>
      </c>
      <c r="Z711" s="35">
        <f>Z650/Z$656*100</f>
        <v>21.549112938122008</v>
      </c>
      <c r="AA711" s="23">
        <f t="shared" si="4741"/>
        <v>83.704398004056685</v>
      </c>
      <c r="AB711" s="35">
        <f>AB650/AB$656*100</f>
        <v>16.727605118829977</v>
      </c>
      <c r="AC711" s="23">
        <f t="shared" si="4742"/>
        <v>10.973380300530589</v>
      </c>
      <c r="AD711" s="35">
        <f>AD650/AD$656*100</f>
        <v>19.904891304347831</v>
      </c>
      <c r="AE711" s="23">
        <f t="shared" si="4743"/>
        <v>60.418679549114238</v>
      </c>
      <c r="AF711" s="35">
        <f>AF650/AF$656*100</f>
        <v>12.466843501326263</v>
      </c>
      <c r="AG711" s="23">
        <f t="shared" si="4744"/>
        <v>-28.144790481013658</v>
      </c>
      <c r="AH711" s="35">
        <f>AH650/AH$656*100</f>
        <v>16.189161201242662</v>
      </c>
      <c r="AI711" s="23">
        <f t="shared" si="4745"/>
        <v>-24.873189686602771</v>
      </c>
      <c r="AJ711" s="35">
        <f>AJ650/AJ$656*100</f>
        <v>17.904761904761905</v>
      </c>
      <c r="AK711" s="23">
        <f t="shared" si="4746"/>
        <v>7.0372105126203843</v>
      </c>
      <c r="AL711" s="35">
        <f>AL650/AL$656*100</f>
        <v>33.260393873085363</v>
      </c>
      <c r="AM711" s="23">
        <f t="shared" si="4747"/>
        <v>67.096586283896386</v>
      </c>
      <c r="AN711" s="409">
        <f t="shared" si="4748"/>
        <v>14.706902532084632</v>
      </c>
      <c r="AO711" s="23">
        <f t="shared" si="4749"/>
        <v>17.968133076508618</v>
      </c>
      <c r="AP711" s="409">
        <f t="shared" si="4748"/>
        <v>26.032110091743181</v>
      </c>
      <c r="AQ711" s="23">
        <f t="shared" si="4750"/>
        <v>60.799622464349689</v>
      </c>
      <c r="AR711" s="409">
        <f t="shared" si="4751"/>
        <v>24.29118773946362</v>
      </c>
      <c r="AS711" s="23">
        <f t="shared" si="4752"/>
        <v>35.668867693812764</v>
      </c>
      <c r="AT711" s="409">
        <f t="shared" si="4751"/>
        <v>-139.29539295392917</v>
      </c>
      <c r="AU711" s="23" t="str">
        <f t="shared" si="4753"/>
        <v>NM</v>
      </c>
      <c r="AV711" s="409">
        <f t="shared" si="4754"/>
        <v>43.382352941176485</v>
      </c>
      <c r="AW711" s="23" t="str">
        <f t="shared" si="4755"/>
        <v>NM</v>
      </c>
      <c r="AX711" s="409">
        <f t="shared" si="4754"/>
        <v>33.975240715268271</v>
      </c>
      <c r="AY711" s="23">
        <f t="shared" si="4756"/>
        <v>30.512818959091902</v>
      </c>
      <c r="AZ711" s="409">
        <f t="shared" si="4757"/>
        <v>79.158878504673012</v>
      </c>
      <c r="BA711" s="23" t="str">
        <f t="shared" si="4758"/>
        <v>NM</v>
      </c>
      <c r="BB711" s="409">
        <f t="shared" si="4759"/>
        <v>127.01421800947853</v>
      </c>
      <c r="BC711" s="23" t="str">
        <f t="shared" si="4760"/>
        <v>NM</v>
      </c>
      <c r="BD711" s="409">
        <f t="shared" si="4759"/>
        <v>26.124197002141337</v>
      </c>
      <c r="BE711" s="23">
        <f t="shared" si="4761"/>
        <v>-39.781511995064058</v>
      </c>
      <c r="BF711" s="35">
        <f t="shared" ref="BF711" si="4780">BF650/BF$656*100</f>
        <v>26.870596265140463</v>
      </c>
      <c r="BG711" s="23">
        <f t="shared" si="4763"/>
        <v>-20.911240952400444</v>
      </c>
      <c r="BH711" s="35">
        <f t="shared" ref="BH711" si="4781">BH650/BH$656*100</f>
        <v>28.336712220393089</v>
      </c>
      <c r="BI711" s="23" t="str">
        <f t="shared" si="4765"/>
        <v>NM</v>
      </c>
      <c r="BJ711" s="35">
        <f t="shared" ref="BJ711" si="4782">BJ650/BJ$656*100</f>
        <v>23.368684676573846</v>
      </c>
      <c r="BK711" s="23" t="str">
        <f t="shared" si="4767"/>
        <v>NM</v>
      </c>
      <c r="BL711" s="35">
        <f t="shared" ref="BL711" si="4783">BL650/BL$656*100</f>
        <v>23.453809212720071</v>
      </c>
      <c r="BM711" s="23">
        <f t="shared" si="4769"/>
        <v>-10.221894243112551</v>
      </c>
      <c r="BN711" s="5"/>
      <c r="BO711" s="138"/>
      <c r="BP711" s="5"/>
      <c r="BQ711" s="5"/>
      <c r="BR711" s="5"/>
      <c r="BS711" s="5"/>
      <c r="BT711" s="5"/>
      <c r="BU711" s="35">
        <f t="shared" ref="BU711:BY711" si="4784">BU650/BU$656*100</f>
        <v>7.8126419558459848</v>
      </c>
      <c r="BV711" s="23" t="str">
        <f t="shared" si="4770"/>
        <v>NA</v>
      </c>
      <c r="BW711" s="35">
        <f t="shared" si="4784"/>
        <v>14.651971146512075</v>
      </c>
      <c r="BX711" s="23">
        <f t="shared" si="4772"/>
        <v>87.541822975112908</v>
      </c>
      <c r="BY711" s="35">
        <f t="shared" si="4784"/>
        <v>14.030109560967929</v>
      </c>
      <c r="BZ711" s="23">
        <f t="shared" si="4773"/>
        <v>-4.2442179234852055</v>
      </c>
      <c r="CA711" s="35">
        <f>CA650/CA$656*100</f>
        <v>17.087836190785723</v>
      </c>
      <c r="CB711" s="23">
        <f t="shared" si="4773"/>
        <v>21.794032445223777</v>
      </c>
      <c r="CC711" s="35">
        <f>CC650/CC$656*100</f>
        <v>18.606792144026183</v>
      </c>
      <c r="CD711" s="23">
        <f t="shared" si="4773"/>
        <v>8.889106474812337</v>
      </c>
      <c r="CE711" s="35">
        <f>CE650/CE$656*100</f>
        <v>51.664648910411614</v>
      </c>
      <c r="CF711" s="23" t="str">
        <f t="shared" si="4773"/>
        <v>NM</v>
      </c>
      <c r="CG711" s="35">
        <f>CG650/CG$656*100</f>
        <v>47.093353531528095</v>
      </c>
      <c r="CH711" s="23">
        <f t="shared" si="4773"/>
        <v>-8.8480140198190718</v>
      </c>
      <c r="CI711" s="35">
        <f>CI650/CI$656*100</f>
        <v>25.371219197711277</v>
      </c>
      <c r="CJ711" s="23">
        <f t="shared" si="4773"/>
        <v>-46.125690155563603</v>
      </c>
      <c r="CK711" s="35">
        <f>CK650/CK$656*100</f>
        <v>23.620355118097038</v>
      </c>
      <c r="CL711" s="23">
        <f t="shared" si="4773"/>
        <v>-6.9009851910159075</v>
      </c>
      <c r="CM711" s="35">
        <f>CM650/CM$656*100</f>
        <v>23.5520631247783</v>
      </c>
      <c r="CN711" s="23">
        <f t="shared" si="4773"/>
        <v>-0.28912348259495513</v>
      </c>
      <c r="CO711" s="35">
        <f>CO650/CO$656*100</f>
        <v>23.314397120551956</v>
      </c>
      <c r="CP711" s="23">
        <f t="shared" si="4773"/>
        <v>-1.0091090660176771</v>
      </c>
      <c r="CQ711" s="35">
        <f>CQ650/CQ$656*100</f>
        <v>23.16869069602097</v>
      </c>
      <c r="CR711" s="23">
        <f t="shared" si="4773"/>
        <v>-0.62496329533026085</v>
      </c>
      <c r="CS711" s="23">
        <f t="shared" si="4774"/>
        <v>-13.226248294927622</v>
      </c>
    </row>
    <row r="712" spans="1:97" ht="12.75" customHeight="1" x14ac:dyDescent="0.2">
      <c r="A712" s="31" t="s">
        <v>194</v>
      </c>
      <c r="B712" s="35">
        <f>B651/B$656*100</f>
        <v>30.202411591976986</v>
      </c>
      <c r="C712" s="59"/>
      <c r="D712" s="35">
        <f>D651/D$656*100</f>
        <v>26.931702680865619</v>
      </c>
      <c r="E712" s="59"/>
      <c r="F712" s="35">
        <f>F651/F$656*100</f>
        <v>27.325287809937819</v>
      </c>
      <c r="G712" s="59"/>
      <c r="H712" s="35">
        <f>H651/H$656*100</f>
        <v>14.885660658868478</v>
      </c>
      <c r="I712" s="59"/>
      <c r="J712" s="35">
        <f>J651/J$656*100</f>
        <v>22.953982846712286</v>
      </c>
      <c r="K712" s="23">
        <f t="shared" si="4740"/>
        <v>-23.999503229040762</v>
      </c>
      <c r="L712" s="35">
        <f>L651/L$656*100</f>
        <v>16.771032264549245</v>
      </c>
      <c r="M712" s="23">
        <f t="shared" si="4740"/>
        <v>-37.727545624270185</v>
      </c>
      <c r="N712" s="35">
        <f>N651/N$656*100</f>
        <v>19.653425220310357</v>
      </c>
      <c r="O712" s="23">
        <f t="shared" si="4740"/>
        <v>-28.0760541041303</v>
      </c>
      <c r="P712" s="35">
        <f>P651/P$656*100</f>
        <v>26.114112329174237</v>
      </c>
      <c r="Q712" s="23">
        <f t="shared" si="4740"/>
        <v>75.431329032857846</v>
      </c>
      <c r="R712" s="35">
        <f>R651/R$656*100</f>
        <v>19.758378799688224</v>
      </c>
      <c r="S712" s="23">
        <f t="shared" si="4740"/>
        <v>-13.921784591216468</v>
      </c>
      <c r="T712" s="35">
        <f>T651/T$656*100</f>
        <v>14.705882352941178</v>
      </c>
      <c r="U712" s="23">
        <f t="shared" si="4740"/>
        <v>-12.313791298186217</v>
      </c>
      <c r="V712" s="35">
        <f>V651/V$656*100</f>
        <v>26.907169117647058</v>
      </c>
      <c r="W712" s="23">
        <f t="shared" si="4740"/>
        <v>36.908293674125026</v>
      </c>
      <c r="X712" s="35">
        <f>X651/X$656*100</f>
        <v>15.414890127910793</v>
      </c>
      <c r="Y712" s="23">
        <f t="shared" si="4740"/>
        <v>-40.971035378868528</v>
      </c>
      <c r="Z712" s="35">
        <f>Z651/Z$656*100</f>
        <v>13.457377758546107</v>
      </c>
      <c r="AA712" s="23">
        <f t="shared" si="4741"/>
        <v>-31.890273513946109</v>
      </c>
      <c r="AB712" s="35">
        <f>AB651/AB$656*100</f>
        <v>19.317489335770844</v>
      </c>
      <c r="AC712" s="23">
        <f t="shared" si="4742"/>
        <v>31.35892748324174</v>
      </c>
      <c r="AD712" s="35">
        <f>AD651/AD$656*100</f>
        <v>13.519021739130441</v>
      </c>
      <c r="AE712" s="23">
        <f t="shared" si="4743"/>
        <v>-49.756803920840575</v>
      </c>
      <c r="AF712" s="35">
        <f>AF651/AF$656*100</f>
        <v>27.320954907161827</v>
      </c>
      <c r="AG712" s="23">
        <f t="shared" si="4744"/>
        <v>77.237428748800838</v>
      </c>
      <c r="AH712" s="35">
        <f>AH651/AH$656*100</f>
        <v>14.981014842940962</v>
      </c>
      <c r="AI712" s="23">
        <f t="shared" si="4745"/>
        <v>11.321946308799035</v>
      </c>
      <c r="AJ712" s="35">
        <f>AJ651/AJ$656*100</f>
        <v>14.361904761904778</v>
      </c>
      <c r="AK712" s="23">
        <f t="shared" si="4746"/>
        <v>-25.65335736818367</v>
      </c>
      <c r="AL712" s="35">
        <f>AL651/AL$656*100</f>
        <v>-7.8774617067833441</v>
      </c>
      <c r="AM712" s="23" t="str">
        <f t="shared" si="4747"/>
        <v>NM</v>
      </c>
      <c r="AN712" s="409">
        <f t="shared" si="4748"/>
        <v>35.518557058619479</v>
      </c>
      <c r="AO712" s="23">
        <f t="shared" si="4749"/>
        <v>30.004815641743022</v>
      </c>
      <c r="AP712" s="409">
        <f t="shared" si="4748"/>
        <v>47.133027522935819</v>
      </c>
      <c r="AQ712" s="23" t="str">
        <f t="shared" si="4750"/>
        <v>NM</v>
      </c>
      <c r="AR712" s="409">
        <f t="shared" si="4751"/>
        <v>38.544061302681989</v>
      </c>
      <c r="AS712" s="23" t="str">
        <f t="shared" si="4752"/>
        <v>NM</v>
      </c>
      <c r="AT712" s="409">
        <f t="shared" si="4751"/>
        <v>206.50406504065003</v>
      </c>
      <c r="AU712" s="23" t="str">
        <f t="shared" si="4753"/>
        <v>NM</v>
      </c>
      <c r="AV712" s="409">
        <f t="shared" si="4754"/>
        <v>29.01069518716578</v>
      </c>
      <c r="AW712" s="23">
        <f t="shared" si="4755"/>
        <v>-18.322427515040062</v>
      </c>
      <c r="AX712" s="409">
        <f t="shared" si="4754"/>
        <v>21.801925722145821</v>
      </c>
      <c r="AY712" s="23" t="str">
        <f t="shared" si="4756"/>
        <v>NM</v>
      </c>
      <c r="AZ712" s="409">
        <f t="shared" si="4757"/>
        <v>58.224299065420595</v>
      </c>
      <c r="BA712" s="23">
        <f t="shared" si="4758"/>
        <v>51.059066163765166</v>
      </c>
      <c r="BB712" s="409">
        <f t="shared" si="4759"/>
        <v>-156.87203791469187</v>
      </c>
      <c r="BC712" s="23" t="str">
        <f t="shared" si="4760"/>
        <v>NM</v>
      </c>
      <c r="BD712" s="409">
        <f t="shared" si="4759"/>
        <v>26.980728051391868</v>
      </c>
      <c r="BE712" s="23">
        <f t="shared" si="4761"/>
        <v>-6.9973060716999385</v>
      </c>
      <c r="BF712" s="35">
        <f t="shared" ref="BF712" si="4785">BF651/BF$656*100</f>
        <v>26.825026732373981</v>
      </c>
      <c r="BG712" s="23">
        <f t="shared" si="4763"/>
        <v>23.039712520100132</v>
      </c>
      <c r="BH712" s="35">
        <f t="shared" ref="BH712" si="4786">BH651/BH$656*100</f>
        <v>26.324028584258418</v>
      </c>
      <c r="BI712" s="23" t="str">
        <f t="shared" si="4765"/>
        <v>NM</v>
      </c>
      <c r="BJ712" s="35">
        <f t="shared" ref="BJ712" si="4787">BJ651/BJ$656*100</f>
        <v>26.244432852382921</v>
      </c>
      <c r="BK712" s="23" t="str">
        <f t="shared" si="4767"/>
        <v>NM</v>
      </c>
      <c r="BL712" s="35">
        <f t="shared" ref="BL712" si="4788">BL651/BL$656*100</f>
        <v>25.698980202984384</v>
      </c>
      <c r="BM712" s="23">
        <f t="shared" si="4769"/>
        <v>-4.7506051206848809</v>
      </c>
      <c r="BN712" s="5"/>
      <c r="BO712" s="138"/>
      <c r="BP712" s="5"/>
      <c r="BQ712" s="5"/>
      <c r="BR712" s="5"/>
      <c r="BS712" s="5"/>
      <c r="BT712" s="5"/>
      <c r="BU712" s="35">
        <f t="shared" ref="BU712:BY712" si="4789">BU651/BU$656*100</f>
        <v>24.951951160160721</v>
      </c>
      <c r="BV712" s="23" t="str">
        <f t="shared" si="4770"/>
        <v>NA</v>
      </c>
      <c r="BW712" s="35">
        <f t="shared" si="4789"/>
        <v>21.360080197005647</v>
      </c>
      <c r="BX712" s="23">
        <f t="shared" si="4772"/>
        <v>-14.395150664169298</v>
      </c>
      <c r="BY712" s="35">
        <f t="shared" si="4789"/>
        <v>20.083550090643961</v>
      </c>
      <c r="BZ712" s="23">
        <f t="shared" si="4773"/>
        <v>-5.9762421048430214</v>
      </c>
      <c r="CA712" s="35">
        <f>CA651/CA$656*100</f>
        <v>19.281709596164795</v>
      </c>
      <c r="CB712" s="23">
        <f t="shared" si="4773"/>
        <v>-3.9925236866001468</v>
      </c>
      <c r="CC712" s="35">
        <f>CC651/CC$656*100</f>
        <v>17.66571194762685</v>
      </c>
      <c r="CD712" s="23">
        <f t="shared" si="4773"/>
        <v>-8.3809873832939257</v>
      </c>
      <c r="CE712" s="35">
        <f>CE651/CE$656*100</f>
        <v>17.736077481840177</v>
      </c>
      <c r="CF712" s="23">
        <f t="shared" si="4773"/>
        <v>0.39831700200896325</v>
      </c>
      <c r="CG712" s="35">
        <f>CG651/CG$656*100</f>
        <v>17.193713311872738</v>
      </c>
      <c r="CH712" s="23">
        <f t="shared" si="4773"/>
        <v>-3.0579713610450865</v>
      </c>
      <c r="CI712" s="35">
        <f>CI651/CI$656*100</f>
        <v>26.237614359720279</v>
      </c>
      <c r="CJ712" s="23">
        <f t="shared" si="4773"/>
        <v>52.600045631809358</v>
      </c>
      <c r="CK712" s="35">
        <f>CK651/CK$656*100</f>
        <v>23.491340143831412</v>
      </c>
      <c r="CL712" s="23">
        <f t="shared" si="4773"/>
        <v>-10.466935668148702</v>
      </c>
      <c r="CM712" s="35">
        <f>CM651/CM$656*100</f>
        <v>22.802555933753855</v>
      </c>
      <c r="CN712" s="23">
        <f t="shared" si="4773"/>
        <v>-2.9320771222940412</v>
      </c>
      <c r="CO712" s="35">
        <f>CO651/CO$656*100</f>
        <v>22.200104097779128</v>
      </c>
      <c r="CP712" s="23">
        <f t="shared" si="4773"/>
        <v>-2.6420364354108994</v>
      </c>
      <c r="CQ712" s="35">
        <f>CQ651/CQ$656*100</f>
        <v>21.65949970139734</v>
      </c>
      <c r="CR712" s="23">
        <f t="shared" si="4773"/>
        <v>-2.4351435200516414</v>
      </c>
      <c r="CS712" s="23">
        <f t="shared" si="4774"/>
        <v>4.7262970771498436</v>
      </c>
    </row>
    <row r="713" spans="1:97" ht="12.75" customHeight="1" x14ac:dyDescent="0.2">
      <c r="A713" s="31" t="s">
        <v>195</v>
      </c>
      <c r="B713" s="35">
        <f>B652/B$656*100</f>
        <v>5.3250748186184405</v>
      </c>
      <c r="C713" s="59"/>
      <c r="D713" s="35">
        <f>D652/D$656*100</f>
        <v>10.279792910068238</v>
      </c>
      <c r="E713" s="59"/>
      <c r="F713" s="35">
        <f>F652/F$656*100</f>
        <v>5.862439904124888</v>
      </c>
      <c r="G713" s="59"/>
      <c r="H713" s="35">
        <f>H652/H$656*100</f>
        <v>8.0506258458098134</v>
      </c>
      <c r="I713" s="59"/>
      <c r="J713" s="35">
        <f>J652/J$656*100</f>
        <v>6.4579044316827483</v>
      </c>
      <c r="K713" s="23">
        <f t="shared" si="4740"/>
        <v>21.273496648413559</v>
      </c>
      <c r="L713" s="35">
        <f>L652/L$656*100</f>
        <v>14.576841893657649</v>
      </c>
      <c r="M713" s="23">
        <f t="shared" si="4740"/>
        <v>41.800929466008931</v>
      </c>
      <c r="N713" s="35">
        <f>N652/N$656*100</f>
        <v>13.335208577762803</v>
      </c>
      <c r="O713" s="23" t="str">
        <f t="shared" si="4740"/>
        <v>NM</v>
      </c>
      <c r="P713" s="35">
        <f>P652/P$656*100</f>
        <v>13.719268139527088</v>
      </c>
      <c r="Q713" s="23">
        <f t="shared" si="4740"/>
        <v>70.412442489395872</v>
      </c>
      <c r="R713" s="35">
        <f>R652/R$656*100</f>
        <v>4.8324240062353825</v>
      </c>
      <c r="S713" s="23">
        <f t="shared" si="4740"/>
        <v>-25.17040074908342</v>
      </c>
      <c r="T713" s="35">
        <f>T652/T$656*100</f>
        <v>12.536764705882344</v>
      </c>
      <c r="U713" s="23">
        <f t="shared" si="4740"/>
        <v>-13.995330419704544</v>
      </c>
      <c r="V713" s="35">
        <f>V652/V$656*100</f>
        <v>6.6865808823529385</v>
      </c>
      <c r="W713" s="23">
        <f t="shared" si="4740"/>
        <v>-49.85769556313366</v>
      </c>
      <c r="X713" s="35">
        <f>X652/X$656*100</f>
        <v>10.003279763857002</v>
      </c>
      <c r="Y713" s="23">
        <f t="shared" si="4740"/>
        <v>-27.085908212288789</v>
      </c>
      <c r="Z713" s="35">
        <f>Z652/Z$656*100</f>
        <v>7.3128515794028477</v>
      </c>
      <c r="AA713" s="23">
        <f t="shared" si="4741"/>
        <v>51.328848006029993</v>
      </c>
      <c r="AB713" s="35">
        <f>AB652/AB$656*100</f>
        <v>11.517367458866547</v>
      </c>
      <c r="AC713" s="23">
        <f t="shared" si="4742"/>
        <v>-8.1312624981905284</v>
      </c>
      <c r="AD713" s="35">
        <f>AD652/AD$656*100</f>
        <v>12.567934782608697</v>
      </c>
      <c r="AE713" s="23">
        <f t="shared" si="4743"/>
        <v>87.957567607948704</v>
      </c>
      <c r="AF713" s="35">
        <f>AF652/AF$656*100</f>
        <v>15.172413793103454</v>
      </c>
      <c r="AG713" s="23">
        <f t="shared" si="4744"/>
        <v>51.674392312040766</v>
      </c>
      <c r="AH713" s="35">
        <f>AH652/AH$656*100</f>
        <v>14.014497756299615</v>
      </c>
      <c r="AI713" s="23">
        <f t="shared" si="4745"/>
        <v>91.642037365730459</v>
      </c>
      <c r="AJ713" s="35">
        <f>AJ652/AJ$656*100</f>
        <v>14.361904761904757</v>
      </c>
      <c r="AK713" s="23">
        <f t="shared" si="4746"/>
        <v>24.69780801209367</v>
      </c>
      <c r="AL713" s="35">
        <f>AL652/AL$656*100</f>
        <v>32.239241429613443</v>
      </c>
      <c r="AM713" s="23" t="str">
        <f t="shared" si="4747"/>
        <v>NM</v>
      </c>
      <c r="AN713" s="409">
        <f t="shared" si="4748"/>
        <v>8.1859174471037086</v>
      </c>
      <c r="AO713" s="23">
        <f t="shared" si="4749"/>
        <v>-46.047362280452852</v>
      </c>
      <c r="AP713" s="409">
        <f t="shared" si="4748"/>
        <v>23.853211009174348</v>
      </c>
      <c r="AQ713" s="23">
        <f t="shared" si="4750"/>
        <v>70.203823383197332</v>
      </c>
      <c r="AR713" s="409">
        <f t="shared" si="4751"/>
        <v>24.750957854406145</v>
      </c>
      <c r="AS713" s="23">
        <f t="shared" si="4752"/>
        <v>72.337571267416848</v>
      </c>
      <c r="AT713" s="409">
        <f t="shared" si="4751"/>
        <v>-111.92411924119219</v>
      </c>
      <c r="AU713" s="23" t="str">
        <f t="shared" si="4753"/>
        <v>NM</v>
      </c>
      <c r="AV713" s="409">
        <f t="shared" si="4754"/>
        <v>21.323529411764714</v>
      </c>
      <c r="AW713" s="23" t="str">
        <f t="shared" si="4755"/>
        <v>NM</v>
      </c>
      <c r="AX713" s="409">
        <f t="shared" si="4754"/>
        <v>7.2902338376891471</v>
      </c>
      <c r="AY713" s="23" t="str">
        <f t="shared" si="4756"/>
        <v>NM</v>
      </c>
      <c r="AZ713" s="409">
        <f t="shared" si="4757"/>
        <v>25.233644859813118</v>
      </c>
      <c r="BA713" s="23">
        <f t="shared" si="4758"/>
        <v>1.9501750528052586</v>
      </c>
      <c r="BB713" s="409">
        <f t="shared" si="4759"/>
        <v>137.44075829383874</v>
      </c>
      <c r="BC713" s="23" t="str">
        <f t="shared" si="4760"/>
        <v>NM</v>
      </c>
      <c r="BD713" s="409">
        <f t="shared" si="4759"/>
        <v>12.847965738758033</v>
      </c>
      <c r="BE713" s="23">
        <f t="shared" si="4761"/>
        <v>-39.747471018238215</v>
      </c>
      <c r="BF713" s="35">
        <f t="shared" ref="BF713" si="4790">BF652/BF$656*100</f>
        <v>9.256025929553493</v>
      </c>
      <c r="BG713" s="23">
        <f t="shared" si="4763"/>
        <v>26.964733033686361</v>
      </c>
      <c r="BH713" s="35">
        <f t="shared" ref="BH713" si="4791">BH652/BH$656*100</f>
        <v>15.735676692978837</v>
      </c>
      <c r="BI713" s="23">
        <f t="shared" si="4765"/>
        <v>-37.640096068565434</v>
      </c>
      <c r="BJ713" s="35">
        <f t="shared" ref="BJ713" si="4792">BJ652/BJ$656*100</f>
        <v>16.336259015705661</v>
      </c>
      <c r="BK713" s="23" t="str">
        <f t="shared" si="4767"/>
        <v>NM</v>
      </c>
      <c r="BL713" s="35">
        <f t="shared" ref="BL713" si="4793">BL652/BL$656*100</f>
        <v>13.666936366505796</v>
      </c>
      <c r="BM713" s="23">
        <f t="shared" si="4769"/>
        <v>6.3743213859700942</v>
      </c>
      <c r="BN713" s="5"/>
      <c r="BO713" s="138"/>
      <c r="BP713" s="5"/>
      <c r="BQ713" s="5"/>
      <c r="BR713" s="5"/>
      <c r="BS713" s="5"/>
      <c r="BT713" s="5"/>
      <c r="BU713" s="35">
        <f t="shared" ref="BU713:BY713" si="4794">BU652/BU$656*100</f>
        <v>7.4396226358976749</v>
      </c>
      <c r="BV713" s="23" t="str">
        <f t="shared" si="4770"/>
        <v>NA</v>
      </c>
      <c r="BW713" s="35">
        <f t="shared" si="4794"/>
        <v>11.893564626146819</v>
      </c>
      <c r="BX713" s="23">
        <f t="shared" si="4772"/>
        <v>59.86784825292051</v>
      </c>
      <c r="BY713" s="35">
        <f t="shared" si="4794"/>
        <v>8.3628911484196458</v>
      </c>
      <c r="BZ713" s="23">
        <f t="shared" si="4773"/>
        <v>-29.685578619258845</v>
      </c>
      <c r="CA713" s="35">
        <f>CA652/CA$656*100</f>
        <v>12.098805557812613</v>
      </c>
      <c r="CB713" s="23">
        <f t="shared" si="4773"/>
        <v>44.672522254447266</v>
      </c>
      <c r="CC713" s="35">
        <f>CC652/CC$656*100</f>
        <v>14.944762684124379</v>
      </c>
      <c r="CD713" s="23">
        <f t="shared" si="4773"/>
        <v>23.522628847225626</v>
      </c>
      <c r="CE713" s="35">
        <f>CE652/CE$656*100</f>
        <v>38.226392251816002</v>
      </c>
      <c r="CF713" s="23" t="str">
        <f t="shared" si="4773"/>
        <v>NM</v>
      </c>
      <c r="CG713" s="35">
        <f>CG652/CG$656*100</f>
        <v>23.7833743609165</v>
      </c>
      <c r="CH713" s="23">
        <f t="shared" si="4773"/>
        <v>-37.782843318710945</v>
      </c>
      <c r="CI713" s="35">
        <f>CI652/CI$656*100</f>
        <v>13.945652253597482</v>
      </c>
      <c r="CJ713" s="23">
        <f t="shared" si="4773"/>
        <v>-41.363861822254556</v>
      </c>
      <c r="CK713" s="35">
        <f>CK652/CK$656*100</f>
        <v>13.170432081870546</v>
      </c>
      <c r="CL713" s="23">
        <f t="shared" si="4773"/>
        <v>-5.5588663594200565</v>
      </c>
      <c r="CM713" s="35">
        <f>CM652/CM$656*100</f>
        <v>12.818528697484254</v>
      </c>
      <c r="CN713" s="23">
        <f t="shared" si="4773"/>
        <v>-2.6719198140104816</v>
      </c>
      <c r="CO713" s="35">
        <f>CO652/CO$656*100</f>
        <v>12.506351982954664</v>
      </c>
      <c r="CP713" s="23">
        <f t="shared" si="4773"/>
        <v>-2.4353552728001993</v>
      </c>
      <c r="CQ713" s="35">
        <f>CQ652/CQ$656*100</f>
        <v>12.220486437358613</v>
      </c>
      <c r="CR713" s="23">
        <f t="shared" si="4773"/>
        <v>-2.2857628346432901</v>
      </c>
      <c r="CS713" s="23">
        <f t="shared" si="4774"/>
        <v>-12.468775437658497</v>
      </c>
    </row>
    <row r="714" spans="1:97" ht="12.75" customHeight="1" x14ac:dyDescent="0.2">
      <c r="A714" s="3" t="s">
        <v>226</v>
      </c>
      <c r="B714" s="35">
        <f>B709+B710+B711+B712+B713</f>
        <v>111.45997002419075</v>
      </c>
      <c r="C714" s="59"/>
      <c r="D714" s="35">
        <f t="shared" ref="D714:Z714" si="4795">D709+D710+D711+D712+D713</f>
        <v>116.73872043553121</v>
      </c>
      <c r="E714" s="59"/>
      <c r="F714" s="35">
        <f t="shared" si="4795"/>
        <v>99.96741675374129</v>
      </c>
      <c r="G714" s="59"/>
      <c r="H714" s="35">
        <f t="shared" si="4795"/>
        <v>130.90607011427852</v>
      </c>
      <c r="I714" s="59"/>
      <c r="J714" s="35">
        <f t="shared" si="4795"/>
        <v>110.04359168840696</v>
      </c>
      <c r="K714" s="23">
        <f t="shared" si="4740"/>
        <v>-1.2707506878715136</v>
      </c>
      <c r="L714" s="35">
        <f t="shared" si="4795"/>
        <v>96.431802191174981</v>
      </c>
      <c r="M714" s="23">
        <f t="shared" si="4740"/>
        <v>-17.395186591556566</v>
      </c>
      <c r="N714" s="35">
        <f t="shared" si="4795"/>
        <v>113.25008235037215</v>
      </c>
      <c r="O714" s="23">
        <f t="shared" si="4740"/>
        <v>13.286994930909589</v>
      </c>
      <c r="P714" s="35">
        <f t="shared" si="4795"/>
        <v>109.49098596005157</v>
      </c>
      <c r="Q714" s="23">
        <f t="shared" si="4740"/>
        <v>-16.359122335222487</v>
      </c>
      <c r="R714" s="35">
        <f t="shared" si="4795"/>
        <v>111.18472330475447</v>
      </c>
      <c r="S714" s="23">
        <f t="shared" si="4740"/>
        <v>1.0369814351195217</v>
      </c>
      <c r="T714" s="35">
        <f t="shared" si="4795"/>
        <v>112.79411764705885</v>
      </c>
      <c r="U714" s="23">
        <f t="shared" si="4740"/>
        <v>16.967758648174769</v>
      </c>
      <c r="V714" s="35">
        <f t="shared" si="4795"/>
        <v>111.30514705882355</v>
      </c>
      <c r="W714" s="23">
        <f t="shared" si="4740"/>
        <v>-1.7173809070896606</v>
      </c>
      <c r="X714" s="35">
        <f t="shared" si="4795"/>
        <v>115.51328304362087</v>
      </c>
      <c r="Y714" s="23">
        <f t="shared" si="4740"/>
        <v>5.5002674702066878</v>
      </c>
      <c r="Z714" s="35">
        <f t="shared" si="4795"/>
        <v>115.75075724794459</v>
      </c>
      <c r="AA714" s="23">
        <f t="shared" si="4741"/>
        <v>4.1067098136087887</v>
      </c>
      <c r="AB714" s="35">
        <f t="shared" ref="AB714:AD714" si="4796">AB709+AB710+AB711+AB712+AB713</f>
        <v>108.47044485070079</v>
      </c>
      <c r="AC714" s="23">
        <f t="shared" si="4742"/>
        <v>-3.8332431571362235</v>
      </c>
      <c r="AD714" s="35">
        <f t="shared" si="4796"/>
        <v>112.43206521739131</v>
      </c>
      <c r="AE714" s="23">
        <f t="shared" si="4743"/>
        <v>1.0124582630237189</v>
      </c>
      <c r="AF714" s="35">
        <f t="shared" ref="AF714:AH714" si="4797">AF709+AF710+AF711+AF712+AF713</f>
        <v>111.90981432360743</v>
      </c>
      <c r="AG714" s="23">
        <f t="shared" si="4744"/>
        <v>-3.1195275773199804</v>
      </c>
      <c r="AH714" s="35">
        <f t="shared" si="4797"/>
        <v>111.87435277873661</v>
      </c>
      <c r="AI714" s="23">
        <f t="shared" si="4745"/>
        <v>-3.3489236367624908</v>
      </c>
      <c r="AJ714" s="35">
        <f t="shared" ref="AJ714:AL714" si="4798">AJ709+AJ710+AJ711+AJ712+AJ713</f>
        <v>118.78095238095239</v>
      </c>
      <c r="AK714" s="23">
        <f t="shared" si="4746"/>
        <v>9.5053611556982442</v>
      </c>
      <c r="AL714" s="35">
        <f t="shared" si="4798"/>
        <v>153.24580598103574</v>
      </c>
      <c r="AM714" s="23">
        <f t="shared" si="4747"/>
        <v>36.300801452619091</v>
      </c>
      <c r="AN714" s="409">
        <f t="shared" ref="AN714:AP714" si="4799">AN709+AN710+AN711+AN712+AN713</f>
        <v>127.78355879292401</v>
      </c>
      <c r="AO714" s="23">
        <f t="shared" si="4749"/>
        <v>14.184407833449519</v>
      </c>
      <c r="AP714" s="409">
        <f t="shared" si="4799"/>
        <v>215.94036697247725</v>
      </c>
      <c r="AQ714" s="23">
        <f t="shared" si="4750"/>
        <v>93.020439098817249</v>
      </c>
      <c r="AR714" s="409">
        <f t="shared" ref="AR714:AT714" si="4800">AR709+AR710+AR711+AR712+AR713</f>
        <v>195.24904214559388</v>
      </c>
      <c r="AS714" s="23">
        <f t="shared" si="4752"/>
        <v>64.377400780046145</v>
      </c>
      <c r="AT714" s="409">
        <f t="shared" si="4800"/>
        <v>-215.17615176151696</v>
      </c>
      <c r="AU714" s="23" t="str">
        <f t="shared" si="4753"/>
        <v>NM</v>
      </c>
      <c r="AV714" s="409">
        <f t="shared" ref="AV714:AX714" si="4801">AV709+AV710+AV711+AV712+AV713</f>
        <v>189.10427807486641</v>
      </c>
      <c r="AW714" s="23">
        <f t="shared" si="4755"/>
        <v>47.987957027643866</v>
      </c>
      <c r="AX714" s="409">
        <f t="shared" si="4801"/>
        <v>165.4057771664375</v>
      </c>
      <c r="AY714" s="23">
        <f t="shared" si="4756"/>
        <v>-23.402104254310473</v>
      </c>
      <c r="AZ714" s="409">
        <f t="shared" ref="AZ714" si="4802">AZ709+AZ710+AZ711+AZ712+AZ713</f>
        <v>193.92523364485993</v>
      </c>
      <c r="BA714" s="23">
        <f t="shared" si="4758"/>
        <v>-0.67801024076051819</v>
      </c>
      <c r="BB714" s="409">
        <f t="shared" ref="BB714:BD714" si="4803">BB709+BB710+BB711+BB712+BB713</f>
        <v>360.6635071090044</v>
      </c>
      <c r="BC714" s="23" t="str">
        <f t="shared" si="4760"/>
        <v>NM</v>
      </c>
      <c r="BD714" s="409">
        <f t="shared" si="4803"/>
        <v>137.98715203426124</v>
      </c>
      <c r="BE714" s="23">
        <f t="shared" si="4761"/>
        <v>-27.031184360814876</v>
      </c>
      <c r="BF714" s="35">
        <f t="shared" ref="BF714" si="4804">BF709+BF710+BF711+BF712+BF713</f>
        <v>143.03352266991965</v>
      </c>
      <c r="BG714" s="23">
        <f t="shared" si="4763"/>
        <v>-13.525679017853198</v>
      </c>
      <c r="BH714" s="35">
        <f t="shared" ref="BH714" si="4805">BH709+BH710+BH711+BH712+BH713</f>
        <v>138.28082501508646</v>
      </c>
      <c r="BI714" s="23">
        <f t="shared" si="4765"/>
        <v>-28.693743245232561</v>
      </c>
      <c r="BJ714" s="35">
        <f t="shared" ref="BJ714" si="4806">BJ709+BJ710+BJ711+BJ712+BJ713</f>
        <v>131.13795055751245</v>
      </c>
      <c r="BK714" s="23" t="str">
        <f t="shared" si="4767"/>
        <v>NM</v>
      </c>
      <c r="BL714" s="35">
        <f t="shared" ref="BL714" si="4807">BL709+BL710+BL711+BL712+BL713</f>
        <v>127.69742718349252</v>
      </c>
      <c r="BM714" s="23">
        <f t="shared" si="4769"/>
        <v>-7.4570166128320796</v>
      </c>
      <c r="BN714" s="5"/>
      <c r="BO714" s="138"/>
      <c r="BP714" s="5"/>
      <c r="BQ714" s="5"/>
      <c r="BR714" s="5"/>
      <c r="BS714" s="5"/>
      <c r="BT714" s="5"/>
      <c r="BU714" s="35">
        <f t="shared" ref="BU714:CA714" si="4808">BU709+BU710+BU711+BU712+BU713</f>
        <v>114.27769782321219</v>
      </c>
      <c r="BV714" s="23" t="str">
        <f t="shared" si="4770"/>
        <v>NA</v>
      </c>
      <c r="BW714" s="35">
        <f t="shared" si="4808"/>
        <v>107.91073724584302</v>
      </c>
      <c r="BX714" s="23">
        <f t="shared" si="4772"/>
        <v>-5.5714813114444039</v>
      </c>
      <c r="BY714" s="35">
        <f t="shared" si="4808"/>
        <v>112.61133443682509</v>
      </c>
      <c r="BZ714" s="23">
        <f t="shared" si="4773"/>
        <v>4.3560050750771184</v>
      </c>
      <c r="CA714" s="35">
        <f t="shared" si="4808"/>
        <v>111.83879093198992</v>
      </c>
      <c r="CB714" s="23">
        <f t="shared" si="4773"/>
        <v>-0.68602641883137583</v>
      </c>
      <c r="CC714" s="35">
        <f t="shared" ref="CC714" si="4809">CC709+CC710+CC711+CC712+CC713</f>
        <v>124.22258592471361</v>
      </c>
      <c r="CD714" s="23">
        <f t="shared" si="4773"/>
        <v>11.072897775025471</v>
      </c>
      <c r="CE714" s="35">
        <f t="shared" ref="CE714" si="4810">CE709+CE710+CE711+CE712+CE713</f>
        <v>243.76513317191296</v>
      </c>
      <c r="CF714" s="23">
        <f t="shared" si="4773"/>
        <v>96.232538034306685</v>
      </c>
      <c r="CG714" s="35">
        <f t="shared" ref="CG714" si="4811">CG709+CG710+CG711+CG712+CG713</f>
        <v>174.66388941488353</v>
      </c>
      <c r="CH714" s="23">
        <f t="shared" si="4773"/>
        <v>-28.347468260892118</v>
      </c>
      <c r="CI714" s="35">
        <f t="shared" ref="CI714" si="4812">CI709+CI710+CI711+CI712+CI713</f>
        <v>134.4963798822013</v>
      </c>
      <c r="CJ714" s="23">
        <f t="shared" si="4773"/>
        <v>-22.99703142260352</v>
      </c>
      <c r="CK714" s="35">
        <f>CK709+CK710+CK711+CK712+CK713</f>
        <v>123.99025880329305</v>
      </c>
      <c r="CL714" s="23">
        <f t="shared" si="4773"/>
        <v>-7.8114526860202815</v>
      </c>
      <c r="CM714" s="35">
        <f>CM709+CM710+CM711+CM712+CM713</f>
        <v>122.9414960857401</v>
      </c>
      <c r="CN714" s="23">
        <f t="shared" si="4773"/>
        <v>-0.8458428328767198</v>
      </c>
      <c r="CO714" s="35">
        <f>CO709+CO710+CO711+CO712+CO713</f>
        <v>122.00551029212953</v>
      </c>
      <c r="CP714" s="23">
        <f t="shared" si="4773"/>
        <v>-0.7613261782318026</v>
      </c>
      <c r="CQ714" s="35">
        <f>CQ709+CQ710+CQ711+CQ712+CQ713</f>
        <v>121.1538976043733</v>
      </c>
      <c r="CR714" s="23">
        <f t="shared" si="4773"/>
        <v>-0.69801166006120408</v>
      </c>
      <c r="CS714" s="23">
        <f t="shared" si="4774"/>
        <v>-7.0548243080569399</v>
      </c>
    </row>
    <row r="715" spans="1:97" ht="12.75" customHeight="1" x14ac:dyDescent="0.2">
      <c r="A715" s="4" t="s">
        <v>186</v>
      </c>
      <c r="B715" s="35">
        <f>B654/B$656*100</f>
        <v>-17.689082650580144</v>
      </c>
      <c r="C715" s="59"/>
      <c r="D715" s="35">
        <f>D654/D$656*100</f>
        <v>-22.994941989964328</v>
      </c>
      <c r="E715" s="59"/>
      <c r="F715" s="35">
        <f>F654/F$656*100</f>
        <v>-6.7773152218106532</v>
      </c>
      <c r="G715" s="59"/>
      <c r="H715" s="35">
        <f>H654/H$656*100</f>
        <v>-36.629416431737489</v>
      </c>
      <c r="I715" s="59"/>
      <c r="J715" s="35">
        <f>J654/J$656*100</f>
        <v>-20.170532685431393</v>
      </c>
      <c r="K715" s="23">
        <f t="shared" si="4740"/>
        <v>14.028144273325927</v>
      </c>
      <c r="L715" s="35">
        <f>L654/L$656*100</f>
        <v>-16.433812443461655</v>
      </c>
      <c r="M715" s="23">
        <f t="shared" si="4740"/>
        <v>-28.532924977006434</v>
      </c>
      <c r="N715" s="35">
        <f>N654/N$656*100</f>
        <v>-21.318568250878094</v>
      </c>
      <c r="O715" s="23" t="str">
        <f t="shared" si="4740"/>
        <v>NM</v>
      </c>
      <c r="P715" s="35">
        <f>P654/P$656*100</f>
        <v>-20.899342821123664</v>
      </c>
      <c r="Q715" s="23">
        <f t="shared" si="4740"/>
        <v>-42.943828056688702</v>
      </c>
      <c r="R715" s="35">
        <f>R654/R$656*100</f>
        <v>-19.524551831644583</v>
      </c>
      <c r="S715" s="23">
        <f t="shared" si="4740"/>
        <v>-3.2025968964785156</v>
      </c>
      <c r="T715" s="35">
        <f>T654/T$656*100</f>
        <v>-19.411764705882355</v>
      </c>
      <c r="U715" s="23">
        <f t="shared" si="4740"/>
        <v>18.120885051268232</v>
      </c>
      <c r="V715" s="35">
        <f>V654/V$656*100</f>
        <v>-14.636948529411766</v>
      </c>
      <c r="W715" s="23">
        <f t="shared" si="4740"/>
        <v>-31.341784508399705</v>
      </c>
      <c r="X715" s="35">
        <f>X654/X$656*100</f>
        <v>-14.430960970810105</v>
      </c>
      <c r="Y715" s="23">
        <f t="shared" si="4740"/>
        <v>-30.950168652077181</v>
      </c>
      <c r="Z715" s="35">
        <f>Z654/Z$656*100</f>
        <v>-16.140199048031143</v>
      </c>
      <c r="AA715" s="23">
        <f t="shared" si="4741"/>
        <v>-17.333830823856466</v>
      </c>
      <c r="AB715" s="35">
        <f>AB654/AB$656*100</f>
        <v>-11.669713589274833</v>
      </c>
      <c r="AC715" s="23">
        <f t="shared" si="4742"/>
        <v>-39.883293631008442</v>
      </c>
      <c r="AD715" s="35">
        <f>AD654/AD$656*100</f>
        <v>-15.998641304347828</v>
      </c>
      <c r="AE715" s="23">
        <f t="shared" si="4743"/>
        <v>9.3031192410074404</v>
      </c>
      <c r="AF715" s="35">
        <f>AF654/AF$656*100</f>
        <v>-12.652519893899209</v>
      </c>
      <c r="AG715" s="23">
        <f t="shared" si="4744"/>
        <v>-12.323788280684822</v>
      </c>
      <c r="AH715" s="35">
        <f>AH654/AH$656*100</f>
        <v>-16.637901277183293</v>
      </c>
      <c r="AI715" s="23">
        <f t="shared" si="4745"/>
        <v>3.0836189050150731</v>
      </c>
      <c r="AJ715" s="35">
        <f>AJ654/AJ$656*100</f>
        <v>-20.3047619047619</v>
      </c>
      <c r="AK715" s="23">
        <f t="shared" si="4746"/>
        <v>73.995374860126773</v>
      </c>
      <c r="AL715" s="35">
        <f>AL654/AL$656*100</f>
        <v>-55.142231947483644</v>
      </c>
      <c r="AM715" s="23" t="str">
        <f t="shared" si="4747"/>
        <v>NM</v>
      </c>
      <c r="AN715" s="409">
        <f t="shared" ref="AN715:AP716" si="4813">AN654/AN$656*100</f>
        <v>-28.477280610475198</v>
      </c>
      <c r="AO715" s="23" t="str">
        <f t="shared" si="4749"/>
        <v>NM</v>
      </c>
      <c r="AP715" s="409">
        <f t="shared" si="4813"/>
        <v>-120.29816513761489</v>
      </c>
      <c r="AQ715" s="23" t="str">
        <f t="shared" si="4750"/>
        <v>NM</v>
      </c>
      <c r="AR715" s="409">
        <f t="shared" ref="AR715:AT716" si="4814">AR654/AR$656*100</f>
        <v>-96.704980842911908</v>
      </c>
      <c r="AS715" s="23" t="str">
        <f t="shared" si="4752"/>
        <v>NM</v>
      </c>
      <c r="AT715" s="409">
        <f t="shared" si="4814"/>
        <v>296.476964769647</v>
      </c>
      <c r="AU715" s="23" t="str">
        <f t="shared" si="4753"/>
        <v>NM</v>
      </c>
      <c r="AV715" s="409">
        <f t="shared" ref="AV715:AX716" si="4815">AV654/AV$656*100</f>
        <v>-89.104278074866372</v>
      </c>
      <c r="AW715" s="23" t="str">
        <f t="shared" si="4755"/>
        <v>NM</v>
      </c>
      <c r="AX715" s="409">
        <f t="shared" si="4815"/>
        <v>-65.405777166437488</v>
      </c>
      <c r="AY715" s="23">
        <f t="shared" si="4756"/>
        <v>-45.630278656688859</v>
      </c>
      <c r="AZ715" s="409">
        <f t="shared" ref="AZ715:AZ716" si="4816">AZ654/AZ$656*100</f>
        <v>-93.925233644859944</v>
      </c>
      <c r="BA715" s="23">
        <f t="shared" si="4758"/>
        <v>-2.8744612467969999</v>
      </c>
      <c r="BB715" s="409">
        <f t="shared" ref="BB715:BD716" si="4817">BB654/BB$656*100</f>
        <v>-260.66350710900446</v>
      </c>
      <c r="BC715" s="23" t="str">
        <f t="shared" si="4760"/>
        <v>NM</v>
      </c>
      <c r="BD715" s="409">
        <f t="shared" si="4817"/>
        <v>-37.987152034261243</v>
      </c>
      <c r="BE715" s="23" t="str">
        <f t="shared" si="4761"/>
        <v>NM</v>
      </c>
      <c r="BF715" s="35">
        <f t="shared" ref="BF715" si="4818">BF654/BF$656*100</f>
        <v>-43.03352266991967</v>
      </c>
      <c r="BG715" s="23">
        <f t="shared" si="4763"/>
        <v>-34.205318651878933</v>
      </c>
      <c r="BH715" s="35">
        <f t="shared" ref="BH715" si="4819">BH654/BH$656*100</f>
        <v>-38.280825015086492</v>
      </c>
      <c r="BI715" s="23" t="str">
        <f t="shared" si="4765"/>
        <v>NM</v>
      </c>
      <c r="BJ715" s="35">
        <f t="shared" ref="BJ715" si="4820">BJ654/BJ$656*100</f>
        <v>-31.137950557512461</v>
      </c>
      <c r="BK715" s="23" t="str">
        <f t="shared" si="4767"/>
        <v>NM</v>
      </c>
      <c r="BL715" s="35">
        <f t="shared" ref="BL715" si="4821">BL654/BL$656*100</f>
        <v>-27.697427183492497</v>
      </c>
      <c r="BM715" s="23">
        <f t="shared" si="4769"/>
        <v>-27.087381653376575</v>
      </c>
      <c r="BN715" s="5"/>
      <c r="BO715" s="138"/>
      <c r="BP715" s="5"/>
      <c r="BQ715" s="5"/>
      <c r="BR715" s="5"/>
      <c r="BS715" s="5"/>
      <c r="BT715" s="5"/>
      <c r="BU715" s="35">
        <f t="shared" ref="BU715:BY715" si="4822">BU654/BU$656*100</f>
        <v>-20.554884545987758</v>
      </c>
      <c r="BV715" s="23" t="str">
        <f t="shared" si="4770"/>
        <v>NA</v>
      </c>
      <c r="BW715" s="35">
        <f t="shared" si="4822"/>
        <v>-19.864013772964011</v>
      </c>
      <c r="BX715" s="23">
        <f t="shared" si="4772"/>
        <v>-3.3611026687016987</v>
      </c>
      <c r="BY715" s="35">
        <f t="shared" si="4822"/>
        <v>-16.599668952471031</v>
      </c>
      <c r="BZ715" s="23">
        <f t="shared" si="4773"/>
        <v>-16.433460315739048</v>
      </c>
      <c r="CA715" s="35">
        <f>CA654/CA$656*100</f>
        <v>-13.845778825058908</v>
      </c>
      <c r="CB715" s="23">
        <f t="shared" si="4773"/>
        <v>-16.590030411432867</v>
      </c>
      <c r="CC715" s="35">
        <f>CC654/CC$656*100</f>
        <v>-26.513911620294611</v>
      </c>
      <c r="CD715" s="23">
        <f t="shared" si="4773"/>
        <v>91.494548304557412</v>
      </c>
      <c r="CE715" s="35">
        <f>CE654/CE$656*100</f>
        <v>-143.40193704600495</v>
      </c>
      <c r="CF715" s="23" t="str">
        <f t="shared" si="4773"/>
        <v>NM</v>
      </c>
      <c r="CG715" s="35">
        <f>CG654/CG$656*100</f>
        <v>-74.663889414883528</v>
      </c>
      <c r="CH715" s="23">
        <f t="shared" si="4773"/>
        <v>-47.933834819169483</v>
      </c>
      <c r="CI715" s="35">
        <f>CI654/CI$656*100</f>
        <v>-34.496379882201317</v>
      </c>
      <c r="CJ715" s="23" t="str">
        <f t="shared" si="4773"/>
        <v>NM</v>
      </c>
      <c r="CK715" s="35">
        <f>CK654/CK$656*100</f>
        <v>-23.990258803293056</v>
      </c>
      <c r="CL715" s="23">
        <f t="shared" si="4773"/>
        <v>-30.455720614118643</v>
      </c>
      <c r="CM715" s="35">
        <f>CM654/CM$656*100</f>
        <v>-22.941496085740106</v>
      </c>
      <c r="CN715" s="23">
        <f t="shared" si="4773"/>
        <v>-4.3716190231719798</v>
      </c>
      <c r="CO715" s="35">
        <f>CO654/CO$656*100</f>
        <v>-22.0055102921295</v>
      </c>
      <c r="CP715" s="23">
        <f t="shared" si="4773"/>
        <v>-4.0798812340420598</v>
      </c>
      <c r="CQ715" s="35">
        <f>CQ654/CQ$656*100</f>
        <v>-21.153897604373292</v>
      </c>
      <c r="CR715" s="23">
        <f t="shared" si="4773"/>
        <v>-3.8699974526871017</v>
      </c>
      <c r="CS715" s="23">
        <f t="shared" si="4774"/>
        <v>-22.293748809618997</v>
      </c>
    </row>
    <row r="716" spans="1:97" ht="12.75" customHeight="1" x14ac:dyDescent="0.2">
      <c r="A716" s="4" t="s">
        <v>221</v>
      </c>
      <c r="B716" s="35">
        <f>B655/B$656*100</f>
        <v>6.2291126263893961</v>
      </c>
      <c r="C716" s="59"/>
      <c r="D716" s="35">
        <f>D655/D$656*100</f>
        <v>6.2562215544331323</v>
      </c>
      <c r="E716" s="59"/>
      <c r="F716" s="35">
        <f>F655/F$656*100</f>
        <v>6.8098984680693571</v>
      </c>
      <c r="G716" s="59"/>
      <c r="H716" s="35">
        <f>H655/H$656*100</f>
        <v>5.7233463174589829</v>
      </c>
      <c r="I716" s="59"/>
      <c r="J716" s="35">
        <f>J655/J$656*100</f>
        <v>10.126940997024434</v>
      </c>
      <c r="K716" s="23">
        <f t="shared" si="4740"/>
        <v>62.574376230123654</v>
      </c>
      <c r="L716" s="35">
        <f>L655/L$656*100</f>
        <v>20.002010252286663</v>
      </c>
      <c r="M716" s="23" t="str">
        <f t="shared" si="4740"/>
        <v>NM</v>
      </c>
      <c r="N716" s="35">
        <f>N655/N$656*100</f>
        <v>8.0684859005059462</v>
      </c>
      <c r="O716" s="23">
        <f t="shared" si="4740"/>
        <v>18.481735643165997</v>
      </c>
      <c r="P716" s="35">
        <f>P655/P$656*100</f>
        <v>11.408356861072093</v>
      </c>
      <c r="Q716" s="23">
        <f t="shared" si="4740"/>
        <v>99.330186018467373</v>
      </c>
      <c r="R716" s="35">
        <f>R655/R$656*100</f>
        <v>8.3398285268901002</v>
      </c>
      <c r="S716" s="23">
        <f t="shared" si="4740"/>
        <v>-17.64711052093061</v>
      </c>
      <c r="T716" s="35">
        <f>T655/T$656*100</f>
        <v>6.6176470588235299</v>
      </c>
      <c r="U716" s="23" t="str">
        <f t="shared" si="4740"/>
        <v>NM</v>
      </c>
      <c r="V716" s="35">
        <f>V655/V$656*100</f>
        <v>3.3318014705882346</v>
      </c>
      <c r="W716" s="23" t="str">
        <f t="shared" si="4740"/>
        <v>NM</v>
      </c>
      <c r="X716" s="35">
        <f>X655/X$656*100</f>
        <v>-1.0823220728107592</v>
      </c>
      <c r="Y716" s="23" t="str">
        <f t="shared" si="4740"/>
        <v>NM</v>
      </c>
      <c r="Z716" s="35">
        <f>Z655/Z$656*100</f>
        <v>0.38944180008654172</v>
      </c>
      <c r="AA716" s="23" t="str">
        <f t="shared" si="4741"/>
        <v>NM</v>
      </c>
      <c r="AB716" s="35">
        <f>AB655/AB$656*100</f>
        <v>3.1992687385740397</v>
      </c>
      <c r="AC716" s="23" t="str">
        <f t="shared" si="4742"/>
        <v>NM</v>
      </c>
      <c r="AD716" s="35">
        <f>AD655/AD$656*100</f>
        <v>3.5665760869565215</v>
      </c>
      <c r="AE716" s="23">
        <f t="shared" si="4743"/>
        <v>7.0464767616192026</v>
      </c>
      <c r="AF716" s="35">
        <f>AF655/AF$656*100</f>
        <v>0.74270557029177764</v>
      </c>
      <c r="AG716" s="23" t="str">
        <f t="shared" si="4744"/>
        <v>NM</v>
      </c>
      <c r="AH716" s="35">
        <f>AH655/AH$656*100</f>
        <v>4.7635484984466681</v>
      </c>
      <c r="AI716" s="23" t="str">
        <f t="shared" si="4745"/>
        <v>NM</v>
      </c>
      <c r="AJ716" s="35">
        <f>AJ655/AJ$656*100</f>
        <v>1.5238095238095237</v>
      </c>
      <c r="AK716" s="23" t="str">
        <f t="shared" si="4746"/>
        <v>NM</v>
      </c>
      <c r="AL716" s="35">
        <f>AL655/AL$656*100</f>
        <v>1.8964259664478498</v>
      </c>
      <c r="AM716" s="23">
        <f t="shared" si="4747"/>
        <v>-46.827828140738383</v>
      </c>
      <c r="AN716" s="409">
        <f t="shared" si="4813"/>
        <v>0.6937218175511618</v>
      </c>
      <c r="AO716" s="23">
        <f t="shared" si="4749"/>
        <v>-6.5953124225757715</v>
      </c>
      <c r="AP716" s="409">
        <f t="shared" si="4813"/>
        <v>4.3577981651376207</v>
      </c>
      <c r="AQ716" s="23">
        <f t="shared" si="4750"/>
        <v>-8.5178167796834074</v>
      </c>
      <c r="AR716" s="409">
        <f t="shared" si="4814"/>
        <v>1.4559386973180082</v>
      </c>
      <c r="AS716" s="23">
        <f t="shared" si="4752"/>
        <v>-4.454022988505713</v>
      </c>
      <c r="AT716" s="409">
        <f t="shared" si="4814"/>
        <v>18.699186991869876</v>
      </c>
      <c r="AU716" s="23" t="str">
        <f t="shared" si="4753"/>
        <v>NM</v>
      </c>
      <c r="AV716" s="409">
        <f t="shared" si="4815"/>
        <v>0</v>
      </c>
      <c r="AW716" s="23" t="str">
        <f t="shared" si="4755"/>
        <v>NM</v>
      </c>
      <c r="AX716" s="409">
        <f t="shared" si="4815"/>
        <v>0</v>
      </c>
      <c r="AY716" s="23" t="str">
        <f t="shared" si="4756"/>
        <v>NM</v>
      </c>
      <c r="AZ716" s="409">
        <f t="shared" si="4816"/>
        <v>0</v>
      </c>
      <c r="BA716" s="23" t="str">
        <f t="shared" si="4758"/>
        <v>NM</v>
      </c>
      <c r="BB716" s="409">
        <f t="shared" si="4817"/>
        <v>0</v>
      </c>
      <c r="BC716" s="23" t="str">
        <f t="shared" si="4760"/>
        <v>NM</v>
      </c>
      <c r="BD716" s="409">
        <f t="shared" si="4817"/>
        <v>0</v>
      </c>
      <c r="BE716" s="23" t="str">
        <f t="shared" si="4761"/>
        <v>NA</v>
      </c>
      <c r="BF716" s="35">
        <f t="shared" ref="BF716" si="4823">BF655/BF$656*100</f>
        <v>0</v>
      </c>
      <c r="BG716" s="23" t="str">
        <f t="shared" si="4763"/>
        <v>NA</v>
      </c>
      <c r="BH716" s="35">
        <f t="shared" ref="BH716" si="4824">BH655/BH$656*100</f>
        <v>0</v>
      </c>
      <c r="BI716" s="23" t="str">
        <f t="shared" si="4765"/>
        <v>NA</v>
      </c>
      <c r="BJ716" s="35">
        <f t="shared" ref="BJ716" si="4825">BJ655/BJ$656*100</f>
        <v>0</v>
      </c>
      <c r="BK716" s="23" t="str">
        <f t="shared" si="4767"/>
        <v>NA</v>
      </c>
      <c r="BL716" s="35">
        <f t="shared" ref="BL716" si="4826">BL655/BL$656*100</f>
        <v>0</v>
      </c>
      <c r="BM716" s="23" t="str">
        <f t="shared" si="4769"/>
        <v>NA</v>
      </c>
      <c r="BN716" s="5"/>
      <c r="BO716" s="138"/>
      <c r="BP716" s="5"/>
      <c r="BQ716" s="5"/>
      <c r="BR716" s="5"/>
      <c r="BS716" s="5"/>
      <c r="BT716" s="5"/>
      <c r="BU716" s="35">
        <f t="shared" ref="BU716:BY716" si="4827">BU655/BU$656*100</f>
        <v>6.2771867227755855</v>
      </c>
      <c r="BV716" s="23" t="str">
        <f t="shared" si="4770"/>
        <v>NA</v>
      </c>
      <c r="BW716" s="35">
        <f t="shared" si="4827"/>
        <v>11.953276527120964</v>
      </c>
      <c r="BX716" s="23">
        <f t="shared" si="4772"/>
        <v>90.424103265094232</v>
      </c>
      <c r="BY716" s="35">
        <f t="shared" si="4827"/>
        <v>3.9883345156459367</v>
      </c>
      <c r="BZ716" s="23" t="str">
        <f t="shared" si="4773"/>
        <v>NM</v>
      </c>
      <c r="CA716" s="35">
        <f>CA655/CA$656*100</f>
        <v>2.006987893068986</v>
      </c>
      <c r="CB716" s="23">
        <f t="shared" si="4773"/>
        <v>-49.678546641568722</v>
      </c>
      <c r="CC716" s="35">
        <f>CC655/CC$656*100</f>
        <v>2.2913256955810142</v>
      </c>
      <c r="CD716" s="23">
        <f t="shared" si="4773"/>
        <v>14.167390022330073</v>
      </c>
      <c r="CE716" s="35">
        <f>CE655/CE$656*100</f>
        <v>-0.36319612590798922</v>
      </c>
      <c r="CF716" s="23" t="str">
        <f t="shared" si="4773"/>
        <v>NM</v>
      </c>
      <c r="CG716" s="35">
        <f>CG655/CG$656*100</f>
        <v>0</v>
      </c>
      <c r="CH716" s="23" t="str">
        <f t="shared" si="4773"/>
        <v>NM</v>
      </c>
      <c r="CI716" s="35">
        <f>CI655/CI$656*100</f>
        <v>0</v>
      </c>
      <c r="CJ716" s="23" t="str">
        <f t="shared" si="4773"/>
        <v>NA</v>
      </c>
      <c r="CK716" s="35">
        <f>CK655/CK$656*100</f>
        <v>0</v>
      </c>
      <c r="CL716" s="23" t="str">
        <f t="shared" si="4773"/>
        <v>NA</v>
      </c>
      <c r="CM716" s="35">
        <f>CM655/CM$656*100</f>
        <v>0</v>
      </c>
      <c r="CN716" s="23" t="str">
        <f t="shared" si="4773"/>
        <v>NA</v>
      </c>
      <c r="CO716" s="35">
        <f>CO655/CO$656*100</f>
        <v>0</v>
      </c>
      <c r="CP716" s="23" t="str">
        <f t="shared" si="4773"/>
        <v>NA</v>
      </c>
      <c r="CQ716" s="35">
        <f>CQ655/CQ$656*100</f>
        <v>0</v>
      </c>
      <c r="CR716" s="23" t="str">
        <f t="shared" si="4773"/>
        <v>NA</v>
      </c>
      <c r="CS716" s="23" t="str">
        <f t="shared" si="4774"/>
        <v>NA</v>
      </c>
    </row>
    <row r="717" spans="1:97" ht="12.75" customHeight="1" x14ac:dyDescent="0.2">
      <c r="A717" s="3" t="s">
        <v>227</v>
      </c>
      <c r="B717" s="35">
        <f>B714+B715+B716</f>
        <v>100</v>
      </c>
      <c r="C717" s="59"/>
      <c r="D717" s="35">
        <f t="shared" ref="D717:Z717" si="4828">D714+D715+D716</f>
        <v>100</v>
      </c>
      <c r="E717" s="59"/>
      <c r="F717" s="35">
        <f t="shared" si="4828"/>
        <v>100</v>
      </c>
      <c r="G717" s="59"/>
      <c r="H717" s="35">
        <f t="shared" si="4828"/>
        <v>100</v>
      </c>
      <c r="I717" s="59"/>
      <c r="J717" s="35">
        <f t="shared" si="4828"/>
        <v>100</v>
      </c>
      <c r="K717" s="23">
        <f t="shared" si="4740"/>
        <v>0</v>
      </c>
      <c r="L717" s="35">
        <f t="shared" si="4828"/>
        <v>99.999999999999986</v>
      </c>
      <c r="M717" s="23">
        <f t="shared" si="4740"/>
        <v>-1.1102230246251565E-14</v>
      </c>
      <c r="N717" s="35">
        <f t="shared" si="4828"/>
        <v>100</v>
      </c>
      <c r="O717" s="23">
        <f t="shared" si="4740"/>
        <v>0</v>
      </c>
      <c r="P717" s="35">
        <f t="shared" si="4828"/>
        <v>100</v>
      </c>
      <c r="Q717" s="23">
        <f t="shared" si="4740"/>
        <v>0</v>
      </c>
      <c r="R717" s="35">
        <f t="shared" si="4828"/>
        <v>99.999999999999986</v>
      </c>
      <c r="S717" s="23">
        <f t="shared" si="4740"/>
        <v>-1.1102230246251565E-14</v>
      </c>
      <c r="T717" s="35">
        <f t="shared" si="4828"/>
        <v>100.00000000000003</v>
      </c>
      <c r="U717" s="23">
        <f t="shared" si="4740"/>
        <v>4.4408920985006262E-14</v>
      </c>
      <c r="V717" s="35">
        <f t="shared" si="4828"/>
        <v>100.00000000000001</v>
      </c>
      <c r="W717" s="23">
        <f t="shared" si="4740"/>
        <v>2.2204460492503131E-14</v>
      </c>
      <c r="X717" s="35">
        <f t="shared" si="4828"/>
        <v>100.00000000000001</v>
      </c>
      <c r="Y717" s="23">
        <f t="shared" si="4740"/>
        <v>2.2204460492503131E-14</v>
      </c>
      <c r="Z717" s="35">
        <f t="shared" si="4828"/>
        <v>99.999999999999986</v>
      </c>
      <c r="AA717" s="23">
        <f t="shared" si="4741"/>
        <v>0</v>
      </c>
      <c r="AB717" s="35">
        <f t="shared" ref="AB717:AD717" si="4829">AB714+AB715+AB716</f>
        <v>99.999999999999986</v>
      </c>
      <c r="AC717" s="23">
        <f t="shared" si="4742"/>
        <v>-4.4408920985006262E-14</v>
      </c>
      <c r="AD717" s="35">
        <f t="shared" si="4829"/>
        <v>100</v>
      </c>
      <c r="AE717" s="23">
        <f t="shared" si="4743"/>
        <v>-1.1102230246251565E-14</v>
      </c>
      <c r="AF717" s="35">
        <f t="shared" ref="AF717:AH717" si="4830">AF714+AF715+AF716</f>
        <v>100</v>
      </c>
      <c r="AG717" s="23">
        <f t="shared" si="4744"/>
        <v>-1.1102230246251565E-14</v>
      </c>
      <c r="AH717" s="35">
        <f t="shared" si="4830"/>
        <v>99.999999999999986</v>
      </c>
      <c r="AI717" s="23">
        <f t="shared" si="4745"/>
        <v>0</v>
      </c>
      <c r="AJ717" s="35">
        <f t="shared" ref="AJ717:AL717" si="4831">AJ714+AJ715+AJ716</f>
        <v>100</v>
      </c>
      <c r="AK717" s="23">
        <f t="shared" si="4746"/>
        <v>2.2204460492503131E-14</v>
      </c>
      <c r="AL717" s="35">
        <f t="shared" si="4831"/>
        <v>99.999999999999943</v>
      </c>
      <c r="AM717" s="23">
        <f t="shared" si="4747"/>
        <v>-5.5511151231257827E-14</v>
      </c>
      <c r="AN717" s="409">
        <f t="shared" ref="AN717:AP717" si="4832">AN714+AN715+AN716</f>
        <v>99.999999999999972</v>
      </c>
      <c r="AO717" s="23">
        <f t="shared" si="4749"/>
        <v>-3.3306690738754696E-14</v>
      </c>
      <c r="AP717" s="409">
        <f t="shared" si="4832"/>
        <v>99.999999999999986</v>
      </c>
      <c r="AQ717" s="23">
        <f t="shared" si="4750"/>
        <v>0</v>
      </c>
      <c r="AR717" s="409">
        <f t="shared" ref="AR717:AT717" si="4833">AR714+AR715+AR716</f>
        <v>99.999999999999972</v>
      </c>
      <c r="AS717" s="23">
        <f t="shared" si="4752"/>
        <v>-3.3306690738754696E-14</v>
      </c>
      <c r="AT717" s="409">
        <f t="shared" si="4833"/>
        <v>99.999999999999915</v>
      </c>
      <c r="AU717" s="23">
        <f t="shared" si="4753"/>
        <v>-3.3306690738754696E-14</v>
      </c>
      <c r="AV717" s="409">
        <f t="shared" ref="AV717:AX717" si="4834">AV714+AV715+AV716</f>
        <v>100.00000000000004</v>
      </c>
      <c r="AW717" s="23">
        <f t="shared" si="4755"/>
        <v>6.6613381477509392E-14</v>
      </c>
      <c r="AX717" s="409">
        <f t="shared" si="4834"/>
        <v>100.00000000000001</v>
      </c>
      <c r="AY717" s="23">
        <f t="shared" si="4756"/>
        <v>2.2204460492503131E-14</v>
      </c>
      <c r="AZ717" s="409">
        <f t="shared" ref="AZ717" si="4835">AZ714+AZ715+AZ716</f>
        <v>99.999999999999986</v>
      </c>
      <c r="BA717" s="23">
        <f t="shared" si="4758"/>
        <v>2.2204460492503131E-14</v>
      </c>
      <c r="BB717" s="409">
        <f t="shared" ref="BB717:BD717" si="4836">BB714+BB715+BB716</f>
        <v>99.999999999999943</v>
      </c>
      <c r="BC717" s="23">
        <f t="shared" si="4760"/>
        <v>2.2204460492503131E-14</v>
      </c>
      <c r="BD717" s="409">
        <f t="shared" si="4836"/>
        <v>100</v>
      </c>
      <c r="BE717" s="23">
        <f t="shared" si="4761"/>
        <v>-4.4408920985006262E-14</v>
      </c>
      <c r="BF717" s="35">
        <f t="shared" ref="BF717" si="4837">BF714+BF715+BF716</f>
        <v>99.999999999999972</v>
      </c>
      <c r="BG717" s="23">
        <f t="shared" si="4763"/>
        <v>-4.4408920985006262E-14</v>
      </c>
      <c r="BH717" s="35">
        <f t="shared" ref="BH717" si="4838">BH714+BH715+BH716</f>
        <v>99.999999999999972</v>
      </c>
      <c r="BI717" s="23">
        <f t="shared" si="4765"/>
        <v>-1.1102230246251565E-14</v>
      </c>
      <c r="BJ717" s="35">
        <f t="shared" ref="BJ717" si="4839">BJ714+BJ715+BJ716</f>
        <v>100</v>
      </c>
      <c r="BK717" s="23">
        <f t="shared" si="4767"/>
        <v>6.6613381477509392E-14</v>
      </c>
      <c r="BL717" s="35">
        <f t="shared" ref="BL717" si="4840">BL714+BL715+BL716</f>
        <v>100.00000000000003</v>
      </c>
      <c r="BM717" s="23">
        <f t="shared" si="4769"/>
        <v>2.2204460492503131E-14</v>
      </c>
      <c r="BN717" s="5"/>
      <c r="BO717" s="138"/>
      <c r="BP717" s="5"/>
      <c r="BQ717" s="5"/>
      <c r="BR717" s="5"/>
      <c r="BS717" s="5"/>
      <c r="BT717" s="5"/>
      <c r="BU717" s="35">
        <f t="shared" ref="BU717:CA717" si="4841">BU714+BU715+BU716</f>
        <v>100.00000000000001</v>
      </c>
      <c r="BV717" s="23" t="str">
        <f t="shared" si="4770"/>
        <v>NA</v>
      </c>
      <c r="BW717" s="35">
        <f t="shared" si="4841"/>
        <v>99.999999999999972</v>
      </c>
      <c r="BX717" s="23">
        <f t="shared" si="4772"/>
        <v>-4.4408920985006262E-14</v>
      </c>
      <c r="BY717" s="35">
        <f t="shared" si="4841"/>
        <v>99.999999999999986</v>
      </c>
      <c r="BZ717" s="23">
        <f t="shared" si="4773"/>
        <v>2.2204460492503131E-14</v>
      </c>
      <c r="CA717" s="35">
        <f t="shared" si="4841"/>
        <v>100</v>
      </c>
      <c r="CB717" s="23">
        <f t="shared" si="4773"/>
        <v>2.2204460492503131E-14</v>
      </c>
      <c r="CC717" s="35">
        <f t="shared" ref="CC717" si="4842">CC714+CC715+CC716</f>
        <v>100.00000000000001</v>
      </c>
      <c r="CD717" s="23">
        <f t="shared" si="4773"/>
        <v>2.2204460492503131E-14</v>
      </c>
      <c r="CE717" s="35">
        <f t="shared" ref="CE717" si="4843">CE714+CE715+CE716</f>
        <v>100.00000000000003</v>
      </c>
      <c r="CF717" s="23">
        <f t="shared" si="4773"/>
        <v>2.2204460492503131E-14</v>
      </c>
      <c r="CG717" s="35">
        <f t="shared" ref="CG717" si="4844">CG714+CG715+CG716</f>
        <v>100</v>
      </c>
      <c r="CH717" s="23">
        <f t="shared" si="4773"/>
        <v>-3.3306690738754696E-14</v>
      </c>
      <c r="CI717" s="35">
        <f t="shared" ref="CI717" si="4845">CI714+CI715+CI716</f>
        <v>99.999999999999972</v>
      </c>
      <c r="CJ717" s="23">
        <f t="shared" si="4773"/>
        <v>-3.3306690738754696E-14</v>
      </c>
      <c r="CK717" s="35">
        <f>CK714+CK715+CK716</f>
        <v>99.999999999999986</v>
      </c>
      <c r="CL717" s="23">
        <f t="shared" si="4773"/>
        <v>2.2204460492503131E-14</v>
      </c>
      <c r="CM717" s="35">
        <f>CM714+CM715+CM716</f>
        <v>100</v>
      </c>
      <c r="CN717" s="23">
        <f t="shared" si="4773"/>
        <v>2.2204460492503131E-14</v>
      </c>
      <c r="CO717" s="35">
        <f>CO714+CO715+CO716</f>
        <v>100.00000000000003</v>
      </c>
      <c r="CP717" s="23">
        <f t="shared" si="4773"/>
        <v>2.2204460492503131E-14</v>
      </c>
      <c r="CQ717" s="35">
        <f>CQ714+CQ715+CQ716</f>
        <v>100</v>
      </c>
      <c r="CR717" s="23">
        <f t="shared" si="4773"/>
        <v>-3.3306690738754696E-14</v>
      </c>
      <c r="CS717" s="23">
        <f t="shared" si="4774"/>
        <v>0</v>
      </c>
    </row>
    <row r="718" spans="1:97" ht="12.75" customHeight="1" x14ac:dyDescent="0.2">
      <c r="B718" s="35"/>
      <c r="D718" s="35"/>
      <c r="F718" s="35"/>
      <c r="H718" s="35"/>
      <c r="J718" s="35"/>
      <c r="L718" s="35"/>
      <c r="N718" s="35"/>
      <c r="P718" s="35"/>
      <c r="R718" s="35"/>
      <c r="T718" s="35"/>
      <c r="V718" s="35"/>
      <c r="X718" s="35"/>
      <c r="Z718" s="35"/>
      <c r="AB718" s="35"/>
      <c r="AD718" s="35"/>
      <c r="AF718" s="35"/>
      <c r="AH718" s="35"/>
      <c r="AJ718" s="35"/>
      <c r="AL718" s="35"/>
      <c r="AN718" s="409"/>
      <c r="AP718" s="409"/>
      <c r="AR718" s="409"/>
      <c r="AT718" s="409"/>
      <c r="AV718" s="409"/>
      <c r="AX718" s="409"/>
      <c r="AZ718" s="409"/>
      <c r="BB718" s="409"/>
      <c r="BD718" s="409"/>
      <c r="BF718" s="35"/>
      <c r="BH718" s="35"/>
      <c r="BJ718" s="35"/>
      <c r="BL718" s="35"/>
      <c r="BN718" s="5"/>
      <c r="BO718" s="138"/>
      <c r="BP718" s="5"/>
      <c r="BQ718" s="5"/>
      <c r="BR718" s="5"/>
      <c r="BS718" s="5"/>
      <c r="BT718" s="5"/>
      <c r="BU718" s="35"/>
      <c r="BW718" s="35"/>
      <c r="BY718" s="35"/>
      <c r="CA718" s="35"/>
      <c r="CC718" s="35"/>
      <c r="CE718" s="35"/>
      <c r="CG718" s="35"/>
      <c r="CI718" s="35"/>
      <c r="CK718" s="35"/>
      <c r="CM718" s="35"/>
      <c r="CO718" s="35"/>
      <c r="CQ718" s="35"/>
    </row>
    <row r="719" spans="1:97" ht="12.75" customHeight="1" x14ac:dyDescent="0.2">
      <c r="A719" s="7" t="s">
        <v>228</v>
      </c>
      <c r="B719" s="33"/>
      <c r="C719" s="62"/>
      <c r="D719" s="33"/>
      <c r="E719" s="62"/>
      <c r="F719" s="33"/>
      <c r="G719" s="62"/>
      <c r="H719" s="33"/>
      <c r="I719" s="62"/>
      <c r="J719" s="33"/>
      <c r="K719" s="182"/>
      <c r="L719" s="33"/>
      <c r="M719" s="182"/>
      <c r="N719" s="33"/>
      <c r="O719" s="182"/>
      <c r="P719" s="33"/>
      <c r="Q719" s="182"/>
      <c r="R719" s="33"/>
      <c r="S719" s="182"/>
      <c r="T719" s="33"/>
      <c r="U719" s="182"/>
      <c r="V719" s="33"/>
      <c r="W719" s="182"/>
      <c r="X719" s="33"/>
      <c r="Y719" s="182"/>
      <c r="Z719" s="33"/>
      <c r="AA719" s="182"/>
      <c r="AB719" s="33"/>
      <c r="AC719" s="182"/>
      <c r="AD719" s="33"/>
      <c r="AE719" s="182"/>
      <c r="AF719" s="33"/>
      <c r="AG719" s="182"/>
      <c r="AH719" s="33"/>
      <c r="AI719" s="182"/>
      <c r="AJ719" s="33"/>
      <c r="AK719" s="182"/>
      <c r="AL719" s="33"/>
      <c r="AM719" s="182"/>
      <c r="AN719" s="33"/>
      <c r="AO719" s="182"/>
      <c r="AP719" s="33"/>
      <c r="AQ719" s="182"/>
      <c r="AR719" s="33"/>
      <c r="AS719" s="182"/>
      <c r="AT719" s="33"/>
      <c r="AU719" s="182"/>
      <c r="AV719" s="33"/>
      <c r="AW719" s="182"/>
      <c r="AX719" s="33"/>
      <c r="AY719" s="182"/>
      <c r="AZ719" s="33"/>
      <c r="BA719" s="182"/>
      <c r="BB719" s="33"/>
      <c r="BC719" s="182"/>
      <c r="BD719" s="33"/>
      <c r="BE719" s="182"/>
      <c r="BF719" s="33"/>
      <c r="BG719" s="182"/>
      <c r="BH719" s="33"/>
      <c r="BI719" s="182"/>
      <c r="BJ719" s="33"/>
      <c r="BK719" s="182"/>
      <c r="BL719" s="33"/>
      <c r="BM719" s="182"/>
      <c r="BN719" s="7"/>
      <c r="BO719" s="144"/>
      <c r="BP719" s="7"/>
      <c r="BQ719" s="7"/>
      <c r="BR719" s="7"/>
      <c r="BS719" s="7"/>
      <c r="BT719" s="7"/>
      <c r="BU719" s="33"/>
      <c r="BV719" s="182"/>
      <c r="BW719" s="33"/>
      <c r="BX719" s="182"/>
      <c r="BY719" s="33"/>
      <c r="BZ719" s="182"/>
      <c r="CA719" s="33"/>
      <c r="CB719" s="182"/>
      <c r="CC719" s="33"/>
      <c r="CD719" s="182"/>
      <c r="CE719" s="33"/>
      <c r="CF719" s="182"/>
      <c r="CG719" s="33"/>
      <c r="CH719" s="182"/>
      <c r="CI719" s="33"/>
      <c r="CJ719" s="182"/>
      <c r="CK719" s="33"/>
      <c r="CL719" s="182"/>
      <c r="CM719" s="33"/>
      <c r="CN719" s="182"/>
      <c r="CO719" s="33"/>
      <c r="CP719" s="182"/>
      <c r="CQ719" s="33"/>
      <c r="CR719" s="182"/>
      <c r="CS719" s="182"/>
    </row>
    <row r="720" spans="1:97" ht="12.75" customHeight="1" x14ac:dyDescent="0.2">
      <c r="A720" s="31" t="s">
        <v>192</v>
      </c>
      <c r="B720" s="35">
        <f>B664/B$672*100</f>
        <v>48.697471226857068</v>
      </c>
      <c r="C720" s="59"/>
      <c r="D720" s="35">
        <f>D664/D$672*100</f>
        <v>49.830023794001271</v>
      </c>
      <c r="E720" s="59"/>
      <c r="F720" s="35">
        <f>F664/F$672*100</f>
        <v>45.564675139492202</v>
      </c>
      <c r="G720" s="59"/>
      <c r="H720" s="35">
        <f>H664/H$672*100</f>
        <v>28.926666288525819</v>
      </c>
      <c r="I720" s="59"/>
      <c r="J720" s="35">
        <f>J664/J$672*100</f>
        <v>46.212748344370866</v>
      </c>
      <c r="K720" s="23">
        <f t="shared" ref="K720:Y728" si="4846">IF(ISERROR((J720/B720-1)*100),"NA",IF(((J720/B720-1)*100)&gt;100,"NM",IF(((J720/B720-1)*100)&lt;-50,"NM",(J720/B720-1)*100)))</f>
        <v>-5.1023653177207589</v>
      </c>
      <c r="L720" s="35">
        <f>L664/L$672*100</f>
        <v>44.111325087289416</v>
      </c>
      <c r="M720" s="23">
        <f t="shared" si="4846"/>
        <v>-11.476411751985349</v>
      </c>
      <c r="N720" s="35">
        <f>N664/N$672*100</f>
        <v>50.299530549030081</v>
      </c>
      <c r="O720" s="23">
        <f t="shared" si="4846"/>
        <v>10.391504811660646</v>
      </c>
      <c r="P720" s="35">
        <f>P664/P$672*100</f>
        <v>45.353324550255913</v>
      </c>
      <c r="Q720" s="23">
        <f t="shared" si="4846"/>
        <v>56.787249861025167</v>
      </c>
      <c r="R720" s="35">
        <f>R664/R$672*100</f>
        <v>54.295387219636083</v>
      </c>
      <c r="S720" s="23">
        <f t="shared" si="4846"/>
        <v>17.490063164031145</v>
      </c>
      <c r="T720" s="35">
        <f>T664/T$672*100</f>
        <v>49.490229065900294</v>
      </c>
      <c r="U720" s="23">
        <f t="shared" si="4846"/>
        <v>12.193929717520092</v>
      </c>
      <c r="V720" s="35">
        <f>V664/V$672*100</f>
        <v>52.271844660194176</v>
      </c>
      <c r="W720" s="23">
        <f t="shared" si="4846"/>
        <v>3.9211382087185775</v>
      </c>
      <c r="X720" s="35">
        <f>X664/X$672*100</f>
        <v>49.212742585133626</v>
      </c>
      <c r="Y720" s="23">
        <f t="shared" si="4846"/>
        <v>8.5096695184960538</v>
      </c>
      <c r="Z720" s="35">
        <f>Z664/Z$672*100</f>
        <v>49.940641076375123</v>
      </c>
      <c r="AA720" s="23">
        <f t="shared" ref="AA720:AA728" si="4847">IF(ISERROR((Z720/R720-1)*100),"NA",IF(((Z720/R720-1)*100)&gt;100,"NM",IF(((Z720/R720-1)*100)&lt;-50,"NM",(Z720/R720-1)*100)))</f>
        <v>-8.0204716574634798</v>
      </c>
      <c r="AB720" s="35">
        <f>AB664/AB$672*100</f>
        <v>41.191543882126865</v>
      </c>
      <c r="AC720" s="23">
        <f t="shared" ref="AC720:AC728" si="4848">IF(ISERROR((AB720/T720-1)*100),"NA",IF(((AB720/T720-1)*100)&gt;100,"NM",IF(((AB720/T720-1)*100)&lt;-50,"NM",(AB720/T720-1)*100)))</f>
        <v>-16.76833051777362</v>
      </c>
      <c r="AD720" s="35">
        <f>AD664/AD$672*100</f>
        <v>47.977985997422408</v>
      </c>
      <c r="AE720" s="23">
        <f t="shared" ref="AE720:AE728" si="4849">IF(ISERROR((AD720/V720-1)*100),"NA",IF(((AD720/V720-1)*100)&gt;100,"NM",IF(((AD720/V720-1)*100)&lt;-50,"NM",(AD720/V720-1)*100)))</f>
        <v>-8.2144770108746652</v>
      </c>
      <c r="AF720" s="35">
        <f>AF664/AF$672*100</f>
        <v>41.614195764167107</v>
      </c>
      <c r="AG720" s="23">
        <f t="shared" ref="AG720:AG728" si="4850">IF(ISERROR((AF720/X720-1)*100),"NA",IF(((AF720/X720-1)*100)&gt;100,"NM",IF(((AF720/X720-1)*100)&lt;-50,"NM",(AF720/X720-1)*100)))</f>
        <v>-15.44020191075861</v>
      </c>
      <c r="AH720" s="35">
        <f>AH664/AH$672*100</f>
        <v>45.619271692945183</v>
      </c>
      <c r="AI720" s="23">
        <f t="shared" ref="AI720:AI728" si="4851">IF(ISERROR((AH720/Z720-1)*100),"NA",IF(((AH720/Z720-1)*100)&gt;100,"NM",IF(((AH720/Z720-1)*100)&lt;-50,"NM",(AH720/Z720-1)*100)))</f>
        <v>-8.6530114357586836</v>
      </c>
      <c r="AJ720" s="35">
        <f>AJ664/AJ$672*100</f>
        <v>46.105574012550768</v>
      </c>
      <c r="AK720" s="23">
        <f t="shared" ref="AK720:AK728" si="4852">IF(ISERROR((AJ720/AB720-1)*100),"NA",IF(((AJ720/AB720-1)*100)&gt;100,"NM",IF(((AJ720/AB720-1)*100)&lt;-50,"NM",(AJ720/AB720-1)*100)))</f>
        <v>11.929706117560968</v>
      </c>
      <c r="AL720" s="35">
        <f>AL664/AL$672*100</f>
        <v>55.555555555555522</v>
      </c>
      <c r="AM720" s="23">
        <f t="shared" ref="AM720:AM728" si="4853">IF(ISERROR((AL720/AD720-1)*100),"NA",IF(((AL720/AD720-1)*100)&gt;100,"NM",IF(((AL720/AD720-1)*100)&lt;-50,"NM",(AL720/AD720-1)*100)))</f>
        <v>15.793846699901515</v>
      </c>
      <c r="AN720" s="409">
        <f t="shared" ref="AN720:AP724" si="4854">AN664/AN$672*100</f>
        <v>51.925465838509311</v>
      </c>
      <c r="AO720" s="23">
        <f t="shared" ref="AO720:AO728" si="4855">IF(ISERROR((AN720/AF720-1)*100),"NA",IF(((AN720/AF720-1)*100)&gt;100,"NM",IF(((AN720/AF720-1)*100)&lt;-50,"NM",(AN720/AF720-1)*100)))</f>
        <v>24.778251471631151</v>
      </c>
      <c r="AP720" s="409">
        <f t="shared" si="4854"/>
        <v>103.97959183673473</v>
      </c>
      <c r="AQ720" s="23" t="str">
        <f t="shared" ref="AQ720:AQ728" si="4856">IF(ISERROR((AP720/AH720-1)*100),"NA",IF(((AP720/AH720-1)*100)&gt;100,"NM",IF(((AP720/AH720-1)*100)&lt;-50,"NM",(AP720/AH720-1)*100)))</f>
        <v>NM</v>
      </c>
      <c r="AR720" s="409">
        <f t="shared" ref="AR720:AT724" si="4857">AR664/AR$672*100</f>
        <v>83.595999393847549</v>
      </c>
      <c r="AS720" s="23">
        <f t="shared" ref="AS720:AS728" si="4858">IF(ISERROR((AR720/AJ720-1)*100),"NA",IF(((AR720/AJ720-1)*100)&gt;100,"NM",IF(((AR720/AJ720-1)*100)&lt;-50,"NM",(AR720/AJ720-1)*100)))</f>
        <v>81.314301327408288</v>
      </c>
      <c r="AT720" s="409">
        <f t="shared" si="4857"/>
        <v>98.718914845516252</v>
      </c>
      <c r="AU720" s="23">
        <f t="shared" ref="AU720:AU728" si="4859">IF(ISERROR((AT720/AL720-1)*100),"NA",IF(((AT720/AL720-1)*100)&gt;100,"NM",IF(((AT720/AL720-1)*100)&lt;-50,"NM",(AT720/AL720-1)*100)))</f>
        <v>77.694046721929368</v>
      </c>
      <c r="AV720" s="409">
        <f t="shared" ref="AV720:AX724" si="4860">AV664/AV$672*100</f>
        <v>95.833333333333385</v>
      </c>
      <c r="AW720" s="23">
        <f t="shared" ref="AW720:AW728" si="4861">IF(ISERROR((AV720/AN720-1)*100),"NA",IF(((AV720/AN720-1)*100)&gt;100,"NM",IF(((AV720/AN720-1)*100)&lt;-50,"NM",(AV720/AN720-1)*100)))</f>
        <v>84.559409888357379</v>
      </c>
      <c r="AX720" s="409">
        <f t="shared" si="4860"/>
        <v>99.623777276147479</v>
      </c>
      <c r="AY720" s="23">
        <f t="shared" ref="AY720:AY728" si="4862">IF(ISERROR((AX720/AP720-1)*100),"NA",IF(((AX720/AP720-1)*100)&gt;100,"NM",IF(((AX720/AP720-1)*100)&lt;-50,"NM",(AX720/AP720-1)*100)))</f>
        <v>-4.1891052692595743</v>
      </c>
      <c r="AZ720" s="409">
        <f t="shared" ref="AZ720:AZ724" si="4863">AZ664/AZ$672*100</f>
        <v>78.84615384615384</v>
      </c>
      <c r="BA720" s="23">
        <f t="shared" ref="BA720:BA728" si="4864">IF(ISERROR((AZ720/AR720-1)*100),"NA",IF(((AZ720/AR720-1)*100)&gt;100,"NM",IF(((AZ720/AR720-1)*100)&lt;-50,"NM",(AZ720/AR720-1)*100)))</f>
        <v>-5.6819053329521978</v>
      </c>
      <c r="BB720" s="409">
        <f t="shared" ref="BB720:BD724" si="4865">BB664/BB$672*100</f>
        <v>83.122847301951793</v>
      </c>
      <c r="BC720" s="23">
        <f t="shared" ref="BC720:BC728" si="4866">IF(ISERROR((BB720/AT720-1)*100),"NA",IF(((BB720/AT720-1)*100)&gt;100,"NM",IF(((BB720/AT720-1)*100)&lt;-50,"NM",(BB720/AT720-1)*100)))</f>
        <v>-15.798459259778641</v>
      </c>
      <c r="BD720" s="409">
        <f t="shared" si="4865"/>
        <v>69.557109557109541</v>
      </c>
      <c r="BE720" s="23">
        <f t="shared" ref="BE720:BE728" si="4867">IF(ISERROR((BD720/AV720-1)*100),"NA",IF(((BD720/AV720-1)*100)&gt;100,"NM",IF(((BD720/AV720-1)*100)&lt;-50,"NM",(BD720/AV720-1)*100)))</f>
        <v>-27.418668288233562</v>
      </c>
      <c r="BF720" s="35">
        <f t="shared" ref="BF720" si="4868">BF664/BF$672*100</f>
        <v>80.081873742851727</v>
      </c>
      <c r="BG720" s="23">
        <f t="shared" ref="BG720:BG728" si="4869">IF(ISERROR((BF720/AX720-1)*100),"NA",IF(((BF720/AX720-1)*100)&gt;100,"NM",IF(((BF720/AX720-1)*100)&lt;-50,"NM",(BF720/AX720-1)*100)))</f>
        <v>-19.615702262651102</v>
      </c>
      <c r="BH720" s="35">
        <f t="shared" ref="BH720" si="4870">BH664/BH$672*100</f>
        <v>67.884407517456125</v>
      </c>
      <c r="BI720" s="23">
        <f t="shared" ref="BI720:BI728" si="4871">IF(ISERROR((BH720/AZ720-1)*100),"NA",IF(((BH720/AZ720-1)*100)&gt;100,"NM",IF(((BH720/AZ720-1)*100)&lt;-50,"NM",(BH720/AZ720-1)*100)))</f>
        <v>-13.902702660787348</v>
      </c>
      <c r="BJ720" s="35">
        <f t="shared" ref="BJ720" si="4872">BJ664/BJ$672*100</f>
        <v>65.188574012850026</v>
      </c>
      <c r="BK720" s="23">
        <f t="shared" ref="BK720:BK728" si="4873">IF(ISERROR((BJ720/BB720-1)*100),"NA",IF(((BJ720/BB720-1)*100)&gt;100,"NM",IF(((BJ720/BB720-1)*100)&lt;-50,"NM",(BJ720/BB720-1)*100)))</f>
        <v>-21.575624357469113</v>
      </c>
      <c r="BL720" s="35">
        <f t="shared" ref="BL720" si="4874">BL664/BL$672*100</f>
        <v>64.877701401282266</v>
      </c>
      <c r="BM720" s="23">
        <f t="shared" ref="BM720:BM728" si="4875">IF(ISERROR((BL720/BD720-1)*100),"NA",IF(((BL720/BD720-1)*100)&gt;100,"NM",IF(((BL720/BD720-1)*100)&lt;-50,"NM",(BL720/BD720-1)*100)))</f>
        <v>-6.7274333071377423</v>
      </c>
      <c r="BN720" s="7"/>
      <c r="BO720" s="144"/>
      <c r="BP720" s="7"/>
      <c r="BQ720" s="7"/>
      <c r="BR720" s="5"/>
      <c r="BS720" s="5"/>
      <c r="BT720" s="5"/>
      <c r="BU720" s="35">
        <f t="shared" ref="BU720:BY720" si="4876">BU664/BU$672*100</f>
        <v>44.940381670693888</v>
      </c>
      <c r="BV720" s="23" t="str">
        <f t="shared" ref="BV720:BV728" si="4877">IF(ISERROR((BU720/BS720-1)*100),"NA",IF(((BU720/BS720-1)*100)&gt;100,"NM",IF(((BU720/BS720-1)*100)&lt;-50,"NM",(BU720/BS720-1)*100)))</f>
        <v>NA</v>
      </c>
      <c r="BW720" s="35">
        <f t="shared" si="4876"/>
        <v>46.445134784616201</v>
      </c>
      <c r="BX720" s="23">
        <f t="shared" ref="BX720:BX728" si="4878">IF(ISERROR((BW720/BU720-1)*100),"NA",IF(((BW720/BU720-1)*100)&gt;100,"NM",IF(((BW720/BU720-1)*100)&lt;-50,"NM",(BW720/BU720-1)*100)))</f>
        <v>3.3483318520714178</v>
      </c>
      <c r="BY720" s="35">
        <f t="shared" si="4876"/>
        <v>51.225087478337983</v>
      </c>
      <c r="BZ720" s="23">
        <f t="shared" ref="BZ720:CR728" si="4879">IF(ISERROR((BY720/BW720-1)*100),"NA",IF(((BY720/BW720-1)*100)&gt;100,"NM",IF(((BY720/BW720-1)*100)&lt;-50,"NM",(BY720/BW720-1)*100)))</f>
        <v>10.291611200803374</v>
      </c>
      <c r="CA720" s="35">
        <f>CA664/CA$672*100</f>
        <v>44.776467258758593</v>
      </c>
      <c r="CB720" s="23">
        <f t="shared" si="4879"/>
        <v>-12.5887929860664</v>
      </c>
      <c r="CC720" s="35">
        <f>CC664/CC$672*100</f>
        <v>49.457457886080746</v>
      </c>
      <c r="CD720" s="23">
        <f t="shared" si="4879"/>
        <v>10.454131185185279</v>
      </c>
      <c r="CE720" s="35">
        <f>CE664/CE$672*100</f>
        <v>94.489115728569743</v>
      </c>
      <c r="CF720" s="23">
        <f t="shared" si="4879"/>
        <v>91.051298969336344</v>
      </c>
      <c r="CG720" s="35">
        <f>CG664/CG$672*100</f>
        <v>80.99772598067085</v>
      </c>
      <c r="CH720" s="23">
        <f t="shared" si="4879"/>
        <v>-14.278247440323577</v>
      </c>
      <c r="CI720" s="35">
        <f>CI664/CI$672*100</f>
        <v>68.941894071172271</v>
      </c>
      <c r="CJ720" s="23">
        <f t="shared" si="4879"/>
        <v>-14.884160960735571</v>
      </c>
      <c r="CK720" s="35">
        <f>CK664/CK$672*100</f>
        <v>63.708131459494055</v>
      </c>
      <c r="CL720" s="23">
        <f t="shared" si="4879"/>
        <v>-7.5915561679740566</v>
      </c>
      <c r="CM720" s="35">
        <f>CM664/CM$672*100</f>
        <v>63.768348329723693</v>
      </c>
      <c r="CN720" s="23">
        <f t="shared" si="4879"/>
        <v>9.4519912686386043E-2</v>
      </c>
      <c r="CO720" s="35">
        <f>CO664/CO$672*100</f>
        <v>63.984657090843776</v>
      </c>
      <c r="CP720" s="23">
        <f t="shared" si="4879"/>
        <v>0.33921023013114837</v>
      </c>
      <c r="CQ720" s="35">
        <f>CQ664/CQ$672*100</f>
        <v>64.105220769596372</v>
      </c>
      <c r="CR720" s="23">
        <f t="shared" si="4879"/>
        <v>0.18842591995362756</v>
      </c>
      <c r="CS720" s="23">
        <f t="shared" ref="CS720:CS728" si="4880">IF(ISERROR(((CQ720/CG720)^0.2-1)*100),"NA",IF((((CQ720/CG720)^0.2-1)*100)&gt;100,"NM",IF((((CQ720/CG720)^0.2-1)*100)&lt;-50,"NM",((CQ720/CG720)^0.2-1)*100)))</f>
        <v>-4.570177772515116</v>
      </c>
    </row>
    <row r="721" spans="1:107" ht="12.75" customHeight="1" x14ac:dyDescent="0.2">
      <c r="A721" s="31" t="s">
        <v>193</v>
      </c>
      <c r="B721" s="35">
        <f>B665/B$672*100</f>
        <v>11.998546410345421</v>
      </c>
      <c r="C721" s="59"/>
      <c r="D721" s="35">
        <f>D665/D$672*100</f>
        <v>15.631860798401048</v>
      </c>
      <c r="E721" s="59"/>
      <c r="F721" s="35">
        <f>F665/F$672*100</f>
        <v>12.375884603048291</v>
      </c>
      <c r="G721" s="59"/>
      <c r="H721" s="35">
        <f>H665/H$672*100</f>
        <v>15.332032147530947</v>
      </c>
      <c r="I721" s="59"/>
      <c r="J721" s="35">
        <f>J665/J$672*100</f>
        <v>22.580941869021327</v>
      </c>
      <c r="K721" s="23">
        <f t="shared" si="4846"/>
        <v>88.197312380702414</v>
      </c>
      <c r="L721" s="35">
        <f>L665/L$672*100</f>
        <v>18.943299419468261</v>
      </c>
      <c r="M721" s="23">
        <f t="shared" si="4846"/>
        <v>21.183905510506683</v>
      </c>
      <c r="N721" s="35">
        <f>N665/N$672*100</f>
        <v>17.667094842982738</v>
      </c>
      <c r="O721" s="23">
        <f t="shared" si="4846"/>
        <v>42.754198262572473</v>
      </c>
      <c r="P721" s="35">
        <f>P665/P$672*100</f>
        <v>19.703629431859245</v>
      </c>
      <c r="Q721" s="23">
        <f t="shared" si="4846"/>
        <v>28.512836669418906</v>
      </c>
      <c r="R721" s="35">
        <f>R665/R$672*100</f>
        <v>19.32924248836223</v>
      </c>
      <c r="S721" s="23">
        <f t="shared" si="4846"/>
        <v>-14.400193754185631</v>
      </c>
      <c r="T721" s="35">
        <f>T665/T$672*100</f>
        <v>17.329875147011848</v>
      </c>
      <c r="U721" s="23">
        <f t="shared" si="4846"/>
        <v>-8.5171238480149736</v>
      </c>
      <c r="V721" s="35">
        <f>V665/V$672*100</f>
        <v>17.165048543689327</v>
      </c>
      <c r="W721" s="23">
        <f t="shared" si="4846"/>
        <v>-2.8417026328062089</v>
      </c>
      <c r="X721" s="35">
        <f>X665/X$672*100</f>
        <v>20.358842914683283</v>
      </c>
      <c r="Y721" s="23">
        <f t="shared" si="4846"/>
        <v>3.3253441204319945</v>
      </c>
      <c r="Z721" s="35">
        <f>Z665/Z$672*100</f>
        <v>20.419469726948964</v>
      </c>
      <c r="AA721" s="23">
        <f t="shared" si="4847"/>
        <v>5.6402998681564398</v>
      </c>
      <c r="AB721" s="35">
        <f>AB665/AB$672*100</f>
        <v>18.48174247277387</v>
      </c>
      <c r="AC721" s="23">
        <f t="shared" si="4848"/>
        <v>6.6467145088499713</v>
      </c>
      <c r="AD721" s="35">
        <f>AD665/AD$672*100</f>
        <v>18.906962973283623</v>
      </c>
      <c r="AE721" s="23">
        <f t="shared" si="4849"/>
        <v>10.148030896392113</v>
      </c>
      <c r="AF721" s="35">
        <f>AF665/AF$672*100</f>
        <v>18.030910131654274</v>
      </c>
      <c r="AG721" s="23">
        <f t="shared" si="4850"/>
        <v>-11.434504371316944</v>
      </c>
      <c r="AH721" s="35">
        <f>AH665/AH$672*100</f>
        <v>21.378656459598979</v>
      </c>
      <c r="AI721" s="23">
        <f t="shared" si="4851"/>
        <v>4.6974125453616011</v>
      </c>
      <c r="AJ721" s="35">
        <f>AJ665/AJ$672*100</f>
        <v>20.671834625322973</v>
      </c>
      <c r="AK721" s="23">
        <f t="shared" si="4852"/>
        <v>11.850030676357527</v>
      </c>
      <c r="AL721" s="35">
        <f>AL665/AL$672*100</f>
        <v>27.951388888888886</v>
      </c>
      <c r="AM721" s="23">
        <f t="shared" si="4853"/>
        <v>47.836481873823075</v>
      </c>
      <c r="AN721" s="409">
        <f t="shared" si="4854"/>
        <v>21.532091097308498</v>
      </c>
      <c r="AO721" s="23">
        <f t="shared" si="4855"/>
        <v>19.417660784120393</v>
      </c>
      <c r="AP721" s="409">
        <f t="shared" si="4854"/>
        <v>0</v>
      </c>
      <c r="AQ721" s="23" t="str">
        <f t="shared" si="4856"/>
        <v>NM</v>
      </c>
      <c r="AR721" s="409">
        <f t="shared" si="4857"/>
        <v>0</v>
      </c>
      <c r="AS721" s="23" t="str">
        <f t="shared" si="4858"/>
        <v>NM</v>
      </c>
      <c r="AT721" s="409">
        <f t="shared" si="4857"/>
        <v>0</v>
      </c>
      <c r="AU721" s="23" t="str">
        <f t="shared" si="4859"/>
        <v>NM</v>
      </c>
      <c r="AV721" s="409">
        <f t="shared" si="4860"/>
        <v>0</v>
      </c>
      <c r="AW721" s="23" t="str">
        <f t="shared" si="4861"/>
        <v>NM</v>
      </c>
      <c r="AX721" s="409">
        <f t="shared" si="4860"/>
        <v>0</v>
      </c>
      <c r="AY721" s="23" t="str">
        <f t="shared" si="4862"/>
        <v>NA</v>
      </c>
      <c r="AZ721" s="409">
        <f t="shared" si="4863"/>
        <v>0</v>
      </c>
      <c r="BA721" s="23" t="str">
        <f t="shared" si="4864"/>
        <v>NA</v>
      </c>
      <c r="BB721" s="409">
        <f t="shared" si="4865"/>
        <v>0</v>
      </c>
      <c r="BC721" s="23" t="str">
        <f t="shared" si="4866"/>
        <v>NA</v>
      </c>
      <c r="BD721" s="409">
        <f t="shared" si="4865"/>
        <v>0</v>
      </c>
      <c r="BE721" s="23" t="str">
        <f t="shared" si="4867"/>
        <v>NA</v>
      </c>
      <c r="BF721" s="35">
        <f t="shared" ref="BF721" si="4881">BF665/BF$672*100</f>
        <v>0</v>
      </c>
      <c r="BG721" s="23" t="str">
        <f t="shared" si="4869"/>
        <v>NA</v>
      </c>
      <c r="BH721" s="35">
        <f t="shared" ref="BH721" si="4882">BH665/BH$672*100</f>
        <v>0</v>
      </c>
      <c r="BI721" s="23" t="str">
        <f t="shared" si="4871"/>
        <v>NA</v>
      </c>
      <c r="BJ721" s="35">
        <f t="shared" ref="BJ721" si="4883">BJ665/BJ$672*100</f>
        <v>0</v>
      </c>
      <c r="BK721" s="23" t="str">
        <f t="shared" si="4873"/>
        <v>NA</v>
      </c>
      <c r="BL721" s="35">
        <f t="shared" ref="BL721" si="4884">BL665/BL$672*100</f>
        <v>0</v>
      </c>
      <c r="BM721" s="23" t="str">
        <f t="shared" si="4875"/>
        <v>NA</v>
      </c>
      <c r="BN721" s="7"/>
      <c r="BO721" s="144"/>
      <c r="BP721" s="7"/>
      <c r="BQ721" s="7"/>
      <c r="BR721" s="5"/>
      <c r="BS721" s="5"/>
      <c r="BT721" s="5"/>
      <c r="BU721" s="35">
        <f t="shared" ref="BU721:BY721" si="4885">BU665/BU$672*100</f>
        <v>13.741922727780299</v>
      </c>
      <c r="BV721" s="23" t="str">
        <f t="shared" si="4877"/>
        <v>NA</v>
      </c>
      <c r="BW721" s="35">
        <f t="shared" si="4885"/>
        <v>19.586142265189306</v>
      </c>
      <c r="BX721" s="23">
        <f t="shared" si="4878"/>
        <v>42.528397613490363</v>
      </c>
      <c r="BY721" s="35">
        <f t="shared" si="4885"/>
        <v>18.558009225521197</v>
      </c>
      <c r="BZ721" s="23">
        <f t="shared" si="4879"/>
        <v>-5.2492881229369122</v>
      </c>
      <c r="CA721" s="35">
        <f>CA665/CA$672*100</f>
        <v>18.859820707680271</v>
      </c>
      <c r="CB721" s="23">
        <f t="shared" si="4879"/>
        <v>1.6263138922467002</v>
      </c>
      <c r="CC721" s="35">
        <f>CC665/CC$672*100</f>
        <v>22.702103019745628</v>
      </c>
      <c r="CD721" s="23">
        <f t="shared" si="4879"/>
        <v>20.372846442281745</v>
      </c>
      <c r="CE721" s="35">
        <f>CE665/CE$672*100</f>
        <v>0</v>
      </c>
      <c r="CF721" s="23" t="str">
        <f t="shared" si="4879"/>
        <v>NM</v>
      </c>
      <c r="CG721" s="35">
        <f>CG665/CG$672*100</f>
        <v>0</v>
      </c>
      <c r="CH721" s="23" t="str">
        <f t="shared" si="4879"/>
        <v>NA</v>
      </c>
      <c r="CI721" s="35">
        <f>CI665/CI$672*100</f>
        <v>0</v>
      </c>
      <c r="CJ721" s="23" t="str">
        <f t="shared" si="4879"/>
        <v>NA</v>
      </c>
      <c r="CK721" s="35">
        <f>CK665/CK$672*100</f>
        <v>0</v>
      </c>
      <c r="CL721" s="23" t="str">
        <f t="shared" si="4879"/>
        <v>NA</v>
      </c>
      <c r="CM721" s="35">
        <f>CM665/CM$672*100</f>
        <v>0</v>
      </c>
      <c r="CN721" s="23" t="str">
        <f t="shared" si="4879"/>
        <v>NA</v>
      </c>
      <c r="CO721" s="35">
        <f>CO665/CO$672*100</f>
        <v>0</v>
      </c>
      <c r="CP721" s="23" t="str">
        <f t="shared" si="4879"/>
        <v>NA</v>
      </c>
      <c r="CQ721" s="35">
        <f>CQ665/CQ$672*100</f>
        <v>0</v>
      </c>
      <c r="CR721" s="23" t="str">
        <f t="shared" si="4879"/>
        <v>NA</v>
      </c>
      <c r="CS721" s="23" t="str">
        <f t="shared" si="4880"/>
        <v>NA</v>
      </c>
    </row>
    <row r="722" spans="1:107" ht="12.75" customHeight="1" x14ac:dyDescent="0.2">
      <c r="A722" s="31" t="s">
        <v>187</v>
      </c>
      <c r="B722" s="35">
        <f>B666/B$672*100</f>
        <v>11.368510377862117</v>
      </c>
      <c r="C722" s="59"/>
      <c r="D722" s="35">
        <f>D666/D$672*100</f>
        <v>9.8784363491478224</v>
      </c>
      <c r="E722" s="59"/>
      <c r="F722" s="35">
        <f>F666/F$672*100</f>
        <v>9.0363790750654793</v>
      </c>
      <c r="G722" s="59"/>
      <c r="H722" s="35">
        <f>H666/H$672*100</f>
        <v>9.1051363639769001</v>
      </c>
      <c r="I722" s="59"/>
      <c r="J722" s="35">
        <f>J666/J$672*100</f>
        <v>15.173841059602664</v>
      </c>
      <c r="K722" s="23">
        <f t="shared" si="4846"/>
        <v>33.472553177685093</v>
      </c>
      <c r="L722" s="35">
        <f>L666/L$672*100</f>
        <v>10.168567404243719</v>
      </c>
      <c r="M722" s="23">
        <f t="shared" si="4846"/>
        <v>2.9370139649776084</v>
      </c>
      <c r="N722" s="35">
        <f>N666/N$672*100</f>
        <v>15.028602949401899</v>
      </c>
      <c r="O722" s="23">
        <f t="shared" si="4846"/>
        <v>66.312223342544968</v>
      </c>
      <c r="P722" s="35">
        <f>P666/P$672*100</f>
        <v>12.132694422745836</v>
      </c>
      <c r="Q722" s="23">
        <f t="shared" si="4846"/>
        <v>33.251100672660016</v>
      </c>
      <c r="R722" s="35">
        <f>R666/R$672*100</f>
        <v>12.050359712230218</v>
      </c>
      <c r="S722" s="23">
        <f t="shared" si="4846"/>
        <v>-20.584645213452866</v>
      </c>
      <c r="T722" s="35">
        <f>T666/T$672*100</f>
        <v>15.966851259044635</v>
      </c>
      <c r="U722" s="23">
        <f t="shared" si="4846"/>
        <v>57.021639571185602</v>
      </c>
      <c r="V722" s="35">
        <f>V666/V$672*100</f>
        <v>16.504854368932055</v>
      </c>
      <c r="W722" s="23">
        <f t="shared" si="4846"/>
        <v>9.8229451167242807</v>
      </c>
      <c r="X722" s="35">
        <f>X666/X$672*100</f>
        <v>18.747711461003295</v>
      </c>
      <c r="Y722" s="23">
        <f t="shared" si="4846"/>
        <v>54.522242197544514</v>
      </c>
      <c r="Z722" s="35">
        <f>Z666/Z$672*100</f>
        <v>19.707162643450715</v>
      </c>
      <c r="AA722" s="23">
        <f t="shared" si="4847"/>
        <v>63.540036265053665</v>
      </c>
      <c r="AB722" s="35">
        <f>AB666/AB$672*100</f>
        <v>17.58488148622677</v>
      </c>
      <c r="AC722" s="23">
        <f t="shared" si="4848"/>
        <v>10.133683848689824</v>
      </c>
      <c r="AD722" s="35">
        <f>AD666/AD$672*100</f>
        <v>18.715385419206523</v>
      </c>
      <c r="AE722" s="23">
        <f t="shared" si="4849"/>
        <v>13.393217539898238</v>
      </c>
      <c r="AF722" s="35">
        <f>AF666/AF$672*100</f>
        <v>15.369204350314829</v>
      </c>
      <c r="AG722" s="23">
        <f t="shared" si="4850"/>
        <v>-18.02090413923867</v>
      </c>
      <c r="AH722" s="35">
        <f>AH666/AH$672*100</f>
        <v>15.644204094532425</v>
      </c>
      <c r="AI722" s="23">
        <f t="shared" si="4851"/>
        <v>-20.616659142804274</v>
      </c>
      <c r="AJ722" s="35">
        <f>AJ666/AJ$672*100</f>
        <v>17.349575489110368</v>
      </c>
      <c r="AK722" s="23">
        <f t="shared" si="4852"/>
        <v>-1.3381153424360748</v>
      </c>
      <c r="AL722" s="35">
        <f>AL666/AL$672*100</f>
        <v>19.791666666666671</v>
      </c>
      <c r="AM722" s="23">
        <f t="shared" si="4853"/>
        <v>5.750783237173529</v>
      </c>
      <c r="AN722" s="409">
        <f t="shared" si="4854"/>
        <v>17.556935817805382</v>
      </c>
      <c r="AO722" s="23">
        <f t="shared" si="4855"/>
        <v>14.234513496111711</v>
      </c>
      <c r="AP722" s="409">
        <f t="shared" si="4854"/>
        <v>23.163265306122504</v>
      </c>
      <c r="AQ722" s="23">
        <f t="shared" si="4856"/>
        <v>48.062919443872218</v>
      </c>
      <c r="AR722" s="409">
        <f t="shared" si="4857"/>
        <v>28.125473556599502</v>
      </c>
      <c r="AS722" s="23">
        <f t="shared" si="4858"/>
        <v>62.110442265591637</v>
      </c>
      <c r="AT722" s="409">
        <f t="shared" si="4857"/>
        <v>36.774679728711391</v>
      </c>
      <c r="AU722" s="23">
        <f t="shared" si="4859"/>
        <v>85.808908102962775</v>
      </c>
      <c r="AV722" s="409">
        <f t="shared" si="4860"/>
        <v>43.481182795698935</v>
      </c>
      <c r="AW722" s="23" t="str">
        <f t="shared" si="4861"/>
        <v>NM</v>
      </c>
      <c r="AX722" s="409">
        <f t="shared" si="4860"/>
        <v>34.161023325808927</v>
      </c>
      <c r="AY722" s="23">
        <f t="shared" si="4862"/>
        <v>47.479307750187957</v>
      </c>
      <c r="AZ722" s="409">
        <f t="shared" si="4863"/>
        <v>29.505494505494532</v>
      </c>
      <c r="BA722" s="23">
        <f t="shared" si="4864"/>
        <v>4.9066585354301084</v>
      </c>
      <c r="BB722" s="409">
        <f t="shared" si="4865"/>
        <v>30.195177956371978</v>
      </c>
      <c r="BC722" s="23">
        <f t="shared" si="4866"/>
        <v>-17.89139108994754</v>
      </c>
      <c r="BD722" s="409">
        <f t="shared" si="4865"/>
        <v>27.505827505827511</v>
      </c>
      <c r="BE722" s="23">
        <f t="shared" si="4867"/>
        <v>-36.740848023691917</v>
      </c>
      <c r="BF722" s="35">
        <f t="shared" ref="BF722" si="4886">BF666/BF$672*100</f>
        <v>26.870596265140463</v>
      </c>
      <c r="BG722" s="23">
        <f t="shared" si="4869"/>
        <v>-21.341360272309196</v>
      </c>
      <c r="BH722" s="35">
        <f t="shared" ref="BH722" si="4887">BH666/BH$672*100</f>
        <v>28.336712220393089</v>
      </c>
      <c r="BI722" s="23">
        <f t="shared" si="4871"/>
        <v>-3.9612360500644761</v>
      </c>
      <c r="BJ722" s="35">
        <f t="shared" ref="BJ722" si="4888">BJ666/BJ$672*100</f>
        <v>23.368684676573846</v>
      </c>
      <c r="BK722" s="23">
        <f t="shared" si="4873"/>
        <v>-22.607892192791535</v>
      </c>
      <c r="BL722" s="35">
        <f t="shared" ref="BL722" si="4889">BL666/BL$672*100</f>
        <v>23.453809212720071</v>
      </c>
      <c r="BM722" s="23">
        <f t="shared" si="4875"/>
        <v>-14.731490235110945</v>
      </c>
      <c r="BN722" s="5"/>
      <c r="BO722" s="138"/>
      <c r="BP722" s="5"/>
      <c r="BQ722" s="5"/>
      <c r="BR722" s="5"/>
      <c r="BS722" s="5"/>
      <c r="BT722" s="5"/>
      <c r="BU722" s="35">
        <f t="shared" ref="BU722:BY722" si="4890">BU666/BU$672*100</f>
        <v>9.8878558469561195</v>
      </c>
      <c r="BV722" s="23" t="str">
        <f t="shared" si="4877"/>
        <v>NA</v>
      </c>
      <c r="BW722" s="35">
        <f t="shared" si="4890"/>
        <v>12.965967362311275</v>
      </c>
      <c r="BX722" s="23">
        <f t="shared" si="4878"/>
        <v>31.130222396018482</v>
      </c>
      <c r="BY722" s="35">
        <f t="shared" si="4890"/>
        <v>15.940008713643508</v>
      </c>
      <c r="BZ722" s="23">
        <f t="shared" si="4879"/>
        <v>22.937288581930293</v>
      </c>
      <c r="CA722" s="35">
        <f>CA666/CA$672*100</f>
        <v>17.657047253597906</v>
      </c>
      <c r="CB722" s="23">
        <f t="shared" si="4879"/>
        <v>10.771879556657549</v>
      </c>
      <c r="CC722" s="35">
        <f>CC666/CC$672*100</f>
        <v>17.473262162188458</v>
      </c>
      <c r="CD722" s="23">
        <f t="shared" si="4879"/>
        <v>-1.0408597132343211</v>
      </c>
      <c r="CE722" s="35">
        <f>CE666/CE$672*100</f>
        <v>33.635093663033047</v>
      </c>
      <c r="CF722" s="23">
        <f t="shared" si="4879"/>
        <v>92.494643248804678</v>
      </c>
      <c r="CG722" s="35">
        <f>CG666/CG$672*100</f>
        <v>29.945992040932335</v>
      </c>
      <c r="CH722" s="23">
        <f t="shared" si="4879"/>
        <v>-10.968013524978682</v>
      </c>
      <c r="CI722" s="35">
        <f>CI666/CI$672*100</f>
        <v>25.371219197711277</v>
      </c>
      <c r="CJ722" s="23">
        <f t="shared" si="4879"/>
        <v>-15.276745004700231</v>
      </c>
      <c r="CK722" s="35">
        <f>CK666/CK$672*100</f>
        <v>23.620355118097038</v>
      </c>
      <c r="CL722" s="23">
        <f t="shared" si="4879"/>
        <v>-6.9009851910159075</v>
      </c>
      <c r="CM722" s="35">
        <f>CM666/CM$672*100</f>
        <v>23.5520631247783</v>
      </c>
      <c r="CN722" s="23">
        <f t="shared" si="4879"/>
        <v>-0.28912348259495513</v>
      </c>
      <c r="CO722" s="35">
        <f>CO666/CO$672*100</f>
        <v>23.314397120551956</v>
      </c>
      <c r="CP722" s="23">
        <f t="shared" si="4879"/>
        <v>-1.0091090660176771</v>
      </c>
      <c r="CQ722" s="35">
        <f>CQ666/CQ$672*100</f>
        <v>23.16869069602097</v>
      </c>
      <c r="CR722" s="23">
        <f t="shared" si="4879"/>
        <v>-0.62496329533026085</v>
      </c>
      <c r="CS722" s="23">
        <f t="shared" si="4880"/>
        <v>-5.0024166502693701</v>
      </c>
    </row>
    <row r="723" spans="1:107" ht="12.75" customHeight="1" x14ac:dyDescent="0.2">
      <c r="A723" s="31" t="s">
        <v>194</v>
      </c>
      <c r="B723" s="35">
        <f>B667/B$672*100</f>
        <v>34.839824198549074</v>
      </c>
      <c r="C723" s="59"/>
      <c r="D723" s="35">
        <f>D667/D$672*100</f>
        <v>31.935479259889259</v>
      </c>
      <c r="E723" s="59"/>
      <c r="F723" s="35">
        <f>F667/F$672*100</f>
        <v>25.846558997904694</v>
      </c>
      <c r="G723" s="59"/>
      <c r="H723" s="35">
        <f>H667/H$672*100</f>
        <v>40.364362270583847</v>
      </c>
      <c r="I723" s="59"/>
      <c r="J723" s="35">
        <f>J667/J$672*100</f>
        <v>21.507082413539365</v>
      </c>
      <c r="K723" s="23">
        <f t="shared" si="4846"/>
        <v>-38.268682726490219</v>
      </c>
      <c r="L723" s="35">
        <f>L667/L$672*100</f>
        <v>12.829716514572739</v>
      </c>
      <c r="M723" s="23" t="str">
        <f t="shared" si="4846"/>
        <v>NM</v>
      </c>
      <c r="N723" s="35">
        <f>N667/N$672*100</f>
        <v>17.147497097273149</v>
      </c>
      <c r="O723" s="23">
        <f t="shared" si="4846"/>
        <v>-33.656557150747815</v>
      </c>
      <c r="P723" s="35">
        <f>P667/P$672*100</f>
        <v>19.382230979390862</v>
      </c>
      <c r="Q723" s="23" t="str">
        <f t="shared" si="4846"/>
        <v>NM</v>
      </c>
      <c r="R723" s="35">
        <f>R667/R$672*100</f>
        <v>21.910706728734656</v>
      </c>
      <c r="S723" s="23">
        <f t="shared" si="4846"/>
        <v>1.8767041825310304</v>
      </c>
      <c r="T723" s="35">
        <f>T667/T$672*100</f>
        <v>17.485649305636684</v>
      </c>
      <c r="U723" s="23">
        <f t="shared" si="4846"/>
        <v>36.2902234494072</v>
      </c>
      <c r="V723" s="35">
        <f>V667/V$672*100</f>
        <v>23.417475728155331</v>
      </c>
      <c r="W723" s="23">
        <f t="shared" si="4846"/>
        <v>36.564978523187833</v>
      </c>
      <c r="X723" s="35">
        <f>X667/X$672*100</f>
        <v>18.930794580739661</v>
      </c>
      <c r="Y723" s="23">
        <f t="shared" si="4846"/>
        <v>-2.3291250585715018</v>
      </c>
      <c r="Z723" s="35">
        <f>Z667/Z$672*100</f>
        <v>15.11673921646223</v>
      </c>
      <c r="AA723" s="23">
        <f t="shared" si="4847"/>
        <v>-31.00752338290631</v>
      </c>
      <c r="AB723" s="35">
        <f>AB667/AB$672*100</f>
        <v>20.787956438180622</v>
      </c>
      <c r="AC723" s="23">
        <f t="shared" si="4848"/>
        <v>18.88581358817143</v>
      </c>
      <c r="AD723" s="35">
        <f>AD667/AD$672*100</f>
        <v>14.556410881605075</v>
      </c>
      <c r="AE723" s="23">
        <f t="shared" si="4849"/>
        <v>-37.839538938419437</v>
      </c>
      <c r="AF723" s="35">
        <f>AF667/AF$672*100</f>
        <v>21.694333142530073</v>
      </c>
      <c r="AG723" s="23">
        <f t="shared" si="4850"/>
        <v>14.598111822533099</v>
      </c>
      <c r="AH723" s="35">
        <f>AH667/AH$672*100</f>
        <v>14.580187519752771</v>
      </c>
      <c r="AI723" s="23">
        <f t="shared" si="4851"/>
        <v>-3.5493877947246122</v>
      </c>
      <c r="AJ723" s="35">
        <f>AJ667/AJ$672*100</f>
        <v>19.306016980435601</v>
      </c>
      <c r="AK723" s="23">
        <f t="shared" si="4852"/>
        <v>-7.1288366518951651</v>
      </c>
      <c r="AL723" s="35">
        <f>AL667/AL$672*100</f>
        <v>7.9861111111111329</v>
      </c>
      <c r="AM723" s="23">
        <f t="shared" si="4853"/>
        <v>-45.13681170402262</v>
      </c>
      <c r="AN723" s="409">
        <f t="shared" si="4854"/>
        <v>31.428571428571413</v>
      </c>
      <c r="AO723" s="23">
        <f t="shared" si="4855"/>
        <v>44.869958537504488</v>
      </c>
      <c r="AP723" s="409">
        <f t="shared" si="4854"/>
        <v>50.000000000000043</v>
      </c>
      <c r="AQ723" s="23" t="str">
        <f t="shared" si="4856"/>
        <v>NM</v>
      </c>
      <c r="AR723" s="409">
        <f t="shared" si="4857"/>
        <v>34.971207758751326</v>
      </c>
      <c r="AS723" s="23">
        <f t="shared" si="4858"/>
        <v>81.141494872767254</v>
      </c>
      <c r="AT723" s="409">
        <f t="shared" si="4857"/>
        <v>33.082140165787479</v>
      </c>
      <c r="AU723" s="23" t="str">
        <f t="shared" si="4859"/>
        <v>NM</v>
      </c>
      <c r="AV723" s="409">
        <f t="shared" si="4860"/>
        <v>28.561827956989248</v>
      </c>
      <c r="AW723" s="23">
        <f t="shared" si="4861"/>
        <v>-9.121456500488712</v>
      </c>
      <c r="AX723" s="409">
        <f t="shared" si="4860"/>
        <v>29.044394281414625</v>
      </c>
      <c r="AY723" s="23">
        <f t="shared" si="4862"/>
        <v>-41.911211437170806</v>
      </c>
      <c r="AZ723" s="409">
        <f t="shared" si="4863"/>
        <v>32.582417582417577</v>
      </c>
      <c r="BA723" s="23">
        <f t="shared" si="4864"/>
        <v>-6.8307339935549383</v>
      </c>
      <c r="BB723" s="409">
        <f t="shared" si="4865"/>
        <v>31.458094144661274</v>
      </c>
      <c r="BC723" s="23">
        <f t="shared" si="4866"/>
        <v>-4.9091322779828523</v>
      </c>
      <c r="BD723" s="409">
        <f t="shared" si="4865"/>
        <v>30.769230769230777</v>
      </c>
      <c r="BE723" s="23">
        <f t="shared" si="4867"/>
        <v>7.728506787330347</v>
      </c>
      <c r="BF723" s="35">
        <f t="shared" ref="BF723" si="4891">BF667/BF$672*100</f>
        <v>26.825026732373981</v>
      </c>
      <c r="BG723" s="23">
        <f t="shared" si="4869"/>
        <v>-7.6412939706606569</v>
      </c>
      <c r="BH723" s="35">
        <f t="shared" ref="BH723" si="4892">BH667/BH$672*100</f>
        <v>26.324028584258418</v>
      </c>
      <c r="BI723" s="23">
        <f t="shared" si="4871"/>
        <v>-19.207871798734686</v>
      </c>
      <c r="BJ723" s="35">
        <f t="shared" ref="BJ723" si="4893">BJ667/BJ$672*100</f>
        <v>26.244432852382921</v>
      </c>
      <c r="BK723" s="23">
        <f t="shared" si="4873"/>
        <v>-16.573353961950545</v>
      </c>
      <c r="BL723" s="35">
        <f t="shared" ref="BL723" si="4894">BL667/BL$672*100</f>
        <v>25.698980202984384</v>
      </c>
      <c r="BM723" s="23">
        <f t="shared" si="4875"/>
        <v>-16.47831434030077</v>
      </c>
      <c r="BN723" s="5"/>
      <c r="BO723" s="138"/>
      <c r="BP723" s="5"/>
      <c r="BQ723" s="5"/>
      <c r="BR723" s="5"/>
      <c r="BS723" s="5"/>
      <c r="BT723" s="5"/>
      <c r="BU723" s="35">
        <f t="shared" ref="BU723:BY723" si="4895">BU667/BU$672*100</f>
        <v>32.297925770369027</v>
      </c>
      <c r="BV723" s="23" t="str">
        <f t="shared" si="4877"/>
        <v>NA</v>
      </c>
      <c r="BW723" s="35">
        <f t="shared" si="4895"/>
        <v>17.429411954996933</v>
      </c>
      <c r="BX723" s="23">
        <f t="shared" si="4878"/>
        <v>-46.035506803390028</v>
      </c>
      <c r="BY723" s="35">
        <f t="shared" si="4895"/>
        <v>20.384748388659748</v>
      </c>
      <c r="BZ723" s="23">
        <f t="shared" si="4879"/>
        <v>16.956030652632158</v>
      </c>
      <c r="CA723" s="35">
        <f>CA667/CA$672*100</f>
        <v>18.36955526515121</v>
      </c>
      <c r="CB723" s="23">
        <f t="shared" si="4879"/>
        <v>-9.8857885566525425</v>
      </c>
      <c r="CC723" s="35">
        <f>CC667/CC$672*100</f>
        <v>18.307268604571956</v>
      </c>
      <c r="CD723" s="23">
        <f t="shared" si="4879"/>
        <v>-0.33907549573297668</v>
      </c>
      <c r="CE723" s="35">
        <f>CE667/CE$672*100</f>
        <v>35.473155063743647</v>
      </c>
      <c r="CF723" s="23">
        <f t="shared" si="4879"/>
        <v>93.765415420216087</v>
      </c>
      <c r="CG723" s="35">
        <f>CG667/CG$672*100</f>
        <v>31.083001705514484</v>
      </c>
      <c r="CH723" s="23">
        <f t="shared" si="4879"/>
        <v>-12.375987843033009</v>
      </c>
      <c r="CI723" s="35">
        <f>CI667/CI$672*100</f>
        <v>26.237614359720279</v>
      </c>
      <c r="CJ723" s="23">
        <f t="shared" si="4879"/>
        <v>-15.588543834022882</v>
      </c>
      <c r="CK723" s="35">
        <f>CK667/CK$672*100</f>
        <v>23.491340143831412</v>
      </c>
      <c r="CL723" s="23">
        <f t="shared" si="4879"/>
        <v>-10.466935668148702</v>
      </c>
      <c r="CM723" s="35">
        <f>CM667/CM$672*100</f>
        <v>22.802555933753855</v>
      </c>
      <c r="CN723" s="23">
        <f t="shared" si="4879"/>
        <v>-2.9320771222940412</v>
      </c>
      <c r="CO723" s="35">
        <f>CO667/CO$672*100</f>
        <v>22.200104097779128</v>
      </c>
      <c r="CP723" s="23">
        <f t="shared" si="4879"/>
        <v>-2.6420364354108994</v>
      </c>
      <c r="CQ723" s="35">
        <f>CQ667/CQ$672*100</f>
        <v>21.65949970139734</v>
      </c>
      <c r="CR723" s="23">
        <f t="shared" si="4879"/>
        <v>-2.4351435200516414</v>
      </c>
      <c r="CS723" s="23">
        <f t="shared" si="4880"/>
        <v>-6.9695559904723421</v>
      </c>
    </row>
    <row r="724" spans="1:107" ht="12.75" customHeight="1" x14ac:dyDescent="0.2">
      <c r="A724" s="31" t="s">
        <v>195</v>
      </c>
      <c r="B724" s="35">
        <f>B668/B$672*100</f>
        <v>5.9929617181059571</v>
      </c>
      <c r="C724" s="59"/>
      <c r="D724" s="35">
        <f>D668/D$672*100</f>
        <v>11.579897596152238</v>
      </c>
      <c r="E724" s="59"/>
      <c r="F724" s="35">
        <f>F668/F$672*100</f>
        <v>7.1368358876847022</v>
      </c>
      <c r="G724" s="59"/>
      <c r="H724" s="35">
        <f>H668/H$672*100</f>
        <v>14.704420610524501</v>
      </c>
      <c r="I724" s="59"/>
      <c r="J724" s="35">
        <f>J668/J$672*100</f>
        <v>5.6089036055923565</v>
      </c>
      <c r="K724" s="23">
        <f t="shared" si="4846"/>
        <v>-6.4084859970535586</v>
      </c>
      <c r="L724" s="35">
        <f>L668/L$672*100</f>
        <v>11.465589251949373</v>
      </c>
      <c r="M724" s="23">
        <f t="shared" si="4846"/>
        <v>-0.98712741847429841</v>
      </c>
      <c r="N724" s="35">
        <f>N668/N$672*100</f>
        <v>13.666925115434015</v>
      </c>
      <c r="O724" s="23">
        <f t="shared" si="4846"/>
        <v>91.498380101714432</v>
      </c>
      <c r="P724" s="35">
        <f>P668/P$672*100</f>
        <v>11.123029151267142</v>
      </c>
      <c r="Q724" s="23">
        <f t="shared" si="4846"/>
        <v>-24.355882860791024</v>
      </c>
      <c r="R724" s="35">
        <f>R668/R$672*100</f>
        <v>4.5598815065594547</v>
      </c>
      <c r="S724" s="23">
        <f t="shared" si="4846"/>
        <v>-18.702801345827634</v>
      </c>
      <c r="T724" s="35">
        <f>T668/T$672*100</f>
        <v>13.279747022766383</v>
      </c>
      <c r="U724" s="23">
        <f t="shared" si="4846"/>
        <v>15.822630053737253</v>
      </c>
      <c r="V724" s="35">
        <f>V668/V$672*100</f>
        <v>9.7475728155339745</v>
      </c>
      <c r="W724" s="23">
        <f t="shared" si="4846"/>
        <v>-28.677645240581061</v>
      </c>
      <c r="X724" s="35">
        <f>X668/X$672*100</f>
        <v>11.24130355181252</v>
      </c>
      <c r="Y724" s="23">
        <f t="shared" si="4846"/>
        <v>1.0633290530565942</v>
      </c>
      <c r="Z724" s="35">
        <f>Z668/Z$672*100</f>
        <v>8.5081123862287207</v>
      </c>
      <c r="AA724" s="23">
        <f t="shared" si="4847"/>
        <v>86.586260497990565</v>
      </c>
      <c r="AB724" s="35">
        <f>AB668/AB$672*100</f>
        <v>12.684176809737346</v>
      </c>
      <c r="AC724" s="23">
        <f t="shared" si="4848"/>
        <v>-4.4848008927279253</v>
      </c>
      <c r="AD724" s="35">
        <f>AD668/AD$672*100</f>
        <v>13.152669894458183</v>
      </c>
      <c r="AE724" s="23">
        <f t="shared" si="4849"/>
        <v>34.932768837569107</v>
      </c>
      <c r="AF724" s="35">
        <f>AF668/AF$672*100</f>
        <v>16.456783056668577</v>
      </c>
      <c r="AG724" s="23">
        <f t="shared" si="4850"/>
        <v>46.395682500853084</v>
      </c>
      <c r="AH724" s="35">
        <f>AH668/AH$672*100</f>
        <v>14.787372265336934</v>
      </c>
      <c r="AI724" s="23">
        <f t="shared" si="4851"/>
        <v>73.803207974448696</v>
      </c>
      <c r="AJ724" s="35">
        <f>AJ668/AJ$672*100</f>
        <v>14.248800295311916</v>
      </c>
      <c r="AK724" s="23">
        <f t="shared" si="4852"/>
        <v>12.335238691827799</v>
      </c>
      <c r="AL724" s="35">
        <f>AL668/AL$672*100</f>
        <v>20.312500000000004</v>
      </c>
      <c r="AM724" s="23">
        <f t="shared" si="4853"/>
        <v>54.436324814618686</v>
      </c>
      <c r="AN724" s="409">
        <f t="shared" si="4854"/>
        <v>9.85507246376811</v>
      </c>
      <c r="AO724" s="23">
        <f t="shared" si="4855"/>
        <v>-40.115437933207353</v>
      </c>
      <c r="AP724" s="409">
        <f t="shared" si="4854"/>
        <v>23.571428571428608</v>
      </c>
      <c r="AQ724" s="23">
        <f t="shared" si="4856"/>
        <v>59.402415442548715</v>
      </c>
      <c r="AR724" s="409">
        <f t="shared" si="4857"/>
        <v>21.768449765115943</v>
      </c>
      <c r="AS724" s="23">
        <f t="shared" si="4858"/>
        <v>52.773912988857809</v>
      </c>
      <c r="AT724" s="409">
        <f t="shared" si="4857"/>
        <v>17.709118311981936</v>
      </c>
      <c r="AU724" s="23">
        <f t="shared" si="4859"/>
        <v>-12.816648310242796</v>
      </c>
      <c r="AV724" s="409">
        <f t="shared" si="4860"/>
        <v>20.766129032258068</v>
      </c>
      <c r="AW724" s="23" t="str">
        <f t="shared" si="4861"/>
        <v>NM</v>
      </c>
      <c r="AX724" s="409">
        <f t="shared" si="4860"/>
        <v>8.7283671933784976</v>
      </c>
      <c r="AY724" s="23" t="str">
        <f t="shared" si="4862"/>
        <v>NM</v>
      </c>
      <c r="AZ724" s="409">
        <f t="shared" si="4863"/>
        <v>14.285714285714295</v>
      </c>
      <c r="BA724" s="23">
        <f t="shared" si="4864"/>
        <v>-34.374223062005868</v>
      </c>
      <c r="BB724" s="409">
        <f t="shared" si="4865"/>
        <v>18.369690011481062</v>
      </c>
      <c r="BC724" s="23">
        <f t="shared" si="4866"/>
        <v>3.7301218946184544</v>
      </c>
      <c r="BD724" s="409">
        <f t="shared" si="4865"/>
        <v>13.519813519813523</v>
      </c>
      <c r="BE724" s="23">
        <f t="shared" si="4867"/>
        <v>-34.894878584198963</v>
      </c>
      <c r="BF724" s="35">
        <f t="shared" ref="BF724" si="4896">BF668/BF$672*100</f>
        <v>9.256025929553493</v>
      </c>
      <c r="BG724" s="23">
        <f t="shared" si="4869"/>
        <v>6.0453315549704012</v>
      </c>
      <c r="BH724" s="35">
        <f t="shared" ref="BH724" si="4897">BH668/BH$672*100</f>
        <v>15.735676692978837</v>
      </c>
      <c r="BI724" s="23">
        <f t="shared" si="4871"/>
        <v>10.149736850851788</v>
      </c>
      <c r="BJ724" s="35">
        <f t="shared" ref="BJ724" si="4898">BJ668/BJ$672*100</f>
        <v>16.336259015705661</v>
      </c>
      <c r="BK724" s="23">
        <f t="shared" si="4873"/>
        <v>-11.069489983252334</v>
      </c>
      <c r="BL724" s="35">
        <f t="shared" ref="BL724" si="4899">BL668/BL$672*100</f>
        <v>13.666936366505796</v>
      </c>
      <c r="BM724" s="23">
        <f t="shared" si="4875"/>
        <v>1.0882017453618165</v>
      </c>
      <c r="BN724" s="5"/>
      <c r="BO724" s="138"/>
      <c r="BP724" s="5"/>
      <c r="BQ724" s="5"/>
      <c r="BR724" s="5"/>
      <c r="BS724" s="5"/>
      <c r="BT724" s="5"/>
      <c r="BU724" s="35">
        <f t="shared" ref="BU724:BY724" si="4900">BU668/BU$672*100</f>
        <v>9.4157541834441254</v>
      </c>
      <c r="BV724" s="23" t="str">
        <f t="shared" si="4877"/>
        <v>NA</v>
      </c>
      <c r="BW724" s="35">
        <f t="shared" si="4900"/>
        <v>10.690230161678786</v>
      </c>
      <c r="BX724" s="23">
        <f t="shared" si="4878"/>
        <v>13.535569784474543</v>
      </c>
      <c r="BY724" s="35">
        <f t="shared" si="4900"/>
        <v>9.8345970721376403</v>
      </c>
      <c r="BZ724" s="23">
        <f t="shared" si="4879"/>
        <v>-8.0038790241236271</v>
      </c>
      <c r="CA724" s="35">
        <f>CA668/CA$672*100</f>
        <v>13.014924379260675</v>
      </c>
      <c r="CB724" s="23">
        <f t="shared" si="4879"/>
        <v>32.338155633576562</v>
      </c>
      <c r="CC724" s="35">
        <f>CC668/CC$672*100</f>
        <v>14.72503089813832</v>
      </c>
      <c r="CD724" s="23">
        <f t="shared" si="4879"/>
        <v>13.13958090761329</v>
      </c>
      <c r="CE724" s="35">
        <f>CE668/CE$672*100</f>
        <v>20.812662934078389</v>
      </c>
      <c r="CF724" s="23">
        <f t="shared" si="4879"/>
        <v>41.342066295492309</v>
      </c>
      <c r="CG724" s="35">
        <f>CG668/CG$672*100</f>
        <v>14.013644115974994</v>
      </c>
      <c r="CH724" s="23">
        <f t="shared" si="4879"/>
        <v>-32.667702540700681</v>
      </c>
      <c r="CI724" s="35">
        <f>CI668/CI$672*100</f>
        <v>13.945652253597482</v>
      </c>
      <c r="CJ724" s="23">
        <f t="shared" si="4879"/>
        <v>-0.48518331002858073</v>
      </c>
      <c r="CK724" s="35">
        <f>CK668/CK$672*100</f>
        <v>13.170432081870546</v>
      </c>
      <c r="CL724" s="23">
        <f t="shared" si="4879"/>
        <v>-5.5588663594200565</v>
      </c>
      <c r="CM724" s="35">
        <f>CM668/CM$672*100</f>
        <v>12.818528697484254</v>
      </c>
      <c r="CN724" s="23">
        <f t="shared" si="4879"/>
        <v>-2.6719198140104816</v>
      </c>
      <c r="CO724" s="35">
        <f>CO668/CO$672*100</f>
        <v>12.506351982954664</v>
      </c>
      <c r="CP724" s="23">
        <f t="shared" si="4879"/>
        <v>-2.4353552728001993</v>
      </c>
      <c r="CQ724" s="35">
        <f>CQ668/CQ$672*100</f>
        <v>12.220486437358613</v>
      </c>
      <c r="CR724" s="23">
        <f t="shared" si="4879"/>
        <v>-2.2857628346432901</v>
      </c>
      <c r="CS724" s="23">
        <f t="shared" si="4880"/>
        <v>-2.7012005022485797</v>
      </c>
    </row>
    <row r="725" spans="1:107" ht="12.75" customHeight="1" x14ac:dyDescent="0.2">
      <c r="A725" s="3" t="s">
        <v>226</v>
      </c>
      <c r="B725" s="35">
        <f t="shared" ref="B725:Z725" si="4901">B720+B721+B722+B723+B724</f>
        <v>112.89731393171965</v>
      </c>
      <c r="C725" s="59"/>
      <c r="D725" s="35">
        <f t="shared" si="4901"/>
        <v>118.85569779759163</v>
      </c>
      <c r="E725" s="59"/>
      <c r="F725" s="35">
        <f t="shared" si="4901"/>
        <v>99.96033370319536</v>
      </c>
      <c r="G725" s="59"/>
      <c r="H725" s="35">
        <f t="shared" si="4901"/>
        <v>108.43261768114201</v>
      </c>
      <c r="I725" s="59"/>
      <c r="J725" s="35">
        <f t="shared" si="4901"/>
        <v>111.08351729212659</v>
      </c>
      <c r="K725" s="23">
        <f t="shared" si="4846"/>
        <v>-1.6065897198316414</v>
      </c>
      <c r="L725" s="35">
        <f t="shared" si="4901"/>
        <v>97.518497677523499</v>
      </c>
      <c r="M725" s="23">
        <f t="shared" si="4846"/>
        <v>-17.952189516740603</v>
      </c>
      <c r="N725" s="35">
        <f t="shared" si="4901"/>
        <v>113.80965055412187</v>
      </c>
      <c r="O725" s="23">
        <f t="shared" si="4846"/>
        <v>13.854812541991146</v>
      </c>
      <c r="P725" s="35">
        <f t="shared" si="4901"/>
        <v>107.69490853551902</v>
      </c>
      <c r="Q725" s="23">
        <f t="shared" si="4846"/>
        <v>-0.68033877757364136</v>
      </c>
      <c r="R725" s="35">
        <f t="shared" si="4901"/>
        <v>112.14557765552263</v>
      </c>
      <c r="S725" s="23">
        <f t="shared" si="4846"/>
        <v>0.95609176706481502</v>
      </c>
      <c r="T725" s="35">
        <f t="shared" si="4901"/>
        <v>113.55235180035984</v>
      </c>
      <c r="U725" s="23">
        <f t="shared" si="4846"/>
        <v>16.441859241779412</v>
      </c>
      <c r="V725" s="35">
        <f t="shared" si="4901"/>
        <v>119.10679611650485</v>
      </c>
      <c r="W725" s="23">
        <f t="shared" si="4846"/>
        <v>4.65439049904115</v>
      </c>
      <c r="X725" s="35">
        <f t="shared" si="4901"/>
        <v>118.49139509337238</v>
      </c>
      <c r="Y725" s="23">
        <f t="shared" si="4846"/>
        <v>10.025066834327223</v>
      </c>
      <c r="Z725" s="35">
        <f t="shared" si="4901"/>
        <v>113.69212504946576</v>
      </c>
      <c r="AA725" s="23">
        <f t="shared" si="4847"/>
        <v>1.3790533931651305</v>
      </c>
      <c r="AB725" s="35">
        <f t="shared" ref="AB725:AD725" si="4902">AB720+AB721+AB722+AB723+AB724</f>
        <v>110.7303010890455</v>
      </c>
      <c r="AC725" s="23">
        <f t="shared" si="4848"/>
        <v>-2.4852419756799859</v>
      </c>
      <c r="AD725" s="35">
        <f t="shared" si="4902"/>
        <v>113.30941516597582</v>
      </c>
      <c r="AE725" s="23">
        <f t="shared" si="4849"/>
        <v>-4.8673804850382307</v>
      </c>
      <c r="AF725" s="35">
        <f t="shared" ref="AF725:AH725" si="4903">AF720+AF721+AF722+AF723+AF724</f>
        <v>113.16542644533484</v>
      </c>
      <c r="AG725" s="23">
        <f t="shared" si="4850"/>
        <v>-4.4948147026546703</v>
      </c>
      <c r="AH725" s="35">
        <f t="shared" si="4903"/>
        <v>112.0096920321663</v>
      </c>
      <c r="AI725" s="23">
        <f t="shared" si="4851"/>
        <v>-1.4798149094033208</v>
      </c>
      <c r="AJ725" s="35">
        <f t="shared" ref="AJ725:AL725" si="4904">AJ720+AJ721+AJ722+AJ723+AJ724</f>
        <v>117.68180140273162</v>
      </c>
      <c r="AK725" s="23">
        <f t="shared" si="4852"/>
        <v>6.2778663521342537</v>
      </c>
      <c r="AL725" s="35">
        <f t="shared" si="4904"/>
        <v>131.5972222222222</v>
      </c>
      <c r="AM725" s="23">
        <f t="shared" si="4853"/>
        <v>16.139706510229868</v>
      </c>
      <c r="AN725" s="409">
        <f t="shared" ref="AN725:AP725" si="4905">AN720+AN721+AN722+AN723+AN724</f>
        <v>132.2981366459627</v>
      </c>
      <c r="AO725" s="23">
        <f t="shared" si="4855"/>
        <v>16.906851148455672</v>
      </c>
      <c r="AP725" s="409">
        <f t="shared" si="4905"/>
        <v>200.71428571428589</v>
      </c>
      <c r="AQ725" s="23">
        <f t="shared" si="4856"/>
        <v>79.193676969173282</v>
      </c>
      <c r="AR725" s="409">
        <f t="shared" ref="AR725:AT725" si="4906">AR720+AR721+AR722+AR723+AR724</f>
        <v>168.46113047431433</v>
      </c>
      <c r="AS725" s="23">
        <f t="shared" si="4858"/>
        <v>43.149687093763347</v>
      </c>
      <c r="AT725" s="409">
        <f t="shared" si="4906"/>
        <v>186.28485305199706</v>
      </c>
      <c r="AU725" s="23">
        <f t="shared" si="4859"/>
        <v>41.556827649010984</v>
      </c>
      <c r="AV725" s="409">
        <f t="shared" ref="AV725:AX725" si="4907">AV720+AV721+AV722+AV723+AV724</f>
        <v>188.64247311827964</v>
      </c>
      <c r="AW725" s="23">
        <f t="shared" si="4861"/>
        <v>42.588911605835818</v>
      </c>
      <c r="AX725" s="409">
        <f t="shared" si="4907"/>
        <v>171.55756207674952</v>
      </c>
      <c r="AY725" s="23">
        <f t="shared" si="4862"/>
        <v>-14.526481527598179</v>
      </c>
      <c r="AZ725" s="409">
        <f t="shared" ref="AZ725" si="4908">AZ720+AZ721+AZ722+AZ723+AZ724</f>
        <v>155.21978021978026</v>
      </c>
      <c r="BA725" s="23">
        <f t="shared" si="4864"/>
        <v>-7.8601812876668342</v>
      </c>
      <c r="BB725" s="409">
        <f t="shared" ref="BB725:BD725" si="4909">BB720+BB721+BB722+BB723+BB724</f>
        <v>163.1458094144661</v>
      </c>
      <c r="BC725" s="23">
        <f t="shared" si="4866"/>
        <v>-12.42132318244481</v>
      </c>
      <c r="BD725" s="409">
        <f t="shared" si="4909"/>
        <v>141.35198135198135</v>
      </c>
      <c r="BE725" s="23">
        <f t="shared" si="4867"/>
        <v>-25.068846365604504</v>
      </c>
      <c r="BF725" s="35">
        <f t="shared" ref="BF725" si="4910">BF720+BF721+BF722+BF723+BF724</f>
        <v>143.03352266991965</v>
      </c>
      <c r="BG725" s="23">
        <f t="shared" si="4869"/>
        <v>-16.626512443717935</v>
      </c>
      <c r="BH725" s="35">
        <f t="shared" ref="BH725" si="4911">BH720+BH721+BH722+BH723+BH724</f>
        <v>138.28082501508646</v>
      </c>
      <c r="BI725" s="23">
        <f t="shared" si="4871"/>
        <v>-10.912884415059365</v>
      </c>
      <c r="BJ725" s="35">
        <f t="shared" ref="BJ725" si="4912">BJ720+BJ721+BJ722+BJ723+BJ724</f>
        <v>131.13795055751245</v>
      </c>
      <c r="BK725" s="23">
        <f t="shared" si="4873"/>
        <v>-19.619173162847737</v>
      </c>
      <c r="BL725" s="35">
        <f t="shared" ref="BL725" si="4913">BL720+BL721+BL722+BL723+BL724</f>
        <v>127.69742718349252</v>
      </c>
      <c r="BM725" s="23">
        <f t="shared" si="4875"/>
        <v>-9.6599665868761679</v>
      </c>
      <c r="BN725" s="5"/>
      <c r="BO725" s="138"/>
      <c r="BP725" s="5"/>
      <c r="BQ725" s="5"/>
      <c r="BR725" s="5"/>
      <c r="BS725" s="5"/>
      <c r="BT725" s="5"/>
      <c r="BU725" s="35">
        <f t="shared" ref="BU725:CA725" si="4914">BU720+BU721+BU722+BU723+BU724</f>
        <v>110.28384019924344</v>
      </c>
      <c r="BV725" s="23" t="str">
        <f t="shared" si="4877"/>
        <v>NA</v>
      </c>
      <c r="BW725" s="35">
        <f t="shared" si="4914"/>
        <v>107.11688652879251</v>
      </c>
      <c r="BX725" s="23">
        <f t="shared" si="4878"/>
        <v>-2.8716389134884945</v>
      </c>
      <c r="BY725" s="35">
        <f t="shared" si="4914"/>
        <v>115.94245087830006</v>
      </c>
      <c r="BZ725" s="23">
        <f t="shared" si="4879"/>
        <v>8.2391905100185134</v>
      </c>
      <c r="CA725" s="35">
        <f t="shared" si="4914"/>
        <v>112.67781486444865</v>
      </c>
      <c r="CB725" s="23">
        <f t="shared" si="4879"/>
        <v>-2.8157383159669203</v>
      </c>
      <c r="CC725" s="35">
        <f t="shared" ref="CC725" si="4915">CC720+CC721+CC722+CC723+CC724</f>
        <v>122.6651225707251</v>
      </c>
      <c r="CD725" s="23">
        <f t="shared" si="4879"/>
        <v>8.8635972558495091</v>
      </c>
      <c r="CE725" s="35">
        <f t="shared" ref="CE725" si="4916">CE720+CE721+CE722+CE723+CE724</f>
        <v>184.41002738942484</v>
      </c>
      <c r="CF725" s="23">
        <f t="shared" si="4879"/>
        <v>50.336153850985177</v>
      </c>
      <c r="CG725" s="35">
        <f t="shared" ref="CG725" si="4917">CG720+CG721+CG722+CG723+CG724</f>
        <v>156.04036384309265</v>
      </c>
      <c r="CH725" s="23">
        <f t="shared" si="4879"/>
        <v>-15.384013520275131</v>
      </c>
      <c r="CI725" s="35">
        <f t="shared" ref="CI725" si="4918">CI720+CI721+CI722+CI723+CI724</f>
        <v>134.4963798822013</v>
      </c>
      <c r="CJ725" s="23">
        <f t="shared" si="4879"/>
        <v>-13.806673754333875</v>
      </c>
      <c r="CK725" s="35">
        <f>CK720+CK721+CK722+CK723+CK724</f>
        <v>123.99025880329305</v>
      </c>
      <c r="CL725" s="23">
        <f t="shared" si="4879"/>
        <v>-7.8114526860202815</v>
      </c>
      <c r="CM725" s="35">
        <f>CM720+CM721+CM722+CM723+CM724</f>
        <v>122.9414960857401</v>
      </c>
      <c r="CN725" s="23">
        <f t="shared" si="4879"/>
        <v>-0.8458428328767198</v>
      </c>
      <c r="CO725" s="35">
        <f>CO720+CO721+CO722+CO723+CO724</f>
        <v>122.00551029212953</v>
      </c>
      <c r="CP725" s="23">
        <f t="shared" si="4879"/>
        <v>-0.7613261782318026</v>
      </c>
      <c r="CQ725" s="35">
        <f>CQ720+CQ721+CQ722+CQ723+CQ724</f>
        <v>121.1538976043733</v>
      </c>
      <c r="CR725" s="23">
        <f t="shared" si="4879"/>
        <v>-0.69801166006120408</v>
      </c>
      <c r="CS725" s="23">
        <f t="shared" si="4880"/>
        <v>-4.9351237510406598</v>
      </c>
    </row>
    <row r="726" spans="1:107" ht="12.75" customHeight="1" x14ac:dyDescent="0.2">
      <c r="A726" s="4" t="s">
        <v>186</v>
      </c>
      <c r="B726" s="35">
        <f>B670/B$672*100</f>
        <v>-19.907700598438296</v>
      </c>
      <c r="C726" s="59"/>
      <c r="D726" s="35">
        <f>D670/D$672*100</f>
        <v>-25.903155423729295</v>
      </c>
      <c r="E726" s="59"/>
      <c r="F726" s="35">
        <f>F670/F$672*100</f>
        <v>-8.2505897353655282</v>
      </c>
      <c r="G726" s="59"/>
      <c r="H726" s="35">
        <f>H670/H$672*100</f>
        <v>-18.88627596354948</v>
      </c>
      <c r="I726" s="59"/>
      <c r="J726" s="35">
        <f>J670/J$672*100</f>
        <v>-22.259013980868307</v>
      </c>
      <c r="K726" s="23">
        <f t="shared" si="4846"/>
        <v>11.811074668334442</v>
      </c>
      <c r="L726" s="35">
        <f>L670/L$672*100</f>
        <v>-11.428890978166272</v>
      </c>
      <c r="M726" s="23" t="str">
        <f t="shared" si="4846"/>
        <v>NM</v>
      </c>
      <c r="N726" s="35">
        <f>N670/N$672*100</f>
        <v>-22.218879103838539</v>
      </c>
      <c r="O726" s="23" t="str">
        <f t="shared" si="4846"/>
        <v>NM</v>
      </c>
      <c r="P726" s="35">
        <f>P670/P$672*100</f>
        <v>-16.944344047910516</v>
      </c>
      <c r="Q726" s="23">
        <f t="shared" si="4846"/>
        <v>-10.282238379799669</v>
      </c>
      <c r="R726" s="35">
        <f>R670/R$672*100</f>
        <v>-21.20186203977994</v>
      </c>
      <c r="S726" s="23">
        <f t="shared" si="4846"/>
        <v>-4.7493206212862464</v>
      </c>
      <c r="T726" s="35">
        <f>T670/T$672*100</f>
        <v>-20.562188938476996</v>
      </c>
      <c r="U726" s="23">
        <f t="shared" si="4846"/>
        <v>79.914122706734673</v>
      </c>
      <c r="V726" s="35">
        <f>V670/V$672*100</f>
        <v>-24.737864077669908</v>
      </c>
      <c r="W726" s="23">
        <f t="shared" si="4846"/>
        <v>11.337137944983855</v>
      </c>
      <c r="X726" s="35">
        <f>X670/X$672*100</f>
        <v>-17.283046503112416</v>
      </c>
      <c r="Y726" s="23">
        <f t="shared" si="4846"/>
        <v>1.9989115792515388</v>
      </c>
      <c r="Z726" s="35">
        <f>Z670/Z$672*100</f>
        <v>-14.048278591214869</v>
      </c>
      <c r="AA726" s="23">
        <f t="shared" si="4847"/>
        <v>-33.740354668581361</v>
      </c>
      <c r="AB726" s="35">
        <f>AB670/AB$672*100</f>
        <v>-14.093529788597051</v>
      </c>
      <c r="AC726" s="23">
        <f t="shared" si="4848"/>
        <v>-31.459000640614999</v>
      </c>
      <c r="AD726" s="35">
        <f>AD670/AD$672*100</f>
        <v>-16.747361454596117</v>
      </c>
      <c r="AE726" s="23">
        <f t="shared" si="4849"/>
        <v>-32.300697416664057</v>
      </c>
      <c r="AF726" s="35">
        <f>AF670/AF$672*100</f>
        <v>-14.08128219805381</v>
      </c>
      <c r="AG726" s="23">
        <f t="shared" si="4850"/>
        <v>-18.525462536260704</v>
      </c>
      <c r="AH726" s="35">
        <f>AH670/AH$672*100</f>
        <v>-16.954033079327175</v>
      </c>
      <c r="AI726" s="23">
        <f t="shared" si="4851"/>
        <v>20.684060821013528</v>
      </c>
      <c r="AJ726" s="35">
        <f>AJ670/AJ$672*100</f>
        <v>-19.158361018826128</v>
      </c>
      <c r="AK726" s="23">
        <f t="shared" si="4852"/>
        <v>35.937279774489042</v>
      </c>
      <c r="AL726" s="35">
        <f>AL670/AL$672*100</f>
        <v>-32.725694444444457</v>
      </c>
      <c r="AM726" s="23">
        <f t="shared" si="4853"/>
        <v>95.408061939591533</v>
      </c>
      <c r="AN726" s="409">
        <f t="shared" ref="AN726:AP727" si="4919">AN670/AN$672*100</f>
        <v>-33.126293995859207</v>
      </c>
      <c r="AO726" s="23" t="str">
        <f t="shared" si="4855"/>
        <v>NM</v>
      </c>
      <c r="AP726" s="409">
        <f t="shared" si="4919"/>
        <v>-104.59183673469406</v>
      </c>
      <c r="AQ726" s="23" t="str">
        <f t="shared" si="4856"/>
        <v>NM</v>
      </c>
      <c r="AR726" s="409">
        <f t="shared" ref="AR726:AT727" si="4920">AR670/AR$672*100</f>
        <v>-69.68480072738295</v>
      </c>
      <c r="AS726" s="23" t="str">
        <f t="shared" si="4858"/>
        <v>NM</v>
      </c>
      <c r="AT726" s="409">
        <f t="shared" si="4920"/>
        <v>-81.085154483798092</v>
      </c>
      <c r="AU726" s="23" t="str">
        <f t="shared" si="4859"/>
        <v>NM</v>
      </c>
      <c r="AV726" s="409">
        <f t="shared" ref="AV726:AX727" si="4921">AV670/AV$672*100</f>
        <v>-88.642473118279625</v>
      </c>
      <c r="AW726" s="23" t="str">
        <f t="shared" si="4861"/>
        <v>NM</v>
      </c>
      <c r="AX726" s="409">
        <f t="shared" si="4921"/>
        <v>-71.55756207674952</v>
      </c>
      <c r="AY726" s="23">
        <f t="shared" si="4862"/>
        <v>-31.583989429059113</v>
      </c>
      <c r="AZ726" s="409">
        <f t="shared" ref="AZ726:AZ727" si="4922">AZ670/AZ$672*100</f>
        <v>-55.219780219780255</v>
      </c>
      <c r="BA726" s="23">
        <f t="shared" si="4864"/>
        <v>-20.757784131710377</v>
      </c>
      <c r="BB726" s="409">
        <f t="shared" ref="BB726:BD727" si="4923">BB670/BB$672*100</f>
        <v>-63.145809414466115</v>
      </c>
      <c r="BC726" s="23">
        <f t="shared" si="4866"/>
        <v>-22.124080768590627</v>
      </c>
      <c r="BD726" s="409">
        <f t="shared" si="4923"/>
        <v>-41.351981351981358</v>
      </c>
      <c r="BE726" s="23" t="str">
        <f t="shared" si="4867"/>
        <v>NM</v>
      </c>
      <c r="BF726" s="35">
        <f t="shared" ref="BF726" si="4924">BF670/BF$672*100</f>
        <v>-43.03352266991967</v>
      </c>
      <c r="BG726" s="23">
        <f t="shared" si="4869"/>
        <v>-39.861670212068169</v>
      </c>
      <c r="BH726" s="35">
        <f t="shared" ref="BH726" si="4925">BH670/BH$672*100</f>
        <v>-38.280825015086492</v>
      </c>
      <c r="BI726" s="23">
        <f t="shared" si="4871"/>
        <v>-30.675520868201623</v>
      </c>
      <c r="BJ726" s="35">
        <f t="shared" ref="BJ726" si="4926">BJ670/BJ$672*100</f>
        <v>-31.137950557512461</v>
      </c>
      <c r="BK726" s="23" t="str">
        <f t="shared" si="4873"/>
        <v>NM</v>
      </c>
      <c r="BL726" s="35">
        <f t="shared" ref="BL726" si="4927">BL670/BL$672*100</f>
        <v>-27.697427183492497</v>
      </c>
      <c r="BM726" s="23">
        <f t="shared" si="4875"/>
        <v>-33.020314195500113</v>
      </c>
      <c r="BN726" s="5"/>
      <c r="BO726" s="138"/>
      <c r="BP726" s="5"/>
      <c r="BQ726" s="5"/>
      <c r="BR726" s="5"/>
      <c r="BS726" s="5"/>
      <c r="BT726" s="5"/>
      <c r="BU726" s="35">
        <f t="shared" ref="BU726:BY726" si="4928">BU670/BU$672*100</f>
        <v>-18.228389276241437</v>
      </c>
      <c r="BV726" s="23" t="str">
        <f t="shared" si="4877"/>
        <v>NA</v>
      </c>
      <c r="BW726" s="35">
        <f t="shared" si="4928"/>
        <v>-17.870639314034083</v>
      </c>
      <c r="BX726" s="23">
        <f t="shared" si="4878"/>
        <v>-1.9625977741963174</v>
      </c>
      <c r="BY726" s="35">
        <f t="shared" si="4928"/>
        <v>-20.885392143263232</v>
      </c>
      <c r="BZ726" s="23">
        <f t="shared" si="4879"/>
        <v>16.869865572529452</v>
      </c>
      <c r="CA726" s="35">
        <f>CA670/CA$672*100</f>
        <v>-14.714622229251114</v>
      </c>
      <c r="CB726" s="23">
        <f t="shared" si="4879"/>
        <v>-29.545865702131692</v>
      </c>
      <c r="CC726" s="35">
        <f>CC670/CC$672*100</f>
        <v>-24.872271475422604</v>
      </c>
      <c r="CD726" s="23">
        <f t="shared" si="4879"/>
        <v>69.030988957223485</v>
      </c>
      <c r="CE726" s="35">
        <f>CE670/CE$672*100</f>
        <v>-84.185632101725872</v>
      </c>
      <c r="CF726" s="23" t="str">
        <f t="shared" si="4879"/>
        <v>NM</v>
      </c>
      <c r="CG726" s="35">
        <f>CG670/CG$672*100</f>
        <v>-56.040363843092642</v>
      </c>
      <c r="CH726" s="23">
        <f t="shared" si="4879"/>
        <v>-33.43238929966558</v>
      </c>
      <c r="CI726" s="35">
        <f>CI670/CI$672*100</f>
        <v>-34.496379882201317</v>
      </c>
      <c r="CJ726" s="23">
        <f t="shared" si="4879"/>
        <v>-38.443690375052356</v>
      </c>
      <c r="CK726" s="35">
        <f>CK670/CK$672*100</f>
        <v>-23.990258803293056</v>
      </c>
      <c r="CL726" s="23">
        <f t="shared" si="4879"/>
        <v>-30.455720614118643</v>
      </c>
      <c r="CM726" s="35">
        <f>CM670/CM$672*100</f>
        <v>-22.941496085740106</v>
      </c>
      <c r="CN726" s="23">
        <f t="shared" si="4879"/>
        <v>-4.3716190231719798</v>
      </c>
      <c r="CO726" s="35">
        <f>CO670/CO$672*100</f>
        <v>-22.0055102921295</v>
      </c>
      <c r="CP726" s="23">
        <f t="shared" si="4879"/>
        <v>-4.0798812340420598</v>
      </c>
      <c r="CQ726" s="35">
        <f>CQ670/CQ$672*100</f>
        <v>-21.153897604373292</v>
      </c>
      <c r="CR726" s="23">
        <f t="shared" si="4879"/>
        <v>-3.8699974526871017</v>
      </c>
      <c r="CS726" s="23">
        <f t="shared" si="4880"/>
        <v>-17.704158515154202</v>
      </c>
    </row>
    <row r="727" spans="1:107" ht="12.75" customHeight="1" x14ac:dyDescent="0.2">
      <c r="A727" s="4" t="s">
        <v>221</v>
      </c>
      <c r="B727" s="35">
        <f>B671/B$672*100</f>
        <v>7.0103866667186781</v>
      </c>
      <c r="C727" s="59"/>
      <c r="D727" s="35">
        <f>D671/D$672*100</f>
        <v>7.0474576261376374</v>
      </c>
      <c r="E727" s="59"/>
      <c r="F727" s="35">
        <f>F671/F$672*100</f>
        <v>8.2902560321701699</v>
      </c>
      <c r="G727" s="59"/>
      <c r="H727" s="35">
        <f>H671/H$672*100</f>
        <v>10.453658282407465</v>
      </c>
      <c r="I727" s="59"/>
      <c r="J727" s="35">
        <f>J671/J$672*100</f>
        <v>11.175496688741728</v>
      </c>
      <c r="K727" s="23">
        <f t="shared" si="4846"/>
        <v>59.413413553871706</v>
      </c>
      <c r="L727" s="35">
        <f>L671/L$672*100</f>
        <v>13.910393300642742</v>
      </c>
      <c r="M727" s="23">
        <f t="shared" si="4846"/>
        <v>97.381723148668868</v>
      </c>
      <c r="N727" s="35">
        <f>N671/N$672*100</f>
        <v>8.409228549716671</v>
      </c>
      <c r="O727" s="23">
        <f t="shared" si="4846"/>
        <v>1.4350885797113078</v>
      </c>
      <c r="P727" s="35">
        <f>P671/P$672*100</f>
        <v>9.2494355123915195</v>
      </c>
      <c r="Q727" s="23">
        <f t="shared" si="4846"/>
        <v>-11.519630137925407</v>
      </c>
      <c r="R727" s="35">
        <f>R671/R$672*100</f>
        <v>9.0562843842572995</v>
      </c>
      <c r="S727" s="23">
        <f t="shared" si="4846"/>
        <v>-18.963025657905096</v>
      </c>
      <c r="T727" s="35">
        <f>T671/T$672*100</f>
        <v>7.0098371381171569</v>
      </c>
      <c r="U727" s="23">
        <f t="shared" si="4846"/>
        <v>-49.607196672194299</v>
      </c>
      <c r="V727" s="35">
        <f>V671/V$672*100</f>
        <v>5.6310679611650469</v>
      </c>
      <c r="W727" s="23">
        <f t="shared" si="4846"/>
        <v>-33.037044624565802</v>
      </c>
      <c r="X727" s="35">
        <f>X671/X$672*100</f>
        <v>-1.2083485902599798</v>
      </c>
      <c r="Y727" s="23" t="str">
        <f t="shared" si="4846"/>
        <v>NM</v>
      </c>
      <c r="Z727" s="35">
        <f>Z671/Z$672*100</f>
        <v>0.35615354174910879</v>
      </c>
      <c r="AA727" s="23" t="str">
        <f t="shared" si="4847"/>
        <v>NM</v>
      </c>
      <c r="AB727" s="35">
        <f>AB671/AB$672*100</f>
        <v>3.3632286995515681</v>
      </c>
      <c r="AC727" s="23" t="str">
        <f t="shared" si="4848"/>
        <v>NM</v>
      </c>
      <c r="AD727" s="35">
        <f>AD671/AD$672*100</f>
        <v>3.4379462886202923</v>
      </c>
      <c r="AE727" s="23">
        <f t="shared" si="4849"/>
        <v>-38.946815908984448</v>
      </c>
      <c r="AF727" s="35">
        <f>AF671/AF$672*100</f>
        <v>0.91585575271894726</v>
      </c>
      <c r="AG727" s="23" t="str">
        <f t="shared" si="4850"/>
        <v>NM</v>
      </c>
      <c r="AH727" s="35">
        <f>AH671/AH$672*100</f>
        <v>4.9443410471608651</v>
      </c>
      <c r="AI727" s="23" t="str">
        <f t="shared" si="4851"/>
        <v>NM</v>
      </c>
      <c r="AJ727" s="35">
        <f>AJ671/AJ$672*100</f>
        <v>1.4765596160944996</v>
      </c>
      <c r="AK727" s="23" t="str">
        <f t="shared" si="4852"/>
        <v>NM</v>
      </c>
      <c r="AL727" s="35">
        <f>AL671/AL$672*100</f>
        <v>1.1284722222222223</v>
      </c>
      <c r="AM727" s="23" t="str">
        <f t="shared" si="4853"/>
        <v>NM</v>
      </c>
      <c r="AN727" s="409">
        <f t="shared" si="4919"/>
        <v>0.82815734989648027</v>
      </c>
      <c r="AO727" s="23">
        <f t="shared" si="4855"/>
        <v>-9.5755693581781038</v>
      </c>
      <c r="AP727" s="409">
        <f t="shared" si="4919"/>
        <v>3.877551020408168</v>
      </c>
      <c r="AQ727" s="23">
        <f t="shared" si="4856"/>
        <v>-21.575979823747559</v>
      </c>
      <c r="AR727" s="409">
        <f t="shared" si="4920"/>
        <v>1.2236702530686474</v>
      </c>
      <c r="AS727" s="23">
        <f t="shared" si="4858"/>
        <v>-17.126932110925843</v>
      </c>
      <c r="AT727" s="409">
        <f t="shared" si="4920"/>
        <v>-5.1996985681989489</v>
      </c>
      <c r="AU727" s="23" t="str">
        <f t="shared" si="4859"/>
        <v>NM</v>
      </c>
      <c r="AV727" s="409">
        <f t="shared" si="4921"/>
        <v>0</v>
      </c>
      <c r="AW727" s="23" t="str">
        <f t="shared" si="4861"/>
        <v>NM</v>
      </c>
      <c r="AX727" s="409">
        <f t="shared" si="4921"/>
        <v>0</v>
      </c>
      <c r="AY727" s="23" t="str">
        <f t="shared" si="4862"/>
        <v>NM</v>
      </c>
      <c r="AZ727" s="409">
        <f t="shared" si="4922"/>
        <v>0</v>
      </c>
      <c r="BA727" s="23" t="str">
        <f t="shared" si="4864"/>
        <v>NM</v>
      </c>
      <c r="BB727" s="409">
        <f t="shared" si="4923"/>
        <v>0</v>
      </c>
      <c r="BC727" s="23" t="str">
        <f t="shared" si="4866"/>
        <v>NM</v>
      </c>
      <c r="BD727" s="409">
        <f t="shared" si="4923"/>
        <v>0</v>
      </c>
      <c r="BE727" s="23" t="str">
        <f t="shared" si="4867"/>
        <v>NA</v>
      </c>
      <c r="BF727" s="35">
        <f t="shared" ref="BF727" si="4929">BF671/BF$672*100</f>
        <v>0</v>
      </c>
      <c r="BG727" s="23" t="str">
        <f t="shared" si="4869"/>
        <v>NA</v>
      </c>
      <c r="BH727" s="35">
        <f t="shared" ref="BH727" si="4930">BH671/BH$672*100</f>
        <v>0</v>
      </c>
      <c r="BI727" s="23" t="str">
        <f t="shared" si="4871"/>
        <v>NA</v>
      </c>
      <c r="BJ727" s="35">
        <f t="shared" ref="BJ727" si="4931">BJ671/BJ$672*100</f>
        <v>0</v>
      </c>
      <c r="BK727" s="23" t="str">
        <f t="shared" si="4873"/>
        <v>NA</v>
      </c>
      <c r="BL727" s="35">
        <f t="shared" ref="BL727" si="4932">BL671/BL$672*100</f>
        <v>0</v>
      </c>
      <c r="BM727" s="23" t="str">
        <f t="shared" si="4875"/>
        <v>NA</v>
      </c>
      <c r="BN727" s="5"/>
      <c r="BO727" s="138"/>
      <c r="BP727" s="5"/>
      <c r="BQ727" s="5"/>
      <c r="BR727" s="5"/>
      <c r="BS727" s="5"/>
      <c r="BT727" s="5"/>
      <c r="BU727" s="35">
        <f t="shared" ref="BU727:BY727" si="4933">BU671/BU$672*100</f>
        <v>7.9445490769979772</v>
      </c>
      <c r="BV727" s="23" t="str">
        <f t="shared" si="4877"/>
        <v>NA</v>
      </c>
      <c r="BW727" s="35">
        <f t="shared" si="4933"/>
        <v>10.753752785241572</v>
      </c>
      <c r="BX727" s="23">
        <f t="shared" si="4878"/>
        <v>35.360140405918592</v>
      </c>
      <c r="BY727" s="35">
        <f t="shared" si="4933"/>
        <v>4.9429412649631415</v>
      </c>
      <c r="BZ727" s="23" t="str">
        <f t="shared" si="4879"/>
        <v>NM</v>
      </c>
      <c r="CA727" s="35">
        <f>CA671/CA$672*100</f>
        <v>2.0368073648024381</v>
      </c>
      <c r="CB727" s="23" t="str">
        <f t="shared" si="4879"/>
        <v>NM</v>
      </c>
      <c r="CC727" s="35">
        <f>CC671/CC$672*100</f>
        <v>2.2071489046974895</v>
      </c>
      <c r="CD727" s="23">
        <f t="shared" si="4879"/>
        <v>8.3631639809773404</v>
      </c>
      <c r="CE727" s="35">
        <f>CE671/CE$672*100</f>
        <v>-0.2243952876989575</v>
      </c>
      <c r="CF727" s="23" t="str">
        <f t="shared" si="4879"/>
        <v>NM</v>
      </c>
      <c r="CG727" s="35">
        <f>CG671/CG$672*100</f>
        <v>0</v>
      </c>
      <c r="CH727" s="23" t="str">
        <f t="shared" si="4879"/>
        <v>NM</v>
      </c>
      <c r="CI727" s="35">
        <f>CI671/CI$672*100</f>
        <v>0</v>
      </c>
      <c r="CJ727" s="23" t="str">
        <f t="shared" si="4879"/>
        <v>NA</v>
      </c>
      <c r="CK727" s="35">
        <f>CK671/CK$672*100</f>
        <v>0</v>
      </c>
      <c r="CL727" s="23" t="str">
        <f t="shared" si="4879"/>
        <v>NA</v>
      </c>
      <c r="CM727" s="35">
        <f>CM671/CM$672*100</f>
        <v>0</v>
      </c>
      <c r="CN727" s="23" t="str">
        <f t="shared" si="4879"/>
        <v>NA</v>
      </c>
      <c r="CO727" s="35">
        <f>CO671/CO$672*100</f>
        <v>0</v>
      </c>
      <c r="CP727" s="23" t="str">
        <f t="shared" si="4879"/>
        <v>NA</v>
      </c>
      <c r="CQ727" s="35">
        <f>CQ671/CQ$672*100</f>
        <v>0</v>
      </c>
      <c r="CR727" s="23" t="str">
        <f t="shared" si="4879"/>
        <v>NA</v>
      </c>
      <c r="CS727" s="23" t="str">
        <f t="shared" si="4880"/>
        <v>NA</v>
      </c>
    </row>
    <row r="728" spans="1:107" ht="12.75" customHeight="1" x14ac:dyDescent="0.2">
      <c r="A728" s="3" t="s">
        <v>227</v>
      </c>
      <c r="B728" s="35">
        <f t="shared" ref="B728:Z728" si="4934">B725+B726+B727</f>
        <v>100.00000000000003</v>
      </c>
      <c r="C728" s="59"/>
      <c r="D728" s="35">
        <f t="shared" si="4934"/>
        <v>99.999999999999986</v>
      </c>
      <c r="E728" s="59"/>
      <c r="F728" s="35">
        <f t="shared" si="4934"/>
        <v>100</v>
      </c>
      <c r="G728" s="59"/>
      <c r="H728" s="35">
        <f t="shared" si="4934"/>
        <v>99.999999999999986</v>
      </c>
      <c r="I728" s="59"/>
      <c r="J728" s="35">
        <f t="shared" si="4934"/>
        <v>100.00000000000001</v>
      </c>
      <c r="K728" s="23">
        <f t="shared" si="4846"/>
        <v>-1.1102230246251565E-14</v>
      </c>
      <c r="L728" s="35">
        <f t="shared" si="4934"/>
        <v>99.999999999999972</v>
      </c>
      <c r="M728" s="23">
        <f t="shared" si="4846"/>
        <v>-1.1102230246251565E-14</v>
      </c>
      <c r="N728" s="35">
        <f t="shared" si="4934"/>
        <v>100.00000000000001</v>
      </c>
      <c r="O728" s="23">
        <f t="shared" si="4846"/>
        <v>2.2204460492503131E-14</v>
      </c>
      <c r="P728" s="35">
        <f t="shared" si="4934"/>
        <v>100.00000000000001</v>
      </c>
      <c r="Q728" s="23">
        <f t="shared" si="4846"/>
        <v>2.2204460492503131E-14</v>
      </c>
      <c r="R728" s="35">
        <f t="shared" si="4934"/>
        <v>99.999999999999986</v>
      </c>
      <c r="S728" s="23">
        <f t="shared" si="4846"/>
        <v>-3.3306690738754696E-14</v>
      </c>
      <c r="T728" s="35">
        <f t="shared" si="4934"/>
        <v>100.00000000000001</v>
      </c>
      <c r="U728" s="23">
        <f t="shared" si="4846"/>
        <v>4.4408920985006262E-14</v>
      </c>
      <c r="V728" s="35">
        <f t="shared" si="4934"/>
        <v>99.999999999999986</v>
      </c>
      <c r="W728" s="23">
        <f t="shared" si="4846"/>
        <v>-3.3306690738754696E-14</v>
      </c>
      <c r="X728" s="35">
        <f t="shared" si="4934"/>
        <v>99.999999999999986</v>
      </c>
      <c r="Y728" s="23">
        <f t="shared" si="4846"/>
        <v>-3.3306690738754696E-14</v>
      </c>
      <c r="Z728" s="35">
        <f t="shared" si="4934"/>
        <v>100</v>
      </c>
      <c r="AA728" s="23">
        <f t="shared" si="4847"/>
        <v>2.2204460492503131E-14</v>
      </c>
      <c r="AB728" s="35">
        <f t="shared" ref="AB728:AD728" si="4935">AB725+AB726+AB727</f>
        <v>100.00000000000001</v>
      </c>
      <c r="AC728" s="23">
        <f t="shared" si="4848"/>
        <v>0</v>
      </c>
      <c r="AD728" s="35">
        <f t="shared" si="4935"/>
        <v>100</v>
      </c>
      <c r="AE728" s="23">
        <f t="shared" si="4849"/>
        <v>2.2204460492503131E-14</v>
      </c>
      <c r="AF728" s="35">
        <f t="shared" ref="AF728:AH728" si="4936">AF725+AF726+AF727</f>
        <v>99.999999999999972</v>
      </c>
      <c r="AG728" s="23">
        <f t="shared" si="4850"/>
        <v>-1.1102230246251565E-14</v>
      </c>
      <c r="AH728" s="35">
        <f t="shared" si="4936"/>
        <v>99.999999999999986</v>
      </c>
      <c r="AI728" s="23">
        <f t="shared" si="4851"/>
        <v>-1.1102230246251565E-14</v>
      </c>
      <c r="AJ728" s="35">
        <f t="shared" ref="AJ728:AL728" si="4937">AJ725+AJ726+AJ727</f>
        <v>100</v>
      </c>
      <c r="AK728" s="23">
        <f t="shared" si="4852"/>
        <v>-1.1102230246251565E-14</v>
      </c>
      <c r="AL728" s="35">
        <f t="shared" si="4937"/>
        <v>99.999999999999972</v>
      </c>
      <c r="AM728" s="23">
        <f t="shared" si="4853"/>
        <v>-3.3306690738754696E-14</v>
      </c>
      <c r="AN728" s="409">
        <f t="shared" ref="AN728:AP728" si="4938">AN725+AN726+AN727</f>
        <v>99.999999999999972</v>
      </c>
      <c r="AO728" s="23">
        <f t="shared" si="4855"/>
        <v>0</v>
      </c>
      <c r="AP728" s="409">
        <f t="shared" si="4938"/>
        <v>100</v>
      </c>
      <c r="AQ728" s="23">
        <f t="shared" si="4856"/>
        <v>2.2204460492503131E-14</v>
      </c>
      <c r="AR728" s="409">
        <f t="shared" ref="AR728:AT728" si="4939">AR725+AR726+AR727</f>
        <v>100.00000000000003</v>
      </c>
      <c r="AS728" s="23">
        <f t="shared" si="4858"/>
        <v>2.2204460492503131E-14</v>
      </c>
      <c r="AT728" s="409">
        <f t="shared" si="4939"/>
        <v>100.00000000000001</v>
      </c>
      <c r="AU728" s="23">
        <f t="shared" si="4859"/>
        <v>4.4408920985006262E-14</v>
      </c>
      <c r="AV728" s="409">
        <f t="shared" ref="AV728:AX728" si="4940">AV725+AV726+AV727</f>
        <v>100.00000000000001</v>
      </c>
      <c r="AW728" s="23">
        <f t="shared" si="4861"/>
        <v>4.4408920985006262E-14</v>
      </c>
      <c r="AX728" s="409">
        <f t="shared" si="4940"/>
        <v>100</v>
      </c>
      <c r="AY728" s="23">
        <f t="shared" si="4862"/>
        <v>0</v>
      </c>
      <c r="AZ728" s="409">
        <f t="shared" ref="AZ728" si="4941">AZ725+AZ726+AZ727</f>
        <v>100</v>
      </c>
      <c r="BA728" s="23">
        <f t="shared" si="4864"/>
        <v>-3.3306690738754696E-14</v>
      </c>
      <c r="BB728" s="409">
        <f t="shared" ref="BB728:BD728" si="4942">BB725+BB726+BB727</f>
        <v>99.999999999999986</v>
      </c>
      <c r="BC728" s="23">
        <f t="shared" si="4866"/>
        <v>-3.3306690738754696E-14</v>
      </c>
      <c r="BD728" s="409">
        <f t="shared" si="4942"/>
        <v>100</v>
      </c>
      <c r="BE728" s="23">
        <f t="shared" si="4867"/>
        <v>-1.1102230246251565E-14</v>
      </c>
      <c r="BF728" s="35">
        <f t="shared" ref="BF728" si="4943">BF725+BF726+BF727</f>
        <v>99.999999999999972</v>
      </c>
      <c r="BG728" s="23">
        <f t="shared" si="4869"/>
        <v>-3.3306690738754696E-14</v>
      </c>
      <c r="BH728" s="35">
        <f t="shared" ref="BH728" si="4944">BH725+BH726+BH727</f>
        <v>99.999999999999972</v>
      </c>
      <c r="BI728" s="23">
        <f t="shared" si="4871"/>
        <v>-3.3306690738754696E-14</v>
      </c>
      <c r="BJ728" s="35">
        <f t="shared" ref="BJ728" si="4945">BJ725+BJ726+BJ727</f>
        <v>100</v>
      </c>
      <c r="BK728" s="23">
        <f t="shared" si="4873"/>
        <v>2.2204460492503131E-14</v>
      </c>
      <c r="BL728" s="35">
        <f t="shared" ref="BL728" si="4946">BL725+BL726+BL727</f>
        <v>100.00000000000003</v>
      </c>
      <c r="BM728" s="23">
        <f t="shared" si="4875"/>
        <v>2.2204460492503131E-14</v>
      </c>
      <c r="BN728" s="5"/>
      <c r="BO728" s="138"/>
      <c r="BP728" s="5"/>
      <c r="BQ728" s="5"/>
      <c r="BR728" s="5"/>
      <c r="BS728" s="5"/>
      <c r="BT728" s="5"/>
      <c r="BU728" s="35">
        <f t="shared" ref="BU728:CA728" si="4947">BU725+BU726+BU727</f>
        <v>99.999999999999986</v>
      </c>
      <c r="BV728" s="23" t="str">
        <f t="shared" si="4877"/>
        <v>NA</v>
      </c>
      <c r="BW728" s="35">
        <f t="shared" si="4947"/>
        <v>100</v>
      </c>
      <c r="BX728" s="23">
        <f t="shared" si="4878"/>
        <v>2.2204460492503131E-14</v>
      </c>
      <c r="BY728" s="35">
        <f t="shared" si="4947"/>
        <v>99.999999999999972</v>
      </c>
      <c r="BZ728" s="23">
        <f t="shared" si="4879"/>
        <v>-3.3306690738754696E-14</v>
      </c>
      <c r="CA728" s="35">
        <f t="shared" si="4947"/>
        <v>99.999999999999972</v>
      </c>
      <c r="CB728" s="23">
        <f t="shared" si="4879"/>
        <v>0</v>
      </c>
      <c r="CC728" s="35">
        <f t="shared" ref="CC728" si="4948">CC725+CC726+CC727</f>
        <v>99.999999999999986</v>
      </c>
      <c r="CD728" s="23">
        <f t="shared" si="4879"/>
        <v>2.2204460492503131E-14</v>
      </c>
      <c r="CE728" s="35">
        <f t="shared" ref="CE728" si="4949">CE725+CE726+CE727</f>
        <v>100.00000000000001</v>
      </c>
      <c r="CF728" s="23">
        <f t="shared" si="4879"/>
        <v>2.2204460492503131E-14</v>
      </c>
      <c r="CG728" s="35">
        <f t="shared" ref="CG728" si="4950">CG725+CG726+CG727</f>
        <v>100</v>
      </c>
      <c r="CH728" s="23">
        <f t="shared" si="4879"/>
        <v>-1.1102230246251565E-14</v>
      </c>
      <c r="CI728" s="35">
        <f t="shared" ref="CI728" si="4951">CI725+CI726+CI727</f>
        <v>99.999999999999972</v>
      </c>
      <c r="CJ728" s="23">
        <f t="shared" si="4879"/>
        <v>-3.3306690738754696E-14</v>
      </c>
      <c r="CK728" s="35">
        <f>CK725+CK726+CK727</f>
        <v>99.999999999999986</v>
      </c>
      <c r="CL728" s="23">
        <f t="shared" si="4879"/>
        <v>2.2204460492503131E-14</v>
      </c>
      <c r="CM728" s="35">
        <f>CM725+CM726+CM727</f>
        <v>100</v>
      </c>
      <c r="CN728" s="23">
        <f t="shared" si="4879"/>
        <v>2.2204460492503131E-14</v>
      </c>
      <c r="CO728" s="35">
        <f>CO725+CO726+CO727</f>
        <v>100.00000000000003</v>
      </c>
      <c r="CP728" s="23">
        <f t="shared" si="4879"/>
        <v>2.2204460492503131E-14</v>
      </c>
      <c r="CQ728" s="35">
        <f>CQ725+CQ726+CQ727</f>
        <v>100</v>
      </c>
      <c r="CR728" s="23">
        <f t="shared" si="4879"/>
        <v>-3.3306690738754696E-14</v>
      </c>
      <c r="CS728" s="23">
        <f t="shared" si="4880"/>
        <v>0</v>
      </c>
    </row>
    <row r="729" spans="1:107" ht="12.75" customHeight="1" x14ac:dyDescent="0.2">
      <c r="J729" s="5"/>
      <c r="L729" s="5"/>
      <c r="N729" s="5"/>
      <c r="P729" s="5"/>
      <c r="R729" s="5"/>
      <c r="T729" s="5"/>
      <c r="V729" s="5"/>
      <c r="X729" s="5"/>
      <c r="Z729" s="5"/>
      <c r="AB729" s="5"/>
      <c r="AD729" s="5"/>
      <c r="AF729" s="5"/>
      <c r="AH729" s="5"/>
      <c r="AJ729" s="5"/>
      <c r="AL729" s="5"/>
      <c r="AN729" s="475"/>
      <c r="AP729" s="475"/>
      <c r="AR729" s="475"/>
      <c r="AT729" s="475"/>
      <c r="AV729" s="475"/>
      <c r="AX729" s="475"/>
      <c r="AZ729" s="475"/>
      <c r="BB729" s="475"/>
      <c r="BD729" s="475"/>
      <c r="BF729" s="5"/>
      <c r="BH729" s="5"/>
      <c r="BJ729" s="5"/>
      <c r="BL729" s="5"/>
      <c r="BN729" s="5"/>
      <c r="BO729" s="136"/>
      <c r="BP729" s="5"/>
      <c r="BQ729" s="5"/>
      <c r="BR729" s="5"/>
      <c r="BS729" s="5"/>
      <c r="BT729" s="5"/>
      <c r="BU729" s="5"/>
      <c r="BW729" s="5"/>
    </row>
    <row r="730" spans="1:107" s="129" customFormat="1" ht="12.75" customHeight="1" x14ac:dyDescent="0.2">
      <c r="A730" s="126" t="s">
        <v>151</v>
      </c>
      <c r="B730" s="127"/>
      <c r="C730" s="128"/>
      <c r="D730" s="127"/>
      <c r="E730" s="128"/>
      <c r="F730" s="127"/>
      <c r="G730" s="128"/>
      <c r="H730" s="127"/>
      <c r="I730" s="128"/>
      <c r="K730" s="130"/>
      <c r="M730" s="130"/>
      <c r="O730" s="130"/>
      <c r="Q730" s="130"/>
      <c r="S730" s="130"/>
      <c r="U730" s="130"/>
      <c r="W730" s="130"/>
      <c r="Y730" s="130"/>
      <c r="AA730" s="130"/>
      <c r="AC730" s="130"/>
      <c r="AE730" s="130"/>
      <c r="AG730" s="130"/>
      <c r="AI730" s="130"/>
      <c r="AK730" s="130"/>
      <c r="AM730" s="130"/>
      <c r="AO730" s="130"/>
      <c r="AQ730" s="130"/>
      <c r="AS730" s="130"/>
      <c r="AU730" s="130"/>
      <c r="AW730" s="130"/>
      <c r="AY730" s="130"/>
      <c r="BA730" s="130"/>
      <c r="BC730" s="130"/>
      <c r="BE730" s="130"/>
      <c r="BG730" s="130"/>
      <c r="BI730" s="130"/>
      <c r="BK730" s="130"/>
      <c r="BM730" s="130"/>
      <c r="BO730" s="135"/>
      <c r="BV730" s="130"/>
      <c r="BX730" s="130"/>
      <c r="BZ730" s="130"/>
      <c r="CB730" s="130"/>
      <c r="CD730" s="130"/>
      <c r="CF730" s="130"/>
      <c r="CH730" s="130"/>
      <c r="CJ730" s="130"/>
      <c r="CL730" s="130"/>
      <c r="CN730" s="130"/>
      <c r="CP730" s="130"/>
      <c r="CR730" s="130"/>
      <c r="CS730" s="130"/>
      <c r="CV730"/>
      <c r="CW730"/>
      <c r="CX730"/>
      <c r="CY730"/>
      <c r="CZ730"/>
      <c r="DA730"/>
    </row>
    <row r="731" spans="1:107" ht="12.75" customHeight="1" x14ac:dyDescent="0.2">
      <c r="C731" s="82"/>
      <c r="E731" s="82"/>
      <c r="G731" s="82"/>
      <c r="I731" s="82"/>
      <c r="J731" s="5"/>
      <c r="L731" s="5"/>
      <c r="N731" s="5"/>
      <c r="P731" s="5"/>
      <c r="R731" s="5"/>
      <c r="T731" s="5"/>
      <c r="V731" s="5"/>
      <c r="X731" s="5"/>
      <c r="Z731" s="5"/>
      <c r="AB731" s="5"/>
      <c r="AD731" s="5"/>
      <c r="AF731" s="5"/>
      <c r="AH731" s="5"/>
      <c r="AJ731" s="5"/>
      <c r="AL731" s="5"/>
      <c r="AN731" s="475"/>
      <c r="AP731" s="475"/>
      <c r="AR731" s="543"/>
      <c r="AT731" s="543"/>
      <c r="AV731" s="543"/>
      <c r="AX731" s="543"/>
      <c r="AZ731" s="543"/>
      <c r="BB731" s="543"/>
      <c r="BD731" s="543"/>
      <c r="BF731" s="208"/>
      <c r="BH731" s="208"/>
      <c r="BJ731" s="208"/>
      <c r="BL731" s="208"/>
      <c r="BN731" s="5"/>
      <c r="BO731" s="136"/>
      <c r="BP731" s="5"/>
      <c r="BQ731" s="5"/>
      <c r="BR731" s="5"/>
      <c r="BS731" s="5"/>
      <c r="BT731" s="5"/>
      <c r="BU731" s="5"/>
      <c r="BW731" s="5"/>
    </row>
    <row r="732" spans="1:107" ht="12.75" customHeight="1" x14ac:dyDescent="0.2">
      <c r="A732" s="14" t="s">
        <v>29</v>
      </c>
      <c r="B732" s="79"/>
      <c r="C732" s="87"/>
      <c r="D732" s="79"/>
      <c r="E732" s="87"/>
      <c r="F732" s="79"/>
      <c r="G732" s="87"/>
      <c r="H732" s="79"/>
      <c r="I732" s="87"/>
      <c r="J732" s="79"/>
      <c r="K732" s="23" t="str">
        <f t="shared" ref="K732:Y734" si="4952">IF(ISERROR((J732/B732-1)*100),"NA",IF(((J732/B732-1)*100)&gt;100,"NM",IF(((J732/B732-1)*100)&lt;-50,"NM",(J732/B732-1)*100)))</f>
        <v>NA</v>
      </c>
      <c r="L732" s="79"/>
      <c r="M732" s="23" t="str">
        <f t="shared" si="4952"/>
        <v>NA</v>
      </c>
      <c r="N732" s="91"/>
      <c r="O732" s="23" t="str">
        <f t="shared" si="4952"/>
        <v>NA</v>
      </c>
      <c r="P732" s="91"/>
      <c r="Q732" s="23" t="str">
        <f t="shared" si="4952"/>
        <v>NA</v>
      </c>
      <c r="R732" s="91"/>
      <c r="S732" s="23" t="str">
        <f t="shared" si="4952"/>
        <v>NA</v>
      </c>
      <c r="T732" s="91"/>
      <c r="U732" s="23" t="str">
        <f t="shared" si="4952"/>
        <v>NA</v>
      </c>
      <c r="V732" s="91"/>
      <c r="W732" s="23" t="str">
        <f t="shared" si="4952"/>
        <v>NA</v>
      </c>
      <c r="X732" s="284">
        <v>0.01</v>
      </c>
      <c r="Y732" s="23" t="str">
        <f t="shared" si="4952"/>
        <v>NA</v>
      </c>
      <c r="Z732" s="284">
        <v>0.01</v>
      </c>
      <c r="AA732" s="215" t="str">
        <f>IF(ISERROR((Z732/R732-1)*100),"NA",IF(((Z732/R732-1)*100)&gt;100,"NM",IF(((Z732/R732-1)*100)&lt;-50,"NM",(Z732/R732-1)*100)))</f>
        <v>NA</v>
      </c>
      <c r="AB732" s="284">
        <v>0.01</v>
      </c>
      <c r="AC732" s="215" t="str">
        <f>IF(ISERROR((AB732/T732-1)*100),"NA",IF(((AB732/T732-1)*100)&gt;100,"NM",IF(((AB732/T732-1)*100)&lt;-50,"NM",(AB732/T732-1)*100)))</f>
        <v>NA</v>
      </c>
      <c r="AD732" s="284">
        <v>0.01</v>
      </c>
      <c r="AE732" s="215" t="str">
        <f>IF(ISERROR((AD732/V732-1)*100),"NA",IF(((AD732/V732-1)*100)&gt;100,"NM",IF(((AD732/V732-1)*100)&lt;-50,"NM",(AD732/V732-1)*100)))</f>
        <v>NA</v>
      </c>
      <c r="AF732" s="284">
        <v>0.01</v>
      </c>
      <c r="AG732" s="23">
        <f>IF(ISERROR((AF732/X732-1)*100),"NA",IF(((AF732/X732-1)*100)&gt;100,"NM",IF(((AF732/X732-1)*100)&lt;-50,"NM",(AF732/X732-1)*100)))</f>
        <v>0</v>
      </c>
      <c r="AH732" s="284">
        <v>0.01</v>
      </c>
      <c r="AI732" s="23">
        <f>IF(ISERROR((AH732/Z732-1)*100),"NA",IF(((AH732/Z732-1)*100)&gt;100,"NM",IF(((AH732/Z732-1)*100)&lt;-50,"NM",(AH732/Z732-1)*100)))</f>
        <v>0</v>
      </c>
      <c r="AJ732" s="284">
        <v>0.01</v>
      </c>
      <c r="AK732" s="23">
        <f>IF(ISERROR((AJ732/AB732-1)*100),"NA",IF(((AJ732/AB732-1)*100)&gt;100,"NM",IF(((AJ732/AB732-1)*100)&lt;-50,"NM",(AJ732/AB732-1)*100)))</f>
        <v>0</v>
      </c>
      <c r="AL732" s="284">
        <v>0.01</v>
      </c>
      <c r="AM732" s="23">
        <f>IF(ISERROR((AL732/AD732-1)*100),"NA",IF(((AL732/AD732-1)*100)&gt;100,"NM",IF(((AL732/AD732-1)*100)&lt;-50,"NM",(AL732/AD732-1)*100)))</f>
        <v>0</v>
      </c>
      <c r="AN732" s="418">
        <v>0.01</v>
      </c>
      <c r="AO732" s="23">
        <f>IF(ISERROR((AN732/AF732-1)*100),"NA",IF(((AN732/AF732-1)*100)&gt;100,"NM",IF(((AN732/AF732-1)*100)&lt;-50,"NM",(AN732/AF732-1)*100)))</f>
        <v>0</v>
      </c>
      <c r="AP732" s="418">
        <v>0.01</v>
      </c>
      <c r="AQ732" s="23">
        <f t="shared" ref="AQ732:AQ734" si="4953">IF(ISERROR((AP732/AH732-1)*100),"NA",IF(((AP732/AH732-1)*100)&gt;100,"NM",IF(((AP732/AH732-1)*100)&lt;-50,"NM",(AP732/AH732-1)*100)))</f>
        <v>0</v>
      </c>
      <c r="AR732" s="418">
        <v>0.01</v>
      </c>
      <c r="AS732" s="23">
        <f t="shared" ref="AS732:AS734" si="4954">IF(ISERROR((AR732/AJ732-1)*100),"NA",IF(((AR732/AJ732-1)*100)&gt;100,"NM",IF(((AR732/AJ732-1)*100)&lt;-50,"NM",(AR732/AJ732-1)*100)))</f>
        <v>0</v>
      </c>
      <c r="AT732" s="418">
        <v>0.01</v>
      </c>
      <c r="AU732" s="23">
        <f t="shared" ref="AU732:AU734" si="4955">IF(ISERROR((AT732/AL732-1)*100),"NA",IF(((AT732/AL732-1)*100)&gt;100,"NM",IF(((AT732/AL732-1)*100)&lt;-50,"NM",(AT732/AL732-1)*100)))</f>
        <v>0</v>
      </c>
      <c r="AV732" s="418">
        <v>0.01</v>
      </c>
      <c r="AW732" s="23">
        <f t="shared" ref="AW732:AW734" si="4956">IF(ISERROR((AV732/AN732-1)*100),"NA",IF(((AV732/AN732-1)*100)&gt;100,"NM",IF(((AV732/AN732-1)*100)&lt;-50,"NM",(AV732/AN732-1)*100)))</f>
        <v>0</v>
      </c>
      <c r="AX732" s="418">
        <v>0.01</v>
      </c>
      <c r="AY732" s="23">
        <f t="shared" ref="AY732:AY734" si="4957">IF(ISERROR((AX732/AP732-1)*100),"NA",IF(((AX732/AP732-1)*100)&gt;100,"NM",IF(((AX732/AP732-1)*100)&lt;-50,"NM",(AX732/AP732-1)*100)))</f>
        <v>0</v>
      </c>
      <c r="AZ732" s="418">
        <v>0.01</v>
      </c>
      <c r="BA732" s="23">
        <f t="shared" ref="BA732:BA734" si="4958">IF(ISERROR((AZ732/AR732-1)*100),"NA",IF(((AZ732/AR732-1)*100)&gt;100,"NM",IF(((AZ732/AR732-1)*100)&lt;-50,"NM",(AZ732/AR732-1)*100)))</f>
        <v>0</v>
      </c>
      <c r="BB732" s="418">
        <v>0.01</v>
      </c>
      <c r="BC732" s="23">
        <f t="shared" ref="BC732:BC734" si="4959">IF(ISERROR((BB732/AT732-1)*100),"NA",IF(((BB732/AT732-1)*100)&gt;100,"NM",IF(((BB732/AT732-1)*100)&lt;-50,"NM",(BB732/AT732-1)*100)))</f>
        <v>0</v>
      </c>
      <c r="BD732" s="418">
        <v>0.01</v>
      </c>
      <c r="BE732" s="23">
        <f t="shared" ref="BE732:BE734" si="4960">IF(ISERROR((BD732/AV732-1)*100),"NA",IF(((BD732/AV732-1)*100)&gt;100,"NM",IF(((BD732/AV732-1)*100)&lt;-50,"NM",(BD732/AV732-1)*100)))</f>
        <v>0</v>
      </c>
      <c r="BF732" s="218">
        <f>BD732</f>
        <v>0.01</v>
      </c>
      <c r="BG732" s="23">
        <f t="shared" ref="BG732:BG734" si="4961">IF(ISERROR((BF732/AX732-1)*100),"NA",IF(((BF732/AX732-1)*100)&gt;100,"NM",IF(((BF732/AX732-1)*100)&lt;-50,"NM",(BF732/AX732-1)*100)))</f>
        <v>0</v>
      </c>
      <c r="BH732" s="218">
        <f>BF732</f>
        <v>0.01</v>
      </c>
      <c r="BI732" s="23">
        <f t="shared" ref="BI732:BI734" si="4962">IF(ISERROR((BH732/AZ732-1)*100),"NA",IF(((BH732/AZ732-1)*100)&gt;100,"NM",IF(((BH732/AZ732-1)*100)&lt;-50,"NM",(BH732/AZ732-1)*100)))</f>
        <v>0</v>
      </c>
      <c r="BJ732" s="218">
        <f>BH732</f>
        <v>0.01</v>
      </c>
      <c r="BK732" s="23">
        <f t="shared" ref="BK732:BK734" si="4963">IF(ISERROR((BJ732/BB732-1)*100),"NA",IF(((BJ732/BB732-1)*100)&gt;100,"NM",IF(((BJ732/BB732-1)*100)&lt;-50,"NM",(BJ732/BB732-1)*100)))</f>
        <v>0</v>
      </c>
      <c r="BL732" s="218">
        <f>BJ732</f>
        <v>0.01</v>
      </c>
      <c r="BM732" s="23">
        <f t="shared" ref="BM732:BM734" si="4964">IF(ISERROR((BL732/BD732-1)*100),"NA",IF(((BL732/BD732-1)*100)&gt;100,"NM",IF(((BL732/BD732-1)*100)&lt;-50,"NM",(BL732/BD732-1)*100)))</f>
        <v>0</v>
      </c>
      <c r="BN732" s="79"/>
      <c r="BO732" s="145"/>
      <c r="BP732" s="79"/>
      <c r="BQ732" s="79"/>
      <c r="BR732" s="79"/>
      <c r="BS732" s="79"/>
      <c r="BT732" s="79"/>
      <c r="BU732" s="87">
        <f>B732+D732+F732+H732</f>
        <v>0</v>
      </c>
      <c r="BV732" s="23" t="str">
        <f t="shared" ref="BV732:CR734" si="4965">IF(ISERROR((BU732/BS732-1)*100),"NA",IF(((BU732/BS732-1)*100)&gt;100,"NM",IF(((BU732/BS732-1)*100)&lt;-50,"NM",(BU732/BS732-1)*100)))</f>
        <v>NA</v>
      </c>
      <c r="BW732" s="87">
        <f>J732+L732+N732+P732</f>
        <v>0</v>
      </c>
      <c r="BX732" s="23" t="str">
        <f t="shared" si="4965"/>
        <v>NA</v>
      </c>
      <c r="BY732" s="87">
        <f>R732+T732+V732+X732</f>
        <v>0.01</v>
      </c>
      <c r="BZ732" s="23" t="str">
        <f t="shared" si="4965"/>
        <v>NA</v>
      </c>
      <c r="CA732" s="87">
        <f>Z732+AB732+AD732+AF732</f>
        <v>0.04</v>
      </c>
      <c r="CB732" s="23" t="str">
        <f t="shared" si="4965"/>
        <v>NM</v>
      </c>
      <c r="CC732" s="87">
        <f>AH732+AJ732+AL732+AN732</f>
        <v>0.04</v>
      </c>
      <c r="CD732" s="23">
        <f t="shared" si="4965"/>
        <v>0</v>
      </c>
      <c r="CE732" s="87">
        <f>AP732+AR732+AT732+AV732</f>
        <v>0.04</v>
      </c>
      <c r="CF732" s="23">
        <f t="shared" si="4965"/>
        <v>0</v>
      </c>
      <c r="CG732" s="87">
        <f>AX732+AZ732+BB732+BD732</f>
        <v>0.04</v>
      </c>
      <c r="CH732" s="23">
        <f t="shared" si="4965"/>
        <v>0</v>
      </c>
      <c r="CI732" s="87">
        <f>BF732+BH732+BJ732+BL732</f>
        <v>0.04</v>
      </c>
      <c r="CJ732" s="23">
        <f t="shared" si="4965"/>
        <v>0</v>
      </c>
      <c r="CK732" s="466">
        <f>CI732*1.1</f>
        <v>4.4000000000000004E-2</v>
      </c>
      <c r="CL732" s="23">
        <f t="shared" si="4965"/>
        <v>10.000000000000009</v>
      </c>
      <c r="CM732" s="466">
        <f>CK732*1.1</f>
        <v>4.8400000000000006E-2</v>
      </c>
      <c r="CN732" s="23">
        <f t="shared" si="4965"/>
        <v>10.000000000000009</v>
      </c>
      <c r="CO732" s="466">
        <f>CM732*1.1</f>
        <v>5.324000000000001E-2</v>
      </c>
      <c r="CP732" s="23">
        <f t="shared" si="4965"/>
        <v>10.000000000000009</v>
      </c>
      <c r="CQ732" s="466">
        <f>CO732*1.1</f>
        <v>5.8564000000000012E-2</v>
      </c>
      <c r="CR732" s="23">
        <f t="shared" si="4965"/>
        <v>10.000000000000009</v>
      </c>
      <c r="CS732" s="23">
        <f>IF(ISERROR(((CQ732/CG732)^0.2-1)*100),"NA",IF((((CQ732/CG732)^0.2-1)*100)&gt;100,"NM",IF((((CQ732/CG732)^0.2-1)*100)&lt;-50,"NM",((CQ732/CG732)^0.2-1)*100)))</f>
        <v>7.9230345298890725</v>
      </c>
    </row>
    <row r="733" spans="1:107" ht="12.75" customHeight="1" x14ac:dyDescent="0.2">
      <c r="A733" s="14" t="s">
        <v>30</v>
      </c>
      <c r="B733" s="81">
        <f>B732/B758*100</f>
        <v>0</v>
      </c>
      <c r="C733" s="83"/>
      <c r="D733" s="81">
        <f>D732/D758*100</f>
        <v>0</v>
      </c>
      <c r="E733" s="83"/>
      <c r="F733" s="81">
        <f>F732/F758*100</f>
        <v>0</v>
      </c>
      <c r="G733" s="83"/>
      <c r="H733" s="81">
        <f>H732/H758*100</f>
        <v>0</v>
      </c>
      <c r="I733" s="83"/>
      <c r="J733" s="81">
        <f>J732/J758*100</f>
        <v>0</v>
      </c>
      <c r="K733" s="23" t="str">
        <f t="shared" si="4952"/>
        <v>NA</v>
      </c>
      <c r="L733" s="81">
        <f>L732/L758*100</f>
        <v>0</v>
      </c>
      <c r="M733" s="23" t="str">
        <f t="shared" si="4952"/>
        <v>NA</v>
      </c>
      <c r="N733" s="81">
        <f>N732/N758*100</f>
        <v>0</v>
      </c>
      <c r="O733" s="23" t="str">
        <f t="shared" si="4952"/>
        <v>NA</v>
      </c>
      <c r="P733" s="81">
        <f>P732/P758*100</f>
        <v>0</v>
      </c>
      <c r="Q733" s="23" t="str">
        <f t="shared" si="4952"/>
        <v>NA</v>
      </c>
      <c r="R733" s="81">
        <f>R732/R758*100</f>
        <v>0</v>
      </c>
      <c r="S733" s="23" t="str">
        <f t="shared" si="4952"/>
        <v>NA</v>
      </c>
      <c r="T733" s="81">
        <f>T732/T758*100</f>
        <v>0</v>
      </c>
      <c r="U733" s="23" t="str">
        <f t="shared" si="4952"/>
        <v>NA</v>
      </c>
      <c r="V733" s="81">
        <f>V732/V758*100</f>
        <v>0</v>
      </c>
      <c r="W733" s="23" t="str">
        <f t="shared" si="4952"/>
        <v>NA</v>
      </c>
      <c r="X733" s="81">
        <f>X732/X758*100</f>
        <v>1.3285566516133924</v>
      </c>
      <c r="Y733" s="23" t="str">
        <f t="shared" si="4952"/>
        <v>NA</v>
      </c>
      <c r="Z733" s="81">
        <f>Z732/Z758*100</f>
        <v>1.7541523815863915</v>
      </c>
      <c r="AA733" s="23" t="str">
        <f>IF(ISERROR((Z733/R733-1)*100),"NA",IF(((Z733/R733-1)*100)&gt;100,"NM",IF(((Z733/R733-1)*100)&lt;-50,"NM",(Z733/R733-1)*100)))</f>
        <v>NA</v>
      </c>
      <c r="AB733" s="81">
        <f>AB732/AB758*100</f>
        <v>1.2009562649416399</v>
      </c>
      <c r="AC733" s="23" t="str">
        <f>IF(ISERROR((AB733/T733-1)*100),"NA",IF(((AB733/T733-1)*100)&gt;100,"NM",IF(((AB733/T733-1)*100)&lt;-50,"NM",(AB733/T733-1)*100)))</f>
        <v>NA</v>
      </c>
      <c r="AD733" s="81">
        <f>AD732/AD758*100</f>
        <v>1.3294314381270902</v>
      </c>
      <c r="AE733" s="23" t="str">
        <f>IF(ISERROR((AD733/V733-1)*100),"NA",IF(((AD733/V733-1)*100)&gt;100,"NM",IF(((AD733/V733-1)*100)&lt;-50,"NM",(AD733/V733-1)*100)))</f>
        <v>NA</v>
      </c>
      <c r="AF733" s="81">
        <f>AF732/AF758*100</f>
        <v>1.0055090797796373</v>
      </c>
      <c r="AG733" s="23">
        <f>IF(ISERROR((AF733/X733-1)*100),"NA",IF(((AF733/X733-1)*100)&gt;100,"NM",IF(((AF733/X733-1)*100)&lt;-50,"NM",(AF733/X733-1)*100)))</f>
        <v>-24.315679082367147</v>
      </c>
      <c r="AH733" s="81">
        <f>AH732/AH758*100</f>
        <v>1.2218522203496516</v>
      </c>
      <c r="AI733" s="23">
        <f>IF(ISERROR((AH733/Z733-1)*100),"NA",IF(((AH733/Z733-1)*100)&gt;100,"NM",IF(((AH733/Z733-1)*100)&lt;-50,"NM",(AH733/Z733-1)*100)))</f>
        <v>-30.34514941942199</v>
      </c>
      <c r="AJ733" s="81">
        <f>AJ732/AJ758*100</f>
        <v>1.2873949579831929</v>
      </c>
      <c r="AK733" s="23">
        <f>IF(ISERROR((AJ733/AB733-1)*100),"NA",IF(((AJ733/AB733-1)*100)&gt;100,"NM",IF(((AJ733/AB733-1)*100)&lt;-50,"NM",(AJ733/AB733-1)*100)))</f>
        <v>7.1974888315981644</v>
      </c>
      <c r="AL733" s="81">
        <f>AL732/AL758*100</f>
        <v>2.3984210752134612</v>
      </c>
      <c r="AM733" s="23">
        <f>IF(ISERROR((AL733/AD733-1)*100),"NA",IF(((AL733/AD733-1)*100)&gt;100,"NM",IF(((AL733/AD733-1)*100)&lt;-50,"NM",(AL733/AD733-1)*100)))</f>
        <v>80.409534965742125</v>
      </c>
      <c r="AN733" s="467">
        <f t="shared" ref="AN733:AP733" si="4966">AN732/AN758*100</f>
        <v>1.1017934749341984</v>
      </c>
      <c r="AO733" s="23">
        <f>IF(ISERROR((AN733/AF733-1)*100),"NA",IF(((AN733/AF733-1)*100)&gt;100,"NM",IF(((AN733/AF733-1)*100)&lt;-50,"NM",(AN733/AF733-1)*100)))</f>
        <v>9.5756862957082625</v>
      </c>
      <c r="AP733" s="467">
        <f t="shared" si="4966"/>
        <v>3.5263761467890009</v>
      </c>
      <c r="AQ733" s="23" t="str">
        <f t="shared" si="4953"/>
        <v>NM</v>
      </c>
      <c r="AR733" s="467">
        <f t="shared" ref="AR733:AT733" si="4967">AR732/AR758*100</f>
        <v>2.2932161370295234</v>
      </c>
      <c r="AS733" s="23">
        <f t="shared" si="4954"/>
        <v>78.12840751077897</v>
      </c>
      <c r="AT733" s="467">
        <f t="shared" si="4967"/>
        <v>-8.0304479515383225</v>
      </c>
      <c r="AU733" s="23" t="str">
        <f t="shared" si="4955"/>
        <v>NM</v>
      </c>
      <c r="AV733" s="467">
        <f t="shared" ref="AV733:AX733" si="4968">AV732/AV758*100</f>
        <v>1.9375196602705278</v>
      </c>
      <c r="AW733" s="23">
        <f t="shared" si="4956"/>
        <v>75.851437165775621</v>
      </c>
      <c r="AX733" s="467">
        <f t="shared" si="4968"/>
        <v>1.9661784934056192</v>
      </c>
      <c r="AY733" s="23">
        <f t="shared" si="4957"/>
        <v>-44.243653780497716</v>
      </c>
      <c r="AZ733" s="467">
        <f t="shared" ref="AZ733" si="4969">AZ732/AZ758*100</f>
        <v>2.579714128642113</v>
      </c>
      <c r="BA733" s="23">
        <f t="shared" si="4958"/>
        <v>12.493283427863</v>
      </c>
      <c r="BB733" s="467">
        <f t="shared" ref="BB733:BD733" si="4970">BB732/BB758*100</f>
        <v>6.3562865904655625</v>
      </c>
      <c r="BC733" s="23" t="str">
        <f t="shared" si="4959"/>
        <v>NM</v>
      </c>
      <c r="BD733" s="467">
        <f t="shared" si="4970"/>
        <v>1.1525381030356472</v>
      </c>
      <c r="BE733" s="23">
        <f t="shared" si="4960"/>
        <v>-40.514766034698035</v>
      </c>
      <c r="BF733" s="81">
        <f t="shared" ref="BF733" si="4971">BF732/BF758*100</f>
        <v>1.1543858045243642</v>
      </c>
      <c r="BG733" s="23">
        <f t="shared" si="4961"/>
        <v>-41.287842970713626</v>
      </c>
      <c r="BH733" s="81">
        <f t="shared" ref="BH733" si="4972">BH732/BH758*100</f>
        <v>0.95601108349360109</v>
      </c>
      <c r="BI733" s="23" t="str">
        <f t="shared" si="4962"/>
        <v>NM</v>
      </c>
      <c r="BJ733" s="81">
        <f t="shared" ref="BJ733" si="4973">BJ732/BJ758*100</f>
        <v>0.87550422439072517</v>
      </c>
      <c r="BK733" s="23" t="str">
        <f t="shared" si="4963"/>
        <v>NM</v>
      </c>
      <c r="BL733" s="81">
        <f t="shared" ref="BL733" si="4974">BL732/BL758*100</f>
        <v>0.82657518721130885</v>
      </c>
      <c r="BM733" s="23">
        <f t="shared" si="4964"/>
        <v>-28.282181297589304</v>
      </c>
      <c r="BR733" s="6"/>
      <c r="BS733" s="6"/>
      <c r="BT733" s="6"/>
      <c r="BU733" s="81">
        <f>BU732/BU758*100</f>
        <v>0</v>
      </c>
      <c r="BV733" s="23" t="str">
        <f t="shared" si="4965"/>
        <v>NA</v>
      </c>
      <c r="BW733" s="81">
        <f>BW732/BW758*100</f>
        <v>0</v>
      </c>
      <c r="BX733" s="23" t="str">
        <f t="shared" si="4965"/>
        <v>NA</v>
      </c>
      <c r="BY733" s="81">
        <f>BY732/BY758*100</f>
        <v>0.30537313613844874</v>
      </c>
      <c r="BZ733" s="23" t="str">
        <f t="shared" si="4965"/>
        <v>NA</v>
      </c>
      <c r="CA733" s="81">
        <f>CA732/CA758*100</f>
        <v>1.2756967579426339</v>
      </c>
      <c r="CB733" s="23" t="str">
        <f t="shared" si="4965"/>
        <v>NM</v>
      </c>
      <c r="CC733" s="81">
        <f>CC732/CC758*100</f>
        <v>1.3690490516992402</v>
      </c>
      <c r="CD733" s="23">
        <f t="shared" si="4965"/>
        <v>7.31774954944302</v>
      </c>
      <c r="CE733" s="81">
        <f>CE732/CE758*100</f>
        <v>3.6105967810853179</v>
      </c>
      <c r="CF733" s="23" t="str">
        <f t="shared" si="4965"/>
        <v>NM</v>
      </c>
      <c r="CG733" s="81">
        <f>CG732/CG758*100</f>
        <v>2.0815464985463974</v>
      </c>
      <c r="CH733" s="23">
        <f t="shared" si="4965"/>
        <v>-42.348962657616383</v>
      </c>
      <c r="CI733" s="81">
        <f>CI732/CI758*100</f>
        <v>0.94137812794173747</v>
      </c>
      <c r="CJ733" s="23" t="str">
        <f t="shared" si="4965"/>
        <v>NM</v>
      </c>
      <c r="CK733" s="81">
        <f>CK732/CK758*100</f>
        <v>0.83848592570901981</v>
      </c>
      <c r="CL733" s="23">
        <f t="shared" si="4965"/>
        <v>-10.929954624894977</v>
      </c>
      <c r="CM733" s="81">
        <f>CM732/CM758*100</f>
        <v>0.83492897066341654</v>
      </c>
      <c r="CN733" s="23">
        <f t="shared" si="4965"/>
        <v>-0.42421165776820313</v>
      </c>
      <c r="CO733" s="81">
        <f>CO732/CO758*100</f>
        <v>0.831663314184789</v>
      </c>
      <c r="CP733" s="23">
        <f t="shared" si="4965"/>
        <v>-0.39112985575679993</v>
      </c>
      <c r="CQ733" s="81">
        <f>CQ732/CQ758*100</f>
        <v>0.82535800762195743</v>
      </c>
      <c r="CR733" s="23">
        <f t="shared" si="4965"/>
        <v>-0.75815614988525848</v>
      </c>
      <c r="CS733" s="23">
        <f>IF(ISERROR(((CQ733/CG733)^0.2-1)*100),"NA",IF((((CQ733/CG733)^0.2-1)*100)&gt;100,"NM",IF((((CQ733/CG733)^0.2-1)*100)&lt;-50,"NM",((CQ733/CG733)^0.2-1)*100)))</f>
        <v>-16.890388827420523</v>
      </c>
      <c r="DC733" s="171"/>
    </row>
    <row r="734" spans="1:107" ht="12.75" customHeight="1" x14ac:dyDescent="0.2">
      <c r="A734" s="14" t="s">
        <v>31</v>
      </c>
      <c r="B734" s="81">
        <f>B732*B756</f>
        <v>0</v>
      </c>
      <c r="C734" s="83"/>
      <c r="D734" s="81">
        <f>D732*D756</f>
        <v>0</v>
      </c>
      <c r="E734" s="83"/>
      <c r="F734" s="81">
        <f>F732*F756</f>
        <v>0</v>
      </c>
      <c r="G734" s="83"/>
      <c r="H734" s="81">
        <f>H732*H756</f>
        <v>0</v>
      </c>
      <c r="I734" s="83"/>
      <c r="J734" s="81">
        <f>J732*J756</f>
        <v>0</v>
      </c>
      <c r="K734" s="23" t="str">
        <f t="shared" si="4952"/>
        <v>NA</v>
      </c>
      <c r="L734" s="81">
        <f>L732*L756</f>
        <v>0</v>
      </c>
      <c r="M734" s="23" t="str">
        <f t="shared" si="4952"/>
        <v>NA</v>
      </c>
      <c r="N734" s="81">
        <f>N732*N756</f>
        <v>0</v>
      </c>
      <c r="O734" s="23" t="str">
        <f t="shared" si="4952"/>
        <v>NA</v>
      </c>
      <c r="P734" s="81">
        <f>P732*P756</f>
        <v>0</v>
      </c>
      <c r="Q734" s="23" t="str">
        <f t="shared" si="4952"/>
        <v>NA</v>
      </c>
      <c r="R734" s="81">
        <f>R732*R756</f>
        <v>0</v>
      </c>
      <c r="S734" s="23" t="str">
        <f t="shared" si="4952"/>
        <v>NA</v>
      </c>
      <c r="T734" s="81">
        <f>T732*T756</f>
        <v>0</v>
      </c>
      <c r="U734" s="23" t="str">
        <f t="shared" si="4952"/>
        <v>NA</v>
      </c>
      <c r="V734" s="81">
        <f>V732*V756</f>
        <v>0</v>
      </c>
      <c r="W734" s="23" t="str">
        <f t="shared" si="4952"/>
        <v>NA</v>
      </c>
      <c r="X734" s="81">
        <f>X732*X756</f>
        <v>2.633</v>
      </c>
      <c r="Y734" s="23" t="str">
        <f t="shared" si="4952"/>
        <v>NA</v>
      </c>
      <c r="Z734" s="81">
        <f>Z732*Z756</f>
        <v>2.6350000000000002</v>
      </c>
      <c r="AA734" s="23" t="str">
        <f>IF(ISERROR((Z734/R734-1)*100),"NA",IF(((Z734/R734-1)*100)&gt;100,"NM",IF(((Z734/R734-1)*100)&lt;-50,"NM",(Z734/R734-1)*100)))</f>
        <v>NA</v>
      </c>
      <c r="AB734" s="81">
        <f>AB732*AB756</f>
        <v>2.5619999999999998</v>
      </c>
      <c r="AC734" s="23" t="str">
        <f>IF(ISERROR((AB734/T734-1)*100),"NA",IF(((AB734/T734-1)*100)&gt;100,"NM",IF(((AB734/T734-1)*100)&lt;-50,"NM",(AB734/T734-1)*100)))</f>
        <v>NA</v>
      </c>
      <c r="AD734" s="81">
        <f>AD732*AD756</f>
        <v>2.544</v>
      </c>
      <c r="AE734" s="23" t="str">
        <f>IF(ISERROR((AD734/V734-1)*100),"NA",IF(((AD734/V734-1)*100)&gt;100,"NM",IF(((AD734/V734-1)*100)&lt;-50,"NM",(AD734/V734-1)*100)))</f>
        <v>NA</v>
      </c>
      <c r="AF734" s="81">
        <f>AF732*AF756</f>
        <v>2.464</v>
      </c>
      <c r="AG734" s="23">
        <f>IF(ISERROR((AF734/X734-1)*100),"NA",IF(((AF734/X734-1)*100)&gt;100,"NM",IF(((AF734/X734-1)*100)&lt;-50,"NM",(AF734/X734-1)*100)))</f>
        <v>-6.418533991644515</v>
      </c>
      <c r="AH734" s="81">
        <f>AH732*AH756</f>
        <v>2.407</v>
      </c>
      <c r="AI734" s="23">
        <f>IF(ISERROR((AH734/Z734-1)*100),"NA",IF(((AH734/Z734-1)*100)&gt;100,"NM",IF(((AH734/Z734-1)*100)&lt;-50,"NM",(AH734/Z734-1)*100)))</f>
        <v>-8.6527514231499065</v>
      </c>
      <c r="AJ734" s="81">
        <f>AJ732*AJ756</f>
        <v>2.298</v>
      </c>
      <c r="AK734" s="23">
        <f>IF(ISERROR((AJ734/AB734-1)*100),"NA",IF(((AJ734/AB734-1)*100)&gt;100,"NM",IF(((AJ734/AB734-1)*100)&lt;-50,"NM",(AJ734/AB734-1)*100)))</f>
        <v>-10.304449648711934</v>
      </c>
      <c r="AL734" s="81">
        <f>AL732*AL756</f>
        <v>2.2360000000000002</v>
      </c>
      <c r="AM734" s="23">
        <f>IF(ISERROR((AL734/AD734-1)*100),"NA",IF(((AL734/AD734-1)*100)&gt;100,"NM",IF(((AL734/AD734-1)*100)&lt;-50,"NM",(AL734/AD734-1)*100)))</f>
        <v>-12.106918238993703</v>
      </c>
      <c r="AN734" s="467">
        <f t="shared" ref="AN734:AP734" si="4975">AN732*AN756</f>
        <v>2.16</v>
      </c>
      <c r="AO734" s="23">
        <f>IF(ISERROR((AN734/AF734-1)*100),"NA",IF(((AN734/AF734-1)*100)&gt;100,"NM",IF(((AN734/AF734-1)*100)&lt;-50,"NM",(AN734/AF734-1)*100)))</f>
        <v>-12.337662337662337</v>
      </c>
      <c r="AP734" s="467">
        <f t="shared" si="4975"/>
        <v>2.0910000000000002</v>
      </c>
      <c r="AQ734" s="23">
        <f t="shared" si="4953"/>
        <v>-13.128375571250517</v>
      </c>
      <c r="AR734" s="467">
        <f t="shared" ref="AR734:AT734" si="4976">AR732*AR756</f>
        <v>2.0350000000000001</v>
      </c>
      <c r="AS734" s="23">
        <f t="shared" si="4954"/>
        <v>-11.444734551784153</v>
      </c>
      <c r="AT734" s="467">
        <f t="shared" si="4976"/>
        <v>2.0150000000000001</v>
      </c>
      <c r="AU734" s="23">
        <f t="shared" si="4955"/>
        <v>-9.883720930232565</v>
      </c>
      <c r="AV734" s="467">
        <f t="shared" ref="AV734:AX734" si="4977">AV732*AV756</f>
        <v>1.9710000000000001</v>
      </c>
      <c r="AW734" s="23">
        <f t="shared" si="4956"/>
        <v>-8.7500000000000018</v>
      </c>
      <c r="AX734" s="467">
        <f t="shared" si="4977"/>
        <v>1.9440000000000002</v>
      </c>
      <c r="AY734" s="23">
        <f t="shared" si="4957"/>
        <v>-7.030129124820661</v>
      </c>
      <c r="AZ734" s="467">
        <f t="shared" ref="AZ734" si="4978">AZ732*AZ756</f>
        <v>1.877</v>
      </c>
      <c r="BA734" s="23">
        <f t="shared" si="4958"/>
        <v>-7.7641277641277711</v>
      </c>
      <c r="BB734" s="467">
        <f t="shared" ref="BB734:BD734" si="4979">BB732*BB756</f>
        <v>1.8240000000000001</v>
      </c>
      <c r="BC734" s="23">
        <f t="shared" si="4959"/>
        <v>-9.4789081885856099</v>
      </c>
      <c r="BD734" s="467">
        <f t="shared" si="4979"/>
        <v>1.83</v>
      </c>
      <c r="BE734" s="23">
        <f t="shared" si="4960"/>
        <v>-7.1537290715372954</v>
      </c>
      <c r="BF734" s="81">
        <f t="shared" ref="BF734" si="4980">BF732*BF756</f>
        <v>1.716213622004545</v>
      </c>
      <c r="BG734" s="23">
        <f t="shared" si="4961"/>
        <v>-11.717406275486375</v>
      </c>
      <c r="BH734" s="81">
        <f t="shared" ref="BH734" si="4981">BH732*BH756</f>
        <v>1.6588108058885376</v>
      </c>
      <c r="BI734" s="23">
        <f t="shared" si="4962"/>
        <v>-11.624357704393306</v>
      </c>
      <c r="BJ734" s="81">
        <f t="shared" ref="BJ734" si="4982">BJ732*BJ756</f>
        <v>1.612149692659985</v>
      </c>
      <c r="BK734" s="23">
        <f t="shared" si="4963"/>
        <v>-11.614600183114865</v>
      </c>
      <c r="BL734" s="81">
        <f t="shared" ref="BL734" si="4983">BL732*BL756</f>
        <v>1.5895081145967904</v>
      </c>
      <c r="BM734" s="23">
        <f t="shared" si="4964"/>
        <v>-13.141633082142601</v>
      </c>
      <c r="BR734" s="6"/>
      <c r="BS734" s="6"/>
      <c r="BT734" s="6"/>
      <c r="BU734" s="81">
        <f>BU732*BU756</f>
        <v>0</v>
      </c>
      <c r="BV734" s="23" t="str">
        <f t="shared" si="4965"/>
        <v>NA</v>
      </c>
      <c r="BW734" s="81">
        <f>BW732*BW756</f>
        <v>0</v>
      </c>
      <c r="BX734" s="23" t="str">
        <f t="shared" si="4965"/>
        <v>NA</v>
      </c>
      <c r="BY734" s="81">
        <f>BY732*BY756</f>
        <v>2.5180000000000002</v>
      </c>
      <c r="BZ734" s="23" t="str">
        <f t="shared" si="4965"/>
        <v>NA</v>
      </c>
      <c r="CA734" s="81">
        <f>CA732*CA756</f>
        <v>10.205</v>
      </c>
      <c r="CB734" s="23" t="str">
        <f t="shared" si="4965"/>
        <v>NM</v>
      </c>
      <c r="CC734" s="81">
        <f>CC732*CC756</f>
        <v>9.1010000000000009</v>
      </c>
      <c r="CD734" s="23">
        <f t="shared" si="4965"/>
        <v>-10.818226359627625</v>
      </c>
      <c r="CE734" s="81">
        <f>CE732*CE756</f>
        <v>8.1120000000000001</v>
      </c>
      <c r="CF734" s="23">
        <f t="shared" si="4965"/>
        <v>-10.866937699153944</v>
      </c>
      <c r="CG734" s="81">
        <f>CG732*CG756</f>
        <v>7.4750000000000005</v>
      </c>
      <c r="CH734" s="23">
        <f t="shared" si="4965"/>
        <v>-7.8525641025640969</v>
      </c>
      <c r="CI734" s="81">
        <f>CI732*CI756</f>
        <v>6.5766822351498586</v>
      </c>
      <c r="CJ734" s="23">
        <f t="shared" si="4965"/>
        <v>-12.017628961205906</v>
      </c>
      <c r="CK734" s="81">
        <f>CK732*CK756</f>
        <v>6.6202328289737462</v>
      </c>
      <c r="CL734" s="23">
        <f t="shared" si="4965"/>
        <v>0.66219702072765063</v>
      </c>
      <c r="CM734" s="81">
        <f>CM732*CM756</f>
        <v>6.9029983995930841</v>
      </c>
      <c r="CN734" s="23">
        <f t="shared" si="4965"/>
        <v>4.2712330204128346</v>
      </c>
      <c r="CO734" s="81">
        <f>CO732*CO756</f>
        <v>7.1784185964364866</v>
      </c>
      <c r="CP734" s="23">
        <f t="shared" si="4965"/>
        <v>3.9898632579668192</v>
      </c>
      <c r="CQ734" s="81">
        <f>CQ732*CQ756</f>
        <v>7.4211725719284702</v>
      </c>
      <c r="CR734" s="23">
        <f t="shared" si="4965"/>
        <v>3.381719416759732</v>
      </c>
      <c r="CS734" s="23">
        <f>IF(ISERROR(((CQ734/CG734)^0.2-1)*100),"NA",IF((((CQ734/CG734)^0.2-1)*100)&gt;100,"NM",IF((((CQ734/CG734)^0.2-1)*100)&lt;-50,"NM",((CQ734/CG734)^0.2-1)*100)))</f>
        <v>-0.14443651034018457</v>
      </c>
      <c r="CT734" s="28"/>
    </row>
    <row r="735" spans="1:107" ht="12.75" customHeight="1" x14ac:dyDescent="0.2">
      <c r="A735" s="14"/>
      <c r="B735" s="28"/>
      <c r="C735" s="82"/>
      <c r="D735" s="28"/>
      <c r="E735" s="82"/>
      <c r="F735" s="28"/>
      <c r="G735" s="82"/>
      <c r="H735" s="28"/>
      <c r="I735" s="82"/>
      <c r="J735" s="28"/>
      <c r="K735" s="183"/>
      <c r="L735" s="28"/>
      <c r="M735" s="183"/>
      <c r="N735" s="28"/>
      <c r="O735" s="183"/>
      <c r="P735" s="28"/>
      <c r="Q735" s="183"/>
      <c r="R735" s="28"/>
      <c r="S735" s="183"/>
      <c r="T735" s="28"/>
      <c r="U735" s="183"/>
      <c r="V735" s="28"/>
      <c r="W735" s="183"/>
      <c r="X735" s="28"/>
      <c r="Y735" s="183"/>
      <c r="Z735" s="28"/>
      <c r="AA735" s="183"/>
      <c r="AB735" s="28"/>
      <c r="AC735" s="183"/>
      <c r="AD735" s="28"/>
      <c r="AE735" s="183"/>
      <c r="AF735" s="28"/>
      <c r="AG735" s="183"/>
      <c r="AH735" s="28"/>
      <c r="AI735" s="183"/>
      <c r="AJ735" s="28"/>
      <c r="AK735" s="183"/>
      <c r="AL735" s="28"/>
      <c r="AM735" s="183"/>
      <c r="AN735" s="468"/>
      <c r="AO735" s="183"/>
      <c r="AP735" s="468"/>
      <c r="AQ735" s="183"/>
      <c r="AR735" s="468"/>
      <c r="AS735" s="183"/>
      <c r="AT735" s="468"/>
      <c r="AU735" s="183"/>
      <c r="AV735" s="468"/>
      <c r="AW735" s="183"/>
      <c r="AX735" s="468"/>
      <c r="AY735" s="183"/>
      <c r="AZ735" s="468"/>
      <c r="BA735" s="183"/>
      <c r="BB735" s="468"/>
      <c r="BC735" s="183"/>
      <c r="BD735" s="468"/>
      <c r="BE735" s="183"/>
      <c r="BF735" s="28"/>
      <c r="BG735" s="183"/>
      <c r="BH735" s="28"/>
      <c r="BI735" s="183"/>
      <c r="BJ735" s="28"/>
      <c r="BK735" s="183"/>
      <c r="BL735" s="28"/>
      <c r="BM735" s="183"/>
      <c r="BR735" s="6"/>
      <c r="BS735" s="6"/>
      <c r="BT735" s="6"/>
      <c r="BU735" s="28"/>
      <c r="BV735" s="183"/>
      <c r="BW735" s="28"/>
      <c r="BX735" s="183"/>
      <c r="BY735" s="28"/>
      <c r="BZ735" s="183"/>
      <c r="CA735" s="28"/>
      <c r="CB735" s="183"/>
      <c r="CC735" s="28"/>
      <c r="CD735" s="183"/>
      <c r="CE735" s="28"/>
      <c r="CF735" s="183"/>
      <c r="CG735" s="28"/>
      <c r="CH735" s="183"/>
      <c r="CI735" s="28"/>
      <c r="CJ735" s="183"/>
      <c r="CK735" s="28"/>
      <c r="CL735" s="183"/>
      <c r="CM735" s="28"/>
      <c r="CN735" s="183"/>
      <c r="CO735" s="28"/>
      <c r="CP735" s="183"/>
      <c r="CQ735" s="28"/>
      <c r="CR735" s="183"/>
      <c r="CS735" s="183"/>
      <c r="CT735" s="28"/>
    </row>
    <row r="736" spans="1:107" ht="12.75" customHeight="1" x14ac:dyDescent="0.2">
      <c r="A736" s="15" t="s">
        <v>32</v>
      </c>
      <c r="B736" s="28"/>
      <c r="C736" s="82"/>
      <c r="D736" s="28"/>
      <c r="E736" s="82"/>
      <c r="F736" s="28"/>
      <c r="G736" s="82"/>
      <c r="H736" s="28"/>
      <c r="I736" s="82"/>
      <c r="J736" s="28"/>
      <c r="K736" s="183"/>
      <c r="L736" s="28"/>
      <c r="M736" s="183"/>
      <c r="N736" s="28"/>
      <c r="O736" s="183"/>
      <c r="P736" s="28"/>
      <c r="Q736" s="183"/>
      <c r="R736" s="28"/>
      <c r="S736" s="183"/>
      <c r="T736" s="28"/>
      <c r="U736" s="183"/>
      <c r="V736" s="28"/>
      <c r="W736" s="183"/>
      <c r="X736" s="28"/>
      <c r="Y736" s="183"/>
      <c r="Z736" s="28"/>
      <c r="AA736" s="183"/>
      <c r="AB736" s="28"/>
      <c r="AC736" s="183"/>
      <c r="AD736" s="28"/>
      <c r="AE736" s="183"/>
      <c r="AF736" s="28"/>
      <c r="AG736" s="183"/>
      <c r="AH736" s="28"/>
      <c r="AI736" s="183"/>
      <c r="AJ736" s="28"/>
      <c r="AK736" s="183"/>
      <c r="AL736" s="28"/>
      <c r="AM736" s="183"/>
      <c r="AN736" s="468"/>
      <c r="AO736" s="183"/>
      <c r="AP736" s="468"/>
      <c r="AQ736" s="183"/>
      <c r="AR736" s="468"/>
      <c r="AS736" s="183"/>
      <c r="AT736" s="468"/>
      <c r="AU736" s="183"/>
      <c r="AV736" s="468"/>
      <c r="AW736" s="183"/>
      <c r="AX736" s="468"/>
      <c r="AY736" s="183"/>
      <c r="AZ736" s="468"/>
      <c r="BA736" s="183"/>
      <c r="BB736" s="468"/>
      <c r="BC736" s="183"/>
      <c r="BD736" s="468"/>
      <c r="BE736" s="183"/>
      <c r="BF736" s="28"/>
      <c r="BG736" s="183"/>
      <c r="BH736" s="28"/>
      <c r="BI736" s="183"/>
      <c r="BJ736" s="28"/>
      <c r="BK736" s="183"/>
      <c r="BL736" s="28"/>
      <c r="BM736" s="183"/>
      <c r="BR736" s="6"/>
      <c r="BS736" s="6"/>
      <c r="BT736" s="6"/>
      <c r="BU736" s="28"/>
      <c r="BV736" s="183"/>
      <c r="BW736" s="28"/>
      <c r="BX736" s="183"/>
      <c r="BY736" s="28"/>
      <c r="BZ736" s="183"/>
      <c r="CA736" s="28"/>
      <c r="CB736" s="183"/>
      <c r="CC736" s="28"/>
      <c r="CD736" s="183"/>
      <c r="CE736" s="28"/>
      <c r="CF736" s="183"/>
      <c r="CG736" s="28"/>
      <c r="CH736" s="183"/>
      <c r="CI736" s="28"/>
      <c r="CJ736" s="183"/>
      <c r="CK736" s="28"/>
      <c r="CL736" s="183"/>
      <c r="CM736" s="28"/>
      <c r="CN736" s="183"/>
      <c r="CO736" s="28"/>
      <c r="CP736" s="183"/>
      <c r="CQ736" s="28"/>
      <c r="CR736" s="183"/>
      <c r="CS736" s="183"/>
      <c r="CT736" s="28"/>
    </row>
    <row r="737" spans="1:99" ht="12.75" customHeight="1" x14ac:dyDescent="0.2">
      <c r="A737" s="14" t="s">
        <v>87</v>
      </c>
      <c r="B737" s="80"/>
      <c r="C737" s="83"/>
      <c r="D737" s="80"/>
      <c r="E737" s="83"/>
      <c r="F737" s="80"/>
      <c r="G737" s="83"/>
      <c r="H737" s="80"/>
      <c r="I737" s="83"/>
      <c r="J737" s="84"/>
      <c r="K737" s="23" t="str">
        <f t="shared" ref="K737:Y740" si="4984">IF(ISERROR((J737/B737-1)*100),"NA",IF(((J737/B737-1)*100)&gt;100,"NM",IF(((J737/B737-1)*100)&lt;-50,"NM",(J737/B737-1)*100)))</f>
        <v>NA</v>
      </c>
      <c r="L737" s="84"/>
      <c r="M737" s="23" t="str">
        <f t="shared" si="4984"/>
        <v>NA</v>
      </c>
      <c r="N737" s="84"/>
      <c r="O737" s="23" t="str">
        <f t="shared" si="4984"/>
        <v>NA</v>
      </c>
      <c r="P737" s="84"/>
      <c r="Q737" s="23" t="str">
        <f t="shared" si="4984"/>
        <v>NA</v>
      </c>
      <c r="R737" s="84">
        <f>R753-P753+R742</f>
        <v>7.9119999999988977E-2</v>
      </c>
      <c r="S737" s="23" t="str">
        <f t="shared" si="4984"/>
        <v>NA</v>
      </c>
      <c r="T737" s="84">
        <f>T753-R753+T742</f>
        <v>30.720880000000022</v>
      </c>
      <c r="U737" s="23" t="str">
        <f t="shared" si="4984"/>
        <v>NA</v>
      </c>
      <c r="V737" s="84">
        <f>V753-T753+V742</f>
        <v>0</v>
      </c>
      <c r="W737" s="23" t="str">
        <f t="shared" si="4984"/>
        <v>NA</v>
      </c>
      <c r="X737" s="84">
        <f>X753-V753+X742</f>
        <v>0.89999999999997726</v>
      </c>
      <c r="Y737" s="23" t="str">
        <f t="shared" si="4984"/>
        <v>NA</v>
      </c>
      <c r="Z737" s="84">
        <f>Z753-X753+Z742</f>
        <v>0.50585300000000011</v>
      </c>
      <c r="AA737" s="23" t="str">
        <f>IF(ISERROR((Z737/R737-1)*100),"NA",IF(((Z737/R737-1)*100)&gt;100,"NM",IF(((Z737/R737-1)*100)&lt;-50,"NM",(Z737/R737-1)*100)))</f>
        <v>NM</v>
      </c>
      <c r="AB737" s="84">
        <f>AB753-Z753+AB742</f>
        <v>0.77555800000000563</v>
      </c>
      <c r="AC737" s="23" t="str">
        <f>IF(ISERROR((AB737/T737-1)*100),"NA",IF(((AB737/T737-1)*100)&gt;100,"NM",IF(((AB737/T737-1)*100)&lt;-50,"NM",(AB737/T737-1)*100)))</f>
        <v>NM</v>
      </c>
      <c r="AD737" s="84">
        <f>AD753-AB753+AD742</f>
        <v>0.17746400000001117</v>
      </c>
      <c r="AE737" s="23" t="str">
        <f>IF(ISERROR((AD737/V737-1)*100),"NA",IF(((AD737/V737-1)*100)&gt;100,"NM",IF(((AD737/V737-1)*100)&lt;-50,"NM",(AD737/V737-1)*100)))</f>
        <v>NA</v>
      </c>
      <c r="AF737" s="84">
        <f>AF753-AD753+AF742</f>
        <v>-3.0013000000000289E-2</v>
      </c>
      <c r="AG737" s="23" t="str">
        <f>IF(ISERROR((AF737/X737-1)*100),"NA",IF(((AF737/X737-1)*100)&gt;100,"NM",IF(((AF737/X737-1)*100)&lt;-50,"NM",(AF737/X737-1)*100)))</f>
        <v>NM</v>
      </c>
      <c r="AH737" s="84">
        <f>AH753-AF753+AH742</f>
        <v>1.4075629999999943</v>
      </c>
      <c r="AI737" s="23" t="str">
        <f>IF(ISERROR((AH737/Z737-1)*100),"NA",IF(((AH737/Z737-1)*100)&gt;100,"NM",IF(((AH737/Z737-1)*100)&lt;-50,"NM",(AH737/Z737-1)*100)))</f>
        <v>NM</v>
      </c>
      <c r="AJ737" s="84">
        <f>AJ753-AH753+AJ742</f>
        <v>6.9151000000011287E-2</v>
      </c>
      <c r="AK737" s="23" t="str">
        <f>IF(ISERROR((AJ737/AB737-1)*100),"NA",IF(((AJ737/AB737-1)*100)&gt;100,"NM",IF(((AJ737/AB737-1)*100)&lt;-50,"NM",(AJ737/AB737-1)*100)))</f>
        <v>NM</v>
      </c>
      <c r="AL737" s="84">
        <f>AL753-AJ753+AL742</f>
        <v>1.2999999999999901E-2</v>
      </c>
      <c r="AM737" s="23" t="str">
        <f>IF(ISERROR((AL737/AD737-1)*100),"NA",IF(((AL737/AD737-1)*100)&gt;100,"NM",IF(((AL737/AD737-1)*100)&lt;-50,"NM",(AL737/AD737-1)*100)))</f>
        <v>NM</v>
      </c>
      <c r="AN737" s="471">
        <f t="shared" ref="AN737:AP737" si="4985">AN753-AL753+AN742</f>
        <v>5.8289999999982633E-2</v>
      </c>
      <c r="AO737" s="23" t="str">
        <f>IF(ISERROR((AN737/AF737-1)*100),"NA",IF(((AN737/AF737-1)*100)&gt;100,"NM",IF(((AN737/AF737-1)*100)&lt;-50,"NM",(AN737/AF737-1)*100)))</f>
        <v>NM</v>
      </c>
      <c r="AP737" s="471">
        <f t="shared" si="4985"/>
        <v>2.4783700000000053</v>
      </c>
      <c r="AQ737" s="23">
        <f t="shared" ref="AQ737:AQ740" si="4986">IF(ISERROR((AP737/AH737-1)*100),"NA",IF(((AP737/AH737-1)*100)&gt;100,"NM",IF(((AP737/AH737-1)*100)&lt;-50,"NM",(AP737/AH737-1)*100)))</f>
        <v>76.075244944632331</v>
      </c>
      <c r="AR737" s="471">
        <f t="shared" ref="AR737:AT737" si="4987">AR753-AP753+AR742</f>
        <v>-0.10000000000001119</v>
      </c>
      <c r="AS737" s="23" t="str">
        <f t="shared" ref="AS737:AS740" si="4988">IF(ISERROR((AR737/AJ737-1)*100),"NA",IF(((AR737/AJ737-1)*100)&gt;100,"NM",IF(((AR737/AJ737-1)*100)&lt;-50,"NM",(AR737/AJ737-1)*100)))</f>
        <v>NM</v>
      </c>
      <c r="AT737" s="471">
        <f t="shared" si="4987"/>
        <v>0.10000000000000586</v>
      </c>
      <c r="AU737" s="23" t="str">
        <f t="shared" ref="AU737:AU740" si="4989">IF(ISERROR((AT737/AL737-1)*100),"NA",IF(((AT737/AL737-1)*100)&gt;100,"NM",IF(((AT737/AL737-1)*100)&lt;-50,"NM",(AT737/AL737-1)*100)))</f>
        <v>NM</v>
      </c>
      <c r="AV737" s="471">
        <f t="shared" ref="AV737:AX737" si="4990">AV753-AT753+AV742</f>
        <v>0</v>
      </c>
      <c r="AW737" s="23" t="str">
        <f t="shared" ref="AW737:AW740" si="4991">IF(ISERROR((AV737/AN737-1)*100),"NA",IF(((AV737/AN737-1)*100)&gt;100,"NM",IF(((AV737/AN737-1)*100)&lt;-50,"NM",(AV737/AN737-1)*100)))</f>
        <v>NM</v>
      </c>
      <c r="AX737" s="471">
        <f t="shared" si="4990"/>
        <v>1.7000000000000117</v>
      </c>
      <c r="AY737" s="23">
        <f t="shared" ref="AY737:AY740" si="4992">IF(ISERROR((AX737/AP737-1)*100),"NA",IF(((AX737/AP737-1)*100)&gt;100,"NM",IF(((AX737/AP737-1)*100)&lt;-50,"NM",(AX737/AP737-1)*100)))</f>
        <v>-31.40652929142912</v>
      </c>
      <c r="AZ737" s="471">
        <f t="shared" ref="AZ737" si="4993">AZ753-AX753+AZ742</f>
        <v>4.5204999999983286E-2</v>
      </c>
      <c r="BA737" s="23" t="str">
        <f t="shared" ref="BA737:BA740" si="4994">IF(ISERROR((AZ737/AR737-1)*100),"NA",IF(((AZ737/AR737-1)*100)&gt;100,"NM",IF(((AZ737/AR737-1)*100)&lt;-50,"NM",(AZ737/AR737-1)*100)))</f>
        <v>NM</v>
      </c>
      <c r="BB737" s="471">
        <f t="shared" ref="BB737:BD737" si="4995">BB753-AZ753+BB742</f>
        <v>0</v>
      </c>
      <c r="BC737" s="23" t="str">
        <f t="shared" ref="BC737:BC740" si="4996">IF(ISERROR((BB737/AT737-1)*100),"NA",IF(((BB737/AT737-1)*100)&gt;100,"NM",IF(((BB737/AT737-1)*100)&lt;-50,"NM",(BB737/AT737-1)*100)))</f>
        <v>NM</v>
      </c>
      <c r="BD737" s="471">
        <f t="shared" si="4995"/>
        <v>0.30000000000001137</v>
      </c>
      <c r="BE737" s="23" t="str">
        <f t="shared" ref="BE737:BE740" si="4997">IF(ISERROR((BD737/AV737-1)*100),"NA",IF(((BD737/AV737-1)*100)&gt;100,"NM",IF(((BD737/AV737-1)*100)&lt;-50,"NM",(BD737/AV737-1)*100)))</f>
        <v>NA</v>
      </c>
      <c r="BF737" s="88">
        <v>0</v>
      </c>
      <c r="BG737" s="23" t="str">
        <f t="shared" ref="BG737:BG740" si="4998">IF(ISERROR((BF737/AX737-1)*100),"NA",IF(((BF737/AX737-1)*100)&gt;100,"NM",IF(((BF737/AX737-1)*100)&lt;-50,"NM",(BF737/AX737-1)*100)))</f>
        <v>NM</v>
      </c>
      <c r="BH737" s="88">
        <v>0</v>
      </c>
      <c r="BI737" s="23" t="str">
        <f t="shared" ref="BI737:BI740" si="4999">IF(ISERROR((BH737/AZ737-1)*100),"NA",IF(((BH737/AZ737-1)*100)&gt;100,"NM",IF(((BH737/AZ737-1)*100)&lt;-50,"NM",(BH737/AZ737-1)*100)))</f>
        <v>NM</v>
      </c>
      <c r="BJ737" s="88">
        <v>0</v>
      </c>
      <c r="BK737" s="23" t="str">
        <f t="shared" ref="BK737:BK740" si="5000">IF(ISERROR((BJ737/BB737-1)*100),"NA",IF(((BJ737/BB737-1)*100)&gt;100,"NM",IF(((BJ737/BB737-1)*100)&lt;-50,"NM",(BJ737/BB737-1)*100)))</f>
        <v>NA</v>
      </c>
      <c r="BL737" s="88">
        <v>0</v>
      </c>
      <c r="BM737" s="23" t="str">
        <f t="shared" ref="BM737:BM740" si="5001">IF(ISERROR((BL737/BD737-1)*100),"NA",IF(((BL737/BD737-1)*100)&gt;100,"NM",IF(((BL737/BD737-1)*100)&lt;-50,"NM",(BL737/BD737-1)*100)))</f>
        <v>NM</v>
      </c>
      <c r="BO737" s="138"/>
      <c r="BR737" s="6"/>
      <c r="BS737" s="6"/>
      <c r="BT737" s="6"/>
      <c r="BU737" s="84">
        <f>B737+D737+F737+H737</f>
        <v>0</v>
      </c>
      <c r="BV737" s="23" t="str">
        <f t="shared" ref="BV737:CR740" si="5002">IF(ISERROR((BU737/BS737-1)*100),"NA",IF(((BU737/BS737-1)*100)&gt;100,"NM",IF(((BU737/BS737-1)*100)&lt;-50,"NM",(BU737/BS737-1)*100)))</f>
        <v>NA</v>
      </c>
      <c r="BW737" s="84">
        <f>J737+L737+N737+P737</f>
        <v>0</v>
      </c>
      <c r="BX737" s="23" t="str">
        <f t="shared" si="5002"/>
        <v>NA</v>
      </c>
      <c r="BY737" s="84">
        <f>R737+T737+V737+X737</f>
        <v>31.699999999999989</v>
      </c>
      <c r="BZ737" s="23" t="str">
        <f t="shared" si="5002"/>
        <v>NA</v>
      </c>
      <c r="CA737" s="84">
        <f>Z737+AB737+AD737+AF737</f>
        <v>1.4288620000000165</v>
      </c>
      <c r="CB737" s="23" t="str">
        <f t="shared" si="5002"/>
        <v>NM</v>
      </c>
      <c r="CC737" s="84">
        <f>AH737+AJ737+AL737+AN737</f>
        <v>1.5480039999999882</v>
      </c>
      <c r="CD737" s="23">
        <f t="shared" si="5002"/>
        <v>8.3382440011680714</v>
      </c>
      <c r="CE737" s="84">
        <f>AP737+AR737+AT737+AV737</f>
        <v>2.47837</v>
      </c>
      <c r="CF737" s="23">
        <f t="shared" si="5002"/>
        <v>60.101007490937938</v>
      </c>
      <c r="CG737" s="84">
        <f>AX737+AZ737+BB737+BD737</f>
        <v>2.0452050000000064</v>
      </c>
      <c r="CH737" s="23">
        <f t="shared" si="5002"/>
        <v>-17.477818082045605</v>
      </c>
      <c r="CI737" s="84">
        <f>BF737+BH737+BJ737+BL737</f>
        <v>0</v>
      </c>
      <c r="CJ737" s="23" t="str">
        <f t="shared" si="5002"/>
        <v>NM</v>
      </c>
      <c r="CK737" s="88">
        <f>CI737</f>
        <v>0</v>
      </c>
      <c r="CL737" s="23" t="str">
        <f t="shared" si="5002"/>
        <v>NA</v>
      </c>
      <c r="CM737" s="88">
        <f>CK737</f>
        <v>0</v>
      </c>
      <c r="CN737" s="23" t="str">
        <f t="shared" si="5002"/>
        <v>NA</v>
      </c>
      <c r="CO737" s="88">
        <f>CM737</f>
        <v>0</v>
      </c>
      <c r="CP737" s="23" t="str">
        <f t="shared" si="5002"/>
        <v>NA</v>
      </c>
      <c r="CQ737" s="88">
        <f>CO737</f>
        <v>0</v>
      </c>
      <c r="CR737" s="23" t="str">
        <f t="shared" si="5002"/>
        <v>NA</v>
      </c>
      <c r="CS737" s="23" t="str">
        <f>IF(ISERROR(((CQ737/CG737)^0.2-1)*100),"NA",IF((((CQ737/CG737)^0.2-1)*100)&gt;100,"NM",IF((((CQ737/CG737)^0.2-1)*100)&lt;-50,"NM",((CQ737/CG737)^0.2-1)*100)))</f>
        <v>NM</v>
      </c>
      <c r="CT737" s="28"/>
    </row>
    <row r="738" spans="1:99" ht="12.75" customHeight="1" x14ac:dyDescent="0.2">
      <c r="A738" s="14" t="s">
        <v>33</v>
      </c>
      <c r="B738" s="87">
        <f>B743</f>
        <v>0</v>
      </c>
      <c r="C738" s="87"/>
      <c r="D738" s="87">
        <f>D743</f>
        <v>0</v>
      </c>
      <c r="E738" s="87"/>
      <c r="F738" s="87">
        <f>F743</f>
        <v>0</v>
      </c>
      <c r="G738" s="87"/>
      <c r="H738" s="87">
        <f>H743</f>
        <v>0</v>
      </c>
      <c r="I738" s="87"/>
      <c r="J738" s="87">
        <f>J743</f>
        <v>0</v>
      </c>
      <c r="K738" s="23" t="str">
        <f t="shared" si="4984"/>
        <v>NA</v>
      </c>
      <c r="L738" s="87">
        <f>L743</f>
        <v>0</v>
      </c>
      <c r="M738" s="23" t="str">
        <f t="shared" si="4984"/>
        <v>NA</v>
      </c>
      <c r="N738" s="87">
        <f>N743</f>
        <v>0</v>
      </c>
      <c r="O738" s="23" t="str">
        <f t="shared" si="4984"/>
        <v>NA</v>
      </c>
      <c r="P738" s="87">
        <f>P743</f>
        <v>0</v>
      </c>
      <c r="Q738" s="23" t="str">
        <f t="shared" si="4984"/>
        <v>NA</v>
      </c>
      <c r="R738" s="87">
        <f>R743</f>
        <v>0</v>
      </c>
      <c r="S738" s="23" t="str">
        <f t="shared" si="4984"/>
        <v>NA</v>
      </c>
      <c r="T738" s="87">
        <f>T743</f>
        <v>0</v>
      </c>
      <c r="U738" s="23" t="str">
        <f t="shared" si="4984"/>
        <v>NA</v>
      </c>
      <c r="V738" s="87">
        <f>V743</f>
        <v>0</v>
      </c>
      <c r="W738" s="23" t="str">
        <f t="shared" si="4984"/>
        <v>NA</v>
      </c>
      <c r="X738" s="87">
        <f>X743</f>
        <v>0</v>
      </c>
      <c r="Y738" s="23" t="str">
        <f t="shared" si="4984"/>
        <v>NA</v>
      </c>
      <c r="Z738" s="87">
        <f>Z743</f>
        <v>34.493081599120046</v>
      </c>
      <c r="AA738" s="23" t="str">
        <f>IF(ISERROR((Z738/R738-1)*100),"NA",IF(((Z738/R738-1)*100)&gt;100,"NM",IF(((Z738/R738-1)*100)&lt;-50,"NM",(Z738/R738-1)*100)))</f>
        <v>NA</v>
      </c>
      <c r="AB738" s="87">
        <f>AB743</f>
        <v>34.834928125835184</v>
      </c>
      <c r="AC738" s="23" t="str">
        <f>IF(ISERROR((AB738/T738-1)*100),"NA",IF(((AB738/T738-1)*100)&gt;100,"NM",IF(((AB738/T738-1)*100)&lt;-50,"NM",(AB738/T738-1)*100)))</f>
        <v>NA</v>
      </c>
      <c r="AD738" s="87">
        <f>AD743</f>
        <v>38.197717113436717</v>
      </c>
      <c r="AE738" s="23" t="str">
        <f>IF(ISERROR((AD738/V738-1)*100),"NA",IF(((AD738/V738-1)*100)&gt;100,"NM",IF(((AD738/V738-1)*100)&lt;-50,"NM",(AD738/V738-1)*100)))</f>
        <v>NA</v>
      </c>
      <c r="AF738" s="87">
        <f>AF743</f>
        <v>40.425173496030304</v>
      </c>
      <c r="AG738" s="23" t="str">
        <f>IF(ISERROR((AF738/X738-1)*100),"NA",IF(((AF738/X738-1)*100)&gt;100,"NM",IF(((AF738/X738-1)*100)&lt;-50,"NM",(AF738/X738-1)*100)))</f>
        <v>NA</v>
      </c>
      <c r="AH738" s="87">
        <f>AH743</f>
        <v>44.095559809871183</v>
      </c>
      <c r="AI738" s="23">
        <f>IF(ISERROR((AH738/Z738-1)*100),"NA",IF(((AH738/Z738-1)*100)&gt;100,"NM",IF(((AH738/Z738-1)*100)&lt;-50,"NM",(AH738/Z738-1)*100)))</f>
        <v>27.838852794747403</v>
      </c>
      <c r="AJ738" s="87">
        <f>AJ743</f>
        <v>46.223553717366805</v>
      </c>
      <c r="AK738" s="23">
        <f>IF(ISERROR((AJ738/AB738-1)*100),"NA",IF(((AJ738/AB738-1)*100)&gt;100,"NM",IF(((AJ738/AB738-1)*100)&lt;-50,"NM",(AJ738/AB738-1)*100)))</f>
        <v>32.693122116951614</v>
      </c>
      <c r="AL738" s="87">
        <f>AL743</f>
        <v>43.675656042858442</v>
      </c>
      <c r="AM738" s="23">
        <f>IF(ISERROR((AL738/AD738-1)*100),"NA",IF(((AL738/AD738-1)*100)&gt;100,"NM",IF(((AL738/AD738-1)*100)&lt;-50,"NM",(AL738/AD738-1)*100)))</f>
        <v>14.341011304821571</v>
      </c>
      <c r="AN738" s="415">
        <f t="shared" ref="AN738:AP738" si="5003">AN743</f>
        <v>39.947014280258664</v>
      </c>
      <c r="AO738" s="23">
        <f>IF(ISERROR((AN738/AF738-1)*100),"NA",IF(((AN738/AF738-1)*100)&gt;100,"NM",IF(((AN738/AF738-1)*100)&lt;-50,"NM",(AN738/AF738-1)*100)))</f>
        <v>-1.182825389280262</v>
      </c>
      <c r="AP738" s="415">
        <f t="shared" si="5003"/>
        <v>29.02998929849031</v>
      </c>
      <c r="AQ738" s="23">
        <f t="shared" si="4986"/>
        <v>-34.165731371457298</v>
      </c>
      <c r="AR738" s="415">
        <f t="shared" ref="AR738:AT738" si="5004">AR743</f>
        <v>31.24</v>
      </c>
      <c r="AS738" s="23">
        <f t="shared" si="4988"/>
        <v>-32.415408406250002</v>
      </c>
      <c r="AT738" s="415">
        <f t="shared" si="5004"/>
        <v>26.315789473684209</v>
      </c>
      <c r="AU738" s="23">
        <f t="shared" si="4989"/>
        <v>-39.747237115658173</v>
      </c>
      <c r="AV738" s="415">
        <f t="shared" ref="AV738:AX738" si="5005">AV743</f>
        <v>38.343558282208591</v>
      </c>
      <c r="AW738" s="23">
        <f t="shared" si="4991"/>
        <v>-4.0139570552147124</v>
      </c>
      <c r="AX738" s="415">
        <f t="shared" si="5005"/>
        <v>38.59375</v>
      </c>
      <c r="AY738" s="23">
        <f t="shared" si="4992"/>
        <v>32.944416903409078</v>
      </c>
      <c r="AZ738" s="415">
        <f t="shared" ref="AZ738" si="5006">AZ743</f>
        <v>36.602488676410083</v>
      </c>
      <c r="BA738" s="23">
        <f t="shared" si="4994"/>
        <v>17.165456710659676</v>
      </c>
      <c r="BB738" s="415">
        <f t="shared" ref="BB738:BD738" si="5007">BB743</f>
        <v>36.602488676410083</v>
      </c>
      <c r="BC738" s="23">
        <f t="shared" si="4996"/>
        <v>39.089456970358327</v>
      </c>
      <c r="BD738" s="415">
        <f t="shared" si="5007"/>
        <v>50.125</v>
      </c>
      <c r="BE738" s="23">
        <f t="shared" si="4997"/>
        <v>30.725999999999985</v>
      </c>
      <c r="BF738" s="92">
        <f t="shared" ref="BF738" si="5008">BF743*0.75</f>
        <v>38.736025512295086</v>
      </c>
      <c r="BG738" s="23">
        <f t="shared" si="4998"/>
        <v>0.36864910068361567</v>
      </c>
      <c r="BH738" s="92">
        <f t="shared" ref="BH738" si="5009">BH743*0.75</f>
        <v>39.696926150102463</v>
      </c>
      <c r="BI738" s="23">
        <f t="shared" si="4999"/>
        <v>8.4541723407094871</v>
      </c>
      <c r="BJ738" s="92">
        <f t="shared" ref="BJ738" si="5010">BJ743*0.75</f>
        <v>40.681849303855024</v>
      </c>
      <c r="BK738" s="23">
        <f t="shared" si="5000"/>
        <v>11.145036239227224</v>
      </c>
      <c r="BL738" s="92">
        <f t="shared" ref="BL738" si="5011">BL743*0.75</f>
        <v>41.487986289932124</v>
      </c>
      <c r="BM738" s="23">
        <f t="shared" si="5001"/>
        <v>-17.230950045023196</v>
      </c>
      <c r="BN738" s="79"/>
      <c r="BO738" s="145"/>
      <c r="BP738" s="79"/>
      <c r="BQ738" s="79"/>
      <c r="BR738" s="79"/>
      <c r="BS738" s="79"/>
      <c r="BT738" s="79"/>
      <c r="BU738" s="87"/>
      <c r="BV738" s="23" t="str">
        <f t="shared" si="5002"/>
        <v>NA</v>
      </c>
      <c r="BW738" s="87"/>
      <c r="BX738" s="23" t="str">
        <f t="shared" si="5002"/>
        <v>NA</v>
      </c>
      <c r="BY738" s="92">
        <f>BY743*0.75</f>
        <v>0</v>
      </c>
      <c r="BZ738" s="23" t="str">
        <f t="shared" si="5002"/>
        <v>NA</v>
      </c>
      <c r="CA738" s="92">
        <f>CA743*0.75</f>
        <v>27.740793812704169</v>
      </c>
      <c r="CB738" s="23" t="str">
        <f t="shared" si="5002"/>
        <v>NA</v>
      </c>
      <c r="CC738" s="92">
        <f>CC743*0.75</f>
        <v>32.614084471941581</v>
      </c>
      <c r="CD738" s="23">
        <f t="shared" si="5002"/>
        <v>17.567235790511671</v>
      </c>
      <c r="CE738" s="92">
        <f>CE743*0.75</f>
        <v>23.424250697696834</v>
      </c>
      <c r="CF738" s="23">
        <f t="shared" si="5002"/>
        <v>-28.177500374572549</v>
      </c>
      <c r="CG738" s="92">
        <f>CG743*0.75</f>
        <v>30.360698878653778</v>
      </c>
      <c r="CH738" s="23">
        <f t="shared" si="5002"/>
        <v>29.612252150456044</v>
      </c>
      <c r="CI738" s="92">
        <f>CI743*0.75</f>
        <v>40.150696814046171</v>
      </c>
      <c r="CJ738" s="23">
        <f t="shared" si="5002"/>
        <v>32.245627725900647</v>
      </c>
      <c r="CK738" s="92">
        <f>CK743*0.75</f>
        <v>43.329752559169876</v>
      </c>
      <c r="CL738" s="23">
        <f t="shared" si="5002"/>
        <v>7.9178096456138158</v>
      </c>
      <c r="CM738" s="92">
        <f>CM743*0.75</f>
        <v>46.759832763903468</v>
      </c>
      <c r="CN738" s="23">
        <f t="shared" si="5002"/>
        <v>7.9162238465349422</v>
      </c>
      <c r="CO738" s="92">
        <f>CO743*0.75</f>
        <v>50.460689385015755</v>
      </c>
      <c r="CP738" s="23">
        <f t="shared" si="5002"/>
        <v>7.9146061958741409</v>
      </c>
      <c r="CQ738" s="92">
        <f>CQ743*0.75</f>
        <v>54.453621535817007</v>
      </c>
      <c r="CR738" s="23">
        <f t="shared" si="5002"/>
        <v>7.9129560048915026</v>
      </c>
      <c r="CS738" s="23">
        <f>IF(ISERROR(((CQ738/CG738)^0.2-1)*100),"NA",IF((((CQ738/CG738)^0.2-1)*100)&gt;100,"NM",IF((((CQ738/CG738)^0.2-1)*100)&lt;-50,"NM",((CQ738/CG738)^0.2-1)*100)))</f>
        <v>12.393967182873645</v>
      </c>
      <c r="CT738" s="28"/>
    </row>
    <row r="739" spans="1:99" ht="12.75" customHeight="1" x14ac:dyDescent="0.2">
      <c r="A739" s="14" t="s">
        <v>34</v>
      </c>
      <c r="B739" s="88">
        <v>50</v>
      </c>
      <c r="C739" s="83"/>
      <c r="D739" s="88">
        <v>50</v>
      </c>
      <c r="E739" s="83"/>
      <c r="F739" s="88">
        <v>50</v>
      </c>
      <c r="G739" s="83"/>
      <c r="H739" s="88">
        <v>50</v>
      </c>
      <c r="I739" s="83"/>
      <c r="J739" s="88">
        <v>50</v>
      </c>
      <c r="K739" s="23">
        <f t="shared" si="4984"/>
        <v>0</v>
      </c>
      <c r="L739" s="88">
        <v>50</v>
      </c>
      <c r="M739" s="23">
        <f t="shared" si="4984"/>
        <v>0</v>
      </c>
      <c r="N739" s="88">
        <v>50</v>
      </c>
      <c r="O739" s="23">
        <f t="shared" si="4984"/>
        <v>0</v>
      </c>
      <c r="P739" s="88">
        <v>50</v>
      </c>
      <c r="Q739" s="23">
        <f t="shared" si="4984"/>
        <v>0</v>
      </c>
      <c r="R739" s="88">
        <v>50</v>
      </c>
      <c r="S739" s="23">
        <f t="shared" si="4984"/>
        <v>0</v>
      </c>
      <c r="T739" s="88">
        <v>50</v>
      </c>
      <c r="U739" s="23">
        <f t="shared" si="4984"/>
        <v>0</v>
      </c>
      <c r="V739" s="88">
        <v>50</v>
      </c>
      <c r="W739" s="23">
        <f t="shared" si="4984"/>
        <v>0</v>
      </c>
      <c r="X739" s="88">
        <v>50</v>
      </c>
      <c r="Y739" s="23">
        <f t="shared" si="4984"/>
        <v>0</v>
      </c>
      <c r="Z739" s="88">
        <v>50</v>
      </c>
      <c r="AA739" s="23">
        <f>IF(ISERROR((Z739/R739-1)*100),"NA",IF(((Z739/R739-1)*100)&gt;100,"NM",IF(((Z739/R739-1)*100)&lt;-50,"NM",(Z739/R739-1)*100)))</f>
        <v>0</v>
      </c>
      <c r="AB739" s="88">
        <v>50</v>
      </c>
      <c r="AC739" s="23">
        <f>IF(ISERROR((AB739/T739-1)*100),"NA",IF(((AB739/T739-1)*100)&gt;100,"NM",IF(((AB739/T739-1)*100)&lt;-50,"NM",(AB739/T739-1)*100)))</f>
        <v>0</v>
      </c>
      <c r="AD739" s="88">
        <v>50</v>
      </c>
      <c r="AE739" s="23">
        <f>IF(ISERROR((AD739/V739-1)*100),"NA",IF(((AD739/V739-1)*100)&gt;100,"NM",IF(((AD739/V739-1)*100)&lt;-50,"NM",(AD739/V739-1)*100)))</f>
        <v>0</v>
      </c>
      <c r="AF739" s="88">
        <v>50</v>
      </c>
      <c r="AG739" s="23">
        <f>IF(ISERROR((AF739/X739-1)*100),"NA",IF(((AF739/X739-1)*100)&gt;100,"NM",IF(((AF739/X739-1)*100)&lt;-50,"NM",(AF739/X739-1)*100)))</f>
        <v>0</v>
      </c>
      <c r="AH739" s="88">
        <v>50</v>
      </c>
      <c r="AI739" s="23">
        <f>IF(ISERROR((AH739/Z739-1)*100),"NA",IF(((AH739/Z739-1)*100)&gt;100,"NM",IF(((AH739/Z739-1)*100)&lt;-50,"NM",(AH739/Z739-1)*100)))</f>
        <v>0</v>
      </c>
      <c r="AJ739" s="88">
        <v>50</v>
      </c>
      <c r="AK739" s="23">
        <f>IF(ISERROR((AJ739/AB739-1)*100),"NA",IF(((AJ739/AB739-1)*100)&gt;100,"NM",IF(((AJ739/AB739-1)*100)&lt;-50,"NM",(AJ739/AB739-1)*100)))</f>
        <v>0</v>
      </c>
      <c r="AL739" s="88">
        <v>50</v>
      </c>
      <c r="AM739" s="23">
        <f>IF(ISERROR((AL739/AD739-1)*100),"NA",IF(((AL739/AD739-1)*100)&gt;100,"NM",IF(((AL739/AD739-1)*100)&lt;-50,"NM",(AL739/AD739-1)*100)))</f>
        <v>0</v>
      </c>
      <c r="AN739" s="469">
        <v>50</v>
      </c>
      <c r="AO739" s="23">
        <f>IF(ISERROR((AN739/AF739-1)*100),"NA",IF(((AN739/AF739-1)*100)&gt;100,"NM",IF(((AN739/AF739-1)*100)&lt;-50,"NM",(AN739/AF739-1)*100)))</f>
        <v>0</v>
      </c>
      <c r="AP739" s="469">
        <v>50</v>
      </c>
      <c r="AQ739" s="23">
        <f t="shared" si="4986"/>
        <v>0</v>
      </c>
      <c r="AR739" s="469">
        <v>50</v>
      </c>
      <c r="AS739" s="23">
        <f t="shared" si="4988"/>
        <v>0</v>
      </c>
      <c r="AT739" s="469">
        <v>50</v>
      </c>
      <c r="AU739" s="23">
        <f t="shared" si="4989"/>
        <v>0</v>
      </c>
      <c r="AV739" s="469">
        <v>50</v>
      </c>
      <c r="AW739" s="23">
        <f t="shared" si="4991"/>
        <v>0</v>
      </c>
      <c r="AX739" s="469">
        <v>50</v>
      </c>
      <c r="AY739" s="23">
        <f t="shared" si="4992"/>
        <v>0</v>
      </c>
      <c r="AZ739" s="469">
        <v>50</v>
      </c>
      <c r="BA739" s="23">
        <f t="shared" si="4994"/>
        <v>0</v>
      </c>
      <c r="BB739" s="469">
        <v>50</v>
      </c>
      <c r="BC739" s="23">
        <f t="shared" si="4996"/>
        <v>0</v>
      </c>
      <c r="BD739" s="469">
        <v>50</v>
      </c>
      <c r="BE739" s="23">
        <f t="shared" si="4997"/>
        <v>0</v>
      </c>
      <c r="BF739" s="88">
        <v>50</v>
      </c>
      <c r="BG739" s="23">
        <f t="shared" si="4998"/>
        <v>0</v>
      </c>
      <c r="BH739" s="88">
        <v>50</v>
      </c>
      <c r="BI739" s="23">
        <f t="shared" si="4999"/>
        <v>0</v>
      </c>
      <c r="BJ739" s="88">
        <v>50</v>
      </c>
      <c r="BK739" s="23">
        <f t="shared" si="5000"/>
        <v>0</v>
      </c>
      <c r="BL739" s="88">
        <v>50</v>
      </c>
      <c r="BM739" s="23">
        <f t="shared" si="5001"/>
        <v>0</v>
      </c>
      <c r="BR739" s="5"/>
      <c r="BS739" s="5"/>
      <c r="BT739" s="5"/>
      <c r="BU739" s="88">
        <v>50</v>
      </c>
      <c r="BV739" s="23" t="str">
        <f t="shared" si="5002"/>
        <v>NA</v>
      </c>
      <c r="BW739" s="88">
        <v>50</v>
      </c>
      <c r="BX739" s="23">
        <f t="shared" si="5002"/>
        <v>0</v>
      </c>
      <c r="BY739" s="88">
        <v>50</v>
      </c>
      <c r="BZ739" s="23">
        <f t="shared" si="5002"/>
        <v>0</v>
      </c>
      <c r="CA739" s="88">
        <v>50</v>
      </c>
      <c r="CB739" s="23">
        <f t="shared" si="5002"/>
        <v>0</v>
      </c>
      <c r="CC739" s="88">
        <v>50</v>
      </c>
      <c r="CD739" s="23">
        <f t="shared" si="5002"/>
        <v>0</v>
      </c>
      <c r="CE739" s="88">
        <v>50</v>
      </c>
      <c r="CF739" s="23">
        <f t="shared" si="5002"/>
        <v>0</v>
      </c>
      <c r="CG739" s="88">
        <v>50</v>
      </c>
      <c r="CH739" s="23">
        <f t="shared" si="5002"/>
        <v>0</v>
      </c>
      <c r="CI739" s="88">
        <v>50</v>
      </c>
      <c r="CJ739" s="23">
        <f t="shared" si="5002"/>
        <v>0</v>
      </c>
      <c r="CK739" s="88">
        <v>50</v>
      </c>
      <c r="CL739" s="23">
        <f t="shared" si="5002"/>
        <v>0</v>
      </c>
      <c r="CM739" s="88">
        <v>50</v>
      </c>
      <c r="CN739" s="23">
        <f t="shared" si="5002"/>
        <v>0</v>
      </c>
      <c r="CO739" s="88">
        <v>50</v>
      </c>
      <c r="CP739" s="23">
        <f t="shared" si="5002"/>
        <v>0</v>
      </c>
      <c r="CQ739" s="88">
        <v>50</v>
      </c>
      <c r="CR739" s="23">
        <f t="shared" si="5002"/>
        <v>0</v>
      </c>
      <c r="CS739" s="23">
        <f>IF(ISERROR(((CQ739/CG739)^0.2-1)*100),"NA",IF((((CQ739/CG739)^0.2-1)*100)&gt;100,"NM",IF((((CQ739/CG739)^0.2-1)*100)&lt;-50,"NM",((CQ739/CG739)^0.2-1)*100)))</f>
        <v>0</v>
      </c>
      <c r="CT739" s="28"/>
    </row>
    <row r="740" spans="1:99" ht="12.75" customHeight="1" x14ac:dyDescent="0.2">
      <c r="A740" s="14" t="s">
        <v>35</v>
      </c>
      <c r="B740" s="93">
        <f>B737*B738</f>
        <v>0</v>
      </c>
      <c r="C740" s="83"/>
      <c r="D740" s="93">
        <f>D737*D738</f>
        <v>0</v>
      </c>
      <c r="E740" s="83"/>
      <c r="F740" s="93">
        <f>F737*F738</f>
        <v>0</v>
      </c>
      <c r="G740" s="83"/>
      <c r="H740" s="93">
        <f>H737*H738</f>
        <v>0</v>
      </c>
      <c r="I740" s="83"/>
      <c r="J740" s="93">
        <f>J737*J738</f>
        <v>0</v>
      </c>
      <c r="K740" s="23" t="str">
        <f t="shared" si="4984"/>
        <v>NA</v>
      </c>
      <c r="L740" s="93">
        <f>L737*L738</f>
        <v>0</v>
      </c>
      <c r="M740" s="23" t="str">
        <f t="shared" si="4984"/>
        <v>NA</v>
      </c>
      <c r="N740" s="93">
        <f>N737*N738</f>
        <v>0</v>
      </c>
      <c r="O740" s="23" t="str">
        <f t="shared" si="4984"/>
        <v>NA</v>
      </c>
      <c r="P740" s="93">
        <f>P737*P738</f>
        <v>0</v>
      </c>
      <c r="Q740" s="23" t="str">
        <f t="shared" si="4984"/>
        <v>NA</v>
      </c>
      <c r="R740" s="93">
        <f>R737*R738</f>
        <v>0</v>
      </c>
      <c r="S740" s="23" t="str">
        <f t="shared" si="4984"/>
        <v>NA</v>
      </c>
      <c r="T740" s="93">
        <f>T737*T738</f>
        <v>0</v>
      </c>
      <c r="U740" s="23" t="str">
        <f t="shared" si="4984"/>
        <v>NA</v>
      </c>
      <c r="V740" s="93">
        <f>V737*V738</f>
        <v>0</v>
      </c>
      <c r="W740" s="23" t="str">
        <f t="shared" si="4984"/>
        <v>NA</v>
      </c>
      <c r="X740" s="93">
        <f>X737*X738</f>
        <v>0</v>
      </c>
      <c r="Y740" s="23" t="str">
        <f t="shared" si="4984"/>
        <v>NA</v>
      </c>
      <c r="Z740" s="93">
        <f>Z737*Z738</f>
        <v>17.448428806159676</v>
      </c>
      <c r="AA740" s="23" t="str">
        <f>IF(ISERROR((Z740/R740-1)*100),"NA",IF(((Z740/R740-1)*100)&gt;100,"NM",IF(((Z740/R740-1)*100)&lt;-50,"NM",(Z740/R740-1)*100)))</f>
        <v>NA</v>
      </c>
      <c r="AB740" s="93">
        <f>AB737*AB738</f>
        <v>27.016507187416678</v>
      </c>
      <c r="AC740" s="23" t="str">
        <f>IF(ISERROR((AB740/T740-1)*100),"NA",IF(((AB740/T740-1)*100)&gt;100,"NM",IF(((AB740/T740-1)*100)&lt;-50,"NM",(AB740/T740-1)*100)))</f>
        <v>NA</v>
      </c>
      <c r="AD740" s="93">
        <f>AD737*AD738</f>
        <v>6.7787196698193597</v>
      </c>
      <c r="AE740" s="23" t="str">
        <f>IF(ISERROR((AD740/V740-1)*100),"NA",IF(((AD740/V740-1)*100)&gt;100,"NM",IF(((AD740/V740-1)*100)&lt;-50,"NM",(AD740/V740-1)*100)))</f>
        <v>NA</v>
      </c>
      <c r="AF740" s="93">
        <f>AF737*AF738</f>
        <v>-1.2132807321363692</v>
      </c>
      <c r="AG740" s="23" t="str">
        <f>IF(ISERROR((AF740/X740-1)*100),"NA",IF(((AF740/X740-1)*100)&gt;100,"NM",IF(((AF740/X740-1)*100)&lt;-50,"NM",(AF740/X740-1)*100)))</f>
        <v>NA</v>
      </c>
      <c r="AH740" s="93">
        <f>AH737*AH738</f>
        <v>62.067278452661462</v>
      </c>
      <c r="AI740" s="23" t="str">
        <f>IF(ISERROR((AH740/Z740-1)*100),"NA",IF(((AH740/Z740-1)*100)&gt;100,"NM",IF(((AH740/Z740-1)*100)&lt;-50,"NM",(AH740/Z740-1)*100)))</f>
        <v>NM</v>
      </c>
      <c r="AJ740" s="93">
        <f>AJ737*AJ738</f>
        <v>3.1964049631101537</v>
      </c>
      <c r="AK740" s="23" t="str">
        <f>IF(ISERROR((AJ740/AB740-1)*100),"NA",IF(((AJ740/AB740-1)*100)&gt;100,"NM",IF(((AJ740/AB740-1)*100)&lt;-50,"NM",(AJ740/AB740-1)*100)))</f>
        <v>NM</v>
      </c>
      <c r="AL740" s="93">
        <f>AL737*AL738</f>
        <v>0.56778352855715541</v>
      </c>
      <c r="AM740" s="23" t="str">
        <f>IF(ISERROR((AL740/AD740-1)*100),"NA",IF(((AL740/AD740-1)*100)&gt;100,"NM",IF(((AL740/AD740-1)*100)&lt;-50,"NM",(AL740/AD740-1)*100)))</f>
        <v>NM</v>
      </c>
      <c r="AN740" s="470">
        <f t="shared" ref="AN740:AP740" si="5012">AN737*AN738</f>
        <v>2.3285114623955838</v>
      </c>
      <c r="AO740" s="23" t="str">
        <f>IF(ISERROR((AN740/AF740-1)*100),"NA",IF(((AN740/AF740-1)*100)&gt;100,"NM",IF(((AN740/AF740-1)*100)&lt;-50,"NM",(AN740/AF740-1)*100)))</f>
        <v>NM</v>
      </c>
      <c r="AP740" s="470">
        <f t="shared" si="5012"/>
        <v>71.947054577699589</v>
      </c>
      <c r="AQ740" s="23">
        <f t="shared" si="4986"/>
        <v>15.917849745213818</v>
      </c>
      <c r="AR740" s="470">
        <f t="shared" ref="AR740:AT740" si="5013">AR737*AR738</f>
        <v>-3.1240000000003496</v>
      </c>
      <c r="AS740" s="23" t="str">
        <f t="shared" si="4988"/>
        <v>NM</v>
      </c>
      <c r="AT740" s="470">
        <f t="shared" si="5013"/>
        <v>2.6315789473685753</v>
      </c>
      <c r="AU740" s="23" t="str">
        <f t="shared" si="4989"/>
        <v>NM</v>
      </c>
      <c r="AV740" s="470">
        <f t="shared" ref="AV740:AX740" si="5014">AV737*AV738</f>
        <v>0</v>
      </c>
      <c r="AW740" s="23" t="str">
        <f t="shared" si="4991"/>
        <v>NM</v>
      </c>
      <c r="AX740" s="470">
        <f t="shared" si="5014"/>
        <v>65.609375000000455</v>
      </c>
      <c r="AY740" s="23">
        <f t="shared" si="4992"/>
        <v>-8.8088103326797391</v>
      </c>
      <c r="AZ740" s="470">
        <f t="shared" ref="AZ740" si="5015">AZ737*AZ738</f>
        <v>1.654615500616506</v>
      </c>
      <c r="BA740" s="23" t="str">
        <f t="shared" si="4994"/>
        <v>NM</v>
      </c>
      <c r="BB740" s="470">
        <f t="shared" ref="BB740:BD740" si="5016">BB737*BB738</f>
        <v>0</v>
      </c>
      <c r="BC740" s="23" t="str">
        <f t="shared" si="4996"/>
        <v>NM</v>
      </c>
      <c r="BD740" s="470">
        <f t="shared" si="5016"/>
        <v>15.03750000000057</v>
      </c>
      <c r="BE740" s="23" t="str">
        <f t="shared" si="4997"/>
        <v>NA</v>
      </c>
      <c r="BF740" s="93">
        <f t="shared" ref="BF740" si="5017">BF737*BF738</f>
        <v>0</v>
      </c>
      <c r="BG740" s="23" t="str">
        <f t="shared" si="4998"/>
        <v>NM</v>
      </c>
      <c r="BH740" s="93">
        <f t="shared" ref="BH740" si="5018">BH737*BH738</f>
        <v>0</v>
      </c>
      <c r="BI740" s="23" t="str">
        <f t="shared" si="4999"/>
        <v>NM</v>
      </c>
      <c r="BJ740" s="93">
        <f t="shared" ref="BJ740" si="5019">BJ737*BJ738</f>
        <v>0</v>
      </c>
      <c r="BK740" s="23" t="str">
        <f t="shared" si="5000"/>
        <v>NA</v>
      </c>
      <c r="BL740" s="93">
        <f t="shared" ref="BL740" si="5020">BL737*BL738</f>
        <v>0</v>
      </c>
      <c r="BM740" s="23" t="str">
        <f t="shared" si="5001"/>
        <v>NM</v>
      </c>
      <c r="BO740" s="146"/>
      <c r="BR740" s="6"/>
      <c r="BS740" s="6"/>
      <c r="BT740" s="6"/>
      <c r="BU740" s="93">
        <f>BU737*BU738</f>
        <v>0</v>
      </c>
      <c r="BV740" s="23" t="str">
        <f t="shared" si="5002"/>
        <v>NA</v>
      </c>
      <c r="BW740" s="93">
        <f>BW737*BW738</f>
        <v>0</v>
      </c>
      <c r="BX740" s="23" t="str">
        <f t="shared" si="5002"/>
        <v>NA</v>
      </c>
      <c r="BY740" s="93">
        <f>BY737*BY738</f>
        <v>0</v>
      </c>
      <c r="BZ740" s="23" t="str">
        <f t="shared" si="5002"/>
        <v>NA</v>
      </c>
      <c r="CA740" s="93">
        <f>CA737*CA738</f>
        <v>39.637766128808565</v>
      </c>
      <c r="CB740" s="23" t="str">
        <f t="shared" si="5002"/>
        <v>NA</v>
      </c>
      <c r="CC740" s="93">
        <f>CC737*CC738</f>
        <v>50.486733218903069</v>
      </c>
      <c r="CD740" s="23">
        <f t="shared" si="5002"/>
        <v>27.370278776153121</v>
      </c>
      <c r="CE740" s="93">
        <f>CE737*CE738</f>
        <v>58.053960201650902</v>
      </c>
      <c r="CF740" s="23">
        <f t="shared" si="5002"/>
        <v>14.988545505484474</v>
      </c>
      <c r="CG740" s="93">
        <f>CG737*CG738</f>
        <v>62.093853150117297</v>
      </c>
      <c r="CH740" s="23">
        <f t="shared" si="5002"/>
        <v>6.9588585075570863</v>
      </c>
      <c r="CI740" s="93">
        <f>CI737*CI738</f>
        <v>0</v>
      </c>
      <c r="CJ740" s="23" t="str">
        <f t="shared" si="5002"/>
        <v>NM</v>
      </c>
      <c r="CK740" s="93">
        <f>CK737*CK738</f>
        <v>0</v>
      </c>
      <c r="CL740" s="23" t="str">
        <f t="shared" si="5002"/>
        <v>NA</v>
      </c>
      <c r="CM740" s="93">
        <f>CM737*CM738</f>
        <v>0</v>
      </c>
      <c r="CN740" s="23" t="str">
        <f t="shared" si="5002"/>
        <v>NA</v>
      </c>
      <c r="CO740" s="93">
        <f>CO737*CO738</f>
        <v>0</v>
      </c>
      <c r="CP740" s="23" t="str">
        <f t="shared" si="5002"/>
        <v>NA</v>
      </c>
      <c r="CQ740" s="93">
        <f>CQ737*CQ738</f>
        <v>0</v>
      </c>
      <c r="CR740" s="23" t="str">
        <f t="shared" si="5002"/>
        <v>NA</v>
      </c>
      <c r="CS740" s="23" t="str">
        <f>IF(ISERROR(((CQ740/CG740)^0.2-1)*100),"NA",IF((((CQ740/CG740)^0.2-1)*100)&gt;100,"NM",IF((((CQ740/CG740)^0.2-1)*100)&lt;-50,"NM",((CQ740/CG740)^0.2-1)*100)))</f>
        <v>NM</v>
      </c>
      <c r="CT740" s="28"/>
    </row>
    <row r="741" spans="1:99" ht="12.75" customHeight="1" x14ac:dyDescent="0.2">
      <c r="A741" s="14"/>
      <c r="B741" s="6"/>
      <c r="C741" s="82"/>
      <c r="D741" s="6"/>
      <c r="E741" s="82"/>
      <c r="F741" s="6"/>
      <c r="G741" s="82"/>
      <c r="H741" s="6"/>
      <c r="I741" s="82"/>
      <c r="J741" s="6"/>
      <c r="K741" s="23"/>
      <c r="L741" s="6"/>
      <c r="M741" s="23"/>
      <c r="N741" s="6"/>
      <c r="O741" s="23"/>
      <c r="P741" s="28"/>
      <c r="Q741" s="23"/>
      <c r="R741" s="28"/>
      <c r="S741" s="23"/>
      <c r="T741" s="28"/>
      <c r="U741" s="23"/>
      <c r="V741" s="28"/>
      <c r="W741" s="23"/>
      <c r="X741" s="28"/>
      <c r="Y741" s="23"/>
      <c r="Z741" s="28"/>
      <c r="AA741" s="23"/>
      <c r="AB741" s="28"/>
      <c r="AC741" s="23"/>
      <c r="AD741" s="28"/>
      <c r="AE741" s="23"/>
      <c r="AF741" s="28"/>
      <c r="AG741" s="23"/>
      <c r="AH741" s="28"/>
      <c r="AI741" s="23"/>
      <c r="AJ741" s="28"/>
      <c r="AK741" s="23"/>
      <c r="AL741" s="28"/>
      <c r="AM741" s="23"/>
      <c r="AN741" s="468"/>
      <c r="AO741" s="23"/>
      <c r="AP741" s="468"/>
      <c r="AQ741" s="23"/>
      <c r="AR741" s="468"/>
      <c r="AS741" s="23"/>
      <c r="AT741" s="468"/>
      <c r="AU741" s="23"/>
      <c r="AV741" s="468"/>
      <c r="AW741" s="23"/>
      <c r="AX741" s="468"/>
      <c r="AY741" s="23"/>
      <c r="AZ741" s="468"/>
      <c r="BA741" s="23"/>
      <c r="BB741" s="468"/>
      <c r="BC741" s="23"/>
      <c r="BD741" s="468"/>
      <c r="BE741" s="23"/>
      <c r="BF741" s="28"/>
      <c r="BG741" s="23"/>
      <c r="BH741" s="28"/>
      <c r="BI741" s="23"/>
      <c r="BJ741" s="28"/>
      <c r="BK741" s="23"/>
      <c r="BL741" s="28"/>
      <c r="BM741" s="23"/>
      <c r="BR741" s="6"/>
      <c r="BS741" s="6"/>
      <c r="BT741" s="6"/>
      <c r="BU741" s="6"/>
      <c r="BV741" s="23"/>
      <c r="BW741" s="6"/>
      <c r="BX741" s="23"/>
      <c r="BY741" s="6"/>
      <c r="BZ741" s="23"/>
      <c r="CA741" s="6"/>
      <c r="CB741" s="23"/>
      <c r="CC741" s="6"/>
      <c r="CD741" s="23"/>
      <c r="CE741" s="6"/>
      <c r="CF741" s="23"/>
      <c r="CG741" s="6"/>
      <c r="CH741" s="23"/>
      <c r="CI741" s="6"/>
      <c r="CJ741" s="23"/>
      <c r="CK741" s="28"/>
      <c r="CL741" s="23"/>
      <c r="CM741" s="28"/>
      <c r="CN741" s="23"/>
      <c r="CO741" s="28"/>
      <c r="CP741" s="23"/>
      <c r="CQ741" s="28"/>
      <c r="CR741" s="23"/>
      <c r="CS741" s="23"/>
      <c r="CT741" s="28"/>
    </row>
    <row r="742" spans="1:99" ht="12.75" customHeight="1" x14ac:dyDescent="0.2">
      <c r="A742" s="14" t="s">
        <v>36</v>
      </c>
      <c r="B742" s="84"/>
      <c r="C742" s="83"/>
      <c r="D742" s="84"/>
      <c r="E742" s="83"/>
      <c r="F742" s="84"/>
      <c r="G742" s="83"/>
      <c r="H742" s="84"/>
      <c r="I742" s="83"/>
      <c r="J742" s="84"/>
      <c r="K742" s="23" t="str">
        <f>IF(ISERROR((J742/B742-1)*100),"NA",IF(((J742/B742-1)*100)&gt;100,"NM",IF(((J742/B742-1)*100)&lt;-50,"NM",(J742/B742-1)*100)))</f>
        <v>NA</v>
      </c>
      <c r="L742" s="84"/>
      <c r="M742" s="23" t="str">
        <f>IF(ISERROR((L742/D742-1)*100),"NA",IF(((L742/D742-1)*100)&gt;100,"NM",IF(((L742/D742-1)*100)&lt;-50,"NM",(L742/D742-1)*100)))</f>
        <v>NA</v>
      </c>
      <c r="N742" s="84"/>
      <c r="O742" s="23" t="str">
        <f>IF(ISERROR((N742/F742-1)*100),"NA",IF(((N742/F742-1)*100)&gt;100,"NM",IF(((N742/F742-1)*100)&lt;-50,"NM",(N742/F742-1)*100)))</f>
        <v>NA</v>
      </c>
      <c r="P742" s="84"/>
      <c r="Q742" s="23" t="str">
        <f>IF(ISERROR((P742/H742-1)*100),"NA",IF(((P742/H742-1)*100)&gt;100,"NM",IF(((P742/H742-1)*100)&lt;-50,"NM",(P742/H742-1)*100)))</f>
        <v>NA</v>
      </c>
      <c r="R742" s="84"/>
      <c r="S742" s="23" t="str">
        <f>IF(ISERROR((R742/J742-1)*100),"NA",IF(((R742/J742-1)*100)&gt;100,"NM",IF(((R742/J742-1)*100)&lt;-50,"NM",(R742/J742-1)*100)))</f>
        <v>NA</v>
      </c>
      <c r="T742" s="84"/>
      <c r="U742" s="23" t="str">
        <f>IF(ISERROR((T742/L742-1)*100),"NA",IF(((T742/L742-1)*100)&gt;100,"NM",IF(((T742/L742-1)*100)&lt;-50,"NM",(T742/L742-1)*100)))</f>
        <v>NA</v>
      </c>
      <c r="V742" s="84"/>
      <c r="W742" s="23" t="str">
        <f>IF(ISERROR((V742/N742-1)*100),"NA",IF(((V742/N742-1)*100)&gt;100,"NM",IF(((V742/N742-1)*100)&lt;-50,"NM",(V742/N742-1)*100)))</f>
        <v>NA</v>
      </c>
      <c r="X742" s="88"/>
      <c r="Y742" s="23" t="str">
        <f>IF(ISERROR((X742/P742-1)*100),"NA",IF(((X742/P742-1)*100)&gt;100,"NM",IF(((X742/P742-1)*100)&lt;-50,"NM",(X742/P742-1)*100)))</f>
        <v>NA</v>
      </c>
      <c r="Z742" s="401">
        <f>7.255853+0.25</f>
        <v>7.5058530000000001</v>
      </c>
      <c r="AA742" s="23" t="str">
        <f>IF(ISERROR((Z742/R742-1)*100),"NA",IF(((Z742/R742-1)*100)&gt;100,"NM",IF(((Z742/R742-1)*100)&lt;-50,"NM",(Z742/R742-1)*100)))</f>
        <v>NA</v>
      </c>
      <c r="AB742" s="401">
        <v>0.87555799999999995</v>
      </c>
      <c r="AC742" s="23" t="str">
        <f>IF(ISERROR((AB742/T742-1)*100),"NA",IF(((AB742/T742-1)*100)&gt;100,"NM",IF(((AB742/T742-1)*100)&lt;-50,"NM",(AB742/T742-1)*100)))</f>
        <v>NA</v>
      </c>
      <c r="AD742" s="401">
        <f>7.722007+0.655457</f>
        <v>8.3774639999999998</v>
      </c>
      <c r="AE742" s="23" t="str">
        <f>IF(ISERROR((AD742/V742-1)*100),"NA",IF(((AD742/V742-1)*100)&gt;100,"NM",IF(((AD742/V742-1)*100)&lt;-50,"NM",(AD742/V742-1)*100)))</f>
        <v>NA</v>
      </c>
      <c r="AF742" s="444">
        <v>4.4699869999999997</v>
      </c>
      <c r="AG742" s="23" t="str">
        <f>IF(ISERROR((AF742/X742-1)*100),"NA",IF(((AF742/X742-1)*100)&gt;100,"NM",IF(((AF742/X742-1)*100)&lt;-50,"NM",(AF742/X742-1)*100)))</f>
        <v>NA</v>
      </c>
      <c r="AH742" s="444">
        <f>13.6+0.707563</f>
        <v>14.307563</v>
      </c>
      <c r="AI742" s="23">
        <f>IF(ISERROR((AH742/Z742-1)*100),"NA",IF(((AH742/Z742-1)*100)&gt;100,"NM",IF(((AH742/Z742-1)*100)&lt;-50,"NM",(AH742/Z742-1)*100)))</f>
        <v>90.618747795886748</v>
      </c>
      <c r="AJ742" s="444">
        <v>2.7691509999999999</v>
      </c>
      <c r="AK742" s="23" t="str">
        <f>IF(ISERROR((AJ742/AB742-1)*100),"NA",IF(((AJ742/AB742-1)*100)&gt;100,"NM",IF(((AJ742/AB742-1)*100)&lt;-50,"NM",(AJ742/AB742-1)*100)))</f>
        <v>NM</v>
      </c>
      <c r="AL742" s="444">
        <v>11.013</v>
      </c>
      <c r="AM742" s="23">
        <f>IF(ISERROR((AL742/AD742-1)*100),"NA",IF(((AL742/AD742-1)*100)&gt;100,"NM",IF(((AL742/AD742-1)*100)&lt;-50,"NM",(AL742/AD742-1)*100)))</f>
        <v>31.459830803212043</v>
      </c>
      <c r="AN742" s="444">
        <v>6.2582899999999997</v>
      </c>
      <c r="AO742" s="23">
        <f>IF(ISERROR((AN742/AF742-1)*100),"NA",IF(((AN742/AF742-1)*100)&gt;100,"NM",IF(((AN742/AF742-1)*100)&lt;-50,"NM",(AN742/AF742-1)*100)))</f>
        <v>40.006894874638334</v>
      </c>
      <c r="AP742" s="444">
        <v>7.5783699999999996</v>
      </c>
      <c r="AQ742" s="23">
        <f t="shared" ref="AQ742:AQ745" si="5021">IF(ISERROR((AP742/AH742-1)*100),"NA",IF(((AP742/AH742-1)*100)&gt;100,"NM",IF(((AP742/AH742-1)*100)&lt;-50,"NM",(AP742/AH742-1)*100)))</f>
        <v>-47.032419147831121</v>
      </c>
      <c r="AR742" s="444">
        <v>3.7</v>
      </c>
      <c r="AS742" s="23">
        <f t="shared" ref="AS742:AS745" si="5022">IF(ISERROR((AR742/AJ742-1)*100),"NA",IF(((AR742/AJ742-1)*100)&gt;100,"NM",IF(((AR742/AJ742-1)*100)&lt;-50,"NM",(AR742/AJ742-1)*100)))</f>
        <v>33.614959964263427</v>
      </c>
      <c r="AT742" s="444">
        <v>5.7</v>
      </c>
      <c r="AU742" s="23">
        <f t="shared" ref="AU742:AU745" si="5023">IF(ISERROR((AT742/AL742-1)*100),"NA",IF(((AT742/AL742-1)*100)&gt;100,"NM",IF(((AT742/AL742-1)*100)&lt;-50,"NM",(AT742/AL742-1)*100)))</f>
        <v>-48.242985562517028</v>
      </c>
      <c r="AV742" s="444">
        <v>0</v>
      </c>
      <c r="AW742" s="23" t="str">
        <f t="shared" ref="AW742:AW745" si="5024">IF(ISERROR((AV742/AN742-1)*100),"NA",IF(((AV742/AN742-1)*100)&gt;100,"NM",IF(((AV742/AN742-1)*100)&lt;-50,"NM",(AV742/AN742-1)*100)))</f>
        <v>NM</v>
      </c>
      <c r="AX742" s="444">
        <v>6.4</v>
      </c>
      <c r="AY742" s="23">
        <f t="shared" ref="AY742:AY745" si="5025">IF(ISERROR((AX742/AP742-1)*100),"NA",IF(((AX742/AP742-1)*100)&gt;100,"NM",IF(((AX742/AP742-1)*100)&lt;-50,"NM",(AX742/AP742-1)*100)))</f>
        <v>-15.549122040755458</v>
      </c>
      <c r="AZ742" s="444">
        <v>10.245205</v>
      </c>
      <c r="BA742" s="23" t="str">
        <f t="shared" ref="BA742:BA745" si="5026">IF(ISERROR((AZ742/AR742-1)*100),"NA",IF(((AZ742/AR742-1)*100)&gt;100,"NM",IF(((AZ742/AR742-1)*100)&lt;-50,"NM",(AZ742/AR742-1)*100)))</f>
        <v>NM</v>
      </c>
      <c r="BB742" s="444">
        <v>0</v>
      </c>
      <c r="BC742" s="23" t="str">
        <f t="shared" ref="BC742:BC745" si="5027">IF(ISERROR((BB742/AT742-1)*100),"NA",IF(((BB742/AT742-1)*100)&gt;100,"NM",IF(((BB742/AT742-1)*100)&lt;-50,"NM",(BB742/AT742-1)*100)))</f>
        <v>NM</v>
      </c>
      <c r="BD742" s="444">
        <v>8</v>
      </c>
      <c r="BE742" s="23" t="str">
        <f t="shared" ref="BE742:BE745" si="5028">IF(ISERROR((BD742/AV742-1)*100),"NA",IF(((BD742/AV742-1)*100)&gt;100,"NM",IF(((BD742/AV742-1)*100)&lt;-50,"NM",(BD742/AV742-1)*100)))</f>
        <v>NA</v>
      </c>
      <c r="BF742" s="84">
        <f>BF745/BF743</f>
        <v>6.7572755990910505</v>
      </c>
      <c r="BG742" s="23">
        <f t="shared" ref="BG742:BG745" si="5029">IF(ISERROR((BF742/AX742-1)*100),"NA",IF(((BF742/AX742-1)*100)&gt;100,"NM",IF(((BF742/AX742-1)*100)&lt;-50,"NM",(BF742/AX742-1)*100)))</f>
        <v>5.5824312357976469</v>
      </c>
      <c r="BH742" s="84">
        <f>BH745/BH743</f>
        <v>4.7232876241103128</v>
      </c>
      <c r="BI742" s="23" t="str">
        <f t="shared" ref="BI742:BI745" si="5030">IF(ISERROR((BH742/AZ742-1)*100),"NA",IF(((BH742/AZ742-1)*100)&gt;100,"NM",IF(((BH742/AZ742-1)*100)&lt;-50,"NM",(BH742/AZ742-1)*100)))</f>
        <v>NM</v>
      </c>
      <c r="BJ742" s="84">
        <f>BJ745/BJ743</f>
        <v>4.6089350216002209</v>
      </c>
      <c r="BK742" s="23" t="str">
        <f t="shared" ref="BK742:BK745" si="5031">IF(ISERROR((BJ742/BB742-1)*100),"NA",IF(((BJ742/BB742-1)*100)&gt;100,"NM",IF(((BJ742/BB742-1)*100)&lt;-50,"NM",(BJ742/BB742-1)*100)))</f>
        <v>NA</v>
      </c>
      <c r="BL742" s="84">
        <f>BL745/BL743</f>
        <v>4.5193805910387255</v>
      </c>
      <c r="BM742" s="23">
        <f t="shared" ref="BM742:BM745" si="5032">IF(ISERROR((BL742/BD742-1)*100),"NA",IF(((BL742/BD742-1)*100)&gt;100,"NM",IF(((BL742/BD742-1)*100)&lt;-50,"NM",(BL742/BD742-1)*100)))</f>
        <v>-43.507742612015932</v>
      </c>
      <c r="BR742" s="6"/>
      <c r="BS742" s="6"/>
      <c r="BT742" s="6"/>
      <c r="BU742" s="84">
        <f>B742+D742+F742+H742</f>
        <v>0</v>
      </c>
      <c r="BV742" s="23" t="str">
        <f t="shared" ref="BV742:CR745" si="5033">IF(ISERROR((BU742/BS742-1)*100),"NA",IF(((BU742/BS742-1)*100)&gt;100,"NM",IF(((BU742/BS742-1)*100)&lt;-50,"NM",(BU742/BS742-1)*100)))</f>
        <v>NA</v>
      </c>
      <c r="BW742" s="84">
        <f>J742+L742+N742+P742</f>
        <v>0</v>
      </c>
      <c r="BX742" s="23" t="str">
        <f t="shared" si="5033"/>
        <v>NA</v>
      </c>
      <c r="BY742" s="84">
        <f>R742+T742+V742+X742</f>
        <v>0</v>
      </c>
      <c r="BZ742" s="23" t="str">
        <f t="shared" si="5033"/>
        <v>NA</v>
      </c>
      <c r="CA742" s="84">
        <f>Z742+AB742+AD742+AF742</f>
        <v>21.228861999999999</v>
      </c>
      <c r="CB742" s="23" t="str">
        <f t="shared" si="5033"/>
        <v>NA</v>
      </c>
      <c r="CC742" s="84">
        <f>AH742+AJ742+AL742+AN742</f>
        <v>34.348004000000003</v>
      </c>
      <c r="CD742" s="23">
        <f t="shared" si="5033"/>
        <v>61.798611720213749</v>
      </c>
      <c r="CE742" s="84">
        <f>AP742+AR742+AT742+AV742</f>
        <v>16.978369999999998</v>
      </c>
      <c r="CF742" s="23" t="str">
        <f t="shared" si="5033"/>
        <v>NM</v>
      </c>
      <c r="CG742" s="84">
        <f>AX742+AZ742+BB742+BD742</f>
        <v>24.645205000000001</v>
      </c>
      <c r="CH742" s="23">
        <f t="shared" si="5033"/>
        <v>45.156484397501082</v>
      </c>
      <c r="CI742" s="84">
        <f>BF742+BH742+BJ742+BL742</f>
        <v>20.608878835840308</v>
      </c>
      <c r="CJ742" s="23">
        <f t="shared" si="5033"/>
        <v>-16.377734184640346</v>
      </c>
      <c r="CK742" s="84">
        <f>CK745/CK743</f>
        <v>10.385473570048498</v>
      </c>
      <c r="CL742" s="23">
        <f t="shared" si="5033"/>
        <v>-49.606799803260429</v>
      </c>
      <c r="CM742" s="84">
        <f>CM745/CM743</f>
        <v>9.6236443417603539</v>
      </c>
      <c r="CN742" s="23">
        <f t="shared" si="5033"/>
        <v>-7.3355271009041374</v>
      </c>
      <c r="CO742" s="84">
        <f>CO745/CO743</f>
        <v>8.9178329801738112</v>
      </c>
      <c r="CP742" s="23">
        <f t="shared" si="5033"/>
        <v>-7.3341380512555006</v>
      </c>
      <c r="CQ742" s="84">
        <f>CQ745/CQ743</f>
        <v>8.263913166987642</v>
      </c>
      <c r="CR742" s="23">
        <f t="shared" si="5033"/>
        <v>-7.3327210168655181</v>
      </c>
      <c r="CS742" s="23">
        <f t="shared" ref="CS742:CS747" si="5034">IF(ISERROR(((CQ742/CG742)^0.2-1)*100),"NA",IF((((CQ742/CG742)^0.2-1)*100)&gt;100,"NM",IF((((CQ742/CG742)^0.2-1)*100)&lt;-50,"NM",((CQ742/CG742)^0.2-1)*100)))</f>
        <v>-19.630611855179602</v>
      </c>
      <c r="CT742" s="28"/>
    </row>
    <row r="743" spans="1:99" ht="12.75" customHeight="1" x14ac:dyDescent="0.2">
      <c r="A743" s="14" t="s">
        <v>33</v>
      </c>
      <c r="B743" s="87"/>
      <c r="C743" s="87"/>
      <c r="D743" s="87"/>
      <c r="E743" s="87"/>
      <c r="F743" s="87"/>
      <c r="G743" s="87"/>
      <c r="H743" s="87"/>
      <c r="I743" s="87"/>
      <c r="J743" s="87"/>
      <c r="K743" s="23"/>
      <c r="L743" s="87"/>
      <c r="M743" s="23"/>
      <c r="N743" s="87"/>
      <c r="O743" s="23"/>
      <c r="P743" s="87"/>
      <c r="Q743" s="23"/>
      <c r="R743" s="87"/>
      <c r="S743" s="23" t="str">
        <f>IF(ISERROR((R743/J743-1)*100),"NA",IF(((R743/J743-1)*100)&gt;100,"NM",IF(((R743/J743-1)*100)&lt;-50,"NM",(R743/J743-1)*100)))</f>
        <v>NA</v>
      </c>
      <c r="T743" s="87"/>
      <c r="U743" s="23" t="str">
        <f>IF(ISERROR((T743/L743-1)*100),"NA",IF(((T743/L743-1)*100)&gt;100,"NM",IF(((T743/L743-1)*100)&lt;-50,"NM",(T743/L743-1)*100)))</f>
        <v>NA</v>
      </c>
      <c r="V743" s="87"/>
      <c r="W743" s="23" t="str">
        <f>IF(ISERROR((V743/N743-1)*100),"NA",IF(((V743/N743-1)*100)&gt;100,"NM",IF(((V743/N743-1)*100)&lt;-50,"NM",(V743/N743-1)*100)))</f>
        <v>NA</v>
      </c>
      <c r="X743" s="87"/>
      <c r="Y743" s="23" t="str">
        <f>IF(ISERROR((X743/P743-1)*100),"NA",IF(((X743/P743-1)*100)&gt;100,"NM",IF(((X743/P743-1)*100)&lt;-50,"NM",(X743/P743-1)*100)))</f>
        <v>NA</v>
      </c>
      <c r="Z743" s="415">
        <f>Z745/Z742</f>
        <v>34.493081599120046</v>
      </c>
      <c r="AA743" s="23" t="str">
        <f>IF(ISERROR((Z743/R743-1)*100),"NA",IF(((Z743/R743-1)*100)&gt;100,"NM",IF(((Z743/R743-1)*100)&lt;-50,"NM",(Z743/R743-1)*100)))</f>
        <v>NA</v>
      </c>
      <c r="AB743" s="87">
        <f>AB745/AB742</f>
        <v>34.834928125835184</v>
      </c>
      <c r="AC743" s="23" t="str">
        <f>IF(ISERROR((AB743/T743-1)*100),"NA",IF(((AB743/T743-1)*100)&gt;100,"NM",IF(((AB743/T743-1)*100)&lt;-50,"NM",(AB743/T743-1)*100)))</f>
        <v>NA</v>
      </c>
      <c r="AD743" s="87">
        <f>AD745/AD742</f>
        <v>38.197717113436717</v>
      </c>
      <c r="AE743" s="23" t="str">
        <f>IF(ISERROR((AD743/V743-1)*100),"NA",IF(((AD743/V743-1)*100)&gt;100,"NM",IF(((AD743/V743-1)*100)&lt;-50,"NM",(AD743/V743-1)*100)))</f>
        <v>NA</v>
      </c>
      <c r="AF743" s="87">
        <f>AF745/AF742</f>
        <v>40.425173496030304</v>
      </c>
      <c r="AG743" s="23" t="str">
        <f>IF(ISERROR((AF743/X743-1)*100),"NA",IF(((AF743/X743-1)*100)&gt;100,"NM",IF(((AF743/X743-1)*100)&lt;-50,"NM",(AF743/X743-1)*100)))</f>
        <v>NA</v>
      </c>
      <c r="AH743" s="87">
        <f>AH745/AH742</f>
        <v>44.095559809871183</v>
      </c>
      <c r="AI743" s="23">
        <f>IF(ISERROR((AH743/Z743-1)*100),"NA",IF(((AH743/Z743-1)*100)&gt;100,"NM",IF(((AH743/Z743-1)*100)&lt;-50,"NM",(AH743/Z743-1)*100)))</f>
        <v>27.838852794747403</v>
      </c>
      <c r="AJ743" s="87">
        <f>AJ745/AJ742</f>
        <v>46.223553717366805</v>
      </c>
      <c r="AK743" s="23">
        <f>IF(ISERROR((AJ743/AB743-1)*100),"NA",IF(((AJ743/AB743-1)*100)&gt;100,"NM",IF(((AJ743/AB743-1)*100)&lt;-50,"NM",(AJ743/AB743-1)*100)))</f>
        <v>32.693122116951614</v>
      </c>
      <c r="AL743" s="87">
        <f>AL745/AL742</f>
        <v>43.675656042858442</v>
      </c>
      <c r="AM743" s="23">
        <f>IF(ISERROR((AL743/AD743-1)*100),"NA",IF(((AL743/AD743-1)*100)&gt;100,"NM",IF(((AL743/AD743-1)*100)&lt;-50,"NM",(AL743/AD743-1)*100)))</f>
        <v>14.341011304821571</v>
      </c>
      <c r="AN743" s="415">
        <f t="shared" ref="AN743:AP743" si="5035">AN745/AN742</f>
        <v>39.947014280258664</v>
      </c>
      <c r="AO743" s="23">
        <f>IF(ISERROR((AN743/AF743-1)*100),"NA",IF(((AN743/AF743-1)*100)&gt;100,"NM",IF(((AN743/AF743-1)*100)&lt;-50,"NM",(AN743/AF743-1)*100)))</f>
        <v>-1.182825389280262</v>
      </c>
      <c r="AP743" s="415">
        <f t="shared" si="5035"/>
        <v>29.02998929849031</v>
      </c>
      <c r="AQ743" s="23">
        <f t="shared" si="5021"/>
        <v>-34.165731371457298</v>
      </c>
      <c r="AR743" s="415">
        <v>31.24</v>
      </c>
      <c r="AS743" s="23">
        <f t="shared" si="5022"/>
        <v>-32.415408406250002</v>
      </c>
      <c r="AT743" s="415">
        <f t="shared" ref="AT743" si="5036">AT745/AT742</f>
        <v>26.315789473684209</v>
      </c>
      <c r="AU743" s="23">
        <f t="shared" si="5023"/>
        <v>-39.747237115658173</v>
      </c>
      <c r="AV743" s="415">
        <v>38.343558282208591</v>
      </c>
      <c r="AW743" s="23">
        <f t="shared" si="5024"/>
        <v>-4.0139570552147124</v>
      </c>
      <c r="AX743" s="415">
        <f t="shared" ref="AX743" si="5037">AX745/AX742</f>
        <v>38.59375</v>
      </c>
      <c r="AY743" s="23">
        <f t="shared" si="5025"/>
        <v>32.944416903409078</v>
      </c>
      <c r="AZ743" s="415">
        <f t="shared" ref="AZ743" si="5038">AZ745/AZ742</f>
        <v>36.602488676410083</v>
      </c>
      <c r="BA743" s="23">
        <f t="shared" si="5026"/>
        <v>17.165456710659676</v>
      </c>
      <c r="BB743" s="415">
        <f>AZ743</f>
        <v>36.602488676410083</v>
      </c>
      <c r="BC743" s="23">
        <f t="shared" si="5027"/>
        <v>39.089456970358327</v>
      </c>
      <c r="BD743" s="415">
        <f>BD745/BD742</f>
        <v>50.125</v>
      </c>
      <c r="BE743" s="23">
        <f t="shared" si="5028"/>
        <v>30.725999999999985</v>
      </c>
      <c r="BF743" s="92">
        <v>51.648034016393453</v>
      </c>
      <c r="BG743" s="23">
        <f t="shared" si="5029"/>
        <v>33.824865467578171</v>
      </c>
      <c r="BH743" s="92">
        <f>BF743*1.025-BH732</f>
        <v>52.929234866803284</v>
      </c>
      <c r="BI743" s="23">
        <f t="shared" si="5030"/>
        <v>44.605563120945966</v>
      </c>
      <c r="BJ743" s="92">
        <f>BH743*1.025-BJ732</f>
        <v>54.242465738473364</v>
      </c>
      <c r="BK743" s="23">
        <f t="shared" si="5031"/>
        <v>48.193381652302961</v>
      </c>
      <c r="BL743" s="92">
        <f t="shared" ref="BL743" si="5039">BJ743*1.02-BL732</f>
        <v>55.317315053242837</v>
      </c>
      <c r="BM743" s="23">
        <f t="shared" si="5032"/>
        <v>10.358733273302413</v>
      </c>
      <c r="BN743" s="79"/>
      <c r="BO743" s="145"/>
      <c r="BP743" s="79"/>
      <c r="BQ743" s="79"/>
      <c r="BR743" s="79"/>
      <c r="BS743" s="79"/>
      <c r="BT743" s="79"/>
      <c r="BU743" s="87"/>
      <c r="BV743" s="23" t="str">
        <f t="shared" si="5033"/>
        <v>NA</v>
      </c>
      <c r="BW743" s="87"/>
      <c r="BX743" s="23" t="str">
        <f t="shared" si="5033"/>
        <v>NA</v>
      </c>
      <c r="BY743" s="87"/>
      <c r="BZ743" s="23" t="str">
        <f t="shared" si="5033"/>
        <v>NA</v>
      </c>
      <c r="CA743" s="87">
        <f>AVERAGE(Z743,AB743,AD743,AF743)</f>
        <v>36.987725083605561</v>
      </c>
      <c r="CB743" s="23" t="str">
        <f t="shared" si="5033"/>
        <v>NA</v>
      </c>
      <c r="CC743" s="87">
        <f>AVERAGE(AH743,AJ743,AL743,AN743)</f>
        <v>43.48544596258877</v>
      </c>
      <c r="CD743" s="23">
        <f t="shared" si="5033"/>
        <v>17.567235790511649</v>
      </c>
      <c r="CE743" s="87">
        <f>AVERAGE(AP743,AR743,AT743,AV743)</f>
        <v>31.232334263595778</v>
      </c>
      <c r="CF743" s="23">
        <f t="shared" si="5033"/>
        <v>-28.177500374572539</v>
      </c>
      <c r="CG743" s="87">
        <f>AVERAGE(AX743,AZ743,BB743,BD743)</f>
        <v>40.480931838205038</v>
      </c>
      <c r="CH743" s="23">
        <f t="shared" si="5033"/>
        <v>29.612252150456044</v>
      </c>
      <c r="CI743" s="87">
        <f>AVERAGE(BF743,BH743,BJ743,BL743)</f>
        <v>53.534262418728233</v>
      </c>
      <c r="CJ743" s="23">
        <f t="shared" si="5033"/>
        <v>32.245627725900675</v>
      </c>
      <c r="CK743" s="92">
        <f>CI743*1.08-CK732</f>
        <v>57.773003412226501</v>
      </c>
      <c r="CL743" s="23">
        <f t="shared" si="5033"/>
        <v>7.9178096456137936</v>
      </c>
      <c r="CM743" s="92">
        <f>CK743*1.08-CM732</f>
        <v>62.346443685204626</v>
      </c>
      <c r="CN743" s="23">
        <f t="shared" si="5033"/>
        <v>7.9162238465349422</v>
      </c>
      <c r="CO743" s="92">
        <f>CM743*1.08-CO732</f>
        <v>67.280919180021002</v>
      </c>
      <c r="CP743" s="23">
        <f t="shared" si="5033"/>
        <v>7.9146061958741187</v>
      </c>
      <c r="CQ743" s="92">
        <f>CO743*1.08-CQ732</f>
        <v>72.60482871442268</v>
      </c>
      <c r="CR743" s="23">
        <f t="shared" si="5033"/>
        <v>7.9129560048915248</v>
      </c>
      <c r="CS743" s="23">
        <f t="shared" si="5034"/>
        <v>12.393967182873645</v>
      </c>
      <c r="CT743" s="28"/>
    </row>
    <row r="744" spans="1:99" ht="12.75" customHeight="1" x14ac:dyDescent="0.2">
      <c r="A744" s="14" t="s">
        <v>34</v>
      </c>
      <c r="B744" s="88">
        <v>50</v>
      </c>
      <c r="C744" s="83"/>
      <c r="D744" s="88">
        <v>50</v>
      </c>
      <c r="E744" s="83"/>
      <c r="F744" s="88">
        <v>50</v>
      </c>
      <c r="G744" s="83"/>
      <c r="H744" s="88">
        <v>50</v>
      </c>
      <c r="I744" s="83"/>
      <c r="J744" s="88">
        <v>50</v>
      </c>
      <c r="K744" s="23">
        <f>IF(ISERROR((J744/B744-1)*100),"NA",IF(((J744/B744-1)*100)&gt;100,"NM",IF(((J744/B744-1)*100)&lt;-50,"NM",(J744/B744-1)*100)))</f>
        <v>0</v>
      </c>
      <c r="L744" s="88">
        <v>50</v>
      </c>
      <c r="M744" s="23">
        <f>IF(ISERROR((L744/D744-1)*100),"NA",IF(((L744/D744-1)*100)&gt;100,"NM",IF(((L744/D744-1)*100)&lt;-50,"NM",(L744/D744-1)*100)))</f>
        <v>0</v>
      </c>
      <c r="N744" s="88">
        <v>50</v>
      </c>
      <c r="O744" s="23">
        <f>IF(ISERROR((N744/F744-1)*100),"NA",IF(((N744/F744-1)*100)&gt;100,"NM",IF(((N744/F744-1)*100)&lt;-50,"NM",(N744/F744-1)*100)))</f>
        <v>0</v>
      </c>
      <c r="P744" s="88">
        <v>50</v>
      </c>
      <c r="Q744" s="23">
        <f>IF(ISERROR((P744/H744-1)*100),"NA",IF(((P744/H744-1)*100)&gt;100,"NM",IF(((P744/H744-1)*100)&lt;-50,"NM",(P744/H744-1)*100)))</f>
        <v>0</v>
      </c>
      <c r="R744" s="88">
        <v>50</v>
      </c>
      <c r="S744" s="23">
        <f>IF(ISERROR((R744/J744-1)*100),"NA",IF(((R744/J744-1)*100)&gt;100,"NM",IF(((R744/J744-1)*100)&lt;-50,"NM",(R744/J744-1)*100)))</f>
        <v>0</v>
      </c>
      <c r="T744" s="88">
        <v>50</v>
      </c>
      <c r="U744" s="23">
        <f>IF(ISERROR((T744/L744-1)*100),"NA",IF(((T744/L744-1)*100)&gt;100,"NM",IF(((T744/L744-1)*100)&lt;-50,"NM",(T744/L744-1)*100)))</f>
        <v>0</v>
      </c>
      <c r="V744" s="88">
        <v>50</v>
      </c>
      <c r="W744" s="23">
        <f>IF(ISERROR((V744/N744-1)*100),"NA",IF(((V744/N744-1)*100)&gt;100,"NM",IF(((V744/N744-1)*100)&lt;-50,"NM",(V744/N744-1)*100)))</f>
        <v>0</v>
      </c>
      <c r="X744" s="88">
        <v>50</v>
      </c>
      <c r="Y744" s="23">
        <f>IF(ISERROR((X744/P744-1)*100),"NA",IF(((X744/P744-1)*100)&gt;100,"NM",IF(((X744/P744-1)*100)&lt;-50,"NM",(X744/P744-1)*100)))</f>
        <v>0</v>
      </c>
      <c r="Z744" s="88">
        <v>50</v>
      </c>
      <c r="AA744" s="23">
        <f>IF(ISERROR((Z744/R744-1)*100),"NA",IF(((Z744/R744-1)*100)&gt;100,"NM",IF(((Z744/R744-1)*100)&lt;-50,"NM",(Z744/R744-1)*100)))</f>
        <v>0</v>
      </c>
      <c r="AB744" s="88">
        <v>50</v>
      </c>
      <c r="AC744" s="23">
        <f>IF(ISERROR((AB744/T744-1)*100),"NA",IF(((AB744/T744-1)*100)&gt;100,"NM",IF(((AB744/T744-1)*100)&lt;-50,"NM",(AB744/T744-1)*100)))</f>
        <v>0</v>
      </c>
      <c r="AD744" s="88">
        <v>50</v>
      </c>
      <c r="AE744" s="23">
        <f>IF(ISERROR((AD744/V744-1)*100),"NA",IF(((AD744/V744-1)*100)&gt;100,"NM",IF(((AD744/V744-1)*100)&lt;-50,"NM",(AD744/V744-1)*100)))</f>
        <v>0</v>
      </c>
      <c r="AF744" s="88">
        <v>50</v>
      </c>
      <c r="AG744" s="23">
        <f>IF(ISERROR((AF744/X744-1)*100),"NA",IF(((AF744/X744-1)*100)&gt;100,"NM",IF(((AF744/X744-1)*100)&lt;-50,"NM",(AF744/X744-1)*100)))</f>
        <v>0</v>
      </c>
      <c r="AH744" s="88">
        <v>50</v>
      </c>
      <c r="AI744" s="23">
        <f>IF(ISERROR((AH744/Z744-1)*100),"NA",IF(((AH744/Z744-1)*100)&gt;100,"NM",IF(((AH744/Z744-1)*100)&lt;-50,"NM",(AH744/Z744-1)*100)))</f>
        <v>0</v>
      </c>
      <c r="AJ744" s="88">
        <v>50</v>
      </c>
      <c r="AK744" s="23">
        <f>IF(ISERROR((AJ744/AB744-1)*100),"NA",IF(((AJ744/AB744-1)*100)&gt;100,"NM",IF(((AJ744/AB744-1)*100)&lt;-50,"NM",(AJ744/AB744-1)*100)))</f>
        <v>0</v>
      </c>
      <c r="AL744" s="88">
        <v>50</v>
      </c>
      <c r="AM744" s="23">
        <f>IF(ISERROR((AL744/AD744-1)*100),"NA",IF(((AL744/AD744-1)*100)&gt;100,"NM",IF(((AL744/AD744-1)*100)&lt;-50,"NM",(AL744/AD744-1)*100)))</f>
        <v>0</v>
      </c>
      <c r="AN744" s="469">
        <v>50</v>
      </c>
      <c r="AO744" s="23">
        <f>IF(ISERROR((AN744/AF744-1)*100),"NA",IF(((AN744/AF744-1)*100)&gt;100,"NM",IF(((AN744/AF744-1)*100)&lt;-50,"NM",(AN744/AF744-1)*100)))</f>
        <v>0</v>
      </c>
      <c r="AP744" s="469">
        <v>50</v>
      </c>
      <c r="AQ744" s="23">
        <f t="shared" si="5021"/>
        <v>0</v>
      </c>
      <c r="AR744" s="469">
        <v>50</v>
      </c>
      <c r="AS744" s="23">
        <f t="shared" si="5022"/>
        <v>0</v>
      </c>
      <c r="AT744" s="469">
        <v>50</v>
      </c>
      <c r="AU744" s="23">
        <f t="shared" si="5023"/>
        <v>0</v>
      </c>
      <c r="AV744" s="469">
        <v>50</v>
      </c>
      <c r="AW744" s="23">
        <f t="shared" si="5024"/>
        <v>0</v>
      </c>
      <c r="AX744" s="469">
        <v>50</v>
      </c>
      <c r="AY744" s="23">
        <f t="shared" si="5025"/>
        <v>0</v>
      </c>
      <c r="AZ744" s="469">
        <v>50</v>
      </c>
      <c r="BA744" s="23">
        <f t="shared" si="5026"/>
        <v>0</v>
      </c>
      <c r="BB744" s="469">
        <v>50</v>
      </c>
      <c r="BC744" s="23">
        <f t="shared" si="5027"/>
        <v>0</v>
      </c>
      <c r="BD744" s="469">
        <v>50</v>
      </c>
      <c r="BE744" s="23">
        <f t="shared" si="5028"/>
        <v>0</v>
      </c>
      <c r="BF744" s="88">
        <v>50</v>
      </c>
      <c r="BG744" s="23">
        <f t="shared" si="5029"/>
        <v>0</v>
      </c>
      <c r="BH744" s="88">
        <v>50</v>
      </c>
      <c r="BI744" s="23">
        <f t="shared" si="5030"/>
        <v>0</v>
      </c>
      <c r="BJ744" s="88">
        <v>50</v>
      </c>
      <c r="BK744" s="23">
        <f t="shared" si="5031"/>
        <v>0</v>
      </c>
      <c r="BL744" s="88">
        <v>50</v>
      </c>
      <c r="BM744" s="23">
        <f t="shared" si="5032"/>
        <v>0</v>
      </c>
      <c r="BN744" s="5"/>
      <c r="BP744" s="5"/>
      <c r="BQ744" s="5"/>
      <c r="BR744" s="5"/>
      <c r="BS744" s="5"/>
      <c r="BT744" s="5"/>
      <c r="BU744" s="88">
        <v>50</v>
      </c>
      <c r="BV744" s="23" t="str">
        <f t="shared" si="5033"/>
        <v>NA</v>
      </c>
      <c r="BW744" s="88">
        <v>50</v>
      </c>
      <c r="BX744" s="23">
        <f t="shared" si="5033"/>
        <v>0</v>
      </c>
      <c r="BY744" s="88">
        <v>50</v>
      </c>
      <c r="BZ744" s="23">
        <f t="shared" si="5033"/>
        <v>0</v>
      </c>
      <c r="CA744" s="88">
        <v>50</v>
      </c>
      <c r="CB744" s="23">
        <f t="shared" si="5033"/>
        <v>0</v>
      </c>
      <c r="CC744" s="88">
        <v>50</v>
      </c>
      <c r="CD744" s="23">
        <f t="shared" si="5033"/>
        <v>0</v>
      </c>
      <c r="CE744" s="88">
        <v>50</v>
      </c>
      <c r="CF744" s="23">
        <f t="shared" si="5033"/>
        <v>0</v>
      </c>
      <c r="CG744" s="88">
        <v>50</v>
      </c>
      <c r="CH744" s="23">
        <f t="shared" si="5033"/>
        <v>0</v>
      </c>
      <c r="CI744" s="88">
        <v>50</v>
      </c>
      <c r="CJ744" s="23">
        <f t="shared" si="5033"/>
        <v>0</v>
      </c>
      <c r="CK744" s="88">
        <v>40</v>
      </c>
      <c r="CL744" s="23">
        <f t="shared" si="5033"/>
        <v>-19.999999999999996</v>
      </c>
      <c r="CM744" s="88">
        <v>42</v>
      </c>
      <c r="CN744" s="23">
        <f t="shared" si="5033"/>
        <v>5.0000000000000044</v>
      </c>
      <c r="CO744" s="88">
        <v>40</v>
      </c>
      <c r="CP744" s="23">
        <f t="shared" si="5033"/>
        <v>-4.7619047619047672</v>
      </c>
      <c r="CQ744" s="88">
        <v>45</v>
      </c>
      <c r="CR744" s="23">
        <f t="shared" si="5033"/>
        <v>12.5</v>
      </c>
      <c r="CS744" s="23">
        <f t="shared" si="5034"/>
        <v>-2.0851637639023202</v>
      </c>
      <c r="CT744" s="28"/>
    </row>
    <row r="745" spans="1:99" ht="12.75" customHeight="1" x14ac:dyDescent="0.2">
      <c r="A745" s="14" t="s">
        <v>37</v>
      </c>
      <c r="B745" s="93"/>
      <c r="C745" s="83"/>
      <c r="D745" s="93"/>
      <c r="E745" s="83"/>
      <c r="F745" s="93"/>
      <c r="G745" s="83"/>
      <c r="H745" s="93"/>
      <c r="I745" s="83"/>
      <c r="J745" s="93"/>
      <c r="K745" s="23" t="str">
        <f>IF(ISERROR((J745/B745-1)*100),"NA",IF(((J745/B745-1)*100)&gt;100,"NM",IF(((J745/B745-1)*100)&lt;-50,"NM",(J745/B745-1)*100)))</f>
        <v>NA</v>
      </c>
      <c r="L745" s="93"/>
      <c r="M745" s="23" t="str">
        <f>IF(ISERROR((L745/D745-1)*100),"NA",IF(((L745/D745-1)*100)&gt;100,"NM",IF(((L745/D745-1)*100)&lt;-50,"NM",(L745/D745-1)*100)))</f>
        <v>NA</v>
      </c>
      <c r="N745" s="93"/>
      <c r="O745" s="23" t="str">
        <f>IF(ISERROR((N745/F745-1)*100),"NA",IF(((N745/F745-1)*100)&gt;100,"NM",IF(((N745/F745-1)*100)&lt;-50,"NM",(N745/F745-1)*100)))</f>
        <v>NA</v>
      </c>
      <c r="P745" s="93"/>
      <c r="Q745" s="23" t="str">
        <f>IF(ISERROR((P745/H745-1)*100),"NA",IF(((P745/H745-1)*100)&gt;100,"NM",IF(((P745/H745-1)*100)&lt;-50,"NM",(P745/H745-1)*100)))</f>
        <v>NA</v>
      </c>
      <c r="R745" s="93"/>
      <c r="S745" s="23" t="str">
        <f>IF(ISERROR((R745/J745-1)*100),"NA",IF(((R745/J745-1)*100)&gt;100,"NM",IF(((R745/J745-1)*100)&lt;-50,"NM",(R745/J745-1)*100)))</f>
        <v>NA</v>
      </c>
      <c r="T745" s="93"/>
      <c r="U745" s="23" t="str">
        <f>IF(ISERROR((T745/L745-1)*100),"NA",IF(((T745/L745-1)*100)&gt;100,"NM",IF(((T745/L745-1)*100)&lt;-50,"NM",(T745/L745-1)*100)))</f>
        <v>NA</v>
      </c>
      <c r="V745" s="93"/>
      <c r="W745" s="23" t="str">
        <f>IF(ISERROR((V745/N745-1)*100),"NA",IF(((V745/N745-1)*100)&gt;100,"NM",IF(((V745/N745-1)*100)&lt;-50,"NM",(V745/N745-1)*100)))</f>
        <v>NA</v>
      </c>
      <c r="X745" s="94"/>
      <c r="Y745" s="23" t="str">
        <f>IF(ISERROR((X745/P745-1)*100),"NA",IF(((X745/P745-1)*100)&gt;100,"NM",IF(((X745/P745-1)*100)&lt;-50,"NM",(X745/P745-1)*100)))</f>
        <v>NA</v>
      </c>
      <c r="Z745" s="94">
        <v>258.89999999999998</v>
      </c>
      <c r="AA745" s="215" t="str">
        <f>IF(ISERROR((Z745/R745-1)*100),"NA",IF(((Z745/R745-1)*100)&gt;100,"NM",IF(((Z745/R745-1)*100)&lt;-50,"NM",(Z745/R745-1)*100)))</f>
        <v>NA</v>
      </c>
      <c r="AB745" s="94">
        <v>30.5</v>
      </c>
      <c r="AC745" s="215" t="str">
        <f>IF(ISERROR((AB745/T745-1)*100),"NA",IF(((AB745/T745-1)*100)&gt;100,"NM",IF(((AB745/T745-1)*100)&lt;-50,"NM",(AB745/T745-1)*100)))</f>
        <v>NA</v>
      </c>
      <c r="AD745" s="94">
        <v>320</v>
      </c>
      <c r="AE745" s="215" t="str">
        <f>IF(ISERROR((AD745/V745-1)*100),"NA",IF(((AD745/V745-1)*100)&gt;100,"NM",IF(((AD745/V745-1)*100)&lt;-50,"NM",(AD745/V745-1)*100)))</f>
        <v>NA</v>
      </c>
      <c r="AF745" s="94">
        <v>180.7</v>
      </c>
      <c r="AG745" s="23" t="str">
        <f>IF(ISERROR((AF745/X745-1)*100),"NA",IF(((AF745/X745-1)*100)&gt;100,"NM",IF(((AF745/X745-1)*100)&lt;-50,"NM",(AF745/X745-1)*100)))</f>
        <v>NA</v>
      </c>
      <c r="AH745" s="94">
        <v>630.9</v>
      </c>
      <c r="AI745" s="23" t="str">
        <f>IF(ISERROR((AH745/Z745-1)*100),"NA",IF(((AH745/Z745-1)*100)&gt;100,"NM",IF(((AH745/Z745-1)*100)&lt;-50,"NM",(AH745/Z745-1)*100)))</f>
        <v>NM</v>
      </c>
      <c r="AJ745" s="94">
        <v>128</v>
      </c>
      <c r="AK745" s="23" t="str">
        <f>IF(ISERROR((AJ745/AB745-1)*100),"NA",IF(((AJ745/AB745-1)*100)&gt;100,"NM",IF(((AJ745/AB745-1)*100)&lt;-50,"NM",(AJ745/AB745-1)*100)))</f>
        <v>NM</v>
      </c>
      <c r="AL745" s="94">
        <v>481</v>
      </c>
      <c r="AM745" s="23">
        <f>IF(ISERROR((AL745/AD745-1)*100),"NA",IF(((AL745/AD745-1)*100)&gt;100,"NM",IF(((AL745/AD745-1)*100)&lt;-50,"NM",(AL745/AD745-1)*100)))</f>
        <v>50.312500000000007</v>
      </c>
      <c r="AN745" s="472">
        <v>250</v>
      </c>
      <c r="AO745" s="23">
        <f>IF(ISERROR((AN745/AF745-1)*100),"NA",IF(((AN745/AF745-1)*100)&gt;100,"NM",IF(((AN745/AF745-1)*100)&lt;-50,"NM",(AN745/AF745-1)*100)))</f>
        <v>38.350857775318218</v>
      </c>
      <c r="AP745" s="472">
        <v>220</v>
      </c>
      <c r="AQ745" s="23" t="str">
        <f t="shared" si="5021"/>
        <v>NM</v>
      </c>
      <c r="AR745" s="472">
        <v>116.7</v>
      </c>
      <c r="AS745" s="23">
        <f t="shared" si="5022"/>
        <v>-8.8281249999999982</v>
      </c>
      <c r="AT745" s="472">
        <v>150</v>
      </c>
      <c r="AU745" s="23" t="str">
        <f t="shared" si="5023"/>
        <v>NM</v>
      </c>
      <c r="AV745" s="472">
        <v>200</v>
      </c>
      <c r="AW745" s="23">
        <f t="shared" si="5024"/>
        <v>-19.999999999999996</v>
      </c>
      <c r="AX745" s="472">
        <v>247</v>
      </c>
      <c r="AY745" s="23">
        <f t="shared" si="5025"/>
        <v>12.27272727272728</v>
      </c>
      <c r="AZ745" s="472">
        <v>375</v>
      </c>
      <c r="BA745" s="23" t="str">
        <f t="shared" si="5026"/>
        <v>NM</v>
      </c>
      <c r="BB745" s="472">
        <v>0</v>
      </c>
      <c r="BC745" s="23" t="str">
        <f t="shared" si="5027"/>
        <v>NM</v>
      </c>
      <c r="BD745" s="219">
        <v>401</v>
      </c>
      <c r="BE745" s="23" t="str">
        <f t="shared" si="5028"/>
        <v>NM</v>
      </c>
      <c r="BF745" s="219">
        <f>99+250</f>
        <v>349</v>
      </c>
      <c r="BG745" s="23">
        <f t="shared" si="5029"/>
        <v>41.295546558704444</v>
      </c>
      <c r="BH745" s="219">
        <v>250</v>
      </c>
      <c r="BI745" s="23">
        <f t="shared" si="5030"/>
        <v>-33.333333333333336</v>
      </c>
      <c r="BJ745" s="219">
        <v>250</v>
      </c>
      <c r="BK745" s="23" t="str">
        <f t="shared" si="5031"/>
        <v>NA</v>
      </c>
      <c r="BL745" s="219">
        <v>250</v>
      </c>
      <c r="BM745" s="23">
        <f t="shared" si="5032"/>
        <v>-37.655860349127181</v>
      </c>
      <c r="BO745" s="147"/>
      <c r="BR745" s="6"/>
      <c r="BS745" s="6"/>
      <c r="BT745" s="6"/>
      <c r="BU745" s="93">
        <f>B745+D745+F745+H745</f>
        <v>0</v>
      </c>
      <c r="BV745" s="23" t="str">
        <f t="shared" si="5033"/>
        <v>NA</v>
      </c>
      <c r="BW745" s="93">
        <f>J745+L745+N745+P745</f>
        <v>0</v>
      </c>
      <c r="BX745" s="23" t="str">
        <f t="shared" si="5033"/>
        <v>NA</v>
      </c>
      <c r="BY745" s="93">
        <f>R745+T745+V745+X745</f>
        <v>0</v>
      </c>
      <c r="BZ745" s="23" t="str">
        <f t="shared" si="5033"/>
        <v>NA</v>
      </c>
      <c r="CA745" s="93">
        <f>Z745+AB745+AD745+AF745</f>
        <v>790.09999999999991</v>
      </c>
      <c r="CB745" s="23" t="str">
        <f t="shared" si="5033"/>
        <v>NA</v>
      </c>
      <c r="CC745" s="93">
        <f>AH745+AJ745+AL745+AN745</f>
        <v>1489.9</v>
      </c>
      <c r="CD745" s="23">
        <f t="shared" si="5033"/>
        <v>88.571066953550215</v>
      </c>
      <c r="CE745" s="93">
        <f>AP745+AR745+AT745+AV745</f>
        <v>686.7</v>
      </c>
      <c r="CF745" s="23" t="str">
        <f t="shared" si="5033"/>
        <v>NM</v>
      </c>
      <c r="CG745" s="93">
        <f>AX745+AZ745+BB745+BD745</f>
        <v>1023</v>
      </c>
      <c r="CH745" s="23">
        <f t="shared" si="5033"/>
        <v>48.973350808213191</v>
      </c>
      <c r="CI745" s="93">
        <f>BF745+BH745+BJ745+BL745</f>
        <v>1099</v>
      </c>
      <c r="CJ745" s="23">
        <f t="shared" si="5033"/>
        <v>7.4291300097751645</v>
      </c>
      <c r="CK745" s="94">
        <v>600</v>
      </c>
      <c r="CL745" s="23">
        <f t="shared" si="5033"/>
        <v>-45.4049135577798</v>
      </c>
      <c r="CM745" s="94">
        <v>600</v>
      </c>
      <c r="CN745" s="23">
        <f t="shared" si="5033"/>
        <v>0</v>
      </c>
      <c r="CO745" s="94">
        <f>CM745</f>
        <v>600</v>
      </c>
      <c r="CP745" s="23">
        <f t="shared" si="5033"/>
        <v>0</v>
      </c>
      <c r="CQ745" s="94">
        <f>CO745</f>
        <v>600</v>
      </c>
      <c r="CR745" s="23">
        <f t="shared" si="5033"/>
        <v>0</v>
      </c>
      <c r="CS745" s="23">
        <f t="shared" si="5034"/>
        <v>-10.121643303812144</v>
      </c>
      <c r="CT745" s="28"/>
      <c r="CU745" s="167"/>
    </row>
    <row r="746" spans="1:99" ht="12.75" hidden="1" customHeight="1" outlineLevel="1" x14ac:dyDescent="0.2">
      <c r="A746" s="107" t="s">
        <v>317</v>
      </c>
      <c r="B746" s="93"/>
      <c r="C746" s="83"/>
      <c r="D746" s="93"/>
      <c r="E746" s="83"/>
      <c r="F746" s="93"/>
      <c r="G746" s="83"/>
      <c r="H746" s="93"/>
      <c r="I746" s="83"/>
      <c r="J746" s="93"/>
      <c r="K746" s="23"/>
      <c r="L746" s="93"/>
      <c r="M746" s="23"/>
      <c r="N746" s="93"/>
      <c r="O746" s="23"/>
      <c r="P746" s="93"/>
      <c r="Q746" s="23"/>
      <c r="R746" s="93"/>
      <c r="S746" s="23"/>
      <c r="T746" s="93"/>
      <c r="U746" s="23"/>
      <c r="V746" s="93"/>
      <c r="W746" s="23"/>
      <c r="X746" s="93"/>
      <c r="Y746" s="23"/>
      <c r="Z746" s="93"/>
      <c r="AA746" s="23"/>
      <c r="AB746" s="93"/>
      <c r="AC746" s="23"/>
      <c r="AD746" s="93"/>
      <c r="AE746" s="23"/>
      <c r="AF746" s="93"/>
      <c r="AG746" s="23"/>
      <c r="AH746" s="93"/>
      <c r="AI746" s="23"/>
      <c r="AJ746" s="93"/>
      <c r="AK746" s="23"/>
      <c r="AL746" s="93"/>
      <c r="AM746" s="23"/>
      <c r="AN746" s="470"/>
      <c r="AO746" s="23"/>
      <c r="AP746" s="470"/>
      <c r="AQ746" s="23"/>
      <c r="AR746" s="470"/>
      <c r="AS746" s="23"/>
      <c r="AT746" s="470"/>
      <c r="AU746" s="23"/>
      <c r="AV746" s="470"/>
      <c r="AW746" s="23"/>
      <c r="AX746" s="470"/>
      <c r="AY746" s="23"/>
      <c r="AZ746" s="470"/>
      <c r="BA746" s="23"/>
      <c r="BB746" s="470"/>
      <c r="BC746" s="23"/>
      <c r="BD746" s="470"/>
      <c r="BE746" s="23"/>
      <c r="BF746" s="93"/>
      <c r="BG746" s="23"/>
      <c r="BH746" s="93"/>
      <c r="BI746" s="23"/>
      <c r="BJ746" s="93"/>
      <c r="BK746" s="23"/>
      <c r="BL746" s="93"/>
      <c r="BM746" s="23"/>
      <c r="BO746" s="147"/>
      <c r="BR746" s="6"/>
      <c r="BS746" s="6"/>
      <c r="BT746" s="6"/>
      <c r="BU746" s="93"/>
      <c r="BV746" s="23"/>
      <c r="BW746" s="93"/>
      <c r="BX746" s="23"/>
      <c r="BY746" s="93"/>
      <c r="BZ746" s="23"/>
      <c r="CA746" s="93"/>
      <c r="CB746" s="23"/>
      <c r="CC746" s="93"/>
      <c r="CD746" s="23"/>
      <c r="CE746" s="93"/>
      <c r="CF746" s="23"/>
      <c r="CG746" s="93"/>
      <c r="CH746" s="23"/>
      <c r="CI746" s="93"/>
      <c r="CJ746" s="23"/>
      <c r="CK746" s="94"/>
      <c r="CL746" s="23"/>
      <c r="CM746" s="94"/>
      <c r="CN746" s="23"/>
      <c r="CO746" s="94"/>
      <c r="CP746" s="23"/>
      <c r="CQ746" s="94"/>
      <c r="CR746" s="23"/>
      <c r="CS746" s="23" t="str">
        <f t="shared" si="5034"/>
        <v>NA</v>
      </c>
      <c r="CT746" s="28"/>
    </row>
    <row r="747" spans="1:99" ht="12.75" hidden="1" customHeight="1" outlineLevel="1" x14ac:dyDescent="0.2">
      <c r="A747" s="108" t="s">
        <v>318</v>
      </c>
      <c r="B747" s="93"/>
      <c r="C747" s="83"/>
      <c r="D747" s="93">
        <f>D877+D734-D696+(B879-D879)-B877</f>
        <v>2658.0999999999985</v>
      </c>
      <c r="E747" s="83"/>
      <c r="F747" s="93">
        <f>F877+F734-F696+(D879-F879)-D877</f>
        <v>-66.299999999995634</v>
      </c>
      <c r="G747" s="83"/>
      <c r="H747" s="93">
        <f>H877+H734-H696+(F879-H879)-F877</f>
        <v>1448.1999999999971</v>
      </c>
      <c r="I747" s="83"/>
      <c r="J747" s="93">
        <f>J877+J734-J696+(H879-J879)-H877</f>
        <v>-10.853999999997541</v>
      </c>
      <c r="K747" s="23"/>
      <c r="L747" s="93">
        <f>L877+L734-L696+(J879-L879)-J877</f>
        <v>-57.280000000002474</v>
      </c>
      <c r="M747" s="23"/>
      <c r="N747" s="93">
        <f>N877+N734-N696+(L879-N879)-L877</f>
        <v>22.613000000001193</v>
      </c>
      <c r="O747" s="23"/>
      <c r="P747" s="93">
        <f>P877+P734-P696+(N879-P879)-N877</f>
        <v>-21.618999999998778</v>
      </c>
      <c r="Q747" s="23"/>
      <c r="R747" s="93">
        <f>R877+R734-R696+(P879-R879)-P877</f>
        <v>-13.799999999999272</v>
      </c>
      <c r="S747" s="23"/>
      <c r="T747" s="93">
        <f>T877+T734-T696+(R879-T879)-R877</f>
        <v>527.69999999999709</v>
      </c>
      <c r="U747" s="23"/>
      <c r="V747" s="93">
        <f>V877+V734-V696+(T879-V879)-T877</f>
        <v>89.400000000001455</v>
      </c>
      <c r="W747" s="23"/>
      <c r="X747" s="93">
        <f>X877+X734-X696+(V879-X879)-V877</f>
        <v>57.632999999997992</v>
      </c>
      <c r="Y747" s="23"/>
      <c r="Z747" s="93">
        <f>Z877+Z734-Z696+(X879-Z879)-X877</f>
        <v>-254.56499999999869</v>
      </c>
      <c r="AA747" s="23"/>
      <c r="AB747" s="93">
        <f>AB877+AB734-AB696+(Z879-AB879)-Z877</f>
        <v>44.762000000002445</v>
      </c>
      <c r="AC747" s="23"/>
      <c r="AD747" s="93">
        <f>AD877+AD734-AD696+(AB879-AD879)-AB877</f>
        <v>-298.85599999999977</v>
      </c>
      <c r="AE747" s="23"/>
      <c r="AF747" s="93">
        <f>AF877+AF734-AF696+(AD879-AF879)-AD877</f>
        <v>-152.83600000000479</v>
      </c>
      <c r="AG747" s="23"/>
      <c r="AH747" s="93">
        <f>AH877+AH734-AH696+(AF879-AH879)-AF877</f>
        <v>-616.59299999999712</v>
      </c>
      <c r="AI747" s="23"/>
      <c r="AJ747" s="93">
        <f>AJ877+AJ734-AJ696+(AH879-AJ879)-AH877</f>
        <v>-149.50200000000223</v>
      </c>
      <c r="AK747" s="23"/>
      <c r="AL747" s="93">
        <f>AL877+AL734-AL696+(AJ879-AL879)-AJ877</f>
        <v>-544.36399999999594</v>
      </c>
      <c r="AM747" s="23"/>
      <c r="AN747" s="470">
        <f>AN877+AN734-AN696+(AL879-AN879)-AL877</f>
        <v>-120.44000000000597</v>
      </c>
      <c r="AO747" s="23"/>
      <c r="AP747" s="470">
        <f>AP877+AP734-AP696+(AN879-AP879)-AN877</f>
        <v>-175.7089999999971</v>
      </c>
      <c r="AQ747" s="23"/>
      <c r="AR747" s="470">
        <f>AR877+AR734-AR696+(AP879-AR879)-AP877</f>
        <v>-198.96499999999833</v>
      </c>
      <c r="AS747" s="23"/>
      <c r="AT747" s="470">
        <f>AT877+AT734-AT696+(AR879-AT879)-AR877</f>
        <v>133.21499999999651</v>
      </c>
      <c r="AU747" s="23"/>
      <c r="AV747" s="470">
        <f>AV877+AV734-AV696+(AT879-AV879)-AT877</f>
        <v>-17.328999999997905</v>
      </c>
      <c r="AW747" s="23"/>
      <c r="AX747" s="470">
        <f>AX877+AX734-AX696+(AV879-AX879)-AV877</f>
        <v>-74.256000000001222</v>
      </c>
      <c r="AY747" s="23"/>
      <c r="AZ747" s="470">
        <f>AZ877+AZ734-AZ696+(AX879-AZ879)-AX877</f>
        <v>-159.92299999999886</v>
      </c>
      <c r="BA747" s="23"/>
      <c r="BB747" s="470">
        <f>BB877+BB734-BB696+(AZ879-BB879)-AZ877</f>
        <v>4.9240000000027067</v>
      </c>
      <c r="BC747" s="23"/>
      <c r="BD747" s="470">
        <f>BD877+BD734-BD696+(BB879-BD879)-BB877</f>
        <v>-3779.2700000000023</v>
      </c>
      <c r="BE747" s="23"/>
      <c r="BF747" s="93">
        <f>BF877+BF734-BF696+(BD879-BF879)-BD877</f>
        <v>-349</v>
      </c>
      <c r="BG747" s="23"/>
      <c r="BH747" s="93">
        <f>BH877+BH734-BH696+(BF879-BH879)-BF877</f>
        <v>-250</v>
      </c>
      <c r="BI747" s="23"/>
      <c r="BJ747" s="93">
        <f>BJ877+BJ734-BJ696+(BH879-BJ879)-BH877</f>
        <v>-250</v>
      </c>
      <c r="BK747" s="23"/>
      <c r="BL747" s="93">
        <f>BL877+BL734-BL696+(BJ879-BL879)-BJ877</f>
        <v>-250</v>
      </c>
      <c r="BM747" s="23"/>
      <c r="BO747" s="147"/>
      <c r="BR747" s="6"/>
      <c r="BS747" s="6"/>
      <c r="BT747" s="6"/>
      <c r="BU747" s="93"/>
      <c r="BV747" s="23"/>
      <c r="BW747" s="93">
        <f>BW877+BW734-BW696+(BU879-BW879)-BU877</f>
        <v>-67.139999999997599</v>
      </c>
      <c r="BX747" s="23"/>
      <c r="BY747" s="93">
        <f>BY877+BY734-BY696+(BW879-BY879)-BW877</f>
        <v>660.81799999999748</v>
      </c>
      <c r="BZ747" s="23"/>
      <c r="CA747" s="93">
        <f>CA877+CA734-CA696+(BY879-CA879)-BY877</f>
        <v>-661.49500000000262</v>
      </c>
      <c r="CB747" s="23"/>
      <c r="CC747" s="93">
        <f>CC877+CC734-CC696+(CA879-CC879)-CA877</f>
        <v>-1430.8989999999994</v>
      </c>
      <c r="CD747" s="23"/>
      <c r="CE747" s="93">
        <f>CE877+CE734-CE696+(CC879-CE879)-CC877</f>
        <v>-258.78799999999865</v>
      </c>
      <c r="CF747" s="23"/>
      <c r="CG747" s="93">
        <f>CG877+CG734-CG696+(CE879-CG879)-CE877</f>
        <v>-4008.5249999999996</v>
      </c>
      <c r="CH747" s="23"/>
      <c r="CI747" s="93">
        <f>CI877+CI734-CI696+(CG879-CI879)-CG877</f>
        <v>-1099</v>
      </c>
      <c r="CJ747" s="23"/>
      <c r="CK747" s="93">
        <f>CK877+CK734-CK696+(CI879-CK879)-CI877</f>
        <v>-600</v>
      </c>
      <c r="CL747" s="23"/>
      <c r="CM747" s="93">
        <f>CM877+CM734-CM696+(CK879-CM879)-CK877</f>
        <v>-600</v>
      </c>
      <c r="CN747" s="23"/>
      <c r="CO747" s="93">
        <f>CO877+CO734-CO696+(CM879-CO879)-CM877</f>
        <v>-600</v>
      </c>
      <c r="CP747" s="23"/>
      <c r="CQ747" s="93">
        <f>CQ877+CQ734-CQ696+(CO879-CQ879)-CO877</f>
        <v>-600</v>
      </c>
      <c r="CR747" s="23"/>
      <c r="CS747" s="23">
        <f t="shared" si="5034"/>
        <v>-31.603586257468418</v>
      </c>
      <c r="CT747" s="28"/>
    </row>
    <row r="748" spans="1:99" ht="12.75" customHeight="1" collapsed="1" x14ac:dyDescent="0.2">
      <c r="A748" s="14"/>
      <c r="B748" s="6"/>
      <c r="C748" s="82"/>
      <c r="D748" s="6"/>
      <c r="E748" s="82"/>
      <c r="F748" s="6"/>
      <c r="G748" s="82"/>
      <c r="H748" s="6"/>
      <c r="I748" s="82"/>
      <c r="J748" s="6"/>
      <c r="K748" s="183"/>
      <c r="L748" s="6"/>
      <c r="M748" s="183"/>
      <c r="N748" s="6"/>
      <c r="O748" s="183"/>
      <c r="P748" s="28"/>
      <c r="Q748" s="183"/>
      <c r="R748" s="28"/>
      <c r="S748" s="183"/>
      <c r="T748" s="28"/>
      <c r="U748" s="183"/>
      <c r="V748" s="28"/>
      <c r="W748" s="183"/>
      <c r="X748" s="28"/>
      <c r="Y748" s="183"/>
      <c r="Z748" s="28"/>
      <c r="AA748" s="183"/>
      <c r="AB748" s="28"/>
      <c r="AC748" s="183"/>
      <c r="AD748" s="28"/>
      <c r="AE748" s="183"/>
      <c r="AF748" s="28"/>
      <c r="AG748" s="183"/>
      <c r="AH748" s="28"/>
      <c r="AI748" s="183"/>
      <c r="AJ748" s="28"/>
      <c r="AK748" s="183"/>
      <c r="AL748" s="28"/>
      <c r="AM748" s="183"/>
      <c r="AN748" s="468"/>
      <c r="AO748" s="183"/>
      <c r="AP748" s="468"/>
      <c r="AQ748" s="183"/>
      <c r="AR748" s="468"/>
      <c r="AS748" s="183"/>
      <c r="AT748" s="468"/>
      <c r="AU748" s="183"/>
      <c r="AV748" s="468"/>
      <c r="AW748" s="183"/>
      <c r="AX748" s="468"/>
      <c r="AY748" s="183"/>
      <c r="AZ748" s="468"/>
      <c r="BA748" s="183"/>
      <c r="BB748" s="468"/>
      <c r="BC748" s="183"/>
      <c r="BD748" s="468"/>
      <c r="BE748" s="183"/>
      <c r="BF748" s="28"/>
      <c r="BG748" s="183"/>
      <c r="BH748" s="28"/>
      <c r="BI748" s="183"/>
      <c r="BJ748" s="28"/>
      <c r="BK748" s="183"/>
      <c r="BL748" s="28"/>
      <c r="BM748" s="183"/>
      <c r="BR748" s="6"/>
      <c r="BS748" s="6"/>
      <c r="BT748" s="6"/>
      <c r="BU748" s="6"/>
      <c r="BV748" s="183"/>
      <c r="BW748" s="6"/>
      <c r="BX748" s="183"/>
      <c r="BY748" s="6"/>
      <c r="BZ748" s="183"/>
      <c r="CA748" s="6"/>
      <c r="CB748" s="183"/>
      <c r="CC748" s="6"/>
      <c r="CD748" s="183"/>
      <c r="CE748" s="6"/>
      <c r="CF748" s="183"/>
      <c r="CG748" s="6"/>
      <c r="CH748" s="183"/>
      <c r="CI748" s="6"/>
      <c r="CJ748" s="183"/>
      <c r="CK748" s="28"/>
      <c r="CL748" s="183"/>
      <c r="CM748" s="28"/>
      <c r="CN748" s="183"/>
      <c r="CO748" s="28"/>
      <c r="CP748" s="183"/>
      <c r="CQ748" s="28"/>
      <c r="CR748" s="183"/>
      <c r="CS748" s="183"/>
      <c r="CT748" s="28"/>
    </row>
    <row r="749" spans="1:99" ht="12.75" customHeight="1" x14ac:dyDescent="0.2">
      <c r="A749" s="15" t="s">
        <v>38</v>
      </c>
      <c r="B749" s="28"/>
      <c r="C749" s="82"/>
      <c r="D749" s="28"/>
      <c r="E749" s="82"/>
      <c r="F749" s="28"/>
      <c r="G749" s="82"/>
      <c r="H749" s="28"/>
      <c r="I749" s="82"/>
      <c r="J749" s="28"/>
      <c r="K749" s="183"/>
      <c r="L749" s="28"/>
      <c r="M749" s="183"/>
      <c r="N749" s="28"/>
      <c r="O749" s="183"/>
      <c r="P749" s="28"/>
      <c r="Q749" s="183"/>
      <c r="R749" s="28"/>
      <c r="S749" s="183"/>
      <c r="T749" s="28"/>
      <c r="U749" s="183"/>
      <c r="V749" s="28"/>
      <c r="W749" s="183"/>
      <c r="X749" s="28"/>
      <c r="Y749" s="183"/>
      <c r="Z749" s="28"/>
      <c r="AA749" s="183"/>
      <c r="AB749" s="28"/>
      <c r="AC749" s="183"/>
      <c r="AD749" s="28"/>
      <c r="AE749" s="183"/>
      <c r="AF749" s="28"/>
      <c r="AG749" s="183"/>
      <c r="AH749" s="28"/>
      <c r="AI749" s="183"/>
      <c r="AJ749" s="28"/>
      <c r="AK749" s="183"/>
      <c r="AL749" s="28"/>
      <c r="AM749" s="183"/>
      <c r="AN749" s="468"/>
      <c r="AO749" s="183"/>
      <c r="AP749" s="468"/>
      <c r="AQ749" s="183"/>
      <c r="AR749" s="468"/>
      <c r="AS749" s="183"/>
      <c r="AT749" s="468"/>
      <c r="AU749" s="183"/>
      <c r="AV749" s="468"/>
      <c r="AW749" s="183"/>
      <c r="AX749" s="468"/>
      <c r="AY749" s="183"/>
      <c r="AZ749" s="468"/>
      <c r="BA749" s="183"/>
      <c r="BB749" s="468"/>
      <c r="BC749" s="183"/>
      <c r="BD749" s="468"/>
      <c r="BE749" s="183"/>
      <c r="BF749" s="28"/>
      <c r="BG749" s="183"/>
      <c r="BH749" s="28"/>
      <c r="BI749" s="183"/>
      <c r="BJ749" s="28"/>
      <c r="BK749" s="183"/>
      <c r="BL749" s="28"/>
      <c r="BM749" s="183"/>
      <c r="BR749" s="6"/>
      <c r="BS749" s="6"/>
      <c r="BT749" s="6"/>
      <c r="BU749" s="28"/>
      <c r="BV749" s="183"/>
      <c r="BW749" s="28"/>
      <c r="BX749" s="183"/>
      <c r="BY749" s="28"/>
      <c r="BZ749" s="183"/>
      <c r="CA749" s="28"/>
      <c r="CB749" s="183"/>
      <c r="CC749" s="28"/>
      <c r="CD749" s="183"/>
      <c r="CE749" s="28"/>
      <c r="CF749" s="183"/>
      <c r="CG749" s="28"/>
      <c r="CH749" s="183"/>
      <c r="CI749" s="28"/>
      <c r="CJ749" s="183"/>
      <c r="CK749" s="28"/>
      <c r="CL749" s="183"/>
      <c r="CM749" s="28"/>
      <c r="CN749" s="183"/>
      <c r="CO749" s="28"/>
      <c r="CP749" s="183"/>
      <c r="CQ749" s="28"/>
      <c r="CR749" s="183"/>
      <c r="CS749" s="183"/>
      <c r="CT749" s="28"/>
    </row>
    <row r="750" spans="1:99" ht="12.75" customHeight="1" x14ac:dyDescent="0.2">
      <c r="A750" s="14" t="s">
        <v>39</v>
      </c>
      <c r="B750" s="84">
        <f>(B734+B745)/B675*100</f>
        <v>0</v>
      </c>
      <c r="C750" s="83"/>
      <c r="D750" s="84">
        <f>(D734+D745)/D675*100</f>
        <v>0</v>
      </c>
      <c r="E750" s="83"/>
      <c r="F750" s="84">
        <f>(F734+F745)/F675*100</f>
        <v>0</v>
      </c>
      <c r="G750" s="83"/>
      <c r="H750" s="84">
        <f>(H734+H745)/H675*100</f>
        <v>0</v>
      </c>
      <c r="I750" s="83"/>
      <c r="J750" s="84">
        <f>(J734+J745)/J675*100</f>
        <v>0</v>
      </c>
      <c r="K750" s="23" t="str">
        <f t="shared" ref="K750:Y751" si="5040">IF(ISERROR((J750/B750-1)*100),"NA",IF(((J750/B750-1)*100)&gt;100,"NM",IF(((J750/B750-1)*100)&lt;-50,"NM",(J750/B750-1)*100)))</f>
        <v>NA</v>
      </c>
      <c r="L750" s="84">
        <f>(L734+L745)/L675*100</f>
        <v>0</v>
      </c>
      <c r="M750" s="23" t="str">
        <f t="shared" si="5040"/>
        <v>NA</v>
      </c>
      <c r="N750" s="84">
        <f>(N734+N745)/N675*100</f>
        <v>0</v>
      </c>
      <c r="O750" s="23" t="str">
        <f t="shared" si="5040"/>
        <v>NA</v>
      </c>
      <c r="P750" s="84">
        <f>(P734+P745)/P675*100</f>
        <v>0</v>
      </c>
      <c r="Q750" s="23" t="str">
        <f t="shared" si="5040"/>
        <v>NA</v>
      </c>
      <c r="R750" s="84">
        <f>(R734+R745)/R675*100</f>
        <v>0</v>
      </c>
      <c r="S750" s="23" t="str">
        <f t="shared" si="5040"/>
        <v>NA</v>
      </c>
      <c r="T750" s="84">
        <f>(T734+T745)/T675*100</f>
        <v>0</v>
      </c>
      <c r="U750" s="23" t="str">
        <f t="shared" si="5040"/>
        <v>NA</v>
      </c>
      <c r="V750" s="84">
        <f>(V734+V745)/V675*100</f>
        <v>0</v>
      </c>
      <c r="W750" s="23" t="str">
        <f t="shared" si="5040"/>
        <v>NA</v>
      </c>
      <c r="X750" s="84">
        <f>(X734+X745)/X675*100</f>
        <v>1.4832549362025751</v>
      </c>
      <c r="Y750" s="23" t="str">
        <f t="shared" si="5040"/>
        <v>NA</v>
      </c>
      <c r="Z750" s="84">
        <f>(Z734+Z745)/Z675*100</f>
        <v>159.2249855407749</v>
      </c>
      <c r="AA750" s="23" t="str">
        <f>IF(ISERROR((Z750/R750-1)*100),"NA",IF(((Z750/R750-1)*100)&gt;100,"NM",IF(((Z750/R750-1)*100)&lt;-50,"NM",(Z750/R750-1)*100)))</f>
        <v>NA</v>
      </c>
      <c r="AB750" s="84">
        <f>(AB734+AB745)/AB675*100</f>
        <v>16.292317547922927</v>
      </c>
      <c r="AC750" s="23" t="str">
        <f>IF(ISERROR((AB750/T750-1)*100),"NA",IF(((AB750/T750-1)*100)&gt;100,"NM",IF(((AB750/T750-1)*100)&lt;-50,"NM",(AB750/T750-1)*100)))</f>
        <v>NA</v>
      </c>
      <c r="AD750" s="84">
        <f>(AD734+AD745)/AD675*100</f>
        <v>172.84528839790249</v>
      </c>
      <c r="AE750" s="23" t="str">
        <f>IF(ISERROR((AD750/V750-1)*100),"NA",IF(((AD750/V750-1)*100)&gt;100,"NM",IF(((AD750/V750-1)*100)&lt;-50,"NM",(AD750/V750-1)*100)))</f>
        <v>NA</v>
      </c>
      <c r="AF750" s="84">
        <f>(AF734+AF745)/AF675*100</f>
        <v>80.649905332217898</v>
      </c>
      <c r="AG750" s="23" t="str">
        <f>IF(ISERROR((AF750/X750-1)*100),"NA",IF(((AF750/X750-1)*100)&gt;100,"NM",IF(((AF750/X750-1)*100)&lt;-50,"NM",(AF750/X750-1)*100)))</f>
        <v>NM</v>
      </c>
      <c r="AH750" s="84">
        <f>(AH734+AH745)/AH675*100</f>
        <v>327.04773098620342</v>
      </c>
      <c r="AI750" s="23" t="str">
        <f>IF(ISERROR((AH750/Z750-1)*100),"NA",IF(((AH750/Z750-1)*100)&gt;100,"NM",IF(((AH750/Z750-1)*100)&lt;-50,"NM",(AH750/Z750-1)*100)))</f>
        <v>NM</v>
      </c>
      <c r="AJ750" s="84">
        <f>(AJ734+AJ745)/AJ675*100</f>
        <v>70.732634138926855</v>
      </c>
      <c r="AK750" s="23" t="str">
        <f>IF(ISERROR((AJ750/AB750-1)*100),"NA",IF(((AJ750/AB750-1)*100)&gt;100,"NM",IF(((AJ750/AB750-1)*100)&lt;-50,"NM",(AJ750/AB750-1)*100)))</f>
        <v>NM</v>
      </c>
      <c r="AL750" s="84">
        <f>(AL734+AL745)/AL675*100</f>
        <v>308.43801062091563</v>
      </c>
      <c r="AM750" s="23">
        <f>IF(ISERROR((AL750/AD750-1)*100),"NA",IF(((AL750/AD750-1)*100)&gt;100,"NM",IF(((AL750/AD750-1)*100)&lt;-50,"NM",(AL750/AD750-1)*100)))</f>
        <v>78.447450595742481</v>
      </c>
      <c r="AN750" s="471">
        <f>(AN734+AN745)/AN675*100</f>
        <v>153.55011569845328</v>
      </c>
      <c r="AO750" s="23">
        <f>IF(ISERROR((AN750/AF750-1)*100),"NA",IF(((AN750/AF750-1)*100)&gt;100,"NM",IF(((AN750/AF750-1)*100)&lt;-50,"NM",(AN750/AF750-1)*100)))</f>
        <v>90.390943505687332</v>
      </c>
      <c r="AP750" s="471">
        <f>(AP734+AP745)/AP675*100</f>
        <v>333.26980792317016</v>
      </c>
      <c r="AQ750" s="23">
        <f t="shared" ref="AQ750:AQ751" si="5041">IF(ISERROR((AP750/AH750-1)*100),"NA",IF(((AP750/AH750-1)*100)&gt;100,"NM",IF(((AP750/AH750-1)*100)&lt;-50,"NM",(AP750/AH750-1)*100)))</f>
        <v>1.9024981210553626</v>
      </c>
      <c r="AR750" s="471">
        <f>(AR734+AR745)/AR675*100</f>
        <v>112.45548567964838</v>
      </c>
      <c r="AS750" s="23">
        <f t="shared" ref="AS750:AS751" si="5042">IF(ISERROR((AR750/AJ750-1)*100),"NA",IF(((AR750/AJ750-1)*100)&gt;100,"NM",IF(((AR750/AJ750-1)*100)&lt;-50,"NM",(AR750/AJ750-1)*100)))</f>
        <v>58.986706841389712</v>
      </c>
      <c r="AT750" s="471">
        <f>(AT734+AT745)/AT675*100</f>
        <v>168.46380601977049</v>
      </c>
      <c r="AU750" s="23">
        <f t="shared" ref="AU750:AU751" si="5043">IF(ISERROR((AT750/AL750-1)*100),"NA",IF(((AT750/AL750-1)*100)&gt;100,"NM",IF(((AT750/AL750-1)*100)&lt;-50,"NM",(AT750/AL750-1)*100)))</f>
        <v>-45.38163254242351</v>
      </c>
      <c r="AV750" s="471">
        <f>(AV734+AV745)/AV675*100</f>
        <v>199.60764547754607</v>
      </c>
      <c r="AW750" s="23">
        <f t="shared" ref="AW750:AW751" si="5044">IF(ISERROR((AV750/AN750-1)*100),"NA",IF(((AV750/AN750-1)*100)&gt;100,"NM",IF(((AV750/AN750-1)*100)&lt;-50,"NM",(AV750/AN750-1)*100)))</f>
        <v>29.99511239023882</v>
      </c>
      <c r="AX750" s="471">
        <f>(AX734+AX745)/AX675*100</f>
        <v>275.46585225512382</v>
      </c>
      <c r="AY750" s="23">
        <f t="shared" ref="AY750:AY751" si="5045">IF(ISERROR((AX750/AP750-1)*100),"NA",IF(((AX750/AP750-1)*100)&gt;100,"NM",IF(((AX750/AP750-1)*100)&lt;-50,"NM",(AX750/AP750-1)*100)))</f>
        <v>-17.344492148347289</v>
      </c>
      <c r="AZ750" s="471">
        <f>(AZ734+AZ745)/AZ675*100</f>
        <v>304.52246283128648</v>
      </c>
      <c r="BA750" s="23" t="str">
        <f t="shared" ref="BA750:BA751" si="5046">IF(ISERROR((AZ750/AR750-1)*100),"NA",IF(((AZ750/AR750-1)*100)&gt;100,"NM",IF(((AZ750/AR750-1)*100)&lt;-50,"NM",(AZ750/AR750-1)*100)))</f>
        <v>NM</v>
      </c>
      <c r="BB750" s="471">
        <f>(BB734+BB745)/BB675*100</f>
        <v>1.5398122509623822</v>
      </c>
      <c r="BC750" s="23" t="str">
        <f t="shared" ref="BC750:BC751" si="5047">IF(ISERROR((BB750/AT750-1)*100),"NA",IF(((BB750/AT750-1)*100)&gt;100,"NM",IF(((BB750/AT750-1)*100)&lt;-50,"NM",(BB750/AT750-1)*100)))</f>
        <v>NM</v>
      </c>
      <c r="BD750" s="471">
        <f>(BD734+BD745)/BD675*100</f>
        <v>276.17578499931449</v>
      </c>
      <c r="BE750" s="23">
        <f t="shared" ref="BE750:BE751" si="5048">IF(ISERROR((BD750/AV750-1)*100),"NA",IF(((BD750/AV750-1)*100)&gt;100,"NM",IF(((BD750/AV750-1)*100)&lt;-50,"NM",(BD750/AV750-1)*100)))</f>
        <v>38.359322028264486</v>
      </c>
      <c r="BF750" s="84">
        <f t="shared" ref="BF750" si="5049">(BF734+BF745)/BF675*100</f>
        <v>235.90409330797425</v>
      </c>
      <c r="BG750" s="23">
        <f t="shared" ref="BG750:BG751" si="5050">IF(ISERROR((BF750/AX750-1)*100),"NA",IF(((BF750/AX750-1)*100)&gt;100,"NM",IF(((BF750/AX750-1)*100)&lt;-50,"NM",(BF750/AX750-1)*100)))</f>
        <v>-14.361765214553445</v>
      </c>
      <c r="BH750" s="84">
        <f t="shared" ref="BH750" si="5051">(BH734+BH745)/BH675*100</f>
        <v>145.03680078233995</v>
      </c>
      <c r="BI750" s="23" t="str">
        <f t="shared" ref="BI750:BI751" si="5052">IF(ISERROR((BH750/AZ750-1)*100),"NA",IF(((BH750/AZ750-1)*100)&gt;100,"NM",IF(((BH750/AZ750-1)*100)&lt;-50,"NM",(BH750/AZ750-1)*100)))</f>
        <v>NM</v>
      </c>
      <c r="BJ750" s="84">
        <f t="shared" ref="BJ750" si="5053">(BJ734+BJ745)/BJ675*100</f>
        <v>136.64208786994797</v>
      </c>
      <c r="BK750" s="23" t="str">
        <f t="shared" ref="BK750:BK751" si="5054">IF(ISERROR((BJ750/BB750-1)*100),"NA",IF(((BJ750/BB750-1)*100)&gt;100,"NM",IF(((BJ750/BB750-1)*100)&lt;-50,"NM",(BJ750/BB750-1)*100)))</f>
        <v>NM</v>
      </c>
      <c r="BL750" s="84">
        <f t="shared" ref="BL750" si="5055">(BL734+BL745)/BL675*100</f>
        <v>130.83144581679375</v>
      </c>
      <c r="BM750" s="23" t="str">
        <f t="shared" ref="BM750:BM751" si="5056">IF(ISERROR((BL750/BD750-1)*100),"NA",IF(((BL750/BD750-1)*100)&gt;100,"NM",IF(((BL750/BD750-1)*100)&lt;-50,"NM",(BL750/BD750-1)*100)))</f>
        <v>NM</v>
      </c>
      <c r="BR750" s="6"/>
      <c r="BS750" s="6"/>
      <c r="BT750" s="6"/>
      <c r="BU750" s="84">
        <f>(BU734+BU745)/BU675*100</f>
        <v>0</v>
      </c>
      <c r="BV750" s="23" t="str">
        <f t="shared" ref="BV750:CR751" si="5057">IF(ISERROR((BU750/BS750-1)*100),"NA",IF(((BU750/BS750-1)*100)&gt;100,"NM",IF(((BU750/BS750-1)*100)&lt;-50,"NM",(BU750/BS750-1)*100)))</f>
        <v>NA</v>
      </c>
      <c r="BW750" s="84">
        <f>(BW734+BW745)/BW675*100</f>
        <v>0</v>
      </c>
      <c r="BX750" s="23" t="str">
        <f t="shared" si="5057"/>
        <v>NA</v>
      </c>
      <c r="BY750" s="84">
        <f>(BY734+BY745)/BY675*100</f>
        <v>0.37846411074811309</v>
      </c>
      <c r="BZ750" s="23" t="str">
        <f t="shared" si="5057"/>
        <v>NA</v>
      </c>
      <c r="CA750" s="84">
        <f>(CA734+CA745)/CA675*100</f>
        <v>102.48449392274456</v>
      </c>
      <c r="CB750" s="23" t="str">
        <f t="shared" si="5057"/>
        <v>NM</v>
      </c>
      <c r="CC750" s="84">
        <f>(CC734+CC745)/CC675*100</f>
        <v>214.52681912610512</v>
      </c>
      <c r="CD750" s="23" t="str">
        <f t="shared" si="5057"/>
        <v>NM</v>
      </c>
      <c r="CE750" s="84">
        <f>(CE734+CE745)/CE675*100</f>
        <v>191.06928754496158</v>
      </c>
      <c r="CF750" s="23">
        <f t="shared" si="5057"/>
        <v>-10.934545003137586</v>
      </c>
      <c r="CG750" s="84">
        <f>(CG734+CG745)/CG675*100</f>
        <v>215.37868274086202</v>
      </c>
      <c r="CH750" s="23">
        <f t="shared" si="5057"/>
        <v>12.722816685114857</v>
      </c>
      <c r="CI750" s="84">
        <f>(CI734+CI745)/CI675*100</f>
        <v>158.25087334401934</v>
      </c>
      <c r="CJ750" s="23">
        <f t="shared" si="5057"/>
        <v>-26.524356389335601</v>
      </c>
      <c r="CK750" s="84">
        <f>(CK734+CK745)/CK675*100</f>
        <v>76.831516446268523</v>
      </c>
      <c r="CL750" s="23" t="str">
        <f t="shared" si="5057"/>
        <v>NM</v>
      </c>
      <c r="CM750" s="84">
        <f>(CM734+CM745)/CM675*100</f>
        <v>73.405912389633968</v>
      </c>
      <c r="CN750" s="23">
        <f t="shared" si="5057"/>
        <v>-4.4585922744740047</v>
      </c>
      <c r="CO750" s="84">
        <f>(CO734+CO745)/CO675*100</f>
        <v>70.34530086641476</v>
      </c>
      <c r="CP750" s="23">
        <f t="shared" si="5057"/>
        <v>-4.1694346185272906</v>
      </c>
      <c r="CQ750" s="84">
        <f>(CQ734+CQ745)/CQ675*100</f>
        <v>67.555352462458856</v>
      </c>
      <c r="CR750" s="23">
        <f t="shared" si="5057"/>
        <v>-3.9660764394966463</v>
      </c>
      <c r="CS750" s="23">
        <f>IF(ISERROR(((CQ750/CG750)^0.2-1)*100),"NA",IF((((CQ750/CG750)^0.2-1)*100)&gt;100,"NM",IF((((CQ750/CG750)^0.2-1)*100)&lt;-50,"NM",((CQ750/CG750)^0.2-1)*100)))</f>
        <v>-20.696672642641978</v>
      </c>
      <c r="CT750" s="28"/>
    </row>
    <row r="751" spans="1:99" ht="12.75" customHeight="1" x14ac:dyDescent="0.2">
      <c r="A751" s="14" t="s">
        <v>40</v>
      </c>
      <c r="B751" s="84">
        <f>(B734+B745)/B694*100</f>
        <v>0</v>
      </c>
      <c r="C751" s="83"/>
      <c r="D751" s="84">
        <f>(D734+D745)/D694*100</f>
        <v>0</v>
      </c>
      <c r="E751" s="83"/>
      <c r="F751" s="84">
        <f>(F734+F745)/F694*100</f>
        <v>0</v>
      </c>
      <c r="G751" s="83"/>
      <c r="H751" s="84">
        <f>(H734+H745)/H694*100</f>
        <v>0</v>
      </c>
      <c r="I751" s="83"/>
      <c r="J751" s="84">
        <f>(J734+J745)/J694*100</f>
        <v>0</v>
      </c>
      <c r="K751" s="23" t="str">
        <f t="shared" si="5040"/>
        <v>NA</v>
      </c>
      <c r="L751" s="84">
        <f>(L734+L745)/L694*100</f>
        <v>0</v>
      </c>
      <c r="M751" s="23" t="str">
        <f t="shared" si="5040"/>
        <v>NA</v>
      </c>
      <c r="N751" s="84">
        <f>(N734+N745)/N694*100</f>
        <v>0</v>
      </c>
      <c r="O751" s="23" t="str">
        <f t="shared" si="5040"/>
        <v>NA</v>
      </c>
      <c r="P751" s="84">
        <f>(P734+P745)/P694*100</f>
        <v>0</v>
      </c>
      <c r="Q751" s="23" t="str">
        <f t="shared" si="5040"/>
        <v>NA</v>
      </c>
      <c r="R751" s="84">
        <f>(R734+R745)/R694*100</f>
        <v>0</v>
      </c>
      <c r="S751" s="23" t="str">
        <f t="shared" si="5040"/>
        <v>NA</v>
      </c>
      <c r="T751" s="84">
        <f>(T734+T745)/T694*100</f>
        <v>0</v>
      </c>
      <c r="U751" s="23" t="str">
        <f t="shared" si="5040"/>
        <v>NA</v>
      </c>
      <c r="V751" s="84">
        <f>(V734+V745)/V694*100</f>
        <v>0</v>
      </c>
      <c r="W751" s="23" t="str">
        <f t="shared" si="5040"/>
        <v>NA</v>
      </c>
      <c r="X751" s="84">
        <f>(X734+X745)/X694*100</f>
        <v>0.48038679073161827</v>
      </c>
      <c r="Y751" s="23" t="str">
        <f t="shared" si="5040"/>
        <v>NA</v>
      </c>
      <c r="Z751" s="84">
        <f>(Z734+Z745)/Z694*100</f>
        <v>101.33087950406809</v>
      </c>
      <c r="AA751" s="23" t="str">
        <f>IF(ISERROR((Z751/R751-1)*100),"NA",IF(((Z751/R751-1)*100)&gt;100,"NM",IF(((Z751/R751-1)*100)&lt;-50,"NM",(Z751/R751-1)*100)))</f>
        <v>NA</v>
      </c>
      <c r="AB751" s="84">
        <f>(AB734+AB745)/AB694*100</f>
        <v>13.320709105560024</v>
      </c>
      <c r="AC751" s="23" t="str">
        <f>IF(ISERROR((AB751/T751-1)*100),"NA",IF(((AB751/T751-1)*100)&gt;100,"NM",IF(((AB751/T751-1)*100)&lt;-50,"NM",(AB751/T751-1)*100)))</f>
        <v>NA</v>
      </c>
      <c r="AD751" s="84">
        <f>(AD734+AD745)/AD694*100</f>
        <v>79.46390736634639</v>
      </c>
      <c r="AE751" s="23" t="str">
        <f>IF(ISERROR((AD751/V751-1)*100),"NA",IF(((AD751/V751-1)*100)&gt;100,"NM",IF(((AD751/V751-1)*100)&lt;-50,"NM",(AD751/V751-1)*100)))</f>
        <v>NA</v>
      </c>
      <c r="AF751" s="84">
        <f>(AF734+AF745)/AF694*100</f>
        <v>13.283341794183769</v>
      </c>
      <c r="AG751" s="23" t="str">
        <f>IF(ISERROR((AF751/X751-1)*100),"NA",IF(((AF751/X751-1)*100)&gt;100,"NM",IF(((AF751/X751-1)*100)&lt;-50,"NM",(AF751/X751-1)*100)))</f>
        <v>NM</v>
      </c>
      <c r="AH751" s="84">
        <f>(AH734+AH745)/AH694*100</f>
        <v>333.84659989457043</v>
      </c>
      <c r="AI751" s="23" t="str">
        <f>IF(ISERROR((AH751/Z751-1)*100),"NA",IF(((AH751/Z751-1)*100)&gt;100,"NM",IF(((AH751/Z751-1)*100)&lt;-50,"NM",(AH751/Z751-1)*100)))</f>
        <v>NM</v>
      </c>
      <c r="AJ751" s="84">
        <f>(AJ734+AJ745)/AJ694*100</f>
        <v>45.686535764375868</v>
      </c>
      <c r="AK751" s="23" t="str">
        <f>IF(ISERROR((AJ751/AB751-1)*100),"NA",IF(((AJ751/AB751-1)*100)&gt;100,"NM",IF(((AJ751/AB751-1)*100)&lt;-50,"NM",(AJ751/AB751-1)*100)))</f>
        <v>NM</v>
      </c>
      <c r="AL751" s="84">
        <f>(AL734+AL745)/AL694*100</f>
        <v>1196.1287128712906</v>
      </c>
      <c r="AM751" s="23" t="str">
        <f>IF(ISERROR((AL751/AD751-1)*100),"NA",IF(((AL751/AD751-1)*100)&gt;100,"NM",IF(((AL751/AD751-1)*100)&lt;-50,"NM",(AL751/AD751-1)*100)))</f>
        <v>NM</v>
      </c>
      <c r="AN751" s="471">
        <f>(AN734+AN745)/AN694*100</f>
        <v>-235.88400374181489</v>
      </c>
      <c r="AO751" s="23" t="str">
        <f>IF(ISERROR((AN751/AF751-1)*100),"NA",IF(((AN751/AF751-1)*100)&gt;100,"NM",IF(((AN751/AF751-1)*100)&lt;-50,"NM",(AN751/AF751-1)*100)))</f>
        <v>NM</v>
      </c>
      <c r="AP751" s="471">
        <f>(AP734+AP745)/AP694*100</f>
        <v>146.11250000000021</v>
      </c>
      <c r="AQ751" s="23" t="str">
        <f t="shared" si="5041"/>
        <v>NM</v>
      </c>
      <c r="AR751" s="471">
        <f>(AR734+AR745)/AR694*100</f>
        <v>103.15812337098174</v>
      </c>
      <c r="AS751" s="23" t="str">
        <f t="shared" si="5042"/>
        <v>NM</v>
      </c>
      <c r="AT751" s="471">
        <f>(AT734+AT745)/AT694*100</f>
        <v>-44.513909224011691</v>
      </c>
      <c r="AU751" s="23" t="str">
        <f t="shared" si="5043"/>
        <v>NM</v>
      </c>
      <c r="AV751" s="471">
        <f>(AV734+AV745)/AV694*100</f>
        <v>-33.882066767320914</v>
      </c>
      <c r="AW751" s="23" t="str">
        <f t="shared" si="5044"/>
        <v>NM</v>
      </c>
      <c r="AX751" s="471">
        <f>(AX734+AX745)/AX694*100</f>
        <v>-113.77696526508221</v>
      </c>
      <c r="AY751" s="23" t="str">
        <f t="shared" si="5045"/>
        <v>NM</v>
      </c>
      <c r="AZ751" s="471">
        <f>(AZ734+AZ745)/AZ694*100</f>
        <v>290.35208012326683</v>
      </c>
      <c r="BA751" s="23" t="str">
        <f t="shared" si="5046"/>
        <v>NM</v>
      </c>
      <c r="BB751" s="471">
        <f>(BB734+BB745)/BB694*100</f>
        <v>1.0604651162790695</v>
      </c>
      <c r="BC751" s="23" t="str">
        <f t="shared" si="5047"/>
        <v>NM</v>
      </c>
      <c r="BD751" s="471">
        <f>(BD734+BD745)/BD694*100</f>
        <v>292.96727272727281</v>
      </c>
      <c r="BE751" s="23" t="str">
        <f t="shared" si="5048"/>
        <v>NM</v>
      </c>
      <c r="BF751" s="84">
        <f>(BF734+BF745)/BF694*100</f>
        <v>165.81068028653786</v>
      </c>
      <c r="BG751" s="23" t="str">
        <f t="shared" si="5050"/>
        <v>NM</v>
      </c>
      <c r="BH751" s="84">
        <f t="shared" ref="BH751" si="5058">(BH734+BH745)/BH694*100</f>
        <v>109.22502988684923</v>
      </c>
      <c r="BI751" s="23" t="str">
        <f t="shared" si="5052"/>
        <v>NM</v>
      </c>
      <c r="BJ751" s="84">
        <f t="shared" ref="BJ751" si="5059">(BJ734+BJ745)/BJ694*100</f>
        <v>131.47779837500738</v>
      </c>
      <c r="BK751" s="23" t="str">
        <f t="shared" si="5054"/>
        <v>NM</v>
      </c>
      <c r="BL751" s="84">
        <f t="shared" ref="BL751" si="5060">(BL734+BL745)/BL694*100</f>
        <v>125.54256304040817</v>
      </c>
      <c r="BM751" s="23" t="str">
        <f t="shared" si="5056"/>
        <v>NM</v>
      </c>
      <c r="BR751" s="6"/>
      <c r="BS751" s="6"/>
      <c r="BT751" s="6"/>
      <c r="BU751" s="84">
        <f>(BU734+BU745)/BU694*100</f>
        <v>0</v>
      </c>
      <c r="BV751" s="23" t="str">
        <f t="shared" si="5057"/>
        <v>NA</v>
      </c>
      <c r="BW751" s="84">
        <f>(BW734+BW745)/BW694*100</f>
        <v>0</v>
      </c>
      <c r="BX751" s="23" t="str">
        <f t="shared" si="5057"/>
        <v>NA</v>
      </c>
      <c r="BY751" s="84">
        <f>(BY734+BY745)/BY694*100</f>
        <v>0.41924741924741926</v>
      </c>
      <c r="BZ751" s="23" t="str">
        <f t="shared" si="5057"/>
        <v>NA</v>
      </c>
      <c r="CA751" s="84">
        <f>(CA734+CA745)/CA694*100</f>
        <v>34.931037492907329</v>
      </c>
      <c r="CB751" s="23" t="str">
        <f t="shared" si="5057"/>
        <v>NM</v>
      </c>
      <c r="CC751" s="84">
        <f>(CC734+CC745)/CC694*100</f>
        <v>367.04236043095028</v>
      </c>
      <c r="CD751" s="23" t="str">
        <f t="shared" si="5057"/>
        <v>NM</v>
      </c>
      <c r="CE751" s="84">
        <f>(CE734+CE745)/CE694*100</f>
        <v>-103.62595078299783</v>
      </c>
      <c r="CF751" s="23" t="str">
        <f t="shared" si="5057"/>
        <v>NM</v>
      </c>
      <c r="CG751" s="84">
        <f>(CG734+CG745)/CG694*100</f>
        <v>467.33560090702883</v>
      </c>
      <c r="CH751" s="23" t="str">
        <f t="shared" si="5057"/>
        <v>NM</v>
      </c>
      <c r="CI751" s="84">
        <f>(CI734+CI745)/CI694*100</f>
        <v>132.61178485111341</v>
      </c>
      <c r="CJ751" s="23" t="str">
        <f t="shared" si="5057"/>
        <v>NM</v>
      </c>
      <c r="CK751" s="84">
        <f>(CK734+CK745)/CK694*100</f>
        <v>74.487999449119087</v>
      </c>
      <c r="CL751" s="23">
        <f t="shared" si="5057"/>
        <v>-43.830030239960472</v>
      </c>
      <c r="CM751" s="84">
        <f>(CM734+CM745)/CM694*100</f>
        <v>71.336497330042349</v>
      </c>
      <c r="CN751" s="23">
        <f t="shared" si="5057"/>
        <v>-4.2308857029103697</v>
      </c>
      <c r="CO751" s="84">
        <f>(CO734+CO745)/CO694*100</f>
        <v>68.508044796695344</v>
      </c>
      <c r="CP751" s="23">
        <f t="shared" si="5057"/>
        <v>-3.9649445083643653</v>
      </c>
      <c r="CQ751" s="84">
        <f>(CQ734+CQ745)/CQ694*100</f>
        <v>65.919033567667498</v>
      </c>
      <c r="CR751" s="23">
        <f t="shared" si="5057"/>
        <v>-3.779134606323975</v>
      </c>
      <c r="CS751" s="23">
        <f>IF(ISERROR(((CQ751/CG751)^0.2-1)*100),"NA",IF((((CQ751/CG751)^0.2-1)*100)&gt;100,"NM",IF((((CQ751/CG751)^0.2-1)*100)&lt;-50,"NM",((CQ751/CG751)^0.2-1)*100)))</f>
        <v>-32.410942088285267</v>
      </c>
      <c r="CT751" s="28"/>
    </row>
    <row r="752" spans="1:99" ht="12.75" customHeight="1" x14ac:dyDescent="0.2">
      <c r="A752" s="14"/>
      <c r="B752" s="28"/>
      <c r="C752" s="83"/>
      <c r="D752" s="28"/>
      <c r="E752" s="83"/>
      <c r="F752" s="28"/>
      <c r="G752" s="83"/>
      <c r="H752" s="28"/>
      <c r="I752" s="83"/>
      <c r="J752" s="28"/>
      <c r="K752" s="184"/>
      <c r="L752" s="28"/>
      <c r="M752" s="184"/>
      <c r="N752" s="28"/>
      <c r="O752" s="184"/>
      <c r="P752" s="28"/>
      <c r="Q752" s="184"/>
      <c r="R752" s="28"/>
      <c r="S752" s="184"/>
      <c r="T752" s="28"/>
      <c r="U752" s="184"/>
      <c r="V752" s="28"/>
      <c r="W752" s="184"/>
      <c r="X752" s="28"/>
      <c r="Y752" s="184"/>
      <c r="Z752" s="28"/>
      <c r="AA752" s="184"/>
      <c r="AB752" s="28"/>
      <c r="AC752" s="184"/>
      <c r="AD752" s="28"/>
      <c r="AE752" s="184"/>
      <c r="AF752" s="28"/>
      <c r="AG752" s="184"/>
      <c r="AH752" s="28"/>
      <c r="AI752" s="184"/>
      <c r="AJ752" s="28"/>
      <c r="AK752" s="184"/>
      <c r="AL752" s="28"/>
      <c r="AM752" s="184"/>
      <c r="AN752" s="468"/>
      <c r="AO752" s="184"/>
      <c r="AP752" s="468"/>
      <c r="AQ752" s="184"/>
      <c r="AR752" s="468"/>
      <c r="AS752" s="184"/>
      <c r="AT752" s="468"/>
      <c r="AU752" s="184"/>
      <c r="AV752" s="468"/>
      <c r="AW752" s="184"/>
      <c r="AX752" s="468"/>
      <c r="AY752" s="184"/>
      <c r="AZ752" s="468"/>
      <c r="BA752" s="184"/>
      <c r="BB752" s="468"/>
      <c r="BC752" s="184"/>
      <c r="BD752" s="468"/>
      <c r="BE752" s="184"/>
      <c r="BF752" s="28"/>
      <c r="BG752" s="184"/>
      <c r="BH752" s="28"/>
      <c r="BI752" s="184"/>
      <c r="BJ752" s="28"/>
      <c r="BK752" s="184"/>
      <c r="BL752" s="28"/>
      <c r="BM752" s="184"/>
      <c r="BR752" s="6"/>
      <c r="BS752" s="6"/>
      <c r="BT752" s="6"/>
      <c r="BU752" s="28"/>
      <c r="BV752" s="184"/>
      <c r="BW752" s="28"/>
      <c r="BX752" s="184"/>
      <c r="BY752" s="28"/>
      <c r="BZ752" s="184"/>
      <c r="CA752" s="28"/>
      <c r="CB752" s="184"/>
      <c r="CC752" s="28"/>
      <c r="CD752" s="184"/>
      <c r="CE752" s="28"/>
      <c r="CF752" s="184"/>
      <c r="CG752" s="28"/>
      <c r="CH752" s="184"/>
      <c r="CI752" s="28"/>
      <c r="CJ752" s="184"/>
      <c r="CK752" s="28"/>
      <c r="CL752" s="184"/>
      <c r="CM752" s="28"/>
      <c r="CN752" s="184"/>
      <c r="CO752" s="28"/>
      <c r="CP752" s="184"/>
      <c r="CQ752" s="28"/>
      <c r="CR752" s="184"/>
      <c r="CS752" s="184"/>
      <c r="CT752" s="28"/>
    </row>
    <row r="753" spans="1:105" ht="12.75" customHeight="1" x14ac:dyDescent="0.2">
      <c r="A753" s="45" t="s">
        <v>41</v>
      </c>
      <c r="B753" s="94">
        <v>230</v>
      </c>
      <c r="C753" s="83"/>
      <c r="D753" s="94">
        <v>230</v>
      </c>
      <c r="E753" s="83"/>
      <c r="F753" s="94">
        <v>230</v>
      </c>
      <c r="G753" s="83"/>
      <c r="H753" s="94">
        <v>230</v>
      </c>
      <c r="I753" s="83"/>
      <c r="J753" s="94">
        <v>230</v>
      </c>
      <c r="K753" s="23">
        <f t="shared" ref="K753:Y756" si="5061">IF(ISERROR((J753/B753-1)*100),"NA",IF(((J753/B753-1)*100)&gt;100,"NM",IF(((J753/B753-1)*100)&lt;-50,"NM",(J753/B753-1)*100)))</f>
        <v>0</v>
      </c>
      <c r="L753" s="94">
        <v>230</v>
      </c>
      <c r="M753" s="23">
        <f t="shared" si="5061"/>
        <v>0</v>
      </c>
      <c r="N753" s="94">
        <v>230</v>
      </c>
      <c r="O753" s="23">
        <f t="shared" si="5061"/>
        <v>0</v>
      </c>
      <c r="P753" s="94">
        <v>230</v>
      </c>
      <c r="Q753" s="23">
        <f t="shared" si="5061"/>
        <v>0</v>
      </c>
      <c r="R753" s="94">
        <v>230.07911999999999</v>
      </c>
      <c r="S753" s="23">
        <f t="shared" si="5061"/>
        <v>3.4399999999989994E-2</v>
      </c>
      <c r="T753" s="94">
        <v>260.8</v>
      </c>
      <c r="U753" s="23">
        <f t="shared" si="5061"/>
        <v>13.391304347826093</v>
      </c>
      <c r="V753" s="94">
        <v>260.8</v>
      </c>
      <c r="W753" s="23">
        <f t="shared" si="5061"/>
        <v>13.391304347826093</v>
      </c>
      <c r="X753" s="94">
        <v>261.7</v>
      </c>
      <c r="Y753" s="23">
        <f t="shared" si="5061"/>
        <v>13.782608695652176</v>
      </c>
      <c r="Z753" s="94">
        <v>254.7</v>
      </c>
      <c r="AA753" s="23">
        <f>IF(ISERROR((Z753/R753-1)*100),"NA",IF(((Z753/R753-1)*100)&gt;100,"NM",IF(((Z753/R753-1)*100)&lt;-50,"NM",(Z753/R753-1)*100)))</f>
        <v>10.701049273832419</v>
      </c>
      <c r="AB753" s="94">
        <v>254.6</v>
      </c>
      <c r="AC753" s="23">
        <f>IF(ISERROR((AB753/T753-1)*100),"NA",IF(((AB753/T753-1)*100)&gt;100,"NM",IF(((AB753/T753-1)*100)&lt;-50,"NM",(AB753/T753-1)*100)))</f>
        <v>-2.3773006134969354</v>
      </c>
      <c r="AD753" s="94">
        <v>246.4</v>
      </c>
      <c r="AE753" s="23">
        <f>IF(ISERROR((AD753/V753-1)*100),"NA",IF(((AD753/V753-1)*100)&gt;100,"NM",IF(((AD753/V753-1)*100)&lt;-50,"NM",(AD753/V753-1)*100)))</f>
        <v>-5.5214723926380387</v>
      </c>
      <c r="AF753" s="94">
        <v>241.9</v>
      </c>
      <c r="AG753" s="23">
        <f>IF(ISERROR((AF753/X753-1)*100),"NA",IF(((AF753/X753-1)*100)&gt;100,"NM",IF(((AF753/X753-1)*100)&lt;-50,"NM",(AF753/X753-1)*100)))</f>
        <v>-7.5659151700420253</v>
      </c>
      <c r="AH753" s="94">
        <v>229</v>
      </c>
      <c r="AI753" s="23">
        <f>IF(ISERROR((AH753/Z753-1)*100),"NA",IF(((AH753/Z753-1)*100)&gt;100,"NM",IF(((AH753/Z753-1)*100)&lt;-50,"NM",(AH753/Z753-1)*100)))</f>
        <v>-10.090302316450728</v>
      </c>
      <c r="AJ753" s="94">
        <v>226.3</v>
      </c>
      <c r="AK753" s="23">
        <f>IF(ISERROR((AJ753/AB753-1)*100),"NA",IF(((AJ753/AB753-1)*100)&gt;100,"NM",IF(((AJ753/AB753-1)*100)&lt;-50,"NM",(AJ753/AB753-1)*100)))</f>
        <v>-11.115475255302432</v>
      </c>
      <c r="AL753" s="94">
        <v>215.3</v>
      </c>
      <c r="AM753" s="23">
        <f>IF(ISERROR((AL753/AD753-1)*100),"NA",IF(((AL753/AD753-1)*100)&gt;100,"NM",IF(((AL753/AD753-1)*100)&lt;-50,"NM",(AL753/AD753-1)*100)))</f>
        <v>-12.621753246753242</v>
      </c>
      <c r="AN753" s="472">
        <v>209.1</v>
      </c>
      <c r="AO753" s="23">
        <f>IF(ISERROR((AN753/AF753-1)*100),"NA",IF(((AN753/AF753-1)*100)&gt;100,"NM",IF(((AN753/AF753-1)*100)&lt;-50,"NM",(AN753/AF753-1)*100)))</f>
        <v>-13.559322033898313</v>
      </c>
      <c r="AP753" s="472">
        <v>204</v>
      </c>
      <c r="AQ753" s="23">
        <f t="shared" ref="AQ753:AQ756" si="5062">IF(ISERROR((AP753/AH753-1)*100),"NA",IF(((AP753/AH753-1)*100)&gt;100,"NM",IF(((AP753/AH753-1)*100)&lt;-50,"NM",(AP753/AH753-1)*100)))</f>
        <v>-10.917030567685593</v>
      </c>
      <c r="AR753" s="472">
        <v>200.2</v>
      </c>
      <c r="AS753" s="23">
        <f t="shared" ref="AS753:AS756" si="5063">IF(ISERROR((AR753/AJ753-1)*100),"NA",IF(((AR753/AJ753-1)*100)&gt;100,"NM",IF(((AR753/AJ753-1)*100)&lt;-50,"NM",(AR753/AJ753-1)*100)))</f>
        <v>-11.533362792752989</v>
      </c>
      <c r="AT753" s="472">
        <v>194.6</v>
      </c>
      <c r="AU753" s="23">
        <f t="shared" ref="AU753:AU756" si="5064">IF(ISERROR((AT753/AL753-1)*100),"NA",IF(((AT753/AL753-1)*100)&gt;100,"NM",IF(((AT753/AL753-1)*100)&lt;-50,"NM",(AT753/AL753-1)*100)))</f>
        <v>-9.6144914073386101</v>
      </c>
      <c r="AV753" s="472">
        <v>194.6</v>
      </c>
      <c r="AW753" s="23">
        <f t="shared" ref="AW753:AW756" si="5065">IF(ISERROR((AV753/AN753-1)*100),"NA",IF(((AV753/AN753-1)*100)&gt;100,"NM",IF(((AV753/AN753-1)*100)&lt;-50,"NM",(AV753/AN753-1)*100)))</f>
        <v>-6.9344811095169767</v>
      </c>
      <c r="AX753" s="472">
        <v>189.9</v>
      </c>
      <c r="AY753" s="23">
        <f t="shared" ref="AY753:AY756" si="5066">IF(ISERROR((AX753/AP753-1)*100),"NA",IF(((AX753/AP753-1)*100)&gt;100,"NM",IF(((AX753/AP753-1)*100)&lt;-50,"NM",(AX753/AP753-1)*100)))</f>
        <v>-6.9117647058823506</v>
      </c>
      <c r="AZ753" s="472">
        <v>179.7</v>
      </c>
      <c r="BA753" s="23">
        <f t="shared" ref="BA753:BA756" si="5067">IF(ISERROR((AZ753/AR753-1)*100),"NA",IF(((AZ753/AR753-1)*100)&gt;100,"NM",IF(((AZ753/AR753-1)*100)&lt;-50,"NM",(AZ753/AR753-1)*100)))</f>
        <v>-10.239760239760242</v>
      </c>
      <c r="BB753" s="472">
        <v>179.7</v>
      </c>
      <c r="BC753" s="23">
        <f t="shared" ref="BC753:BC756" si="5068">IF(ISERROR((BB753/AT753-1)*100),"NA",IF(((BB753/AT753-1)*100)&gt;100,"NM",IF(((BB753/AT753-1)*100)&lt;-50,"NM",(BB753/AT753-1)*100)))</f>
        <v>-7.6567317574511851</v>
      </c>
      <c r="BD753" s="472">
        <v>172</v>
      </c>
      <c r="BE753" s="23">
        <f t="shared" ref="BE753:BE756" si="5069">IF(ISERROR((BD753/AV753-1)*100),"NA",IF(((BD753/AV753-1)*100)&gt;100,"NM",IF(((BD753/AV753-1)*100)&lt;-50,"NM",(BD753/AV753-1)*100)))</f>
        <v>-11.613566289825282</v>
      </c>
      <c r="BF753" s="93">
        <f t="shared" ref="BF753:BJ753" si="5070">BD753+BF737-BF742</f>
        <v>165.24272440090894</v>
      </c>
      <c r="BG753" s="23">
        <f t="shared" ref="BG753:BG756" si="5071">IF(ISERROR((BF753/AX753-1)*100),"NA",IF(((BF753/AX753-1)*100)&gt;100,"NM",IF(((BF753/AX753-1)*100)&lt;-50,"NM",(BF753/AX753-1)*100)))</f>
        <v>-12.984347340226998</v>
      </c>
      <c r="BH753" s="93">
        <f t="shared" si="5070"/>
        <v>160.51943677679861</v>
      </c>
      <c r="BI753" s="23">
        <f t="shared" ref="BI753:BI756" si="5072">IF(ISERROR((BH753/AZ753-1)*100),"NA",IF(((BH753/AZ753-1)*100)&gt;100,"NM",IF(((BH753/AZ753-1)*100)&lt;-50,"NM",(BH753/AZ753-1)*100)))</f>
        <v>-10.673657887146003</v>
      </c>
      <c r="BJ753" s="93">
        <f t="shared" si="5070"/>
        <v>155.9105017551984</v>
      </c>
      <c r="BK753" s="23">
        <f t="shared" ref="BK753:BK756" si="5073">IF(ISERROR((BJ753/BB753-1)*100),"NA",IF(((BJ753/BB753-1)*100)&gt;100,"NM",IF(((BJ753/BB753-1)*100)&lt;-50,"NM",(BJ753/BB753-1)*100)))</f>
        <v>-13.238452000446078</v>
      </c>
      <c r="BL753" s="93">
        <f t="shared" ref="BL753" si="5074">BJ753+BL737-BL742</f>
        <v>151.39112116415967</v>
      </c>
      <c r="BM753" s="23">
        <f t="shared" ref="BM753:BM756" si="5075">IF(ISERROR((BL753/BD753-1)*100),"NA",IF(((BL753/BD753-1)*100)&gt;100,"NM",IF(((BL753/BD753-1)*100)&lt;-50,"NM",(BL753/BD753-1)*100)))</f>
        <v>-11.981906299907163</v>
      </c>
      <c r="BO753" s="147"/>
      <c r="BQ753" s="85"/>
      <c r="BR753" s="6"/>
      <c r="BS753" s="6"/>
      <c r="BT753" s="6"/>
      <c r="BU753" s="93">
        <f>H753</f>
        <v>230</v>
      </c>
      <c r="BV753" s="23" t="str">
        <f t="shared" ref="BV753:CR756" si="5076">IF(ISERROR((BU753/BS753-1)*100),"NA",IF(((BU753/BS753-1)*100)&gt;100,"NM",IF(((BU753/BS753-1)*100)&lt;-50,"NM",(BU753/BS753-1)*100)))</f>
        <v>NA</v>
      </c>
      <c r="BW753" s="93">
        <f>P753</f>
        <v>230</v>
      </c>
      <c r="BX753" s="23">
        <f t="shared" si="5076"/>
        <v>0</v>
      </c>
      <c r="BY753" s="93">
        <f>X753</f>
        <v>261.7</v>
      </c>
      <c r="BZ753" s="23">
        <f t="shared" si="5076"/>
        <v>13.782608695652176</v>
      </c>
      <c r="CA753" s="93">
        <f>AF753</f>
        <v>241.9</v>
      </c>
      <c r="CB753" s="23">
        <f t="shared" si="5076"/>
        <v>-7.5659151700420253</v>
      </c>
      <c r="CC753" s="93">
        <f>AN753</f>
        <v>209.1</v>
      </c>
      <c r="CD753" s="23">
        <f t="shared" si="5076"/>
        <v>-13.559322033898313</v>
      </c>
      <c r="CE753" s="93">
        <f>AV753</f>
        <v>194.6</v>
      </c>
      <c r="CF753" s="23">
        <f t="shared" si="5076"/>
        <v>-6.9344811095169767</v>
      </c>
      <c r="CG753" s="93">
        <f>BD753</f>
        <v>172</v>
      </c>
      <c r="CH753" s="23">
        <f t="shared" si="5076"/>
        <v>-11.613566289825282</v>
      </c>
      <c r="CI753" s="93">
        <f>BL753</f>
        <v>151.39112116415967</v>
      </c>
      <c r="CJ753" s="23">
        <f t="shared" si="5076"/>
        <v>-11.981906299907163</v>
      </c>
      <c r="CK753" s="93">
        <f>CI753+CK737-CK742</f>
        <v>141.00564759411117</v>
      </c>
      <c r="CL753" s="23">
        <f t="shared" si="5076"/>
        <v>-6.8600281774696015</v>
      </c>
      <c r="CM753" s="93">
        <f>CK753+CM737-CM742</f>
        <v>131.38200325235081</v>
      </c>
      <c r="CN753" s="23">
        <f t="shared" si="5076"/>
        <v>-6.825006307167425</v>
      </c>
      <c r="CO753" s="93">
        <f>CM753+CO737-CO742</f>
        <v>122.464170272177</v>
      </c>
      <c r="CP753" s="23">
        <f t="shared" si="5076"/>
        <v>-6.7877127455919233</v>
      </c>
      <c r="CQ753" s="93">
        <f>CO753+CQ737-CQ742</f>
        <v>114.20025710518937</v>
      </c>
      <c r="CR753" s="23">
        <f t="shared" si="5076"/>
        <v>-6.74802527843128</v>
      </c>
      <c r="CS753" s="23">
        <f>IF(ISERROR(((CQ753/CG753)^0.2-1)*100),"NA",IF((((CQ753/CG753)^0.2-1)*100)&gt;100,"NM",IF((((CQ753/CG753)^0.2-1)*100)&lt;-50,"NM",((CQ753/CG753)^0.2-1)*100)))</f>
        <v>-7.8643451431631757</v>
      </c>
      <c r="CT753" s="28"/>
    </row>
    <row r="754" spans="1:105" ht="12.75" customHeight="1" x14ac:dyDescent="0.2">
      <c r="A754" s="16" t="s">
        <v>42</v>
      </c>
      <c r="B754" s="94">
        <v>230</v>
      </c>
      <c r="C754" s="83"/>
      <c r="D754" s="94">
        <v>230</v>
      </c>
      <c r="E754" s="83"/>
      <c r="F754" s="94">
        <v>230</v>
      </c>
      <c r="G754" s="83"/>
      <c r="H754" s="94">
        <v>230</v>
      </c>
      <c r="I754" s="83"/>
      <c r="J754" s="94">
        <v>230</v>
      </c>
      <c r="K754" s="23">
        <f t="shared" si="5061"/>
        <v>0</v>
      </c>
      <c r="L754" s="94">
        <v>230</v>
      </c>
      <c r="M754" s="23">
        <f t="shared" si="5061"/>
        <v>0</v>
      </c>
      <c r="N754" s="94">
        <v>230</v>
      </c>
      <c r="O754" s="23">
        <f t="shared" si="5061"/>
        <v>0</v>
      </c>
      <c r="P754" s="94">
        <v>230</v>
      </c>
      <c r="Q754" s="23">
        <f t="shared" si="5061"/>
        <v>0</v>
      </c>
      <c r="R754" s="94">
        <v>230</v>
      </c>
      <c r="S754" s="23">
        <f t="shared" si="5061"/>
        <v>0</v>
      </c>
      <c r="T754" s="94">
        <v>250.3</v>
      </c>
      <c r="U754" s="23">
        <f t="shared" si="5061"/>
        <v>8.8260869565217384</v>
      </c>
      <c r="V754" s="94">
        <v>260.8</v>
      </c>
      <c r="W754" s="23">
        <f t="shared" si="5061"/>
        <v>13.391304347826093</v>
      </c>
      <c r="X754" s="94">
        <v>261.10000000000002</v>
      </c>
      <c r="Y754" s="23">
        <f t="shared" si="5061"/>
        <v>13.521739130434796</v>
      </c>
      <c r="Z754" s="94">
        <v>261.10000000000002</v>
      </c>
      <c r="AA754" s="23">
        <f>IF(ISERROR((Z754/R754-1)*100),"NA",IF(((Z754/R754-1)*100)&gt;100,"NM",IF(((Z754/R754-1)*100)&lt;-50,"NM",(Z754/R754-1)*100)))</f>
        <v>13.521739130434796</v>
      </c>
      <c r="AB754" s="94">
        <v>254.5</v>
      </c>
      <c r="AC754" s="23">
        <f>IF(ISERROR((AB754/T754-1)*100),"NA",IF(((AB754/T754-1)*100)&gt;100,"NM",IF(((AB754/T754-1)*100)&lt;-50,"NM",(AB754/T754-1)*100)))</f>
        <v>1.6779864163004365</v>
      </c>
      <c r="AD754" s="94">
        <v>252.6</v>
      </c>
      <c r="AE754" s="23">
        <f>IF(ISERROR((AD754/V754-1)*100),"NA",IF(((AD754/V754-1)*100)&gt;100,"NM",IF(((AD754/V754-1)*100)&lt;-50,"NM",(AD754/V754-1)*100)))</f>
        <v>-3.1441717791411139</v>
      </c>
      <c r="AF754" s="94">
        <v>244.2</v>
      </c>
      <c r="AG754" s="23">
        <f>IF(ISERROR((AF754/X754-1)*100),"NA",IF(((AF754/X754-1)*100)&gt;100,"NM",IF(((AF754/X754-1)*100)&lt;-50,"NM",(AF754/X754-1)*100)))</f>
        <v>-6.4726158559938796</v>
      </c>
      <c r="AH754" s="94">
        <v>238.5</v>
      </c>
      <c r="AI754" s="23">
        <f>IF(ISERROR((AH754/Z754-1)*100),"NA",IF(((AH754/Z754-1)*100)&gt;100,"NM",IF(((AH754/Z754-1)*100)&lt;-50,"NM",(AH754/Z754-1)*100)))</f>
        <v>-8.6556874760628233</v>
      </c>
      <c r="AJ754" s="94">
        <v>228.3</v>
      </c>
      <c r="AK754" s="23">
        <f>IF(ISERROR((AJ754/AB754-1)*100),"NA",IF(((AJ754/AB754-1)*100)&gt;100,"NM",IF(((AJ754/AB754-1)*100)&lt;-50,"NM",(AJ754/AB754-1)*100)))</f>
        <v>-10.294695481335946</v>
      </c>
      <c r="AL754" s="94">
        <v>221.8</v>
      </c>
      <c r="AM754" s="23">
        <f>IF(ISERROR((AL754/AD754-1)*100),"NA",IF(((AL754/AD754-1)*100)&gt;100,"NM",IF(((AL754/AD754-1)*100)&lt;-50,"NM",(AL754/AD754-1)*100)))</f>
        <v>-12.193190815518594</v>
      </c>
      <c r="AN754" s="472">
        <v>213.4</v>
      </c>
      <c r="AO754" s="23">
        <f>IF(ISERROR((AN754/AF754-1)*100),"NA",IF(((AN754/AF754-1)*100)&gt;100,"NM",IF(((AN754/AF754-1)*100)&lt;-50,"NM",(AN754/AF754-1)*100)))</f>
        <v>-12.612612612612606</v>
      </c>
      <c r="AP754" s="472">
        <v>206.9</v>
      </c>
      <c r="AQ754" s="23">
        <f t="shared" si="5062"/>
        <v>-13.249475890985318</v>
      </c>
      <c r="AR754" s="472">
        <v>202.4</v>
      </c>
      <c r="AS754" s="23">
        <f t="shared" si="5063"/>
        <v>-11.344721857205432</v>
      </c>
      <c r="AT754" s="472">
        <v>199.6</v>
      </c>
      <c r="AU754" s="23">
        <f t="shared" si="5064"/>
        <v>-10.009017132551856</v>
      </c>
      <c r="AV754" s="472">
        <v>194.6</v>
      </c>
      <c r="AW754" s="23">
        <f t="shared" si="5065"/>
        <v>-8.8097469540768572</v>
      </c>
      <c r="AX754" s="472">
        <v>191.7</v>
      </c>
      <c r="AY754" s="23">
        <f t="shared" si="5066"/>
        <v>-7.3465442242629404</v>
      </c>
      <c r="AZ754" s="472">
        <v>185.8</v>
      </c>
      <c r="BA754" s="23">
        <f t="shared" si="5067"/>
        <v>-8.2015810276679808</v>
      </c>
      <c r="BB754" s="472">
        <f>179.8</f>
        <v>179.8</v>
      </c>
      <c r="BC754" s="23">
        <f t="shared" si="5068"/>
        <v>-9.9198396793587111</v>
      </c>
      <c r="BD754" s="472">
        <v>179</v>
      </c>
      <c r="BE754" s="23">
        <f t="shared" si="5069"/>
        <v>-8.0164439876670102</v>
      </c>
      <c r="BF754" s="93">
        <f t="shared" ref="BF754:BJ754" si="5077">AVERAGE(BD753,BF753)</f>
        <v>168.62136220045448</v>
      </c>
      <c r="BG754" s="23">
        <f t="shared" si="5071"/>
        <v>-12.038934689382108</v>
      </c>
      <c r="BH754" s="93">
        <f t="shared" si="5077"/>
        <v>162.88108058885376</v>
      </c>
      <c r="BI754" s="23">
        <f t="shared" si="5072"/>
        <v>-12.335263407506059</v>
      </c>
      <c r="BJ754" s="93">
        <f t="shared" si="5077"/>
        <v>158.21496926599849</v>
      </c>
      <c r="BK754" s="23">
        <f t="shared" si="5073"/>
        <v>-12.005022655173258</v>
      </c>
      <c r="BL754" s="93">
        <f t="shared" ref="BL754" si="5078">AVERAGE(BJ753,BL753)</f>
        <v>153.65081145967903</v>
      </c>
      <c r="BM754" s="23">
        <f t="shared" si="5075"/>
        <v>-14.161557843754736</v>
      </c>
      <c r="BO754" s="147"/>
      <c r="BQ754" s="85"/>
      <c r="BR754" s="6"/>
      <c r="BS754" s="6"/>
      <c r="BT754" s="6"/>
      <c r="BU754" s="93">
        <f>AVERAGE(B754,D754,F754,H754)</f>
        <v>230</v>
      </c>
      <c r="BV754" s="23" t="str">
        <f t="shared" si="5076"/>
        <v>NA</v>
      </c>
      <c r="BW754" s="93">
        <f>AVERAGE(BU753,BW753)</f>
        <v>230</v>
      </c>
      <c r="BX754" s="23">
        <f t="shared" si="5076"/>
        <v>0</v>
      </c>
      <c r="BY754" s="93">
        <f>AVERAGE(X754,V754,T754,R754)</f>
        <v>250.55</v>
      </c>
      <c r="BZ754" s="23">
        <f t="shared" si="5076"/>
        <v>8.9347826086956452</v>
      </c>
      <c r="CA754" s="93">
        <f>AVERAGE(AF754,AD754,AB754,Z754)</f>
        <v>253.1</v>
      </c>
      <c r="CB754" s="23">
        <f t="shared" si="5076"/>
        <v>1.017760925962885</v>
      </c>
      <c r="CC754" s="93">
        <f>AVERAGE(AN754,AL754,AJ754,AH754)</f>
        <v>225.5</v>
      </c>
      <c r="CD754" s="23">
        <f t="shared" si="5076"/>
        <v>-10.904780719083362</v>
      </c>
      <c r="CE754" s="93">
        <f>AVERAGE(AV754,AT754,AR754,AP754)</f>
        <v>200.875</v>
      </c>
      <c r="CF754" s="23">
        <f t="shared" si="5076"/>
        <v>-10.920177383592023</v>
      </c>
      <c r="CG754" s="93">
        <f>AVERAGE(BD754,BB754,AZ754,AX754)</f>
        <v>184.07499999999999</v>
      </c>
      <c r="CH754" s="23">
        <f t="shared" si="5076"/>
        <v>-8.3634100808960827</v>
      </c>
      <c r="CI754" s="93">
        <f>AVERAGE(BL754,BJ754,BH754,BF754)</f>
        <v>160.84205587874644</v>
      </c>
      <c r="CJ754" s="23">
        <f t="shared" si="5076"/>
        <v>-12.621455450905096</v>
      </c>
      <c r="CK754" s="93">
        <f>CI753+CK739/100*CK737-(100-CK744)/100*CK742</f>
        <v>145.15983702213057</v>
      </c>
      <c r="CL754" s="23">
        <f t="shared" si="5076"/>
        <v>-9.7500736178342429</v>
      </c>
      <c r="CM754" s="93">
        <f>CK753+CM739/100*CM737-(100-CM744)/100*CM742</f>
        <v>135.42393387589016</v>
      </c>
      <c r="CN754" s="23">
        <f t="shared" si="5076"/>
        <v>-6.7070226489411855</v>
      </c>
      <c r="CO754" s="93">
        <f>CM753+CO739/100*CO737-(100-CO744)/100*CO742</f>
        <v>126.03130346424652</v>
      </c>
      <c r="CP754" s="23">
        <f t="shared" si="5076"/>
        <v>-6.9357240945692507</v>
      </c>
      <c r="CQ754" s="93">
        <f>CO753+CQ739/100*CQ737-(100-CQ744)/100*CQ742</f>
        <v>117.9190180303338</v>
      </c>
      <c r="CR754" s="23">
        <f t="shared" si="5076"/>
        <v>-6.4367226323371884</v>
      </c>
      <c r="CS754" s="23">
        <f>IF(ISERROR(((CQ754/CG754)^0.2-1)*100),"NA",IF((((CQ754/CG754)^0.2-1)*100)&gt;100,"NM",IF((((CQ754/CG754)^0.2-1)*100)&lt;-50,"NM",((CQ754/CG754)^0.2-1)*100)))</f>
        <v>-8.5217581940041143</v>
      </c>
      <c r="CT754" s="28"/>
    </row>
    <row r="755" spans="1:105" ht="12.75" customHeight="1" x14ac:dyDescent="0.2">
      <c r="A755" s="16" t="s">
        <v>43</v>
      </c>
      <c r="B755" s="94">
        <v>0</v>
      </c>
      <c r="C755" s="83"/>
      <c r="D755" s="94">
        <v>0</v>
      </c>
      <c r="E755" s="83"/>
      <c r="F755" s="94">
        <v>0</v>
      </c>
      <c r="G755" s="83"/>
      <c r="H755" s="94">
        <v>0</v>
      </c>
      <c r="I755" s="83"/>
      <c r="J755" s="94">
        <v>0</v>
      </c>
      <c r="K755" s="23" t="str">
        <f t="shared" si="5061"/>
        <v>NA</v>
      </c>
      <c r="L755" s="94">
        <v>0</v>
      </c>
      <c r="M755" s="23" t="str">
        <f t="shared" si="5061"/>
        <v>NA</v>
      </c>
      <c r="N755" s="94">
        <v>0</v>
      </c>
      <c r="O755" s="23" t="str">
        <f t="shared" si="5061"/>
        <v>NA</v>
      </c>
      <c r="P755" s="94">
        <v>0</v>
      </c>
      <c r="Q755" s="23" t="str">
        <f t="shared" si="5061"/>
        <v>NA</v>
      </c>
      <c r="R755" s="94">
        <v>0</v>
      </c>
      <c r="S755" s="23" t="str">
        <f t="shared" si="5061"/>
        <v>NA</v>
      </c>
      <c r="T755" s="94">
        <v>0</v>
      </c>
      <c r="U755" s="23" t="str">
        <f t="shared" si="5061"/>
        <v>NA</v>
      </c>
      <c r="V755" s="93">
        <f>V756-V754</f>
        <v>1.5</v>
      </c>
      <c r="W755" s="23" t="str">
        <f t="shared" si="5061"/>
        <v>NA</v>
      </c>
      <c r="X755" s="93">
        <f>X756-X754</f>
        <v>2.1999999999999886</v>
      </c>
      <c r="Y755" s="23" t="str">
        <f t="shared" si="5061"/>
        <v>NA</v>
      </c>
      <c r="Z755" s="93">
        <f>Z756-Z754</f>
        <v>2.3999999999999773</v>
      </c>
      <c r="AA755" s="23" t="str">
        <f>IF(ISERROR((Z755/R755-1)*100),"NA",IF(((Z755/R755-1)*100)&gt;100,"NM",IF(((Z755/R755-1)*100)&lt;-50,"NM",(Z755/R755-1)*100)))</f>
        <v>NA</v>
      </c>
      <c r="AB755" s="93">
        <f>AB756-AB754</f>
        <v>1.6999999999999886</v>
      </c>
      <c r="AC755" s="23" t="str">
        <f>IF(ISERROR((AB755/T755-1)*100),"NA",IF(((AB755/T755-1)*100)&gt;100,"NM",IF(((AB755/T755-1)*100)&lt;-50,"NM",(AB755/T755-1)*100)))</f>
        <v>NA</v>
      </c>
      <c r="AD755" s="93">
        <f>AD756-AD754</f>
        <v>1.8000000000000114</v>
      </c>
      <c r="AE755" s="23">
        <f>IF(ISERROR((AD755/V755-1)*100),"NA",IF(((AD755/V755-1)*100)&gt;100,"NM",IF(((AD755/V755-1)*100)&lt;-50,"NM",(AD755/V755-1)*100)))</f>
        <v>20.00000000000075</v>
      </c>
      <c r="AF755" s="93">
        <f>AF756-AF754</f>
        <v>2.2000000000000171</v>
      </c>
      <c r="AG755" s="23">
        <f>IF(ISERROR((AF755/X755-1)*100),"NA",IF(((AF755/X755-1)*100)&gt;100,"NM",IF(((AF755/X755-1)*100)&lt;-50,"NM",(AF755/X755-1)*100)))</f>
        <v>1.2878587085651816E-12</v>
      </c>
      <c r="AH755" s="93">
        <f>AH756-AH754</f>
        <v>2.1999999999999886</v>
      </c>
      <c r="AI755" s="23">
        <f>IF(ISERROR((AH755/Z755-1)*100),"NA",IF(((AH755/Z755-1)*100)&gt;100,"NM",IF(((AH755/Z755-1)*100)&lt;-50,"NM",(AH755/Z755-1)*100)))</f>
        <v>-8.3333333333329378</v>
      </c>
      <c r="AJ755" s="93">
        <f>AJ756-AJ754</f>
        <v>1.5</v>
      </c>
      <c r="AK755" s="23">
        <f>IF(ISERROR((AJ755/AB755-1)*100),"NA",IF(((AJ755/AB755-1)*100)&gt;100,"NM",IF(((AJ755/AB755-1)*100)&lt;-50,"NM",(AJ755/AB755-1)*100)))</f>
        <v>-11.764705882352356</v>
      </c>
      <c r="AL755" s="93">
        <f>AL756-AL754</f>
        <v>1.7999999999999829</v>
      </c>
      <c r="AM755" s="23">
        <f>IF(ISERROR((AL755/AD755-1)*100),"NA",IF(((AL755/AD755-1)*100)&gt;100,"NM",IF(((AL755/AD755-1)*100)&lt;-50,"NM",(AL755/AD755-1)*100)))</f>
        <v>-1.5765166949677223E-12</v>
      </c>
      <c r="AN755" s="470">
        <f t="shared" ref="AN755:AP755" si="5079">AN756-AN754</f>
        <v>2.5999999999999943</v>
      </c>
      <c r="AO755" s="23">
        <f>IF(ISERROR((AN755/AF755-1)*100),"NA",IF(((AN755/AF755-1)*100)&gt;100,"NM",IF(((AN755/AF755-1)*100)&lt;-50,"NM",(AN755/AF755-1)*100)))</f>
        <v>18.181818181817011</v>
      </c>
      <c r="AP755" s="470">
        <f t="shared" si="5079"/>
        <v>2.1999999999999886</v>
      </c>
      <c r="AQ755" s="23">
        <f t="shared" si="5062"/>
        <v>0</v>
      </c>
      <c r="AR755" s="470">
        <f t="shared" ref="AR755:AT755" si="5080">AR756-AR754</f>
        <v>1.0999999999999943</v>
      </c>
      <c r="AS755" s="23">
        <f t="shared" si="5063"/>
        <v>-26.666666666667048</v>
      </c>
      <c r="AT755" s="470">
        <f t="shared" si="5080"/>
        <v>1.9000000000000057</v>
      </c>
      <c r="AU755" s="23">
        <f t="shared" si="5064"/>
        <v>5.5555555555568681</v>
      </c>
      <c r="AV755" s="470">
        <f t="shared" ref="AV755:AX755" si="5081">AV756-AV754</f>
        <v>2.5</v>
      </c>
      <c r="AW755" s="23">
        <f t="shared" si="5065"/>
        <v>-3.8461538461536326</v>
      </c>
      <c r="AX755" s="470">
        <f t="shared" si="5081"/>
        <v>2.7000000000000171</v>
      </c>
      <c r="AY755" s="23">
        <f t="shared" si="5066"/>
        <v>22.727272727274126</v>
      </c>
      <c r="AZ755" s="470">
        <f t="shared" ref="AZ755" si="5082">AZ756-AZ754</f>
        <v>1.8999999999999773</v>
      </c>
      <c r="BA755" s="23">
        <f t="shared" si="5067"/>
        <v>72.727272727271554</v>
      </c>
      <c r="BB755" s="470">
        <f t="shared" ref="BB755:BD755" si="5083">BB756-BB754</f>
        <v>2.5999999999999943</v>
      </c>
      <c r="BC755" s="23">
        <f t="shared" si="5068"/>
        <v>36.842105263157187</v>
      </c>
      <c r="BD755" s="470">
        <f t="shared" si="5083"/>
        <v>4</v>
      </c>
      <c r="BE755" s="23">
        <f t="shared" si="5069"/>
        <v>60.000000000000007</v>
      </c>
      <c r="BF755" s="94">
        <f>2.3+IF(BF743&gt;65,6.5,IF(BF743&gt;60,4.9,IF(BF743&gt;55,3,IF(BF743&gt;50,0.7,0))))</f>
        <v>3</v>
      </c>
      <c r="BG755" s="23">
        <f t="shared" si="5071"/>
        <v>11.111111111110406</v>
      </c>
      <c r="BH755" s="94">
        <f>2.3+IF(BH743&gt;65,6.5,IF(BH743&gt;60,4.9,IF(BH743&gt;55,3,IF(BH743&gt;50,0.7,0))))</f>
        <v>3</v>
      </c>
      <c r="BI755" s="23">
        <f t="shared" si="5072"/>
        <v>57.89473684210715</v>
      </c>
      <c r="BJ755" s="94">
        <f>2.3+IF(BJ743&gt;65,6.5,IF(BJ743&gt;60,4.9,IF(BJ743&gt;55,3,IF(BJ743&gt;50,0.7,0))))</f>
        <v>3</v>
      </c>
      <c r="BK755" s="23">
        <f t="shared" si="5073"/>
        <v>15.384615384615641</v>
      </c>
      <c r="BL755" s="94">
        <f>2.3+IF(BL743&gt;65,6.5,IF(BL743&gt;60,4.9,IF(BL743&gt;55,3,IF(BL743&gt;50,0.7,0))))</f>
        <v>5.3</v>
      </c>
      <c r="BM755" s="23">
        <f t="shared" si="5075"/>
        <v>32.499999999999993</v>
      </c>
      <c r="BO755" s="147"/>
      <c r="BQ755" s="85"/>
      <c r="BR755" s="6"/>
      <c r="BS755" s="6"/>
      <c r="BT755" s="6"/>
      <c r="BU755" s="93">
        <f>BU756-BU754</f>
        <v>0</v>
      </c>
      <c r="BV755" s="23" t="str">
        <f t="shared" si="5076"/>
        <v>NA</v>
      </c>
      <c r="BW755" s="93">
        <f>BW756-BW754</f>
        <v>0</v>
      </c>
      <c r="BX755" s="23" t="str">
        <f t="shared" si="5076"/>
        <v>NA</v>
      </c>
      <c r="BY755" s="93">
        <f>X755</f>
        <v>2.1999999999999886</v>
      </c>
      <c r="BZ755" s="23" t="str">
        <f t="shared" si="5076"/>
        <v>NA</v>
      </c>
      <c r="CA755" s="93">
        <f>AF755</f>
        <v>2.2000000000000171</v>
      </c>
      <c r="CB755" s="23">
        <f t="shared" si="5076"/>
        <v>1.2878587085651816E-12</v>
      </c>
      <c r="CC755" s="93">
        <f>AN755</f>
        <v>2.5999999999999943</v>
      </c>
      <c r="CD755" s="23">
        <f t="shared" si="5076"/>
        <v>18.181818181817011</v>
      </c>
      <c r="CE755" s="93">
        <f>AV755</f>
        <v>2.5</v>
      </c>
      <c r="CF755" s="23">
        <f t="shared" si="5076"/>
        <v>-3.8461538461536326</v>
      </c>
      <c r="CG755" s="93">
        <f>BD755</f>
        <v>4</v>
      </c>
      <c r="CH755" s="23">
        <f t="shared" si="5076"/>
        <v>60.000000000000007</v>
      </c>
      <c r="CI755" s="93">
        <f>BL755</f>
        <v>5.3</v>
      </c>
      <c r="CJ755" s="23">
        <f t="shared" si="5076"/>
        <v>32.499999999999993</v>
      </c>
      <c r="CK755" s="94">
        <f>2.3+IF(CK743&gt;65,6.5,IF(CK743&gt;60,4.9,IF(CK743&gt;55,3,IF(CK743&gt;50,0.7,0))))</f>
        <v>5.3</v>
      </c>
      <c r="CL755" s="23">
        <f t="shared" si="5076"/>
        <v>0</v>
      </c>
      <c r="CM755" s="94">
        <f>2.3+IF(CM743&gt;65,6.5,IF(CM743&gt;60,4.9,IF(CM743&gt;55,3,IF(CM743&gt;50,0.7,0))))</f>
        <v>7.2</v>
      </c>
      <c r="CN755" s="23">
        <f t="shared" si="5076"/>
        <v>35.849056603773597</v>
      </c>
      <c r="CO755" s="94">
        <f>2.3+IF(CO743&gt;65,6.5,IF(CO743&gt;60,4.9,IF(CO743&gt;55,3,IF(CO743&gt;50,0.7,0))))</f>
        <v>8.8000000000000007</v>
      </c>
      <c r="CP755" s="23">
        <f t="shared" si="5076"/>
        <v>22.222222222222232</v>
      </c>
      <c r="CQ755" s="94">
        <f>2.3+IF(CQ743&gt;65,6.5,IF(CQ743&gt;60,4.9,IF(CQ743&gt;55,3,IF(CQ743&gt;50,0.7,0))))</f>
        <v>8.8000000000000007</v>
      </c>
      <c r="CR755" s="23">
        <f t="shared" si="5076"/>
        <v>0</v>
      </c>
      <c r="CS755" s="23">
        <f>IF(ISERROR(((CQ755/CG755)^0.2-1)*100),"NA",IF((((CQ755/CG755)^0.2-1)*100)&gt;100,"NM",IF((((CQ755/CG755)^0.2-1)*100)&lt;-50,"NM",((CQ755/CG755)^0.2-1)*100)))</f>
        <v>17.080491296489232</v>
      </c>
      <c r="CT755" s="28"/>
    </row>
    <row r="756" spans="1:105" ht="12.75" customHeight="1" x14ac:dyDescent="0.2">
      <c r="A756" s="17" t="s">
        <v>44</v>
      </c>
      <c r="B756" s="72">
        <f>B754+B755</f>
        <v>230</v>
      </c>
      <c r="C756" s="83"/>
      <c r="D756" s="72">
        <f>D754+D755</f>
        <v>230</v>
      </c>
      <c r="E756" s="83"/>
      <c r="F756" s="72">
        <f>F754+F755</f>
        <v>230</v>
      </c>
      <c r="G756" s="83"/>
      <c r="H756" s="72">
        <f>H754+H755</f>
        <v>230</v>
      </c>
      <c r="I756" s="83"/>
      <c r="J756" s="72">
        <f>J754+J755</f>
        <v>230</v>
      </c>
      <c r="K756" s="23">
        <f t="shared" si="5061"/>
        <v>0</v>
      </c>
      <c r="L756" s="72">
        <f>L754+L755</f>
        <v>230</v>
      </c>
      <c r="M756" s="23">
        <f t="shared" si="5061"/>
        <v>0</v>
      </c>
      <c r="N756" s="72">
        <f>N754+N755</f>
        <v>230</v>
      </c>
      <c r="O756" s="23">
        <f t="shared" si="5061"/>
        <v>0</v>
      </c>
      <c r="P756" s="72">
        <f>P754+P755</f>
        <v>230</v>
      </c>
      <c r="Q756" s="23">
        <f t="shared" si="5061"/>
        <v>0</v>
      </c>
      <c r="R756" s="72">
        <f>R754+R755</f>
        <v>230</v>
      </c>
      <c r="S756" s="23">
        <f t="shared" si="5061"/>
        <v>0</v>
      </c>
      <c r="T756" s="72">
        <f>T754+T755</f>
        <v>250.3</v>
      </c>
      <c r="U756" s="23">
        <f t="shared" si="5061"/>
        <v>8.8260869565217384</v>
      </c>
      <c r="V756" s="160">
        <v>262.3</v>
      </c>
      <c r="W756" s="23">
        <f t="shared" si="5061"/>
        <v>14.043478260869581</v>
      </c>
      <c r="X756" s="160">
        <v>263.3</v>
      </c>
      <c r="Y756" s="23">
        <f t="shared" si="5061"/>
        <v>14.478260869565229</v>
      </c>
      <c r="Z756" s="160">
        <v>263.5</v>
      </c>
      <c r="AA756" s="23">
        <f>IF(ISERROR((Z756/R756-1)*100),"NA",IF(((Z756/R756-1)*100)&gt;100,"NM",IF(((Z756/R756-1)*100)&lt;-50,"NM",(Z756/R756-1)*100)))</f>
        <v>14.565217391304341</v>
      </c>
      <c r="AB756" s="160">
        <v>256.2</v>
      </c>
      <c r="AC756" s="23">
        <f>IF(ISERROR((AB756/T756-1)*100),"NA",IF(((AB756/T756-1)*100)&gt;100,"NM",IF(((AB756/T756-1)*100)&lt;-50,"NM",(AB756/T756-1)*100)))</f>
        <v>2.3571713943268069</v>
      </c>
      <c r="AD756" s="160">
        <v>254.4</v>
      </c>
      <c r="AE756" s="23">
        <f>IF(ISERROR((AD756/V756-1)*100),"NA",IF(((AD756/V756-1)*100)&gt;100,"NM",IF(((AD756/V756-1)*100)&lt;-50,"NM",(AD756/V756-1)*100)))</f>
        <v>-3.0118185284025989</v>
      </c>
      <c r="AF756" s="160">
        <v>246.4</v>
      </c>
      <c r="AG756" s="23">
        <f>IF(ISERROR((AF756/X756-1)*100),"NA",IF(((AF756/X756-1)*100)&gt;100,"NM",IF(((AF756/X756-1)*100)&lt;-50,"NM",(AF756/X756-1)*100)))</f>
        <v>-6.418533991644515</v>
      </c>
      <c r="AH756" s="160">
        <v>240.7</v>
      </c>
      <c r="AI756" s="23">
        <f>IF(ISERROR((AH756/Z756-1)*100),"NA",IF(((AH756/Z756-1)*100)&gt;100,"NM",IF(((AH756/Z756-1)*100)&lt;-50,"NM",(AH756/Z756-1)*100)))</f>
        <v>-8.6527514231499065</v>
      </c>
      <c r="AJ756" s="160">
        <v>229.8</v>
      </c>
      <c r="AK756" s="23">
        <f>IF(ISERROR((AJ756/AB756-1)*100),"NA",IF(((AJ756/AB756-1)*100)&gt;100,"NM",IF(((AJ756/AB756-1)*100)&lt;-50,"NM",(AJ756/AB756-1)*100)))</f>
        <v>-10.304449648711934</v>
      </c>
      <c r="AL756" s="160">
        <v>223.6</v>
      </c>
      <c r="AM756" s="23">
        <f>IF(ISERROR((AL756/AD756-1)*100),"NA",IF(((AL756/AD756-1)*100)&gt;100,"NM",IF(((AL756/AD756-1)*100)&lt;-50,"NM",(AL756/AD756-1)*100)))</f>
        <v>-12.106918238993714</v>
      </c>
      <c r="AN756" s="160">
        <v>216</v>
      </c>
      <c r="AO756" s="23">
        <f>IF(ISERROR((AN756/AF756-1)*100),"NA",IF(((AN756/AF756-1)*100)&gt;100,"NM",IF(((AN756/AF756-1)*100)&lt;-50,"NM",(AN756/AF756-1)*100)))</f>
        <v>-12.337662337662337</v>
      </c>
      <c r="AP756" s="160">
        <v>209.1</v>
      </c>
      <c r="AQ756" s="23">
        <f t="shared" si="5062"/>
        <v>-13.128375571250517</v>
      </c>
      <c r="AR756" s="160">
        <v>203.5</v>
      </c>
      <c r="AS756" s="23">
        <f t="shared" si="5063"/>
        <v>-11.444734551784164</v>
      </c>
      <c r="AT756" s="160">
        <v>201.5</v>
      </c>
      <c r="AU756" s="23">
        <f t="shared" si="5064"/>
        <v>-9.8837209302325526</v>
      </c>
      <c r="AV756" s="160">
        <v>197.1</v>
      </c>
      <c r="AW756" s="23">
        <f t="shared" si="5065"/>
        <v>-8.7500000000000018</v>
      </c>
      <c r="AX756" s="160">
        <v>194.4</v>
      </c>
      <c r="AY756" s="23">
        <f t="shared" si="5066"/>
        <v>-7.0301291248206503</v>
      </c>
      <c r="AZ756" s="160">
        <v>187.7</v>
      </c>
      <c r="BA756" s="23">
        <f t="shared" si="5067"/>
        <v>-7.7641277641277711</v>
      </c>
      <c r="BB756" s="160">
        <v>182.4</v>
      </c>
      <c r="BC756" s="23">
        <f t="shared" si="5068"/>
        <v>-9.4789081885855992</v>
      </c>
      <c r="BD756" s="160">
        <v>183</v>
      </c>
      <c r="BE756" s="23">
        <f t="shared" si="5069"/>
        <v>-7.1537290715372848</v>
      </c>
      <c r="BF756" s="72">
        <f t="shared" ref="BF756" si="5084">BF754+BF755</f>
        <v>171.62136220045448</v>
      </c>
      <c r="BG756" s="23">
        <f t="shared" si="5071"/>
        <v>-11.717406275486375</v>
      </c>
      <c r="BH756" s="72">
        <f t="shared" ref="BH756" si="5085">BH754+BH755</f>
        <v>165.88108058885376</v>
      </c>
      <c r="BI756" s="23">
        <f t="shared" si="5072"/>
        <v>-11.624357704393306</v>
      </c>
      <c r="BJ756" s="72">
        <f t="shared" ref="BJ756" si="5086">BJ754+BJ755</f>
        <v>161.21496926599849</v>
      </c>
      <c r="BK756" s="23">
        <f t="shared" si="5073"/>
        <v>-11.614600183114865</v>
      </c>
      <c r="BL756" s="72">
        <f t="shared" ref="BL756" si="5087">BL754+BL755</f>
        <v>158.95081145967904</v>
      </c>
      <c r="BM756" s="23">
        <f t="shared" si="5075"/>
        <v>-13.141633082142601</v>
      </c>
      <c r="BO756" s="147"/>
      <c r="BQ756" s="85"/>
      <c r="BR756" s="18"/>
      <c r="BS756" s="18"/>
      <c r="BT756" s="18"/>
      <c r="BU756" s="72">
        <f>AVERAGE(B756,D756,F756,H756)</f>
        <v>230</v>
      </c>
      <c r="BV756" s="23" t="str">
        <f t="shared" si="5076"/>
        <v>NA</v>
      </c>
      <c r="BW756" s="72">
        <f>AVERAGE(J756,L756,N756,P756)</f>
        <v>230</v>
      </c>
      <c r="BX756" s="23">
        <f t="shared" si="5076"/>
        <v>0</v>
      </c>
      <c r="BY756" s="160">
        <v>251.8</v>
      </c>
      <c r="BZ756" s="23">
        <f t="shared" si="5076"/>
        <v>9.4782608695652257</v>
      </c>
      <c r="CA756" s="72">
        <f>AVERAGE(Z756,AB756,AD756,AF756)</f>
        <v>255.125</v>
      </c>
      <c r="CB756" s="23">
        <f t="shared" si="5076"/>
        <v>1.3204924543288366</v>
      </c>
      <c r="CC756" s="72">
        <f>AVERAGE(AH756,AJ756,AL756,AN756)</f>
        <v>227.52500000000001</v>
      </c>
      <c r="CD756" s="23">
        <f t="shared" si="5076"/>
        <v>-10.818226359627637</v>
      </c>
      <c r="CE756" s="72">
        <f>AVERAGE(AP756,AR756,AT756,AV756)</f>
        <v>202.8</v>
      </c>
      <c r="CF756" s="23">
        <f t="shared" si="5076"/>
        <v>-10.866937699153933</v>
      </c>
      <c r="CG756" s="72">
        <f>AVERAGE(AX756,AZ756,BB756,BD756)</f>
        <v>186.875</v>
      </c>
      <c r="CH756" s="23">
        <f t="shared" si="5076"/>
        <v>-7.8525641025641075</v>
      </c>
      <c r="CI756" s="72">
        <f>AVERAGE(BF756,BH756,BJ756,BL756)</f>
        <v>164.41705587874645</v>
      </c>
      <c r="CJ756" s="23">
        <f t="shared" si="5076"/>
        <v>-12.017628961205906</v>
      </c>
      <c r="CK756" s="72">
        <f>CK754+CK755</f>
        <v>150.45983702213059</v>
      </c>
      <c r="CL756" s="23">
        <f t="shared" si="5076"/>
        <v>-8.4889117993384939</v>
      </c>
      <c r="CM756" s="72">
        <f>CM754+CM755</f>
        <v>142.62393387589015</v>
      </c>
      <c r="CN756" s="23">
        <f t="shared" si="5076"/>
        <v>-5.2079699814428837</v>
      </c>
      <c r="CO756" s="72">
        <f>CO754+CO755</f>
        <v>134.83130346424653</v>
      </c>
      <c r="CP756" s="23">
        <f t="shared" si="5076"/>
        <v>-5.4637606745756129</v>
      </c>
      <c r="CQ756" s="72">
        <f>CQ754+CQ755</f>
        <v>126.7190180303338</v>
      </c>
      <c r="CR756" s="23">
        <f t="shared" si="5076"/>
        <v>-6.0166187120366139</v>
      </c>
      <c r="CS756" s="23">
        <f>IF(ISERROR(((CQ756/CG756)^0.2-1)*100),"NA",IF((((CQ756/CG756)^0.2-1)*100)&gt;100,"NM",IF((((CQ756/CG756)^0.2-1)*100)&lt;-50,"NM",((CQ756/CG756)^0.2-1)*100)))</f>
        <v>-7.4752077490880753</v>
      </c>
      <c r="CT756" s="28"/>
    </row>
    <row r="757" spans="1:105" ht="12.75" customHeight="1" x14ac:dyDescent="0.2">
      <c r="A757" s="19"/>
      <c r="B757" s="28"/>
      <c r="C757" s="82"/>
      <c r="D757" s="28"/>
      <c r="E757" s="82"/>
      <c r="F757" s="28"/>
      <c r="G757" s="82"/>
      <c r="H757" s="28"/>
      <c r="I757" s="82"/>
      <c r="J757" s="28"/>
      <c r="K757" s="184"/>
      <c r="L757" s="28"/>
      <c r="M757" s="184"/>
      <c r="N757" s="28"/>
      <c r="O757" s="184"/>
      <c r="P757" s="28"/>
      <c r="Q757" s="184"/>
      <c r="R757" s="28"/>
      <c r="S757" s="184"/>
      <c r="T757" s="28"/>
      <c r="U757" s="184"/>
      <c r="V757" s="28"/>
      <c r="W757" s="184"/>
      <c r="X757" s="28"/>
      <c r="Y757" s="184"/>
      <c r="Z757" s="28"/>
      <c r="AA757" s="184"/>
      <c r="AB757" s="28"/>
      <c r="AC757" s="184"/>
      <c r="AD757" s="28"/>
      <c r="AE757" s="184"/>
      <c r="AF757" s="28"/>
      <c r="AG757" s="184"/>
      <c r="AH757" s="28"/>
      <c r="AI757" s="184"/>
      <c r="AJ757" s="28"/>
      <c r="AK757" s="184"/>
      <c r="AL757" s="28"/>
      <c r="AM757" s="184"/>
      <c r="AN757" s="468"/>
      <c r="AO757" s="184"/>
      <c r="AP757" s="468"/>
      <c r="AQ757" s="184"/>
      <c r="AR757" s="468"/>
      <c r="AS757" s="184"/>
      <c r="AT757" s="468"/>
      <c r="AU757" s="184"/>
      <c r="AV757" s="468"/>
      <c r="AW757" s="184"/>
      <c r="AX757" s="468"/>
      <c r="AY757" s="184"/>
      <c r="AZ757" s="468"/>
      <c r="BA757" s="184"/>
      <c r="BB757" s="468"/>
      <c r="BC757" s="184"/>
      <c r="BD757" s="468"/>
      <c r="BE757" s="184"/>
      <c r="BF757" s="28"/>
      <c r="BG757" s="184"/>
      <c r="BH757" s="28"/>
      <c r="BI757" s="184"/>
      <c r="BJ757" s="28"/>
      <c r="BK757" s="184"/>
      <c r="BL757" s="28"/>
      <c r="BM757" s="184"/>
      <c r="BQ757" s="85"/>
      <c r="BR757" s="6"/>
      <c r="BS757" s="6"/>
      <c r="BT757" s="6"/>
      <c r="BU757" s="28"/>
      <c r="BV757" s="184"/>
      <c r="BW757" s="28"/>
      <c r="BX757" s="184"/>
      <c r="BY757" s="28"/>
      <c r="BZ757" s="184"/>
      <c r="CA757" s="28"/>
      <c r="CB757" s="184"/>
      <c r="CC757" s="28"/>
      <c r="CD757" s="184"/>
      <c r="CE757" s="28"/>
      <c r="CF757" s="184"/>
      <c r="CG757" s="28"/>
      <c r="CH757" s="184"/>
      <c r="CI757" s="28"/>
      <c r="CJ757" s="184"/>
      <c r="CK757" s="28"/>
      <c r="CL757" s="184"/>
      <c r="CM757" s="28"/>
      <c r="CN757" s="184"/>
      <c r="CO757" s="28"/>
      <c r="CP757" s="184"/>
      <c r="CQ757" s="28"/>
      <c r="CR757" s="184"/>
      <c r="CS757" s="184"/>
      <c r="CT757" s="28"/>
    </row>
    <row r="758" spans="1:105" s="9" customFormat="1" ht="12.75" customHeight="1" x14ac:dyDescent="0.2">
      <c r="A758" s="20" t="s">
        <v>45</v>
      </c>
      <c r="B758" s="89">
        <f>B661/B756</f>
        <v>0.70785632713043478</v>
      </c>
      <c r="C758" s="86"/>
      <c r="D758" s="89">
        <f>D661/D756</f>
        <v>0.84959072521739176</v>
      </c>
      <c r="E758" s="86"/>
      <c r="F758" s="89">
        <f>F661/F756</f>
        <v>0.86714865656521711</v>
      </c>
      <c r="G758" s="86"/>
      <c r="H758" s="89">
        <f>H661/H756</f>
        <v>0.74038016286956521</v>
      </c>
      <c r="I758" s="86"/>
      <c r="J758" s="89">
        <f>J661/J756</f>
        <v>0.67828695652173832</v>
      </c>
      <c r="K758" s="23">
        <f t="shared" ref="K758:Y759" si="5088">IF(ISERROR((J758/B758-1)*100),"NA",IF(((J758/B758-1)*100)&gt;100,"NM",IF(((J758/B758-1)*100)&lt;-50,"NM",(J758/B758-1)*100)))</f>
        <v>-4.177312467992933</v>
      </c>
      <c r="L758" s="89">
        <f>L661/L756</f>
        <v>0.56251739130434786</v>
      </c>
      <c r="M758" s="23">
        <f t="shared" si="5088"/>
        <v>-33.789603086778996</v>
      </c>
      <c r="N758" s="89">
        <f>N661/N756</f>
        <v>0.76323478260869571</v>
      </c>
      <c r="O758" s="23">
        <f t="shared" si="5088"/>
        <v>-11.983397906435689</v>
      </c>
      <c r="P758" s="89">
        <f>P661/P756</f>
        <v>0.58936521739130499</v>
      </c>
      <c r="Q758" s="23">
        <f t="shared" si="5088"/>
        <v>-20.396946467738488</v>
      </c>
      <c r="R758" s="230">
        <f>R661/R756</f>
        <v>0.72478260869565225</v>
      </c>
      <c r="S758" s="23">
        <f t="shared" si="5088"/>
        <v>6.8548645564915578</v>
      </c>
      <c r="T758" s="230">
        <f>T661/T756</f>
        <v>0.70635237714742272</v>
      </c>
      <c r="U758" s="23">
        <f t="shared" si="5088"/>
        <v>25.56987358374019</v>
      </c>
      <c r="V758" s="230">
        <f>V661/V756</f>
        <v>1.078459778879145</v>
      </c>
      <c r="W758" s="23">
        <f t="shared" si="5088"/>
        <v>41.301183260153195</v>
      </c>
      <c r="X758" s="230">
        <f>X661/X756</f>
        <v>0.75269654386631168</v>
      </c>
      <c r="Y758" s="23">
        <f t="shared" si="5088"/>
        <v>27.713092265260709</v>
      </c>
      <c r="Z758" s="230">
        <f>Z661/Z756</f>
        <v>0.57007590132827368</v>
      </c>
      <c r="AA758" s="23">
        <f>IF(ISERROR((Z758/R758-1)*100),"NA",IF(((Z758/R758-1)*100)&gt;100,"NM",IF(((Z758/R758-1)*100)&lt;-50,"NM",(Z758/R758-1)*100)))</f>
        <v>-21.345256565385164</v>
      </c>
      <c r="AB758" s="230">
        <f>AB661/AB756</f>
        <v>0.83266978922716617</v>
      </c>
      <c r="AC758" s="23">
        <f>IF(ISERROR((AB758/T758-1)*100),"NA",IF(((AB758/T758-1)*100)&gt;100,"NM",IF(((AB758/T758-1)*100)&lt;-50,"NM",(AB758/T758-1)*100)))</f>
        <v>17.883058961289478</v>
      </c>
      <c r="AD758" s="230">
        <f>AD661/AD756</f>
        <v>0.75220125786163528</v>
      </c>
      <c r="AE758" s="23">
        <f>IF(ISERROR((AD758/V758-1)*100),"NA",IF(((AD758/V758-1)*100)&gt;100,"NM",IF(((AD758/V758-1)*100)&lt;-50,"NM",(AD758/V758-1)*100)))</f>
        <v>-30.252266000739848</v>
      </c>
      <c r="AF758" s="230">
        <f>AF661/AF756</f>
        <v>0.99452110389610349</v>
      </c>
      <c r="AG758" s="23">
        <f>IF(ISERROR((AF758/X758-1)*100),"NA",IF(((AF758/X758-1)*100)&gt;100,"NM",IF(((AF758/X758-1)*100)&lt;-50,"NM",(AF758/X758-1)*100)))</f>
        <v>32.127762775106206</v>
      </c>
      <c r="AH758" s="230">
        <f>AH661/AH756</f>
        <v>0.81842958039052782</v>
      </c>
      <c r="AI758" s="23">
        <f>IF(ISERROR((AH758/Z758-1)*100),"NA",IF(((AH758/Z758-1)*100)&gt;100,"NM",IF(((AH758/Z758-1)*100)&lt;-50,"NM",(AH758/Z758-1)*100)))</f>
        <v>43.565019760279533</v>
      </c>
      <c r="AJ758" s="230">
        <f>AJ661/AJ756</f>
        <v>0.77676240208877301</v>
      </c>
      <c r="AK758" s="23">
        <f>IF(ISERROR((AJ758/AB758-1)*100),"NA",IF(((AJ758/AB758-1)*100)&gt;100,"NM",IF(((AJ758/AB758-1)*100)&lt;-50,"NM",(AJ758/AB758-1)*100)))</f>
        <v>-6.7142326840370909</v>
      </c>
      <c r="AL758" s="230">
        <f>AL661/AL756</f>
        <v>0.41694096601073244</v>
      </c>
      <c r="AM758" s="23">
        <f>IF(ISERROR((AL758/AD758-1)*100),"NA",IF(((AL758/AD758-1)*100)&gt;100,"NM",IF(((AL758/AD758-1)*100)&lt;-50,"NM",(AL758/AD758-1)*100)))</f>
        <v>-44.570557194225366</v>
      </c>
      <c r="AN758" s="230">
        <f>AN661/AN756</f>
        <v>0.90761111111111115</v>
      </c>
      <c r="AO758" s="23">
        <f>IF(ISERROR((AN758/AF758-1)*100),"NA",IF(((AN758/AF758-1)*100)&gt;100,"NM",IF(((AN758/AF758-1)*100)&lt;-50,"NM",(AN758/AF758-1)*100)))</f>
        <v>-8.738878686889251</v>
      </c>
      <c r="AP758" s="230">
        <f>AP661/AP756</f>
        <v>0.28357723577235694</v>
      </c>
      <c r="AQ758" s="23" t="str">
        <f t="shared" ref="AQ758:AQ759" si="5089">IF(ISERROR((AP758/AH758-1)*100),"NA",IF(((AP758/AH758-1)*100)&gt;100,"NM",IF(((AP758/AH758-1)*100)&lt;-50,"NM",(AP758/AH758-1)*100)))</f>
        <v>NM</v>
      </c>
      <c r="AR758" s="89">
        <f>AR661/AR756</f>
        <v>0.43606879606879623</v>
      </c>
      <c r="AS758" s="23">
        <f t="shared" ref="AS758:AS759" si="5090">IF(ISERROR((AR758/AJ758-1)*100),"NA",IF(((AR758/AJ758-1)*100)&gt;100,"NM",IF(((AR758/AJ758-1)*100)&lt;-50,"NM",(AR758/AJ758-1)*100)))</f>
        <v>-43.860723060723053</v>
      </c>
      <c r="AT758" s="89">
        <f>AT661/AT756</f>
        <v>-0.12452605459057099</v>
      </c>
      <c r="AU758" s="23" t="str">
        <f t="shared" ref="AU758:AU759" si="5091">IF(ISERROR((AT758/AL758-1)*100),"NA",IF(((AT758/AL758-1)*100)&gt;100,"NM",IF(((AT758/AL758-1)*100)&lt;-50,"NM",(AT758/AL758-1)*100)))</f>
        <v>NM</v>
      </c>
      <c r="AV758" s="89">
        <f>AV661/AV756</f>
        <v>0.51612379502790395</v>
      </c>
      <c r="AW758" s="23">
        <f t="shared" ref="AW758:AW759" si="5092">IF(ISERROR((AV758/AN758-1)*100),"NA",IF(((AV758/AN758-1)*100)&gt;100,"NM",IF(((AV758/AN758-1)*100)&lt;-50,"NM",(AV758/AN758-1)*100)))</f>
        <v>-43.133817037997979</v>
      </c>
      <c r="AX758" s="89">
        <f>AX661/AX756</f>
        <v>0.50860082304526655</v>
      </c>
      <c r="AY758" s="23">
        <f t="shared" ref="AY758:AY759" si="5093">IF(ISERROR((AX758/AP758-1)*100),"NA",IF(((AX758/AP758-1)*100)&gt;100,"NM",IF(((AX758/AP758-1)*100)&lt;-50,"NM",(AX758/AP758-1)*100)))</f>
        <v>79.351781062408151</v>
      </c>
      <c r="AZ758" s="89">
        <f>AZ661/AZ756</f>
        <v>0.3876398508257855</v>
      </c>
      <c r="BA758" s="23">
        <f t="shared" ref="BA758:BA759" si="5094">IF(ISERROR((AZ758/AR758-1)*100),"NA",IF(((AZ758/AR758-1)*100)&gt;100,"NM",IF(((AZ758/AR758-1)*100)&lt;-50,"NM",(AZ758/AR758-1)*100)))</f>
        <v>-11.10580387305914</v>
      </c>
      <c r="BB758" s="89">
        <f>BB661/BB756</f>
        <v>0.15732456140350895</v>
      </c>
      <c r="BC758" s="23" t="str">
        <f t="shared" ref="BC758:BC759" si="5095">IF(ISERROR((BB758/AT758-1)*100),"NA",IF(((BB758/AT758-1)*100)&gt;100,"NM",IF(((BB758/AT758-1)*100)&lt;-50,"NM",(BB758/AT758-1)*100)))</f>
        <v>NM</v>
      </c>
      <c r="BD758" s="89">
        <f>BD661/BD756</f>
        <v>0.86765027322404342</v>
      </c>
      <c r="BE758" s="23">
        <f t="shared" ref="BE758:BE759" si="5096">IF(ISERROR((BD758/AV758-1)*100),"NA",IF(((BD758/AV758-1)*100)&gt;100,"NM",IF(((BD758/AV758-1)*100)&lt;-50,"NM",(BD758/AV758-1)*100)))</f>
        <v>68.108946261067913</v>
      </c>
      <c r="BF758" s="89">
        <f t="shared" ref="BF758" si="5097">BF661/BF756</f>
        <v>0.86626151853281397</v>
      </c>
      <c r="BG758" s="23">
        <f t="shared" ref="BG758:BG759" si="5098">IF(ISERROR((BF758/AX758-1)*100),"NA",IF(((BF758/AX758-1)*100)&gt;100,"NM",IF(((BF758/AX758-1)*100)&lt;-50,"NM",(BF758/AX758-1)*100)))</f>
        <v>70.32247674041119</v>
      </c>
      <c r="BH758" s="89">
        <f t="shared" ref="BH758" si="5099">BH661/BH756</f>
        <v>1.0460129775333231</v>
      </c>
      <c r="BI758" s="23" t="str">
        <f t="shared" ref="BI758:BI759" si="5100">IF(ISERROR((BH758/AZ758-1)*100),"NA",IF(((BH758/AZ758-1)*100)&gt;100,"NM",IF(((BH758/AZ758-1)*100)&lt;-50,"NM",(BH758/AZ758-1)*100)))</f>
        <v>NM</v>
      </c>
      <c r="BJ758" s="89">
        <f t="shared" ref="BJ758" si="5101">BJ661/BJ756</f>
        <v>1.1421989433528013</v>
      </c>
      <c r="BK758" s="23" t="str">
        <f t="shared" ref="BK758:BK759" si="5102">IF(ISERROR((BJ758/BB758-1)*100),"NA",IF(((BJ758/BB758-1)*100)&gt;100,"NM",IF(((BJ758/BB758-1)*100)&lt;-50,"NM",(BJ758/BB758-1)*100)))</f>
        <v>NM</v>
      </c>
      <c r="BL758" s="89">
        <f t="shared" ref="BL758" si="5103">BL661/BL756</f>
        <v>1.2098112978370306</v>
      </c>
      <c r="BM758" s="23">
        <f t="shared" ref="BM758:BM759" si="5104">IF(ISERROR((BL758/BD758-1)*100),"NA",IF(((BL758/BD758-1)*100)&gt;100,"NM",IF(((BL758/BD758-1)*100)&lt;-50,"NM",(BL758/BD758-1)*100)))</f>
        <v>39.435361824018564</v>
      </c>
      <c r="BN758" s="3"/>
      <c r="BO758" s="132"/>
      <c r="BP758" s="3"/>
      <c r="BQ758" s="21"/>
      <c r="BR758" s="21"/>
      <c r="BS758" s="21"/>
      <c r="BT758" s="21"/>
      <c r="BU758" s="89">
        <f>BU661/BU756</f>
        <v>3.1649758717826053</v>
      </c>
      <c r="BV758" s="23" t="str">
        <f>IF(ISERROR((BU758/BS758-1)*100),"NA",IF(((BU758/BS758-1)*100)&gt;100,"NM",IF(((BU758/BS758-1)*100)&lt;-50,"NM",(BU758/BS758-1)*100)))</f>
        <v>NA</v>
      </c>
      <c r="BW758" s="89">
        <f>BW661/BW756</f>
        <v>2.5934043478260893</v>
      </c>
      <c r="BX758" s="23">
        <f>IF(ISERROR((BW758/BU758-1)*100),"NA",IF(((BW758/BU758-1)*100)&gt;100,"NM",IF(((BW758/BU758-1)*100)&lt;-50,"NM",(BW758/BU758-1)*100)))</f>
        <v>-18.059269552490786</v>
      </c>
      <c r="BY758" s="89">
        <f>BY661/BY756</f>
        <v>3.2746822875297856</v>
      </c>
      <c r="BZ758" s="23">
        <f>IF(ISERROR((BY758/BW758-1)*100),"NA",IF(((BY758/BW758-1)*100)&gt;100,"NM",IF(((BY758/BW758-1)*100)&lt;-50,"NM",(BY758/BW758-1)*100)))</f>
        <v>26.26963821799615</v>
      </c>
      <c r="CA758" s="89">
        <f>CA661/CA756</f>
        <v>3.135541401273886</v>
      </c>
      <c r="CB758" s="23">
        <f>IF(ISERROR((CA758/BY758-1)*100),"NA",IF(((CA758/BY758-1)*100)&gt;100,"NM",IF(((CA758/BY758-1)*100)&lt;-50,"NM",(CA758/BY758-1)*100)))</f>
        <v>-4.2489888801047204</v>
      </c>
      <c r="CC758" s="89">
        <f>CC661/CC756</f>
        <v>2.9217360729590141</v>
      </c>
      <c r="CD758" s="23">
        <f>IF(ISERROR((CC758/CA758-1)*100),"NA",IF(((CC758/CA758-1)*100)&gt;100,"NM",IF(((CC758/CA758-1)*100)&lt;-50,"NM",(CC758/CA758-1)*100)))</f>
        <v>-6.8187691040535681</v>
      </c>
      <c r="CE758" s="89">
        <f>CE661/CE756</f>
        <v>1.1078500986193287</v>
      </c>
      <c r="CF758" s="23" t="str">
        <f>IF(ISERROR((CE758/CC758-1)*100),"NA",IF(((CE758/CC758-1)*100)&gt;100,"NM",IF(((CE758/CC758-1)*100)&lt;-50,"NM",(CE758/CC758-1)*100)))</f>
        <v>NM</v>
      </c>
      <c r="CG758" s="89">
        <f>CG661/CG756</f>
        <v>1.9216481605351179</v>
      </c>
      <c r="CH758" s="23">
        <f>IF(ISERROR((CG758/CE758-1)*100),"NA",IF(((CG758/CE758-1)*100)&gt;100,"NM",IF(((CG758/CE758-1)*100)&lt;-50,"NM",(CG758/CE758-1)*100)))</f>
        <v>73.457416570165464</v>
      </c>
      <c r="CI758" s="89">
        <f>CI661/CI756</f>
        <v>4.2490895860792328</v>
      </c>
      <c r="CJ758" s="23" t="str">
        <f>IF(ISERROR((CI758/CG758-1)*100),"NA",IF(((CI758/CG758-1)*100)&gt;100,"NM",IF(((CI758/CG758-1)*100)&lt;-50,"NM",(CI758/CG758-1)*100)))</f>
        <v>NM</v>
      </c>
      <c r="CK758" s="89">
        <f>CK661/CK756</f>
        <v>5.2475537932009786</v>
      </c>
      <c r="CL758" s="23">
        <f>IF(ISERROR((CK758/CI758-1)*100),"NA",IF(((CK758/CI758-1)*100)&gt;100,"NM",IF(((CK758/CI758-1)*100)&lt;-50,"NM",(CK758/CI758-1)*100)))</f>
        <v>23.498309152927497</v>
      </c>
      <c r="CM758" s="89">
        <f>CM661/CM756</f>
        <v>5.7969002993802468</v>
      </c>
      <c r="CN758" s="23">
        <f>IF(ISERROR((CM758/CK758-1)*100),"NA",IF(((CM758/CK758-1)*100)&gt;100,"NM",IF(((CM758/CK758-1)*100)&lt;-50,"NM",(CM758/CK758-1)*100)))</f>
        <v>10.468620767471348</v>
      </c>
      <c r="CO758" s="89">
        <f>CO661/CO756</f>
        <v>6.401629011637576</v>
      </c>
      <c r="CP758" s="23">
        <f>IF(ISERROR((CO758/CM758-1)*100),"NA",IF(((CO758/CM758-1)*100)&gt;100,"NM",IF(((CO758/CM758-1)*100)&lt;-50,"NM",(CO758/CM758-1)*100)))</f>
        <v>10.43193225734762</v>
      </c>
      <c r="CQ758" s="89">
        <f>CQ661/CQ756</f>
        <v>7.0955875461529843</v>
      </c>
      <c r="CR758" s="23">
        <f>IF(ISERROR((CQ758/CO758-1)*100),"NA",IF(((CQ758/CO758-1)*100)&gt;100,"NM",IF(((CQ758/CO758-1)*100)&lt;-50,"NM",(CQ758/CO758-1)*100)))</f>
        <v>10.84034287606881</v>
      </c>
      <c r="CS758" s="23">
        <f>IF(ISERROR(((CQ758/CG758)^0.2-1)*100),"NA",IF((((CQ758/CG758)^0.2-1)*100)&gt;100,"NM",IF((((CQ758/CG758)^0.2-1)*100)&lt;-50,"NM",((CQ758/CG758)^0.2-1)*100)))</f>
        <v>29.856262118449607</v>
      </c>
      <c r="CT758" s="27"/>
      <c r="CV758"/>
      <c r="CW758"/>
      <c r="CX758"/>
      <c r="CY758"/>
      <c r="CZ758"/>
      <c r="DA758"/>
    </row>
    <row r="759" spans="1:105" ht="12.75" customHeight="1" x14ac:dyDescent="0.2">
      <c r="A759" s="19" t="s">
        <v>46</v>
      </c>
      <c r="B759" s="87">
        <f>ROUND(B694/B756,2)</f>
        <v>1.28</v>
      </c>
      <c r="C759" s="83"/>
      <c r="D759" s="87">
        <f>ROUND(D694/D756,2)</f>
        <v>1.59</v>
      </c>
      <c r="E759" s="83"/>
      <c r="F759" s="87">
        <f>ROUND(F694/F756,2)</f>
        <v>4.53</v>
      </c>
      <c r="G759" s="83"/>
      <c r="H759" s="87">
        <f>ROUND(H694/H756,2)</f>
        <v>-7.78</v>
      </c>
      <c r="I759" s="83"/>
      <c r="J759" s="87">
        <f>ROUND(J694/J756,2)</f>
        <v>-2.2000000000000002</v>
      </c>
      <c r="K759" s="23" t="str">
        <f t="shared" si="5088"/>
        <v>NM</v>
      </c>
      <c r="L759" s="87">
        <f>ROUND(L694/L756,2)</f>
        <v>2.76</v>
      </c>
      <c r="M759" s="23">
        <f t="shared" si="5088"/>
        <v>73.584905660377345</v>
      </c>
      <c r="N759" s="87">
        <f>ROUND(N694/N756,2)</f>
        <v>1.59</v>
      </c>
      <c r="O759" s="23" t="str">
        <f t="shared" si="5088"/>
        <v>NM</v>
      </c>
      <c r="P759" s="87">
        <f>ROUND(P694/P756,2)</f>
        <v>-0.1</v>
      </c>
      <c r="Q759" s="23" t="str">
        <f t="shared" si="5088"/>
        <v>NM</v>
      </c>
      <c r="R759" s="87">
        <f>ROUND(R694/R756,2)</f>
        <v>-0.92</v>
      </c>
      <c r="S759" s="23" t="str">
        <f t="shared" si="5088"/>
        <v>NM</v>
      </c>
      <c r="T759" s="87">
        <f>ROUND(T694/T756,2)</f>
        <v>-0.33</v>
      </c>
      <c r="U759" s="23" t="str">
        <f t="shared" si="5088"/>
        <v>NM</v>
      </c>
      <c r="V759" s="87">
        <f>ROUND(V694/V756,2)</f>
        <v>1.32</v>
      </c>
      <c r="W759" s="23">
        <f t="shared" si="5088"/>
        <v>-16.981132075471695</v>
      </c>
      <c r="X759" s="87">
        <f>ROUND(X694/X756,2)</f>
        <v>2.08</v>
      </c>
      <c r="Y759" s="23" t="str">
        <f t="shared" si="5088"/>
        <v>NM</v>
      </c>
      <c r="Z759" s="87">
        <f>ROUND(Z694/Z756,2)</f>
        <v>0.98</v>
      </c>
      <c r="AA759" s="23" t="str">
        <f>IF(ISERROR((Z759/R759-1)*100),"NA",IF(((Z759/R759-1)*100)&gt;100,"NM",IF(((Z759/R759-1)*100)&lt;-50,"NM",(Z759/R759-1)*100)))</f>
        <v>NM</v>
      </c>
      <c r="AB759" s="87">
        <f>ROUND(AB694/AB756,2)</f>
        <v>0.97</v>
      </c>
      <c r="AC759" s="23" t="str">
        <f>IF(ISERROR((AB759/T759-1)*100),"NA",IF(((AB759/T759-1)*100)&gt;100,"NM",IF(((AB759/T759-1)*100)&lt;-50,"NM",(AB759/T759-1)*100)))</f>
        <v>NM</v>
      </c>
      <c r="AD759" s="87">
        <f>ROUND(AD694/AD756,2)</f>
        <v>1.6</v>
      </c>
      <c r="AE759" s="23">
        <f>IF(ISERROR((AD759/V759-1)*100),"NA",IF(((AD759/V759-1)*100)&gt;100,"NM",IF(((AD759/V759-1)*100)&lt;-50,"NM",(AD759/V759-1)*100)))</f>
        <v>21.212121212121215</v>
      </c>
      <c r="AF759" s="87">
        <f>ROUND(AF694/AF756,2)</f>
        <v>5.6</v>
      </c>
      <c r="AG759" s="23" t="str">
        <f>IF(ISERROR((AF759/X759-1)*100),"NA",IF(((AF759/X759-1)*100)&gt;100,"NM",IF(((AF759/X759-1)*100)&lt;-50,"NM",(AF759/X759-1)*100)))</f>
        <v>NM</v>
      </c>
      <c r="AH759" s="87">
        <f>ROUND(AH694/AH756,2)</f>
        <v>0.79</v>
      </c>
      <c r="AI759" s="23">
        <f>IF(ISERROR((AH759/Z759-1)*100),"NA",IF(((AH759/Z759-1)*100)&gt;100,"NM",IF(((AH759/Z759-1)*100)&lt;-50,"NM",(AH759/Z759-1)*100)))</f>
        <v>-19.387755102040817</v>
      </c>
      <c r="AJ759" s="87">
        <f>ROUND(AJ694/AJ756,2)</f>
        <v>1.24</v>
      </c>
      <c r="AK759" s="23">
        <f>IF(ISERROR((AJ759/AB759-1)*100),"NA",IF(((AJ759/AB759-1)*100)&gt;100,"NM",IF(((AJ759/AB759-1)*100)&lt;-50,"NM",(AJ759/AB759-1)*100)))</f>
        <v>27.835051546391764</v>
      </c>
      <c r="AL759" s="87">
        <f>ROUND(AL694/AL756,2)</f>
        <v>0.18</v>
      </c>
      <c r="AM759" s="23" t="str">
        <f>IF(ISERROR((AL759/AD759-1)*100),"NA",IF(((AL759/AD759-1)*100)&gt;100,"NM",IF(((AL759/AD759-1)*100)&lt;-50,"NM",(AL759/AD759-1)*100)))</f>
        <v>NM</v>
      </c>
      <c r="AN759" s="415">
        <f>ROUND(AN694/AN756,2)</f>
        <v>-0.49</v>
      </c>
      <c r="AO759" s="23" t="str">
        <f>IF(ISERROR((AN759/AF759-1)*100),"NA",IF(((AN759/AF759-1)*100)&gt;100,"NM",IF(((AN759/AF759-1)*100)&lt;-50,"NM",(AN759/AF759-1)*100)))</f>
        <v>NM</v>
      </c>
      <c r="AP759" s="415">
        <f>ROUND(AP694/AP756,2)</f>
        <v>0.73</v>
      </c>
      <c r="AQ759" s="23">
        <f t="shared" si="5089"/>
        <v>-7.5949367088607662</v>
      </c>
      <c r="AR759" s="415">
        <f>ROUND(AR694/AR756,2)</f>
        <v>0.56999999999999995</v>
      </c>
      <c r="AS759" s="23" t="str">
        <f t="shared" si="5090"/>
        <v>NM</v>
      </c>
      <c r="AT759" s="415">
        <f>ROUND(AT694/AT756,2)</f>
        <v>-1.69</v>
      </c>
      <c r="AU759" s="23" t="str">
        <f t="shared" si="5091"/>
        <v>NM</v>
      </c>
      <c r="AV759" s="415">
        <f>ROUND(AV694/AV754,2)</f>
        <v>-3.06</v>
      </c>
      <c r="AW759" s="23" t="str">
        <f t="shared" si="5092"/>
        <v>NM</v>
      </c>
      <c r="AX759" s="415">
        <f>ROUND(AX694/AX754,2)</f>
        <v>-1.1399999999999999</v>
      </c>
      <c r="AY759" s="23" t="str">
        <f t="shared" si="5093"/>
        <v>NM</v>
      </c>
      <c r="AZ759" s="415">
        <f>ROUND(AZ694/AZ754,2)</f>
        <v>0.7</v>
      </c>
      <c r="BA759" s="23">
        <f t="shared" si="5094"/>
        <v>22.807017543859654</v>
      </c>
      <c r="BB759" s="596">
        <f>BB694/BB756</f>
        <v>0.94298245614035114</v>
      </c>
      <c r="BC759" s="23" t="str">
        <f t="shared" si="5095"/>
        <v>NM</v>
      </c>
      <c r="BD759" s="596">
        <f>BD694/BD756</f>
        <v>0.75136612021857896</v>
      </c>
      <c r="BE759" s="23" t="str">
        <f t="shared" si="5096"/>
        <v>NM</v>
      </c>
      <c r="BF759" s="87">
        <f t="shared" ref="BF759" si="5105">ROUND(BF694/BF756,2)</f>
        <v>1.23</v>
      </c>
      <c r="BG759" s="23" t="str">
        <f t="shared" si="5098"/>
        <v>NM</v>
      </c>
      <c r="BH759" s="87">
        <f t="shared" ref="BH759" si="5106">ROUND(BH694/BH756,2)</f>
        <v>1.39</v>
      </c>
      <c r="BI759" s="23">
        <f t="shared" si="5100"/>
        <v>98.571428571428584</v>
      </c>
      <c r="BJ759" s="87">
        <f t="shared" ref="BJ759" si="5107">ROUND(BJ694/BJ756,2)</f>
        <v>1.19</v>
      </c>
      <c r="BK759" s="23">
        <f t="shared" si="5102"/>
        <v>26.195348837209266</v>
      </c>
      <c r="BL759" s="87">
        <f t="shared" ref="BL759" si="5108">ROUND(BL694/BL756,2)</f>
        <v>1.26</v>
      </c>
      <c r="BM759" s="23">
        <f t="shared" si="5104"/>
        <v>67.694545454545519</v>
      </c>
      <c r="BQ759" s="43"/>
      <c r="BR759" s="43"/>
      <c r="BS759" s="43"/>
      <c r="BT759" s="43"/>
      <c r="BU759" s="87">
        <f>ROUND(BU694/BU756,2)</f>
        <v>-0.38</v>
      </c>
      <c r="BV759" s="23" t="str">
        <f>IF(ISERROR((BU759/BS759-1)*100),"NA",IF(((BU759/BS759-1)*100)&gt;100,"NM",IF(((BU759/BS759-1)*100)&lt;-50,"NM",(BU759/BS759-1)*100)))</f>
        <v>NA</v>
      </c>
      <c r="BW759" s="87">
        <f>ROUND(BW694/BW756,2)</f>
        <v>2.0499999999999998</v>
      </c>
      <c r="BX759" s="23" t="str">
        <f>IF(ISERROR((BW759/BU759-1)*100),"NA",IF(((BW759/BU759-1)*100)&gt;100,"NM",IF(((BW759/BU759-1)*100)&lt;-50,"NM",(BW759/BU759-1)*100)))</f>
        <v>NM</v>
      </c>
      <c r="BY759" s="87">
        <f>ROUND(BY694/BY756,2)</f>
        <v>2.39</v>
      </c>
      <c r="BZ759" s="23">
        <f>IF(ISERROR((BY759/BW759-1)*100),"NA",IF(((BY759/BW759-1)*100)&gt;100,"NM",IF(((BY759/BW759-1)*100)&lt;-50,"NM",(BY759/BW759-1)*100)))</f>
        <v>16.585365853658551</v>
      </c>
      <c r="CA759" s="87">
        <f>ROUND(CA694/CA756,2)</f>
        <v>8.98</v>
      </c>
      <c r="CB759" s="23" t="str">
        <f>IF(ISERROR((CA759/BY759-1)*100),"NA",IF(((CA759/BY759-1)*100)&gt;100,"NM",IF(((CA759/BY759-1)*100)&lt;-50,"NM",(CA759/BY759-1)*100)))</f>
        <v>NM</v>
      </c>
      <c r="CC759" s="87">
        <f>ROUND(CC694/CC756,2)</f>
        <v>1.79</v>
      </c>
      <c r="CD759" s="23" t="str">
        <f>IF(ISERROR((CC759/CA759-1)*100),"NA",IF(((CC759/CA759-1)*100)&gt;100,"NM",IF(((CC759/CA759-1)*100)&lt;-50,"NM",(CC759/CA759-1)*100)))</f>
        <v>NM</v>
      </c>
      <c r="CE759" s="87">
        <f>ROUND(CE694/CE756,2)</f>
        <v>-3.31</v>
      </c>
      <c r="CF759" s="23" t="str">
        <f>IF(ISERROR((CE759/CC759-1)*100),"NA",IF(((CE759/CC759-1)*100)&gt;100,"NM",IF(((CE759/CC759-1)*100)&lt;-50,"NM",(CE759/CC759-1)*100)))</f>
        <v>NM</v>
      </c>
      <c r="CG759" s="87">
        <f>ROUND(CG694/CG756,2)</f>
        <v>1.18</v>
      </c>
      <c r="CH759" s="23" t="str">
        <f>IF(ISERROR((CG759/CE759-1)*100),"NA",IF(((CG759/CE759-1)*100)&gt;100,"NM",IF(((CG759/CE759-1)*100)&lt;-50,"NM",(CG759/CE759-1)*100)))</f>
        <v>NM</v>
      </c>
      <c r="CI759" s="87">
        <f>ROUND(CI694/CI756,2)</f>
        <v>5.07</v>
      </c>
      <c r="CJ759" s="23" t="str">
        <f>IF(ISERROR((CI759/CG759-1)*100),"NA",IF(((CI759/CG759-1)*100)&gt;100,"NM",IF(((CI759/CG759-1)*100)&lt;-50,"NM",(CI759/CG759-1)*100)))</f>
        <v>NM</v>
      </c>
      <c r="CK759" s="87">
        <f>ROUND(CK694/CK756,2)</f>
        <v>5.41</v>
      </c>
      <c r="CL759" s="23">
        <f>IF(ISERROR((CK759/CI759-1)*100),"NA",IF(((CK759/CI759-1)*100)&gt;100,"NM",IF(((CK759/CI759-1)*100)&lt;-50,"NM",(CK759/CI759-1)*100)))</f>
        <v>6.7061143984220806</v>
      </c>
      <c r="CM759" s="87">
        <f>ROUND(CM694/CM756,2)</f>
        <v>5.97</v>
      </c>
      <c r="CN759" s="23">
        <f>IF(ISERROR((CM759/CK759-1)*100),"NA",IF(((CM759/CK759-1)*100)&gt;100,"NM",IF(((CM759/CK759-1)*100)&lt;-50,"NM",(CM759/CK759-1)*100)))</f>
        <v>10.351201478743066</v>
      </c>
      <c r="CO759" s="87">
        <f>ROUND(CO694/CO756,2)</f>
        <v>6.57</v>
      </c>
      <c r="CP759" s="23">
        <f>IF(ISERROR((CO759/CM759-1)*100),"NA",IF(((CO759/CM759-1)*100)&gt;100,"NM",IF(((CO759/CM759-1)*100)&lt;-50,"NM",(CO759/CM759-1)*100)))</f>
        <v>10.050251256281406</v>
      </c>
      <c r="CQ759" s="87">
        <f>ROUND(CQ694/CQ756,2)</f>
        <v>7.27</v>
      </c>
      <c r="CR759" s="23">
        <f>IF(ISERROR((CQ759/CO759-1)*100),"NA",IF(((CQ759/CO759-1)*100)&gt;100,"NM",IF(((CQ759/CO759-1)*100)&lt;-50,"NM",(CQ759/CO759-1)*100)))</f>
        <v>10.654490106544889</v>
      </c>
      <c r="CS759" s="23">
        <f>IF(ISERROR(((CQ759/CG759)^0.2-1)*100),"NA",IF((((CQ759/CG759)^0.2-1)*100)&gt;100,"NM",IF((((CQ759/CG759)^0.2-1)*100)&lt;-50,"NM",((CQ759/CG759)^0.2-1)*100)))</f>
        <v>43.856828233055786</v>
      </c>
      <c r="CT759" s="28"/>
    </row>
    <row r="760" spans="1:105" ht="12.75" customHeight="1" x14ac:dyDescent="0.2">
      <c r="A760" s="19"/>
      <c r="B760" s="6"/>
      <c r="C760" s="82"/>
      <c r="D760" s="6"/>
      <c r="E760" s="82"/>
      <c r="F760" s="6"/>
      <c r="G760" s="82"/>
      <c r="H760" s="6"/>
      <c r="I760" s="82"/>
      <c r="J760" s="6"/>
      <c r="K760" s="184"/>
      <c r="L760" s="6"/>
      <c r="M760" s="184"/>
      <c r="N760" s="6"/>
      <c r="O760" s="184"/>
      <c r="P760" s="6"/>
      <c r="Q760" s="184"/>
      <c r="R760" s="6"/>
      <c r="S760" s="184"/>
      <c r="T760" s="6"/>
      <c r="U760" s="184"/>
      <c r="V760" s="6"/>
      <c r="W760" s="184"/>
      <c r="X760" s="6"/>
      <c r="Y760" s="184"/>
      <c r="Z760" s="6"/>
      <c r="AA760" s="184"/>
      <c r="AB760" s="6"/>
      <c r="AC760" s="184"/>
      <c r="AD760" s="6"/>
      <c r="AE760" s="184"/>
      <c r="AF760" s="6"/>
      <c r="AG760" s="184"/>
      <c r="AH760" s="6"/>
      <c r="AI760" s="184"/>
      <c r="AJ760" s="6"/>
      <c r="AK760" s="184"/>
      <c r="AL760" s="6"/>
      <c r="AM760" s="184"/>
      <c r="AN760" s="473"/>
      <c r="AO760" s="184"/>
      <c r="AP760" s="473"/>
      <c r="AQ760" s="184"/>
      <c r="AR760" s="473"/>
      <c r="AS760" s="184"/>
      <c r="AT760" s="473"/>
      <c r="AU760" s="184"/>
      <c r="AV760" s="473"/>
      <c r="AW760" s="184"/>
      <c r="AX760" s="473"/>
      <c r="AY760" s="184"/>
      <c r="AZ760" s="473"/>
      <c r="BA760" s="184"/>
      <c r="BB760" s="473"/>
      <c r="BC760" s="184"/>
      <c r="BD760" s="473"/>
      <c r="BE760" s="184"/>
      <c r="BF760" s="6"/>
      <c r="BG760" s="184"/>
      <c r="BH760" s="6"/>
      <c r="BI760" s="184"/>
      <c r="BJ760" s="6"/>
      <c r="BK760" s="184"/>
      <c r="BL760" s="6"/>
      <c r="BM760" s="184"/>
      <c r="BR760" s="6"/>
      <c r="BS760" s="6"/>
      <c r="BT760" s="6"/>
      <c r="BU760" s="6"/>
      <c r="BV760" s="184"/>
      <c r="BW760" s="6"/>
      <c r="BX760" s="184"/>
      <c r="BY760" s="6"/>
      <c r="BZ760" s="184"/>
      <c r="CA760" s="6"/>
      <c r="CB760" s="184"/>
      <c r="CC760" s="6"/>
      <c r="CD760" s="184"/>
      <c r="CE760" s="6"/>
      <c r="CF760" s="184"/>
      <c r="CG760" s="6"/>
      <c r="CH760" s="184"/>
      <c r="CI760" s="6"/>
      <c r="CJ760" s="184"/>
      <c r="CK760" s="6"/>
      <c r="CL760" s="184"/>
      <c r="CM760" s="6"/>
      <c r="CN760" s="184"/>
      <c r="CO760" s="6"/>
      <c r="CP760" s="184"/>
      <c r="CQ760" s="6"/>
      <c r="CR760" s="184"/>
      <c r="CS760" s="184"/>
      <c r="CT760" s="28"/>
    </row>
    <row r="761" spans="1:105" s="9" customFormat="1" ht="12.75" customHeight="1" x14ac:dyDescent="0.2">
      <c r="A761" s="46" t="s">
        <v>47</v>
      </c>
      <c r="B761" s="89">
        <f>B675/B756</f>
        <v>0.62896912747063405</v>
      </c>
      <c r="C761" s="90"/>
      <c r="D761" s="89">
        <f>D675/D756</f>
        <v>0.75420500406251245</v>
      </c>
      <c r="E761" s="90"/>
      <c r="F761" s="89">
        <f>F675/F756</f>
        <v>0.71230542036541289</v>
      </c>
      <c r="G761" s="90"/>
      <c r="H761" s="89">
        <f>H675/H756</f>
        <v>0.40535590165697749</v>
      </c>
      <c r="I761" s="90"/>
      <c r="J761" s="89">
        <f>J675/J756</f>
        <v>0.61464578971839079</v>
      </c>
      <c r="K761" s="23">
        <f>IF(ISERROR((J761/B761-1)*100),"NA",IF(((J761/B761-1)*100)&gt;100,"NM",IF(((J761/B761-1)*100)&lt;-50,"NM",(J761/B761-1)*100)))</f>
        <v>-2.277271987870666</v>
      </c>
      <c r="L761" s="89">
        <f>L675/L756</f>
        <v>0.80885409813964293</v>
      </c>
      <c r="M761" s="23">
        <f>IF(ISERROR((L761/D761-1)*100),"NA",IF(((L761/D761-1)*100)&gt;100,"NM",IF(((L761/D761-1)*100)&lt;-50,"NM",(L761/D761-1)*100)))</f>
        <v>7.2459203774522862</v>
      </c>
      <c r="N761" s="89">
        <f>N675/N756</f>
        <v>0.73230844492405511</v>
      </c>
      <c r="O761" s="23">
        <f>IF(ISERROR((N761/F761-1)*100),"NA",IF(((N761/F761-1)*100)&gt;100,"NM",IF(((N761/F761-1)*100)&lt;-50,"NM",(N761/F761-1)*100)))</f>
        <v>2.8082089489618989</v>
      </c>
      <c r="P761" s="89">
        <f>P675/P756</f>
        <v>0.72692962856982757</v>
      </c>
      <c r="Q761" s="23">
        <f>IF(ISERROR((P761/H761-1)*100),"NA",IF(((P761/H761-1)*100)&gt;100,"NM",IF(((P761/H761-1)*100)&lt;-50,"NM",(P761/H761-1)*100)))</f>
        <v>79.331206378974599</v>
      </c>
      <c r="R761" s="230">
        <f>R675/R756</f>
        <v>0.66744400013555194</v>
      </c>
      <c r="S761" s="23">
        <f>IF(ISERROR((R761/J761-1)*100),"NA",IF(((R761/J761-1)*100)&gt;100,"NM",IF(((R761/J761-1)*100)&lt;-50,"NM",(R761/J761-1)*100)))</f>
        <v>8.5900223023331002</v>
      </c>
      <c r="T761" s="230">
        <f>T675/T756</f>
        <v>0.66683300039952031</v>
      </c>
      <c r="U761" s="23">
        <f>IF(ISERROR((T761/L761-1)*100),"NA",IF(((T761/L761-1)*100)&gt;100,"NM",IF(((T761/L761-1)*100)&lt;-50,"NM",(T761/L761-1)*100)))</f>
        <v>-17.558308484406503</v>
      </c>
      <c r="V761" s="230">
        <f>V675/V756</f>
        <v>0.63810522302706774</v>
      </c>
      <c r="W761" s="23">
        <f>IF(ISERROR((V761/N761-1)*100),"NA",IF(((V761/N761-1)*100)&gt;100,"NM",IF(((V761/N761-1)*100)&lt;-50,"NM",(V761/N761-1)*100)))</f>
        <v>-12.863872122457476</v>
      </c>
      <c r="X761" s="230">
        <f>X675/X756</f>
        <v>0.67419293581465978</v>
      </c>
      <c r="Y761" s="23">
        <f>IF(ISERROR((X761/P761-1)*100),"NA",IF(((X761/P761-1)*100)&gt;100,"NM",IF(((X761/P761-1)*100)&lt;-50,"NM",(X761/P761-1)*100)))</f>
        <v>-7.254717744676709</v>
      </c>
      <c r="Z761" s="230">
        <f>Z675/Z756</f>
        <v>0.62335863377609146</v>
      </c>
      <c r="AA761" s="23">
        <f>IF(ISERROR((Z761/R761-1)*100),"NA",IF(((Z761/R761-1)*100)&gt;100,"NM",IF(((Z761/R761-1)*100)&lt;-50,"NM",(Z761/R761-1)*100)))</f>
        <v>-6.6051034020093269</v>
      </c>
      <c r="AB761" s="230">
        <f>AB675/AB756</f>
        <v>0.79207650273224051</v>
      </c>
      <c r="AC761" s="23">
        <f>IF(ISERROR((AB761/T761-1)*100),"NA",IF(((AB761/T761-1)*100)&gt;100,"NM",IF(((AB761/T761-1)*100)&lt;-50,"NM",(AB761/T761-1)*100)))</f>
        <v>18.781839269754631</v>
      </c>
      <c r="AD761" s="230">
        <f>AD675/AD756</f>
        <v>0.73352397798742153</v>
      </c>
      <c r="AE761" s="23">
        <f>IF(ISERROR((AD761/V761-1)*100),"NA",IF(((AD761/V761-1)*100)&gt;100,"NM",IF(((AD761/V761-1)*100)&lt;-50,"NM",(AD761/V761-1)*100)))</f>
        <v>14.953451486841418</v>
      </c>
      <c r="AF761" s="230">
        <f>AF675/AF756</f>
        <v>0.92171266233766191</v>
      </c>
      <c r="AG761" s="23">
        <f>IF(ISERROR((AF761/X761-1)*100),"NA",IF(((AF761/X761-1)*100)&gt;100,"NM",IF(((AF761/X761-1)*100)&lt;-50,"NM",(AF761/X761-1)*100)))</f>
        <v>36.713485617275431</v>
      </c>
      <c r="AH761" s="230">
        <f>AH675/AH756</f>
        <v>0.80450186954715441</v>
      </c>
      <c r="AI761" s="23">
        <f>IF(ISERROR((AH761/Z761-1)*100),"NA",IF(((AH761/Z761-1)*100)&gt;100,"NM",IF(((AH761/Z761-1)*100)&lt;-50,"NM",(AH761/Z761-1)*100)))</f>
        <v>29.059232672171365</v>
      </c>
      <c r="AJ761" s="230">
        <f>AJ675/AJ756</f>
        <v>0.80161879895561394</v>
      </c>
      <c r="AK761" s="23">
        <f>IF(ISERROR((AJ761/AB761-1)*100),"NA",IF(((AJ761/AB761-1)*100)&gt;100,"NM",IF(((AJ761/AB761-1)*100)&lt;-50,"NM",(AJ761/AB761-1)*100)))</f>
        <v>1.2047190126784013</v>
      </c>
      <c r="AL761" s="230">
        <f>AL675/AL756</f>
        <v>0.70067978533094677</v>
      </c>
      <c r="AM761" s="23">
        <f>IF(ISERROR((AL761/AD761-1)*100),"NA",IF(((AL761/AD761-1)*100)&gt;100,"NM",IF(((AL761/AD761-1)*100)&lt;-50,"NM",(AL761/AD761-1)*100)))</f>
        <v>-4.4775895051978765</v>
      </c>
      <c r="AN761" s="230">
        <f>AN675/AN756</f>
        <v>0.76027777777777794</v>
      </c>
      <c r="AO761" s="23">
        <f>IF(ISERROR((AN761/AF761-1)*100),"NA",IF(((AN761/AF761-1)*100)&gt;100,"NM",IF(((AN761/AF761-1)*100)&lt;-50,"NM",(AN761/AF761-1)*100)))</f>
        <v>-17.514664944544677</v>
      </c>
      <c r="AP761" s="230">
        <f>AP675/AP756</f>
        <v>0.31869918699186905</v>
      </c>
      <c r="AQ761" s="23" t="str">
        <f t="shared" ref="AQ761" si="5109">IF(ISERROR((AP761/AH761-1)*100),"NA",IF(((AP761/AH761-1)*100)&gt;100,"NM",IF(((AP761/AH761-1)*100)&lt;-50,"NM",(AP761/AH761-1)*100)))</f>
        <v>NM</v>
      </c>
      <c r="AR761" s="89">
        <f>AR675/AR756</f>
        <v>0.51884029484029504</v>
      </c>
      <c r="AS761" s="23">
        <f t="shared" ref="AS761" si="5110">IF(ISERROR((AR761/AJ761-1)*100),"NA",IF(((AR761/AJ761-1)*100)&gt;100,"NM",IF(((AR761/AJ761-1)*100)&lt;-50,"NM",(AR761/AJ761-1)*100)))</f>
        <v>-35.275932211636729</v>
      </c>
      <c r="AT761" s="89">
        <f>AT675/AT756</f>
        <v>0.44782133995037188</v>
      </c>
      <c r="AU761" s="23">
        <f t="shared" ref="AU761" si="5111">IF(ISERROR((AT761/AL761-1)*100),"NA",IF(((AT761/AL761-1)*100)&gt;100,"NM",IF(((AT761/AL761-1)*100)&lt;-50,"NM",(AT761/AL761-1)*100)))</f>
        <v>-36.087589605734692</v>
      </c>
      <c r="AV761" s="89">
        <f>AV675/AV756</f>
        <v>0.51336377473363715</v>
      </c>
      <c r="AW761" s="23">
        <f t="shared" ref="AW761" si="5112">IF(ISERROR((AV761/AN761-1)*100),"NA",IF(((AV761/AN761-1)*100)&gt;100,"NM",IF(((AV761/AN761-1)*100)&lt;-50,"NM",(AV761/AN761-1)*100)))</f>
        <v>-32.476814430358303</v>
      </c>
      <c r="AX761" s="89">
        <f>AX675/AX756</f>
        <v>0.46487654320987559</v>
      </c>
      <c r="AY761" s="23">
        <f t="shared" ref="AY761" si="5113">IF(ISERROR((AX761/AP761-1)*100),"NA",IF(((AX761/AP761-1)*100)&gt;100,"NM",IF(((AX761/AP761-1)*100)&lt;-50,"NM",(AX761/AP761-1)*100)))</f>
        <v>45.866874527588905</v>
      </c>
      <c r="AZ761" s="89">
        <f>AZ675/AZ756</f>
        <v>0.65935002663825237</v>
      </c>
      <c r="BA761" s="23">
        <f t="shared" ref="BA761" si="5114">IF(ISERROR((AZ761/AR761-1)*100),"NA",IF(((AZ761/AR761-1)*100)&gt;100,"NM",IF(((AZ761/AR761-1)*100)&lt;-50,"NM",(AZ761/AR761-1)*100)))</f>
        <v>27.081499489396421</v>
      </c>
      <c r="BB761" s="89">
        <f>BB675/BB756</f>
        <v>0.64942982456140363</v>
      </c>
      <c r="BC761" s="23">
        <f t="shared" ref="BC761" si="5115">IF(ISERROR((BB761/AT761-1)*100),"NA",IF(((BB761/AT761-1)*100)&gt;100,"NM",IF(((BB761/AT761-1)*100)&lt;-50,"NM",(BB761/AT761-1)*100)))</f>
        <v>45.019847565409506</v>
      </c>
      <c r="BD761" s="89">
        <f>BD675/BD756</f>
        <v>0.79704918032786864</v>
      </c>
      <c r="BE761" s="23">
        <f t="shared" ref="BE761" si="5116">IF(ISERROR((BD761/AV761-1)*100),"NA",IF(((BD761/AV761-1)*100)&gt;100,"NM",IF(((BD761/AV761-1)*100)&lt;-50,"NM",(BD761/AV761-1)*100)))</f>
        <v>55.260113696457047</v>
      </c>
      <c r="BF761" s="89">
        <f t="shared" ref="BF761" si="5117">BF675/BF756</f>
        <v>0.86626151853281375</v>
      </c>
      <c r="BG761" s="23">
        <f t="shared" ref="BG761" si="5118">IF(ISERROR((BF761/AX761-1)*100),"NA",IF(((BF761/AX761-1)*100)&gt;100,"NM",IF(((BF761/AX761-1)*100)&lt;-50,"NM",(BF761/AX761-1)*100)))</f>
        <v>86.342273273557453</v>
      </c>
      <c r="BH761" s="89">
        <f t="shared" ref="BH761" si="5119">BH675/BH756</f>
        <v>1.0460129775333231</v>
      </c>
      <c r="BI761" s="23">
        <f t="shared" ref="BI761" si="5120">IF(ISERROR((BH761/AZ761-1)*100),"NA",IF(((BH761/AZ761-1)*100)&gt;100,"NM",IF(((BH761/AZ761-1)*100)&lt;-50,"NM",(BH761/AZ761-1)*100)))</f>
        <v>58.643047739984475</v>
      </c>
      <c r="BJ761" s="89">
        <f t="shared" ref="BJ761" si="5121">BJ675/BJ756</f>
        <v>1.1421989433528013</v>
      </c>
      <c r="BK761" s="23">
        <f t="shared" ref="BK761" si="5122">IF(ISERROR((BJ761/BB761-1)*100),"NA",IF(((BJ761/BB761-1)*100)&gt;100,"NM",IF(((BJ761/BB761-1)*100)&lt;-50,"NM",(BJ761/BB761-1)*100)))</f>
        <v>75.877192601093157</v>
      </c>
      <c r="BL761" s="89">
        <f t="shared" ref="BL761" si="5123">BL675/BL756</f>
        <v>1.2098112978370306</v>
      </c>
      <c r="BM761" s="23">
        <f t="shared" ref="BM761" si="5124">IF(ISERROR((BL761/BD761-1)*100),"NA",IF(((BL761/BD761-1)*100)&gt;100,"NM",IF(((BL761/BD761-1)*100)&lt;-50,"NM",(BL761/BD761-1)*100)))</f>
        <v>51.786279654584291</v>
      </c>
      <c r="BN761" s="3"/>
      <c r="BO761" s="132"/>
      <c r="BP761" s="3"/>
      <c r="BQ761" s="21"/>
      <c r="BR761" s="21"/>
      <c r="BS761" s="21"/>
      <c r="BT761" s="21"/>
      <c r="BU761" s="89">
        <f>BU675/BU756</f>
        <v>2.5007265142058999</v>
      </c>
      <c r="BV761" s="23" t="str">
        <f>IF(ISERROR((BU761/BS761-1)*100),"NA",IF(((BU761/BS761-1)*100)&gt;100,"NM",IF(((BU761/BS761-1)*100)&lt;-50,"NM",(BU761/BS761-1)*100)))</f>
        <v>NA</v>
      </c>
      <c r="BW761" s="89">
        <f>BW675/BW756</f>
        <v>2.8826847645918496</v>
      </c>
      <c r="BX761" s="23">
        <f>IF(ISERROR((BW761/BU761-1)*100),"NA",IF(((BW761/BU761-1)*100)&gt;100,"NM",IF(((BW761/BU761-1)*100)&lt;-50,"NM",(BW761/BU761-1)*100)))</f>
        <v>15.273891335824041</v>
      </c>
      <c r="BY761" s="89">
        <f>BY675/BY756</f>
        <v>2.6422584641468165</v>
      </c>
      <c r="BZ761" s="23">
        <f>IF(ISERROR((BY761/BW761-1)*100),"NA",IF(((BY761/BW761-1)*100)&gt;100,"NM",IF(((BY761/BW761-1)*100)&lt;-50,"NM",(BY761/BW761-1)*100)))</f>
        <v>-8.3403604652926511</v>
      </c>
      <c r="CA761" s="89">
        <f>CA675/CA756</f>
        <v>3.0608662420382173</v>
      </c>
      <c r="CB761" s="23">
        <f>IF(ISERROR((CA761/BY761-1)*100),"NA",IF(((CA761/BY761-1)*100)&gt;100,"NM",IF(((CA761/BY761-1)*100)&lt;-50,"NM",(CA761/BY761-1)*100)))</f>
        <v>15.842802041191263</v>
      </c>
      <c r="CC761" s="89">
        <f>CC675/CC756</f>
        <v>3.0710805405999335</v>
      </c>
      <c r="CD761" s="23">
        <f>IF(ISERROR((CC761/CA761-1)*100),"NA",IF(((CC761/CA761-1)*100)&gt;100,"NM",IF(((CC761/CA761-1)*100)&lt;-50,"NM",(CC761/CA761-1)*100)))</f>
        <v>0.33370613917824699</v>
      </c>
      <c r="CE761" s="89">
        <f>CE675/CE756</f>
        <v>1.7931163708086781</v>
      </c>
      <c r="CF761" s="23">
        <f>IF(ISERROR((CE761/CC761-1)*100),"NA",IF(((CE761/CC761-1)*100)&gt;100,"NM",IF(((CE761/CC761-1)*100)&lt;-50,"NM",(CE761/CC761-1)*100)))</f>
        <v>-41.612851011116945</v>
      </c>
      <c r="CG761" s="89">
        <f>CG675/CG756</f>
        <v>2.560256856187292</v>
      </c>
      <c r="CH761" s="23">
        <f>IF(ISERROR((CG761/CE761-1)*100),"NA",IF(((CG761/CE761-1)*100)&gt;100,"NM",IF(((CG761/CE761-1)*100)&lt;-50,"NM",(CG761/CE761-1)*100)))</f>
        <v>42.782526436510146</v>
      </c>
      <c r="CI761" s="89">
        <f>CI675/CI756</f>
        <v>4.2490895860792328</v>
      </c>
      <c r="CJ761" s="23">
        <f>IF(ISERROR((CI761/CG761-1)*100),"NA",IF(((CI761/CG761-1)*100)&gt;100,"NM",IF(((CI761/CG761-1)*100)&lt;-50,"NM",(CI761/CG761-1)*100)))</f>
        <v>65.963410109051821</v>
      </c>
      <c r="CK761" s="89">
        <f>CK675/CK756</f>
        <v>5.2475537932009786</v>
      </c>
      <c r="CL761" s="23">
        <f>IF(ISERROR((CK761/CI761-1)*100),"NA",IF(((CK761/CI761-1)*100)&gt;100,"NM",IF(((CK761/CI761-1)*100)&lt;-50,"NM",(CK761/CI761-1)*100)))</f>
        <v>23.498309152927497</v>
      </c>
      <c r="CM761" s="89">
        <f>CM675/CM756</f>
        <v>5.7969002993802468</v>
      </c>
      <c r="CN761" s="23">
        <f>IF(ISERROR((CM761/CK761-1)*100),"NA",IF(((CM761/CK761-1)*100)&gt;100,"NM",IF(((CM761/CK761-1)*100)&lt;-50,"NM",(CM761/CK761-1)*100)))</f>
        <v>10.468620767471348</v>
      </c>
      <c r="CO761" s="89">
        <f>CO675/CO756</f>
        <v>6.401629011637576</v>
      </c>
      <c r="CP761" s="23">
        <f>IF(ISERROR((CO761/CM761-1)*100),"NA",IF(((CO761/CM761-1)*100)&gt;100,"NM",IF(((CO761/CM761-1)*100)&lt;-50,"NM",(CO761/CM761-1)*100)))</f>
        <v>10.43193225734762</v>
      </c>
      <c r="CQ761" s="89">
        <f>CQ675/CQ756</f>
        <v>7.0955875461529843</v>
      </c>
      <c r="CR761" s="23">
        <f>IF(ISERROR((CQ761/CO761-1)*100),"NA",IF(((CQ761/CO761-1)*100)&gt;100,"NM",IF(((CQ761/CO761-1)*100)&lt;-50,"NM",(CQ761/CO761-1)*100)))</f>
        <v>10.84034287606881</v>
      </c>
      <c r="CS761" s="23">
        <f>IF(ISERROR(((CQ761/CG761)^0.2-1)*100),"NA",IF((((CQ761/CG761)^0.2-1)*100)&gt;100,"NM",IF((((CQ761/CG761)^0.2-1)*100)&lt;-50,"NM",((CQ761/CG761)^0.2-1)*100)))</f>
        <v>22.61425535916446</v>
      </c>
      <c r="CT761" s="27"/>
      <c r="CV761"/>
      <c r="CW761"/>
      <c r="CX761"/>
      <c r="CY761"/>
      <c r="CZ761"/>
      <c r="DA761"/>
    </row>
    <row r="762" spans="1:105" s="9" customFormat="1" ht="12.75" customHeight="1" x14ac:dyDescent="0.2">
      <c r="A762" s="46"/>
      <c r="B762" s="89"/>
      <c r="C762" s="90"/>
      <c r="D762" s="89"/>
      <c r="E762" s="90"/>
      <c r="F762" s="89"/>
      <c r="G762" s="90"/>
      <c r="H762" s="89"/>
      <c r="I762" s="90"/>
      <c r="J762" s="89"/>
      <c r="K762" s="23"/>
      <c r="L762" s="89"/>
      <c r="M762" s="23"/>
      <c r="N762" s="89"/>
      <c r="O762" s="23"/>
      <c r="P762" s="89"/>
      <c r="Q762" s="23"/>
      <c r="R762" s="89"/>
      <c r="S762" s="23"/>
      <c r="T762" s="89"/>
      <c r="U762" s="23"/>
      <c r="V762" s="89"/>
      <c r="W762" s="23"/>
      <c r="X762" s="89"/>
      <c r="Y762" s="23"/>
      <c r="Z762" s="89"/>
      <c r="AA762" s="23"/>
      <c r="AB762" s="89"/>
      <c r="AC762" s="23"/>
      <c r="AD762" s="89"/>
      <c r="AE762" s="23"/>
      <c r="AF762" s="89"/>
      <c r="AG762" s="23"/>
      <c r="AH762" s="89"/>
      <c r="AI762" s="23"/>
      <c r="AJ762" s="89"/>
      <c r="AK762" s="23"/>
      <c r="AL762" s="89"/>
      <c r="AM762" s="23"/>
      <c r="AN762" s="89"/>
      <c r="AO762" s="23"/>
      <c r="AP762" s="89"/>
      <c r="AQ762" s="23"/>
      <c r="AR762" s="89"/>
      <c r="AS762" s="23"/>
      <c r="AT762" s="89"/>
      <c r="AU762" s="23"/>
      <c r="AV762" s="89"/>
      <c r="AW762" s="23"/>
      <c r="AX762" s="89"/>
      <c r="AY762" s="23"/>
      <c r="AZ762" s="89"/>
      <c r="BA762" s="23"/>
      <c r="BB762" s="89"/>
      <c r="BC762" s="23"/>
      <c r="BD762" s="89"/>
      <c r="BE762" s="23"/>
      <c r="BF762" s="89"/>
      <c r="BG762" s="23"/>
      <c r="BH762" s="89"/>
      <c r="BI762" s="23"/>
      <c r="BJ762" s="89"/>
      <c r="BK762" s="23"/>
      <c r="BL762" s="89"/>
      <c r="BM762" s="23"/>
      <c r="BN762" s="3"/>
      <c r="BO762" s="132"/>
      <c r="BP762" s="3"/>
      <c r="BQ762" s="21"/>
      <c r="BR762" s="21"/>
      <c r="BS762" s="21"/>
      <c r="BT762" s="21"/>
      <c r="BU762" s="89"/>
      <c r="BV762" s="23"/>
      <c r="BW762" s="89"/>
      <c r="BX762" s="23"/>
      <c r="BY762" s="89"/>
      <c r="BZ762" s="23"/>
      <c r="CA762" s="89"/>
      <c r="CB762" s="23"/>
      <c r="CC762" s="89"/>
      <c r="CD762" s="23"/>
      <c r="CE762" s="89"/>
      <c r="CF762" s="23"/>
      <c r="CG762" s="89"/>
      <c r="CH762" s="23"/>
      <c r="CI762" s="89"/>
      <c r="CJ762" s="23"/>
      <c r="CK762" s="89"/>
      <c r="CL762" s="23"/>
      <c r="CM762" s="89"/>
      <c r="CN762" s="23"/>
      <c r="CO762" s="89"/>
      <c r="CP762" s="23"/>
      <c r="CQ762" s="89"/>
      <c r="CR762" s="23"/>
      <c r="CS762" s="23"/>
      <c r="CT762" s="27"/>
      <c r="CV762"/>
      <c r="CW762"/>
      <c r="CX762"/>
      <c r="CY762"/>
      <c r="CZ762"/>
      <c r="DA762"/>
    </row>
    <row r="763" spans="1:105" s="204" customFormat="1" ht="12.75" customHeight="1" x14ac:dyDescent="0.2">
      <c r="A763" s="194" t="s">
        <v>403</v>
      </c>
      <c r="B763" s="225">
        <f>B758</f>
        <v>0.70785632713043478</v>
      </c>
      <c r="C763" s="225"/>
      <c r="D763" s="225">
        <f t="shared" ref="D763:T763" si="5125">D758</f>
        <v>0.84959072521739176</v>
      </c>
      <c r="E763" s="225"/>
      <c r="F763" s="225">
        <f t="shared" si="5125"/>
        <v>0.86714865656521711</v>
      </c>
      <c r="G763" s="225"/>
      <c r="H763" s="225">
        <f t="shared" si="5125"/>
        <v>0.74038016286956521</v>
      </c>
      <c r="I763" s="225"/>
      <c r="J763" s="225">
        <f t="shared" si="5125"/>
        <v>0.67828695652173832</v>
      </c>
      <c r="K763" s="197">
        <f>IF(ISERROR((J763/B763-1)*100),"NA",IF(((J763/B763-1)*100)&gt;100,"NM",IF(((J763/B763-1)*100)&lt;-50,"NM",(J763/B763-1)*100)))</f>
        <v>-4.177312467992933</v>
      </c>
      <c r="L763" s="225">
        <f t="shared" si="5125"/>
        <v>0.56251739130434786</v>
      </c>
      <c r="M763" s="197">
        <f>IF(ISERROR((L763/D763-1)*100),"NA",IF(((L763/D763-1)*100)&gt;100,"NM",IF(((L763/D763-1)*100)&lt;-50,"NM",(L763/D763-1)*100)))</f>
        <v>-33.789603086778996</v>
      </c>
      <c r="N763" s="225">
        <f t="shared" si="5125"/>
        <v>0.76323478260869571</v>
      </c>
      <c r="O763" s="197">
        <f>IF(ISERROR((N763/F763-1)*100),"NA",IF(((N763/F763-1)*100)&gt;100,"NM",IF(((N763/F763-1)*100)&lt;-50,"NM",(N763/F763-1)*100)))</f>
        <v>-11.983397906435689</v>
      </c>
      <c r="P763" s="225">
        <f t="shared" si="5125"/>
        <v>0.58936521739130499</v>
      </c>
      <c r="Q763" s="197">
        <f>IF(ISERROR((P763/H763-1)*100),"NA",IF(((P763/H763-1)*100)&gt;100,"NM",IF(((P763/H763-1)*100)&lt;-50,"NM",(P763/H763-1)*100)))</f>
        <v>-20.396946467738488</v>
      </c>
      <c r="R763" s="231">
        <f t="shared" si="5125"/>
        <v>0.72478260869565225</v>
      </c>
      <c r="S763" s="197">
        <f>IF(ISERROR((R763/J763-1)*100),"NA",IF(((R763/J763-1)*100)&gt;100,"NM",IF(((R763/J763-1)*100)&lt;-50,"NM",(R763/J763-1)*100)))</f>
        <v>6.8548645564915578</v>
      </c>
      <c r="T763" s="231">
        <f t="shared" si="5125"/>
        <v>0.70635237714742272</v>
      </c>
      <c r="U763" s="197">
        <f>IF(ISERROR((T763/L763-1)*100),"NA",IF(((T763/L763-1)*100)&gt;100,"NM",IF(((T763/L763-1)*100)&lt;-50,"NM",(T763/L763-1)*100)))</f>
        <v>25.56987358374019</v>
      </c>
      <c r="V763" s="231">
        <f>V758</f>
        <v>1.078459778879145</v>
      </c>
      <c r="W763" s="197">
        <f>IF(ISERROR((V763/N763-1)*100),"NA",IF(((V763/N763-1)*100)&gt;100,"NM",IF(((V763/N763-1)*100)&lt;-50,"NM",(V763/N763-1)*100)))</f>
        <v>41.301183260153195</v>
      </c>
      <c r="X763" s="231">
        <f>X758</f>
        <v>0.75269654386631168</v>
      </c>
      <c r="Y763" s="197">
        <f>IF(ISERROR((X763/P763-1)*100),"NA",IF(((X763/P763-1)*100)&gt;100,"NM",IF(((X763/P763-1)*100)&lt;-50,"NM",(X763/P763-1)*100)))</f>
        <v>27.713092265260709</v>
      </c>
      <c r="Z763" s="231">
        <f>Z758</f>
        <v>0.57007590132827368</v>
      </c>
      <c r="AA763" s="197">
        <f>IF(ISERROR((Z763/R763-1)*100),"NA",IF(((Z763/R763-1)*100)&gt;100,"NM",IF(((Z763/R763-1)*100)&lt;-50,"NM",(Z763/R763-1)*100)))</f>
        <v>-21.345256565385164</v>
      </c>
      <c r="AB763" s="231">
        <f>AB758</f>
        <v>0.83266978922716617</v>
      </c>
      <c r="AC763" s="197">
        <f>IF(ISERROR((AB763/T763-1)*100),"NA",IF(((AB763/T763-1)*100)&gt;100,"NM",IF(((AB763/T763-1)*100)&lt;-50,"NM",(AB763/T763-1)*100)))</f>
        <v>17.883058961289478</v>
      </c>
      <c r="AD763" s="231">
        <f>AD758</f>
        <v>0.75220125786163528</v>
      </c>
      <c r="AE763" s="197">
        <f>IF(ISERROR((AD763/V763-1)*100),"NA",IF(((AD763/V763-1)*100)&gt;100,"NM",IF(((AD763/V763-1)*100)&lt;-50,"NM",(AD763/V763-1)*100)))</f>
        <v>-30.252266000739848</v>
      </c>
      <c r="AF763" s="231">
        <f>AF758</f>
        <v>0.99452110389610349</v>
      </c>
      <c r="AG763" s="197">
        <f>IF(ISERROR((AF763/X763-1)*100),"NA",IF(((AF763/X763-1)*100)&gt;100,"NM",IF(((AF763/X763-1)*100)&lt;-50,"NM",(AF763/X763-1)*100)))</f>
        <v>32.127762775106206</v>
      </c>
      <c r="AH763" s="231">
        <f>AH758</f>
        <v>0.81842958039052782</v>
      </c>
      <c r="AI763" s="197">
        <f>IF(ISERROR((AH763/Z763-1)*100),"NA",IF(((AH763/Z763-1)*100)&gt;100,"NM",IF(((AH763/Z763-1)*100)&lt;-50,"NM",(AH763/Z763-1)*100)))</f>
        <v>43.565019760279533</v>
      </c>
      <c r="AJ763" s="231">
        <f>AJ758</f>
        <v>0.77676240208877301</v>
      </c>
      <c r="AK763" s="197">
        <f>IF(ISERROR((AJ763/AB763-1)*100),"NA",IF(((AJ763/AB763-1)*100)&gt;100,"NM",IF(((AJ763/AB763-1)*100)&lt;-50,"NM",(AJ763/AB763-1)*100)))</f>
        <v>-6.7142326840370909</v>
      </c>
      <c r="AL763" s="231">
        <f>AL758</f>
        <v>0.41694096601073244</v>
      </c>
      <c r="AM763" s="197">
        <f>IF(ISERROR((AL763/AD763-1)*100),"NA",IF(((AL763/AD763-1)*100)&gt;100,"NM",IF(((AL763/AD763-1)*100)&lt;-50,"NM",(AL763/AD763-1)*100)))</f>
        <v>-44.570557194225366</v>
      </c>
      <c r="AN763" s="231">
        <f>AN758</f>
        <v>0.90761111111111115</v>
      </c>
      <c r="AO763" s="197">
        <f>IF(ISERROR((AN763/AF763-1)*100),"NA",IF(((AN763/AF763-1)*100)&gt;100,"NM",IF(((AN763/AF763-1)*100)&lt;-50,"NM",(AN763/AF763-1)*100)))</f>
        <v>-8.738878686889251</v>
      </c>
      <c r="AP763" s="231">
        <f>AP758</f>
        <v>0.28357723577235694</v>
      </c>
      <c r="AQ763" s="197" t="str">
        <f t="shared" ref="AQ763" si="5126">IF(ISERROR((AP763/AH763-1)*100),"NA",IF(((AP763/AH763-1)*100)&gt;100,"NM",IF(((AP763/AH763-1)*100)&lt;-50,"NM",(AP763/AH763-1)*100)))</f>
        <v>NM</v>
      </c>
      <c r="AR763" s="231">
        <f>AR758</f>
        <v>0.43606879606879623</v>
      </c>
      <c r="AS763" s="197">
        <f t="shared" ref="AS763" si="5127">IF(ISERROR((AR763/AJ763-1)*100),"NA",IF(((AR763/AJ763-1)*100)&gt;100,"NM",IF(((AR763/AJ763-1)*100)&lt;-50,"NM",(AR763/AJ763-1)*100)))</f>
        <v>-43.860723060723053</v>
      </c>
      <c r="AT763" s="231">
        <f>AT758</f>
        <v>-0.12452605459057099</v>
      </c>
      <c r="AU763" s="197" t="str">
        <f t="shared" ref="AU763" si="5128">IF(ISERROR((AT763/AL763-1)*100),"NA",IF(((AT763/AL763-1)*100)&gt;100,"NM",IF(((AT763/AL763-1)*100)&lt;-50,"NM",(AT763/AL763-1)*100)))</f>
        <v>NM</v>
      </c>
      <c r="AV763" s="231">
        <f>AV758</f>
        <v>0.51612379502790395</v>
      </c>
      <c r="AW763" s="197">
        <f t="shared" ref="AW763" si="5129">IF(ISERROR((AV763/AN763-1)*100),"NA",IF(((AV763/AN763-1)*100)&gt;100,"NM",IF(((AV763/AN763-1)*100)&lt;-50,"NM",(AV763/AN763-1)*100)))</f>
        <v>-43.133817037997979</v>
      </c>
      <c r="AX763" s="231">
        <f>AX758</f>
        <v>0.50860082304526655</v>
      </c>
      <c r="AY763" s="197">
        <f t="shared" ref="AY763" si="5130">IF(ISERROR((AX763/AP763-1)*100),"NA",IF(((AX763/AP763-1)*100)&gt;100,"NM",IF(((AX763/AP763-1)*100)&lt;-50,"NM",(AX763/AP763-1)*100)))</f>
        <v>79.351781062408151</v>
      </c>
      <c r="AZ763" s="231">
        <f>AZ758</f>
        <v>0.3876398508257855</v>
      </c>
      <c r="BA763" s="197">
        <f t="shared" ref="BA763" si="5131">IF(ISERROR((AZ763/AR763-1)*100),"NA",IF(((AZ763/AR763-1)*100)&gt;100,"NM",IF(((AZ763/AR763-1)*100)&lt;-50,"NM",(AZ763/AR763-1)*100)))</f>
        <v>-11.10580387305914</v>
      </c>
      <c r="BB763" s="231">
        <f>BB758</f>
        <v>0.15732456140350895</v>
      </c>
      <c r="BC763" s="197" t="str">
        <f t="shared" ref="BC763" si="5132">IF(ISERROR((BB763/AT763-1)*100),"NA",IF(((BB763/AT763-1)*100)&gt;100,"NM",IF(((BB763/AT763-1)*100)&lt;-50,"NM",(BB763/AT763-1)*100)))</f>
        <v>NM</v>
      </c>
      <c r="BD763" s="231">
        <f>BD758</f>
        <v>0.86765027322404342</v>
      </c>
      <c r="BE763" s="197">
        <f t="shared" ref="BE763" si="5133">IF(ISERROR((BD763/AV763-1)*100),"NA",IF(((BD763/AV763-1)*100)&gt;100,"NM",IF(((BD763/AV763-1)*100)&lt;-50,"NM",(BD763/AV763-1)*100)))</f>
        <v>68.108946261067913</v>
      </c>
      <c r="BF763" s="225">
        <f t="shared" ref="BF763" si="5134">BF761</f>
        <v>0.86626151853281375</v>
      </c>
      <c r="BG763" s="197">
        <f t="shared" ref="BG763" si="5135">IF(ISERROR((BF763/AX763-1)*100),"NA",IF(((BF763/AX763-1)*100)&gt;100,"NM",IF(((BF763/AX763-1)*100)&lt;-50,"NM",(BF763/AX763-1)*100)))</f>
        <v>70.322476740411147</v>
      </c>
      <c r="BH763" s="225">
        <f t="shared" ref="BH763" si="5136">BH761</f>
        <v>1.0460129775333231</v>
      </c>
      <c r="BI763" s="197" t="str">
        <f t="shared" ref="BI763" si="5137">IF(ISERROR((BH763/AZ763-1)*100),"NA",IF(((BH763/AZ763-1)*100)&gt;100,"NM",IF(((BH763/AZ763-1)*100)&lt;-50,"NM",(BH763/AZ763-1)*100)))</f>
        <v>NM</v>
      </c>
      <c r="BJ763" s="225">
        <f t="shared" ref="BJ763" si="5138">BJ761</f>
        <v>1.1421989433528013</v>
      </c>
      <c r="BK763" s="197" t="str">
        <f t="shared" ref="BK763" si="5139">IF(ISERROR((BJ763/BB763-1)*100),"NA",IF(((BJ763/BB763-1)*100)&gt;100,"NM",IF(((BJ763/BB763-1)*100)&lt;-50,"NM",(BJ763/BB763-1)*100)))</f>
        <v>NM</v>
      </c>
      <c r="BL763" s="225">
        <f t="shared" ref="BL763" si="5140">BL761</f>
        <v>1.2098112978370306</v>
      </c>
      <c r="BM763" s="197">
        <f t="shared" ref="BM763" si="5141">IF(ISERROR((BL763/BD763-1)*100),"NA",IF(((BL763/BD763-1)*100)&gt;100,"NM",IF(((BL763/BD763-1)*100)&lt;-50,"NM",(BL763/BD763-1)*100)))</f>
        <v>39.435361824018564</v>
      </c>
      <c r="BQ763" s="226"/>
      <c r="BR763" s="226"/>
      <c r="BS763" s="226"/>
      <c r="BT763" s="226"/>
      <c r="BU763" s="225">
        <f>BU682/BU756</f>
        <v>3.1649758717826089</v>
      </c>
      <c r="BV763" s="197" t="str">
        <f>IF(ISERROR((BU763/BS763-1)*100),"NA",IF(((BU763/BS763-1)*100)&gt;100,"NM",IF(((BU763/BS763-1)*100)&lt;-50,"NM",(BU763/BS763-1)*100)))</f>
        <v>NA</v>
      </c>
      <c r="BW763" s="225">
        <f>BW682/BW756</f>
        <v>2.5934043478260866</v>
      </c>
      <c r="BX763" s="197">
        <f>IF(ISERROR((BW763/BU763-1)*100),"NA",IF(((BW763/BU763-1)*100)&gt;100,"NM",IF(((BW763/BU763-1)*100)&lt;-50,"NM",(BW763/BU763-1)*100)))</f>
        <v>-18.059269552490964</v>
      </c>
      <c r="BY763" s="225">
        <f>BY682/BY756</f>
        <v>3.2746822875297839</v>
      </c>
      <c r="BZ763" s="197">
        <f>IF(ISERROR((BY763/BW763-1)*100),"NA",IF(((BY763/BW763-1)*100)&gt;100,"NM",IF(((BY763/BW763-1)*100)&lt;-50,"NM",(BY763/BW763-1)*100)))</f>
        <v>26.269638217996217</v>
      </c>
      <c r="CA763" s="225">
        <f>CA682/CA756</f>
        <v>3.1355414012738851</v>
      </c>
      <c r="CB763" s="197">
        <f>IF(ISERROR((CA763/BY763-1)*100),"NA",IF(((CA763/BY763-1)*100)&gt;100,"NM",IF(((CA763/BY763-1)*100)&lt;-50,"NM",(CA763/BY763-1)*100)))</f>
        <v>-4.2489888801046982</v>
      </c>
      <c r="CC763" s="225">
        <f>CC682/CC756</f>
        <v>2.9217360729590149</v>
      </c>
      <c r="CD763" s="197">
        <f>IF(ISERROR((CC763/CA763-1)*100),"NA",IF(((CC763/CA763-1)*100)&gt;100,"NM",IF(((CC763/CA763-1)*100)&lt;-50,"NM",(CC763/CA763-1)*100)))</f>
        <v>-6.8187691040535121</v>
      </c>
      <c r="CE763" s="225">
        <f>CE682/CE756</f>
        <v>1.1078500986193278</v>
      </c>
      <c r="CF763" s="197" t="str">
        <f>IF(ISERROR((CE763/CC763-1)*100),"NA",IF(((CE763/CC763-1)*100)&gt;100,"NM",IF(((CE763/CC763-1)*100)&lt;-50,"NM",(CE763/CC763-1)*100)))</f>
        <v>NM</v>
      </c>
      <c r="CG763" s="225">
        <f>CG682/CG756</f>
        <v>1.9216481605351157</v>
      </c>
      <c r="CH763" s="197">
        <f>IF(ISERROR((CG763/CE763-1)*100),"NA",IF(((CG763/CE763-1)*100)&gt;100,"NM",IF(((CG763/CE763-1)*100)&lt;-50,"NM",(CG763/CE763-1)*100)))</f>
        <v>73.457416570165407</v>
      </c>
      <c r="CI763" s="225">
        <f>CI682/CI756</f>
        <v>4.2490895860792346</v>
      </c>
      <c r="CJ763" s="197" t="str">
        <f>IF(ISERROR((CI763/CG763-1)*100),"NA",IF(((CI763/CG763-1)*100)&gt;100,"NM",IF(((CI763/CG763-1)*100)&lt;-50,"NM",(CI763/CG763-1)*100)))</f>
        <v>NM</v>
      </c>
      <c r="CK763" s="225">
        <f>CK761</f>
        <v>5.2475537932009786</v>
      </c>
      <c r="CL763" s="197">
        <f>IF(ISERROR((CK763/CI763-1)*100),"NA",IF(((CK763/CI763-1)*100)&gt;100,"NM",IF(((CK763/CI763-1)*100)&lt;-50,"NM",(CK763/CI763-1)*100)))</f>
        <v>23.498309152927455</v>
      </c>
      <c r="CM763" s="225">
        <f>CM761</f>
        <v>5.7969002993802468</v>
      </c>
      <c r="CN763" s="197">
        <f>IF(ISERROR((CM763/CK763-1)*100),"NA",IF(((CM763/CK763-1)*100)&gt;100,"NM",IF(((CM763/CK763-1)*100)&lt;-50,"NM",(CM763/CK763-1)*100)))</f>
        <v>10.468620767471348</v>
      </c>
      <c r="CO763" s="225">
        <f>CO761</f>
        <v>6.401629011637576</v>
      </c>
      <c r="CP763" s="197">
        <f>IF(ISERROR((CO763/CM763-1)*100),"NA",IF(((CO763/CM763-1)*100)&gt;100,"NM",IF(((CO763/CM763-1)*100)&lt;-50,"NM",(CO763/CM763-1)*100)))</f>
        <v>10.43193225734762</v>
      </c>
      <c r="CQ763" s="225">
        <f>CQ761</f>
        <v>7.0955875461529843</v>
      </c>
      <c r="CR763" s="197">
        <f>IF(ISERROR((CQ763/CO763-1)*100),"NA",IF(((CQ763/CO763-1)*100)&gt;100,"NM",IF(((CQ763/CO763-1)*100)&lt;-50,"NM",(CQ763/CO763-1)*100)))</f>
        <v>10.84034287606881</v>
      </c>
      <c r="CS763" s="197">
        <f>IF(ISERROR(((CQ763/CG763)^0.2-1)*100),"NA",IF((((CQ763/CG763)^0.2-1)*100)&gt;100,"NM",IF((((CQ763/CG763)^0.2-1)*100)&lt;-50,"NM",((CQ763/CG763)^0.2-1)*100)))</f>
        <v>29.856262118449649</v>
      </c>
      <c r="CT763" s="205"/>
      <c r="CV763"/>
      <c r="CW763"/>
      <c r="CX763"/>
      <c r="CY763"/>
      <c r="CZ763"/>
      <c r="DA763"/>
    </row>
    <row r="764" spans="1:105" s="9" customFormat="1" ht="12.75" customHeight="1" x14ac:dyDescent="0.2">
      <c r="A764" s="46"/>
      <c r="B764" s="89"/>
      <c r="C764" s="90"/>
      <c r="D764" s="89"/>
      <c r="E764" s="90"/>
      <c r="F764" s="89"/>
      <c r="G764" s="90"/>
      <c r="H764" s="89"/>
      <c r="I764" s="90"/>
      <c r="J764" s="89"/>
      <c r="K764" s="23"/>
      <c r="L764" s="89"/>
      <c r="M764" s="23"/>
      <c r="N764" s="89"/>
      <c r="O764" s="23"/>
      <c r="P764" s="89"/>
      <c r="Q764" s="23"/>
      <c r="R764" s="89"/>
      <c r="S764" s="23"/>
      <c r="T764" s="89"/>
      <c r="U764" s="23"/>
      <c r="V764" s="89"/>
      <c r="W764" s="23"/>
      <c r="X764" s="89"/>
      <c r="Y764" s="23"/>
      <c r="Z764" s="89"/>
      <c r="AA764" s="23"/>
      <c r="AB764" s="89"/>
      <c r="AC764" s="23"/>
      <c r="AD764" s="89"/>
      <c r="AE764" s="23"/>
      <c r="AF764" s="89"/>
      <c r="AG764" s="23"/>
      <c r="AH764" s="89"/>
      <c r="AI764" s="23"/>
      <c r="AJ764" s="89"/>
      <c r="AK764" s="23"/>
      <c r="AL764" s="89"/>
      <c r="AM764" s="23"/>
      <c r="AN764" s="89"/>
      <c r="AO764" s="23"/>
      <c r="AP764" s="89"/>
      <c r="AQ764" s="23"/>
      <c r="AR764" s="89"/>
      <c r="AS764" s="23"/>
      <c r="AT764" s="89"/>
      <c r="AU764" s="23"/>
      <c r="AV764" s="89"/>
      <c r="AW764" s="23"/>
      <c r="AX764" s="89"/>
      <c r="AY764" s="23"/>
      <c r="AZ764" s="89"/>
      <c r="BA764" s="23"/>
      <c r="BB764" s="89"/>
      <c r="BC764" s="23"/>
      <c r="BD764" s="89"/>
      <c r="BE764" s="23"/>
      <c r="BF764" s="89"/>
      <c r="BG764" s="23"/>
      <c r="BH764" s="89"/>
      <c r="BI764" s="23"/>
      <c r="BJ764" s="89"/>
      <c r="BK764" s="23"/>
      <c r="BL764" s="89"/>
      <c r="BM764" s="23"/>
      <c r="BN764" s="3"/>
      <c r="BO764" s="132"/>
      <c r="BP764" s="3"/>
      <c r="BQ764" s="21"/>
      <c r="BR764" s="21"/>
      <c r="BS764" s="21"/>
      <c r="BT764" s="21"/>
      <c r="BU764" s="89"/>
      <c r="BV764" s="23"/>
      <c r="BW764" s="89"/>
      <c r="BX764" s="23"/>
      <c r="BY764" s="230"/>
      <c r="BZ764" s="23"/>
      <c r="CA764" s="89"/>
      <c r="CB764" s="23"/>
      <c r="CC764" s="89"/>
      <c r="CD764" s="23"/>
      <c r="CE764" s="89"/>
      <c r="CF764" s="23"/>
      <c r="CG764" s="89"/>
      <c r="CH764" s="23"/>
      <c r="CI764" s="89"/>
      <c r="CJ764" s="23"/>
      <c r="CK764" s="89"/>
      <c r="CL764" s="23"/>
      <c r="CM764" s="89"/>
      <c r="CN764" s="23"/>
      <c r="CO764" s="89"/>
      <c r="CP764" s="23"/>
      <c r="CQ764" s="89"/>
      <c r="CR764" s="23"/>
      <c r="CS764" s="23"/>
      <c r="CT764" s="27"/>
      <c r="CV764"/>
      <c r="CW764"/>
      <c r="CX764"/>
      <c r="CY764"/>
      <c r="CZ764"/>
      <c r="DA764"/>
    </row>
    <row r="765" spans="1:105" ht="12.75" customHeight="1" x14ac:dyDescent="0.2">
      <c r="A765" s="46"/>
      <c r="C765" s="82"/>
      <c r="E765" s="82"/>
      <c r="G765" s="82"/>
      <c r="I765" s="82"/>
      <c r="K765" s="184"/>
      <c r="L765" s="6"/>
      <c r="M765" s="184"/>
      <c r="N765" s="6"/>
      <c r="O765" s="184"/>
      <c r="P765" s="6"/>
      <c r="Q765" s="184"/>
      <c r="R765" s="6"/>
      <c r="S765" s="184"/>
      <c r="T765" s="6"/>
      <c r="U765" s="184"/>
      <c r="V765" s="6"/>
      <c r="W765" s="184"/>
      <c r="X765" s="6"/>
      <c r="Y765" s="184"/>
      <c r="Z765" s="6"/>
      <c r="AA765" s="184"/>
      <c r="AB765" s="6"/>
      <c r="AC765" s="184"/>
      <c r="AD765" s="6"/>
      <c r="AE765" s="184"/>
      <c r="AF765" s="6"/>
      <c r="AG765" s="184"/>
      <c r="AH765" s="6"/>
      <c r="AI765" s="184"/>
      <c r="AJ765" s="6"/>
      <c r="AK765" s="184"/>
      <c r="AL765" s="6"/>
      <c r="AM765" s="184"/>
      <c r="AN765" s="473"/>
      <c r="AO765" s="184"/>
      <c r="AP765" s="473"/>
      <c r="AQ765" s="184"/>
      <c r="AR765" s="473"/>
      <c r="AS765" s="184"/>
      <c r="AT765" s="473"/>
      <c r="AU765" s="184"/>
      <c r="AV765" s="473"/>
      <c r="AW765" s="184"/>
      <c r="AX765" s="473"/>
      <c r="AY765" s="184"/>
      <c r="AZ765" s="473"/>
      <c r="BA765" s="184"/>
      <c r="BB765" s="473"/>
      <c r="BC765" s="184"/>
      <c r="BD765" s="473"/>
      <c r="BE765" s="184"/>
      <c r="BF765" s="6"/>
      <c r="BG765" s="184"/>
      <c r="BH765" s="6"/>
      <c r="BI765" s="184"/>
      <c r="BJ765" s="6"/>
      <c r="BK765" s="184"/>
      <c r="BL765" s="6"/>
      <c r="BM765" s="184"/>
      <c r="BR765" s="6"/>
      <c r="BS765" s="6"/>
      <c r="BT765" s="6"/>
      <c r="BU765" s="6"/>
      <c r="BV765" s="184"/>
      <c r="BW765" s="6"/>
      <c r="BX765" s="184"/>
      <c r="BY765" s="6"/>
      <c r="BZ765" s="184"/>
      <c r="CA765" s="6"/>
      <c r="CB765" s="184"/>
      <c r="CC765" s="6"/>
      <c r="CD765" s="184"/>
      <c r="CE765" s="6"/>
      <c r="CF765" s="184"/>
      <c r="CG765" s="6"/>
      <c r="CH765" s="184"/>
      <c r="CI765" s="6"/>
      <c r="CJ765" s="184"/>
      <c r="CK765" s="6"/>
      <c r="CL765" s="184"/>
      <c r="CM765" s="6"/>
      <c r="CN765" s="184"/>
      <c r="CO765" s="6"/>
      <c r="CP765" s="184"/>
      <c r="CQ765" s="6"/>
      <c r="CR765" s="184"/>
      <c r="CS765" s="184"/>
      <c r="CT765" s="28"/>
    </row>
    <row r="766" spans="1:105" s="129" customFormat="1" ht="12.75" hidden="1" customHeight="1" outlineLevel="1" x14ac:dyDescent="0.2">
      <c r="A766" s="126" t="s">
        <v>337</v>
      </c>
      <c r="B766" s="127"/>
      <c r="C766" s="128"/>
      <c r="D766" s="127"/>
      <c r="E766" s="128"/>
      <c r="F766" s="127"/>
      <c r="G766" s="128"/>
      <c r="H766" s="127"/>
      <c r="I766" s="128"/>
      <c r="K766" s="130"/>
      <c r="M766" s="130"/>
      <c r="O766" s="130"/>
      <c r="Q766" s="130"/>
      <c r="S766" s="130"/>
      <c r="U766" s="130"/>
      <c r="W766" s="130"/>
      <c r="Y766" s="130"/>
      <c r="AA766" s="130"/>
      <c r="AC766" s="130"/>
      <c r="AE766" s="130"/>
      <c r="AG766" s="130"/>
      <c r="AI766" s="130"/>
      <c r="AK766" s="130"/>
      <c r="AM766" s="130"/>
      <c r="AO766" s="130"/>
      <c r="AQ766" s="130"/>
      <c r="AS766" s="130"/>
      <c r="AU766" s="130"/>
      <c r="AW766" s="130"/>
      <c r="AY766" s="130"/>
      <c r="BA766" s="130"/>
      <c r="BC766" s="130"/>
      <c r="BE766" s="130"/>
      <c r="BG766" s="130"/>
      <c r="BI766" s="130"/>
      <c r="BK766" s="130"/>
      <c r="BM766" s="130"/>
      <c r="BO766" s="135"/>
      <c r="BV766" s="130"/>
      <c r="BX766" s="130"/>
      <c r="BZ766" s="130"/>
      <c r="CB766" s="130"/>
      <c r="CD766" s="130"/>
      <c r="CF766" s="130"/>
      <c r="CH766" s="130"/>
      <c r="CJ766" s="130"/>
      <c r="CL766" s="130"/>
      <c r="CN766" s="130"/>
      <c r="CP766" s="130"/>
      <c r="CR766" s="130"/>
      <c r="CS766" s="130"/>
      <c r="CV766"/>
      <c r="CW766"/>
      <c r="CX766"/>
      <c r="CY766"/>
      <c r="CZ766"/>
      <c r="DA766"/>
    </row>
    <row r="767" spans="1:105" ht="12.75" hidden="1" customHeight="1" outlineLevel="1" x14ac:dyDescent="0.2">
      <c r="A767" s="46"/>
      <c r="C767" s="82"/>
      <c r="E767" s="82"/>
      <c r="G767" s="82"/>
      <c r="I767" s="82"/>
      <c r="K767" s="184"/>
      <c r="L767" s="6"/>
      <c r="M767" s="184"/>
      <c r="N767" s="6"/>
      <c r="O767" s="184"/>
      <c r="P767" s="6"/>
      <c r="Q767" s="184"/>
      <c r="R767" s="6"/>
      <c r="S767" s="184"/>
      <c r="T767" s="6"/>
      <c r="U767" s="184"/>
      <c r="V767" s="6"/>
      <c r="W767" s="184"/>
      <c r="X767" s="6"/>
      <c r="Y767" s="184"/>
      <c r="Z767" s="6"/>
      <c r="AA767" s="184"/>
      <c r="AB767" s="6"/>
      <c r="AC767" s="184"/>
      <c r="AD767" s="6"/>
      <c r="AE767" s="184"/>
      <c r="AF767" s="6"/>
      <c r="AG767" s="184"/>
      <c r="AH767" s="6"/>
      <c r="AI767" s="184"/>
      <c r="AJ767" s="6"/>
      <c r="AK767" s="184"/>
      <c r="AL767" s="6"/>
      <c r="AM767" s="184"/>
      <c r="AN767" s="473"/>
      <c r="AO767" s="184"/>
      <c r="AP767" s="473"/>
      <c r="AQ767" s="184"/>
      <c r="AR767" s="473"/>
      <c r="AS767" s="184"/>
      <c r="AT767" s="473"/>
      <c r="AU767" s="184"/>
      <c r="AV767" s="473"/>
      <c r="AW767" s="184"/>
      <c r="AX767" s="473"/>
      <c r="AY767" s="184"/>
      <c r="AZ767" s="473"/>
      <c r="BA767" s="184"/>
      <c r="BB767" s="473"/>
      <c r="BC767" s="184"/>
      <c r="BD767" s="473"/>
      <c r="BE767" s="184"/>
      <c r="BF767" s="6"/>
      <c r="BG767" s="184"/>
      <c r="BH767" s="6"/>
      <c r="BI767" s="184"/>
      <c r="BJ767" s="6"/>
      <c r="BK767" s="184"/>
      <c r="BL767" s="6"/>
      <c r="BM767" s="184"/>
      <c r="BR767" s="6"/>
      <c r="BS767" s="6"/>
      <c r="BT767" s="6"/>
      <c r="BU767" s="6"/>
      <c r="BV767" s="184"/>
      <c r="BW767" s="6"/>
      <c r="BX767" s="184"/>
      <c r="BY767" s="6"/>
      <c r="BZ767" s="184"/>
      <c r="CA767" s="6"/>
      <c r="CB767" s="184"/>
      <c r="CC767" s="6"/>
      <c r="CD767" s="184"/>
      <c r="CE767" s="6"/>
      <c r="CF767" s="184"/>
      <c r="CG767" s="6"/>
      <c r="CH767" s="184"/>
      <c r="CI767" s="6"/>
      <c r="CJ767" s="184"/>
      <c r="CK767" s="6"/>
      <c r="CL767" s="184"/>
      <c r="CM767" s="6"/>
      <c r="CN767" s="184"/>
      <c r="CO767" s="6"/>
      <c r="CP767" s="184"/>
      <c r="CQ767" s="6"/>
      <c r="CR767" s="184"/>
      <c r="CS767" s="184"/>
      <c r="CT767" s="28"/>
    </row>
    <row r="768" spans="1:105" ht="12.75" hidden="1" customHeight="1" outlineLevel="1" x14ac:dyDescent="0.2">
      <c r="A768" s="46" t="s">
        <v>341</v>
      </c>
      <c r="C768" s="82"/>
      <c r="E768" s="82"/>
      <c r="G768" s="82"/>
      <c r="I768" s="82"/>
      <c r="K768" s="184"/>
      <c r="L768" s="6"/>
      <c r="M768" s="184"/>
      <c r="N768" s="6"/>
      <c r="O768" s="184"/>
      <c r="P768" s="6"/>
      <c r="Q768" s="184"/>
      <c r="R768" s="6"/>
      <c r="S768" s="184"/>
      <c r="T768" s="6"/>
      <c r="U768" s="184"/>
      <c r="V768" s="6"/>
      <c r="W768" s="184"/>
      <c r="X768" s="6"/>
      <c r="Y768" s="184"/>
      <c r="Z768" s="6"/>
      <c r="AA768" s="184"/>
      <c r="AB768" s="6"/>
      <c r="AC768" s="184"/>
      <c r="AD768" s="6"/>
      <c r="AE768" s="184"/>
      <c r="AF768" s="6"/>
      <c r="AG768" s="184"/>
      <c r="AH768" s="6"/>
      <c r="AI768" s="184"/>
      <c r="AJ768" s="6"/>
      <c r="AK768" s="184"/>
      <c r="AL768" s="6"/>
      <c r="AM768" s="184"/>
      <c r="AN768" s="473"/>
      <c r="AO768" s="184"/>
      <c r="AP768" s="473"/>
      <c r="AQ768" s="184"/>
      <c r="AR768" s="473"/>
      <c r="AS768" s="184"/>
      <c r="AT768" s="473"/>
      <c r="AU768" s="184"/>
      <c r="AV768" s="473"/>
      <c r="AW768" s="184"/>
      <c r="AX768" s="473"/>
      <c r="AY768" s="184"/>
      <c r="AZ768" s="473"/>
      <c r="BA768" s="184"/>
      <c r="BB768" s="473"/>
      <c r="BC768" s="184"/>
      <c r="BD768" s="473"/>
      <c r="BE768" s="184"/>
      <c r="BF768" s="6"/>
      <c r="BG768" s="184"/>
      <c r="BH768" s="6"/>
      <c r="BI768" s="184"/>
      <c r="BJ768" s="6"/>
      <c r="BK768" s="184"/>
      <c r="BL768" s="6"/>
      <c r="BM768" s="184"/>
      <c r="BR768" s="6"/>
      <c r="BS768" s="6"/>
      <c r="BT768" s="6"/>
      <c r="BU768" s="6"/>
      <c r="BV768" s="184"/>
      <c r="BW768" s="6"/>
      <c r="BX768" s="184"/>
      <c r="BY768" s="6"/>
      <c r="BZ768" s="184"/>
      <c r="CA768" s="6"/>
      <c r="CB768" s="184"/>
      <c r="CC768" s="6"/>
      <c r="CD768" s="184"/>
      <c r="CE768" s="6"/>
      <c r="CF768" s="184"/>
      <c r="CG768" s="6"/>
      <c r="CH768" s="184"/>
      <c r="CI768" s="6"/>
      <c r="CJ768" s="184"/>
      <c r="CK768" s="6"/>
      <c r="CL768" s="184"/>
      <c r="CM768" s="6"/>
      <c r="CN768" s="184"/>
      <c r="CO768" s="6"/>
      <c r="CP768" s="184"/>
      <c r="CQ768" s="6"/>
      <c r="CR768" s="184"/>
      <c r="CS768" s="184"/>
      <c r="CT768" s="28"/>
    </row>
    <row r="769" spans="1:98" ht="12.75" hidden="1" customHeight="1" outlineLevel="1" x14ac:dyDescent="0.2">
      <c r="A769" s="165" t="s">
        <v>338</v>
      </c>
      <c r="B769" s="36">
        <f>B877</f>
        <v>7152</v>
      </c>
      <c r="C769" s="82"/>
      <c r="D769" s="36">
        <f>D877</f>
        <v>10369.499999999998</v>
      </c>
      <c r="E769" s="82"/>
      <c r="F769" s="36">
        <f>F877</f>
        <v>12386.400000000001</v>
      </c>
      <c r="G769" s="82"/>
      <c r="H769" s="36">
        <f>H877</f>
        <v>12353.9</v>
      </c>
      <c r="I769" s="82"/>
      <c r="J769" s="36">
        <f>J877</f>
        <v>11829.900000000001</v>
      </c>
      <c r="K769" s="23">
        <f t="shared" ref="K769:Y770" si="5142">IF(ISERROR((J769/B769-1)*100),"NA",IF(((J769/B769-1)*100)&gt;100,"NM",IF(((J769/B769-1)*100)&lt;-50,"NM",(J769/B769-1)*100)))</f>
        <v>65.406879194630889</v>
      </c>
      <c r="L769" s="36">
        <f>L877</f>
        <v>12841.8</v>
      </c>
      <c r="M769" s="23">
        <f t="shared" si="5142"/>
        <v>23.842036742369466</v>
      </c>
      <c r="N769" s="36">
        <f>N877</f>
        <v>13910.5</v>
      </c>
      <c r="O769" s="23">
        <f t="shared" si="5142"/>
        <v>12.304624426790657</v>
      </c>
      <c r="P769" s="36">
        <f>P877</f>
        <v>13874.900000000001</v>
      </c>
      <c r="Q769" s="23">
        <f t="shared" si="5142"/>
        <v>12.311901504787981</v>
      </c>
      <c r="R769" s="36">
        <f>R877</f>
        <v>13391.100000000002</v>
      </c>
      <c r="S769" s="23">
        <f t="shared" si="5142"/>
        <v>13.197068445210869</v>
      </c>
      <c r="T769" s="36">
        <f>T877</f>
        <v>12471.599999999999</v>
      </c>
      <c r="U769" s="23">
        <f t="shared" si="5142"/>
        <v>-2.8827734429752949</v>
      </c>
      <c r="V769" s="36">
        <f>V877</f>
        <v>12770</v>
      </c>
      <c r="W769" s="23">
        <f t="shared" si="5142"/>
        <v>-8.1988426009129807</v>
      </c>
      <c r="X769" s="36">
        <f>X877</f>
        <v>13272.199999999999</v>
      </c>
      <c r="Y769" s="23">
        <f t="shared" si="5142"/>
        <v>-4.3438150905592332</v>
      </c>
      <c r="Z769" s="36">
        <f>Z877</f>
        <v>14001.5</v>
      </c>
      <c r="AA769" s="23">
        <f>IF(ISERROR((Z769/R769-1)*100),"NA",IF(((Z769/R769-1)*100)&gt;100,"NM",IF(((Z769/R769-1)*100)&lt;-50,"NM",(Z769/R769-1)*100)))</f>
        <v>4.5582513759138354</v>
      </c>
      <c r="AB769" s="36">
        <f>AB877</f>
        <v>14867.100000000002</v>
      </c>
      <c r="AC769" s="23">
        <f>IF(ISERROR((AB769/T769-1)*100),"NA",IF(((AB769/T769-1)*100)&gt;100,"NM",IF(((AB769/T769-1)*100)&lt;-50,"NM",(AB769/T769-1)*100)))</f>
        <v>19.207639757529126</v>
      </c>
      <c r="AD769" s="36">
        <f>AD877</f>
        <v>14639.100000000002</v>
      </c>
      <c r="AE769" s="23">
        <f>IF(ISERROR((AD769/V769-1)*100),"NA",IF(((AD769/V769-1)*100)&gt;100,"NM",IF(((AD769/V769-1)*100)&lt;-50,"NM",(AD769/V769-1)*100)))</f>
        <v>14.636648394675046</v>
      </c>
      <c r="AF769" s="36">
        <f>AF877</f>
        <v>16146.199999999997</v>
      </c>
      <c r="AG769" s="23">
        <f>IF(ISERROR((AF769/X769-1)*100),"NA",IF(((AF769/X769-1)*100)&gt;100,"NM",IF(((AF769/X769-1)*100)&lt;-50,"NM",(AF769/X769-1)*100)))</f>
        <v>21.654284896249298</v>
      </c>
      <c r="AH769" s="36">
        <f>AH877</f>
        <v>16144.400000000001</v>
      </c>
      <c r="AI769" s="23">
        <f>IF(ISERROR((AH769/Z769-1)*100),"NA",IF(((AH769/Z769-1)*100)&gt;100,"NM",IF(((AH769/Z769-1)*100)&lt;-50,"NM",(AH769/Z769-1)*100)))</f>
        <v>15.304788772631506</v>
      </c>
      <c r="AJ769" s="36">
        <f>AJ877</f>
        <v>14855.8</v>
      </c>
      <c r="AK769" s="23">
        <f>IF(ISERROR((AJ769/AB769-1)*100),"NA",IF(((AJ769/AB769-1)*100)&gt;100,"NM",IF(((AJ769/AB769-1)*100)&lt;-50,"NM",(AJ769/AB769-1)*100)))</f>
        <v>-7.6006753166402152E-2</v>
      </c>
      <c r="AL769" s="36">
        <f>AL877</f>
        <v>14286.100000000002</v>
      </c>
      <c r="AM769" s="23">
        <f>IF(ISERROR((AL769/AD769-1)*100),"NA",IF(((AL769/AD769-1)*100)&gt;100,"NM",IF(((AL769/AD769-1)*100)&lt;-50,"NM",(AL769/AD769-1)*100)))</f>
        <v>-2.4113504245479533</v>
      </c>
      <c r="AN769" s="410">
        <f t="shared" ref="AN769:AP769" si="5143">AN877</f>
        <v>13435.799999999997</v>
      </c>
      <c r="AO769" s="23">
        <f>IF(ISERROR((AN769/AF769-1)*100),"NA",IF(((AN769/AF769-1)*100)&gt;100,"NM",IF(((AN769/AF769-1)*100)&lt;-50,"NM",(AN769/AF769-1)*100)))</f>
        <v>-16.786612329836125</v>
      </c>
      <c r="AP769" s="410">
        <f t="shared" si="5143"/>
        <v>14461.3</v>
      </c>
      <c r="AQ769" s="23">
        <f t="shared" ref="AQ769:AQ770" si="5144">IF(ISERROR((AP769/AH769-1)*100),"NA",IF(((AP769/AH769-1)*100)&gt;100,"NM",IF(((AP769/AH769-1)*100)&lt;-50,"NM",(AP769/AH769-1)*100)))</f>
        <v>-10.425286786749599</v>
      </c>
      <c r="AR769" s="410">
        <f t="shared" ref="AR769:AT769" si="5145">AR877</f>
        <v>15338.900000000001</v>
      </c>
      <c r="AS769" s="23">
        <f t="shared" ref="AS769:AS770" si="5146">IF(ISERROR((AR769/AJ769-1)*100),"NA",IF(((AR769/AJ769-1)*100)&gt;100,"NM",IF(((AR769/AJ769-1)*100)&lt;-50,"NM",(AR769/AJ769-1)*100)))</f>
        <v>3.2519285396949593</v>
      </c>
      <c r="AT769" s="410">
        <f t="shared" si="5145"/>
        <v>15205.999999999998</v>
      </c>
      <c r="AU769" s="23">
        <f t="shared" ref="AU769:AU770" si="5147">IF(ISERROR((AT769/AL769-1)*100),"NA",IF(((AT769/AL769-1)*100)&gt;100,"NM",IF(((AT769/AL769-1)*100)&lt;-50,"NM",(AT769/AL769-1)*100)))</f>
        <v>6.4391261435940983</v>
      </c>
      <c r="AV769" s="410">
        <f t="shared" ref="AV769:AX769" si="5148">AV877</f>
        <v>12994.5</v>
      </c>
      <c r="AW769" s="23">
        <f t="shared" ref="AW769:AW770" si="5149">IF(ISERROR((AV769/AN769-1)*100),"NA",IF(((AV769/AN769-1)*100)&gt;100,"NM",IF(((AV769/AN769-1)*100)&lt;-50,"NM",(AV769/AN769-1)*100)))</f>
        <v>-3.2845085517795525</v>
      </c>
      <c r="AX769" s="410">
        <f t="shared" si="5148"/>
        <v>12890.5</v>
      </c>
      <c r="AY769" s="23">
        <f t="shared" ref="AY769:AY770" si="5150">IF(ISERROR((AX769/AP769-1)*100),"NA",IF(((AX769/AP769-1)*100)&gt;100,"NM",IF(((AX769/AP769-1)*100)&lt;-50,"NM",(AX769/AP769-1)*100)))</f>
        <v>-10.862094002613865</v>
      </c>
      <c r="AZ769" s="410">
        <f t="shared" ref="AZ769" si="5151">AZ877</f>
        <v>13352.5</v>
      </c>
      <c r="BA769" s="23">
        <f t="shared" ref="BA769:BA770" si="5152">IF(ISERROR((AZ769/AR769-1)*100),"NA",IF(((AZ769/AR769-1)*100)&gt;100,"NM",IF(((AZ769/AR769-1)*100)&lt;-50,"NM",(AZ769/AR769-1)*100)))</f>
        <v>-12.950081166185324</v>
      </c>
      <c r="BB769" s="410">
        <f t="shared" ref="BB769:BD769" si="5153">BB877</f>
        <v>13652.600000000002</v>
      </c>
      <c r="BC769" s="23">
        <f t="shared" ref="BC769:BC770" si="5154">IF(ISERROR((BB769/AT769-1)*100),"NA",IF(((BB769/AT769-1)*100)&gt;100,"NM",IF(((BB769/AT769-1)*100)&lt;-50,"NM",(BB769/AT769-1)*100)))</f>
        <v>-10.215704327239228</v>
      </c>
      <c r="BD769" s="410">
        <f t="shared" si="5153"/>
        <v>10009</v>
      </c>
      <c r="BE769" s="23">
        <f t="shared" ref="BE769:BE770" si="5155">IF(ISERROR((BD769/AV769-1)*100),"NA",IF(((BD769/AV769-1)*100)&gt;100,"NM",IF(((BD769/AV769-1)*100)&lt;-50,"NM",(BD769/AV769-1)*100)))</f>
        <v>-22.975104852052798</v>
      </c>
      <c r="BF769" s="36">
        <f t="shared" ref="BF769" si="5156">BF877</f>
        <v>9869.7998437368642</v>
      </c>
      <c r="BG769" s="23">
        <f t="shared" ref="BG769:BG770" si="5157">IF(ISERROR((BF769/AX769-1)*100),"NA",IF(((BF769/AX769-1)*100)&gt;100,"NM",IF(((BF769/AX769-1)*100)&lt;-50,"NM",(BF769/AX769-1)*100)))</f>
        <v>-23.433537537435601</v>
      </c>
      <c r="BH769" s="36">
        <f t="shared" ref="BH769" si="5158">BH877</f>
        <v>9348.5450081613726</v>
      </c>
      <c r="BI769" s="23">
        <f t="shared" ref="BI769:BI770" si="5159">IF(ISERROR((BH769/AZ769-1)*100),"NA",IF(((BH769/AZ769-1)*100)&gt;100,"NM",IF(((BH769/AZ769-1)*100)&lt;-50,"NM",(BH769/AZ769-1)*100)))</f>
        <v>-29.986556763442263</v>
      </c>
      <c r="BJ769" s="36">
        <f t="shared" ref="BJ769" si="5160">BJ877</f>
        <v>9288.3052063498344</v>
      </c>
      <c r="BK769" s="23">
        <f t="shared" ref="BK769:BK770" si="5161">IF(ISERROR((BJ769/BB769-1)*100),"NA",IF(((BJ769/BB769-1)*100)&gt;100,"NM",IF(((BJ769/BB769-1)*100)&lt;-50,"NM",(BJ769/BB769-1)*100)))</f>
        <v>-31.966766723189476</v>
      </c>
      <c r="BL769" s="36">
        <f t="shared" ref="BL769" si="5162">BL877</f>
        <v>9237.1174600135255</v>
      </c>
      <c r="BM769" s="23">
        <f t="shared" ref="BM769:BM770" si="5163">IF(ISERROR((BL769/BD769-1)*100),"NA",IF(((BL769/BD769-1)*100)&gt;100,"NM",IF(((BL769/BD769-1)*100)&lt;-50,"NM",(BL769/BD769-1)*100)))</f>
        <v>-7.7118847036314779</v>
      </c>
      <c r="BO769" s="137"/>
      <c r="BR769" s="6"/>
      <c r="BS769" s="6"/>
      <c r="BT769" s="6"/>
      <c r="BU769" s="36">
        <f>BU877</f>
        <v>12353.9</v>
      </c>
      <c r="BV769" s="23" t="str">
        <f t="shared" ref="BV769:CR770" si="5164">IF(ISERROR((BU769/BS769-1)*100),"NA",IF(((BU769/BS769-1)*100)&gt;100,"NM",IF(((BU769/BS769-1)*100)&lt;-50,"NM",(BU769/BS769-1)*100)))</f>
        <v>NA</v>
      </c>
      <c r="BW769" s="36">
        <f>BW877</f>
        <v>13874.900000000001</v>
      </c>
      <c r="BX769" s="23">
        <f t="shared" si="5164"/>
        <v>12.311901504787981</v>
      </c>
      <c r="BY769" s="36">
        <f>BY877</f>
        <v>13272.199999999999</v>
      </c>
      <c r="BZ769" s="23">
        <f t="shared" si="5164"/>
        <v>-4.3438150905592332</v>
      </c>
      <c r="CA769" s="36">
        <f>CA877</f>
        <v>16146.199999999997</v>
      </c>
      <c r="CB769" s="23">
        <f t="shared" si="5164"/>
        <v>21.654284896249298</v>
      </c>
      <c r="CC769" s="36">
        <f>CC877</f>
        <v>13435.799999999997</v>
      </c>
      <c r="CD769" s="23">
        <f t="shared" si="5164"/>
        <v>-16.786612329836125</v>
      </c>
      <c r="CE769" s="36">
        <f>CE877</f>
        <v>12994.5</v>
      </c>
      <c r="CF769" s="23">
        <f t="shared" si="5164"/>
        <v>-3.2845085517795525</v>
      </c>
      <c r="CG769" s="36">
        <f>CG877</f>
        <v>10009</v>
      </c>
      <c r="CH769" s="23">
        <f t="shared" si="5164"/>
        <v>-22.975104852052798</v>
      </c>
      <c r="CI769" s="36">
        <f>CI877</f>
        <v>9237.1174600135255</v>
      </c>
      <c r="CJ769" s="23">
        <f t="shared" si="5164"/>
        <v>-7.7118847036314779</v>
      </c>
      <c r="CK769" s="36">
        <f>CK877</f>
        <v>9444.8837556391663</v>
      </c>
      <c r="CL769" s="23">
        <f t="shared" si="5164"/>
        <v>2.2492546676497138</v>
      </c>
      <c r="CM769" s="36">
        <f>CM877</f>
        <v>9688.7416175488779</v>
      </c>
      <c r="CN769" s="23">
        <f t="shared" si="5164"/>
        <v>2.581904322158679</v>
      </c>
      <c r="CO769" s="36">
        <f>CO877</f>
        <v>9967.8509632555979</v>
      </c>
      <c r="CP769" s="23">
        <f t="shared" si="5164"/>
        <v>2.8807595116498774</v>
      </c>
      <c r="CQ769" s="36">
        <f>CQ877</f>
        <v>10281.895321497916</v>
      </c>
      <c r="CR769" s="23">
        <f t="shared" si="5164"/>
        <v>3.1505723691092058</v>
      </c>
      <c r="CS769" s="23"/>
      <c r="CT769" s="28"/>
    </row>
    <row r="770" spans="1:98" ht="12.75" hidden="1" customHeight="1" outlineLevel="1" x14ac:dyDescent="0.2">
      <c r="A770" s="165" t="s">
        <v>339</v>
      </c>
      <c r="B770" s="36">
        <f>B880</f>
        <v>6101.6</v>
      </c>
      <c r="C770" s="82"/>
      <c r="D770" s="36">
        <f>D880</f>
        <v>9126.0999999999985</v>
      </c>
      <c r="E770" s="82"/>
      <c r="F770" s="36">
        <f>F880</f>
        <v>10101.100000000002</v>
      </c>
      <c r="G770" s="82"/>
      <c r="H770" s="36">
        <f>H880</f>
        <v>9758.9</v>
      </c>
      <c r="I770" s="82"/>
      <c r="J770" s="36">
        <f>J880</f>
        <v>9242.9000000000015</v>
      </c>
      <c r="K770" s="23">
        <f t="shared" si="5142"/>
        <v>51.483217516716941</v>
      </c>
      <c r="L770" s="36">
        <f>L880</f>
        <v>9820.2999999999993</v>
      </c>
      <c r="M770" s="23">
        <f t="shared" si="5142"/>
        <v>7.606754254281678</v>
      </c>
      <c r="N770" s="36">
        <f>N880</f>
        <v>10209</v>
      </c>
      <c r="O770" s="23">
        <f t="shared" si="5142"/>
        <v>1.0682004930155919</v>
      </c>
      <c r="P770" s="36">
        <f>P880</f>
        <v>10164.200000000001</v>
      </c>
      <c r="Q770" s="23">
        <f t="shared" si="5142"/>
        <v>4.1531320128293192</v>
      </c>
      <c r="R770" s="36">
        <f>R880</f>
        <v>9938.3000000000029</v>
      </c>
      <c r="S770" s="23">
        <f t="shared" si="5142"/>
        <v>7.5236127189518553</v>
      </c>
      <c r="T770" s="36">
        <f>T880</f>
        <v>10383.799999999999</v>
      </c>
      <c r="U770" s="23">
        <f t="shared" si="5142"/>
        <v>5.7381139069071274</v>
      </c>
      <c r="V770" s="36">
        <f>V880</f>
        <v>10820</v>
      </c>
      <c r="W770" s="23">
        <f t="shared" si="5142"/>
        <v>5.9849152708394637</v>
      </c>
      <c r="X770" s="36">
        <f>X880</f>
        <v>11423.099999999999</v>
      </c>
      <c r="Y770" s="23">
        <f t="shared" si="5142"/>
        <v>12.385627988429949</v>
      </c>
      <c r="Z770" s="36">
        <f>Z880</f>
        <v>11424</v>
      </c>
      <c r="AA770" s="23">
        <f>IF(ISERROR((Z770/R770-1)*100),"NA",IF(((Z770/R770-1)*100)&gt;100,"NM",IF(((Z770/R770-1)*100)&lt;-50,"NM",(Z770/R770-1)*100)))</f>
        <v>14.949236791000441</v>
      </c>
      <c r="AB770" s="36">
        <f>AB880</f>
        <v>11714.400000000001</v>
      </c>
      <c r="AC770" s="23">
        <f>IF(ISERROR((AB770/T770-1)*100),"NA",IF(((AB770/T770-1)*100)&gt;100,"NM",IF(((AB770/T770-1)*100)&lt;-50,"NM",(AB770/T770-1)*100)))</f>
        <v>12.814191336504965</v>
      </c>
      <c r="AD770" s="36">
        <f>AD880</f>
        <v>11818.900000000001</v>
      </c>
      <c r="AE770" s="23">
        <f>IF(ISERROR((AD770/V770-1)*100),"NA",IF(((AD770/V770-1)*100)&gt;100,"NM",IF(((AD770/V770-1)*100)&lt;-50,"NM",(AD770/V770-1)*100)))</f>
        <v>9.2319778188539878</v>
      </c>
      <c r="AF770" s="36">
        <f>AF880</f>
        <v>13042.499999999996</v>
      </c>
      <c r="AG770" s="23">
        <f>IF(ISERROR((AF770/X770-1)*100),"NA",IF(((AF770/X770-1)*100)&gt;100,"NM",IF(((AF770/X770-1)*100)&lt;-50,"NM",(AF770/X770-1)*100)))</f>
        <v>14.176537017096912</v>
      </c>
      <c r="AH770" s="36">
        <f>AH880</f>
        <v>12613.2</v>
      </c>
      <c r="AI770" s="23">
        <f>IF(ISERROR((AH770/Z770-1)*100),"NA",IF(((AH770/Z770-1)*100)&gt;100,"NM",IF(((AH770/Z770-1)*100)&lt;-50,"NM",(AH770/Z770-1)*100)))</f>
        <v>10.409663865546225</v>
      </c>
      <c r="AJ770" s="36">
        <f>AJ880</f>
        <v>12746.599999999999</v>
      </c>
      <c r="AK770" s="23">
        <f>IF(ISERROR((AJ770/AB770-1)*100),"NA",IF(((AJ770/AB770-1)*100)&gt;100,"NM",IF(((AJ770/AB770-1)*100)&lt;-50,"NM",(AJ770/AB770-1)*100)))</f>
        <v>8.8113774499760655</v>
      </c>
      <c r="AL770" s="36">
        <f>AL880</f>
        <v>12240.400000000001</v>
      </c>
      <c r="AM770" s="23">
        <f>IF(ISERROR((AL770/AD770-1)*100),"NA",IF(((AL770/AD770-1)*100)&gt;100,"NM",IF(((AL770/AD770-1)*100)&lt;-50,"NM",(AL770/AD770-1)*100)))</f>
        <v>3.5663217389097168</v>
      </c>
      <c r="AN770" s="410">
        <f t="shared" ref="AN770:AP770" si="5165">AN880</f>
        <v>12010.899999999998</v>
      </c>
      <c r="AO770" s="23">
        <f>IF(ISERROR((AN770/AF770-1)*100),"NA",IF(((AN770/AF770-1)*100)&gt;100,"NM",IF(((AN770/AF770-1)*100)&lt;-50,"NM",(AN770/AF770-1)*100)))</f>
        <v>-7.9095265478244077</v>
      </c>
      <c r="AP770" s="410">
        <f t="shared" si="5165"/>
        <v>11985.099999999999</v>
      </c>
      <c r="AQ770" s="23">
        <f t="shared" si="5144"/>
        <v>-4.9797038023657976</v>
      </c>
      <c r="AR770" s="410">
        <f t="shared" ref="AR770:AT770" si="5166">AR880</f>
        <v>11899.2</v>
      </c>
      <c r="AS770" s="23">
        <f t="shared" si="5146"/>
        <v>-6.6480473224232224</v>
      </c>
      <c r="AT770" s="410">
        <f t="shared" si="5166"/>
        <v>11688.899999999998</v>
      </c>
      <c r="AU770" s="23">
        <f t="shared" si="5147"/>
        <v>-4.5055717133427269</v>
      </c>
      <c r="AV770" s="410">
        <f t="shared" ref="AV770:AX770" si="5167">AV880</f>
        <v>11073.5</v>
      </c>
      <c r="AW770" s="23">
        <f t="shared" si="5149"/>
        <v>-7.8045775087628559</v>
      </c>
      <c r="AX770" s="410">
        <f t="shared" si="5167"/>
        <v>10778.5</v>
      </c>
      <c r="AY770" s="23">
        <f t="shared" si="5150"/>
        <v>-10.067500479762359</v>
      </c>
      <c r="AZ770" s="410">
        <f t="shared" ref="AZ770" si="5168">AZ880</f>
        <v>10746.5</v>
      </c>
      <c r="BA770" s="23">
        <f t="shared" si="5152"/>
        <v>-9.6872058625790061</v>
      </c>
      <c r="BB770" s="410">
        <f t="shared" ref="BB770:BD770" si="5169">BB880</f>
        <v>10921.600000000002</v>
      </c>
      <c r="BC770" s="23">
        <f t="shared" si="5154"/>
        <v>-6.5643473722933336</v>
      </c>
      <c r="BD770" s="410">
        <f t="shared" si="5169"/>
        <v>7278</v>
      </c>
      <c r="BE770" s="23">
        <f t="shared" si="5155"/>
        <v>-34.275522644150449</v>
      </c>
      <c r="BF770" s="36">
        <f t="shared" ref="BF770" si="5170">BF880</f>
        <v>7138.7998437368642</v>
      </c>
      <c r="BG770" s="23">
        <f t="shared" si="5157"/>
        <v>-33.768151006755446</v>
      </c>
      <c r="BH770" s="36">
        <f t="shared" ref="BH770" si="5171">BH880</f>
        <v>7117.5450081613726</v>
      </c>
      <c r="BI770" s="23">
        <f t="shared" si="5159"/>
        <v>-33.768715319765761</v>
      </c>
      <c r="BJ770" s="36">
        <f t="shared" ref="BJ770" si="5172">BJ880</f>
        <v>7057.3052063498344</v>
      </c>
      <c r="BK770" s="23">
        <f t="shared" si="5161"/>
        <v>-35.382130765182453</v>
      </c>
      <c r="BL770" s="36">
        <f t="shared" ref="BL770" si="5173">BL880</f>
        <v>7006.1174600135255</v>
      </c>
      <c r="BM770" s="23">
        <f t="shared" si="5163"/>
        <v>-3.7356765593085206</v>
      </c>
      <c r="BO770" s="137"/>
      <c r="BR770" s="6"/>
      <c r="BS770" s="6"/>
      <c r="BT770" s="6"/>
      <c r="BU770" s="36">
        <f>BU880</f>
        <v>9758.9</v>
      </c>
      <c r="BV770" s="23" t="str">
        <f t="shared" si="5164"/>
        <v>NA</v>
      </c>
      <c r="BW770" s="36">
        <f>BW880</f>
        <v>10164.200000000001</v>
      </c>
      <c r="BX770" s="23">
        <f t="shared" si="5164"/>
        <v>4.1531320128293192</v>
      </c>
      <c r="BY770" s="36">
        <f>BY880</f>
        <v>11423.099999999999</v>
      </c>
      <c r="BZ770" s="23">
        <f t="shared" si="5164"/>
        <v>12.385627988429949</v>
      </c>
      <c r="CA770" s="36">
        <f>CA880</f>
        <v>13042.499999999996</v>
      </c>
      <c r="CB770" s="23">
        <f t="shared" si="5164"/>
        <v>14.176537017096912</v>
      </c>
      <c r="CC770" s="36">
        <f>CC880</f>
        <v>12010.899999999998</v>
      </c>
      <c r="CD770" s="23">
        <f t="shared" si="5164"/>
        <v>-7.9095265478244077</v>
      </c>
      <c r="CE770" s="36">
        <f>CE880</f>
        <v>11073.5</v>
      </c>
      <c r="CF770" s="23">
        <f t="shared" si="5164"/>
        <v>-7.8045775087628559</v>
      </c>
      <c r="CG770" s="36">
        <f>CG880</f>
        <v>7278</v>
      </c>
      <c r="CH770" s="23">
        <f t="shared" si="5164"/>
        <v>-34.275522644150449</v>
      </c>
      <c r="CI770" s="36">
        <f>CI880</f>
        <v>7006.1174600135255</v>
      </c>
      <c r="CJ770" s="23">
        <f t="shared" si="5164"/>
        <v>-3.7356765593085206</v>
      </c>
      <c r="CK770" s="36">
        <f>CK880</f>
        <v>7213.8837556391663</v>
      </c>
      <c r="CL770" s="23">
        <f t="shared" si="5164"/>
        <v>2.9654983207381136</v>
      </c>
      <c r="CM770" s="36">
        <f>CM880</f>
        <v>7457.7416175488779</v>
      </c>
      <c r="CN770" s="23">
        <f t="shared" si="5164"/>
        <v>3.3803963325453656</v>
      </c>
      <c r="CO770" s="36">
        <f>CO880</f>
        <v>7736.8509632555979</v>
      </c>
      <c r="CP770" s="23">
        <f t="shared" si="5164"/>
        <v>3.7425451298814805</v>
      </c>
      <c r="CQ770" s="36">
        <f>CQ880</f>
        <v>8050.8953214979156</v>
      </c>
      <c r="CR770" s="23">
        <f t="shared" si="5164"/>
        <v>4.0590720919118084</v>
      </c>
      <c r="CS770" s="23"/>
      <c r="CT770" s="28"/>
    </row>
    <row r="771" spans="1:98" ht="12.75" hidden="1" customHeight="1" outlineLevel="1" x14ac:dyDescent="0.2">
      <c r="A771" s="46"/>
      <c r="C771" s="82"/>
      <c r="E771" s="82"/>
      <c r="G771" s="82"/>
      <c r="I771" s="82"/>
      <c r="K771" s="184"/>
      <c r="L771" s="6"/>
      <c r="M771" s="184"/>
      <c r="N771" s="6"/>
      <c r="O771" s="184"/>
      <c r="P771" s="6"/>
      <c r="Q771" s="184"/>
      <c r="R771" s="6"/>
      <c r="S771" s="184"/>
      <c r="T771" s="6"/>
      <c r="U771" s="184"/>
      <c r="V771" s="6"/>
      <c r="W771" s="184"/>
      <c r="X771" s="6"/>
      <c r="Y771" s="184"/>
      <c r="Z771" s="6"/>
      <c r="AA771" s="184"/>
      <c r="AB771" s="6"/>
      <c r="AC771" s="184"/>
      <c r="AD771" s="6"/>
      <c r="AE771" s="184"/>
      <c r="AF771" s="6"/>
      <c r="AG771" s="184"/>
      <c r="AH771" s="6"/>
      <c r="AI771" s="184"/>
      <c r="AJ771" s="6"/>
      <c r="AK771" s="184"/>
      <c r="AL771" s="6"/>
      <c r="AM771" s="184"/>
      <c r="AN771" s="473"/>
      <c r="AO771" s="184"/>
      <c r="AP771" s="473"/>
      <c r="AQ771" s="184"/>
      <c r="AR771" s="473"/>
      <c r="AS771" s="184"/>
      <c r="AT771" s="473"/>
      <c r="AU771" s="184"/>
      <c r="AV771" s="473"/>
      <c r="AW771" s="184"/>
      <c r="AX771" s="473"/>
      <c r="AY771" s="184"/>
      <c r="AZ771" s="473"/>
      <c r="BA771" s="184"/>
      <c r="BB771" s="473"/>
      <c r="BC771" s="184"/>
      <c r="BD771" s="473"/>
      <c r="BE771" s="184"/>
      <c r="BF771" s="6"/>
      <c r="BG771" s="184"/>
      <c r="BH771" s="6"/>
      <c r="BI771" s="184"/>
      <c r="BJ771" s="6"/>
      <c r="BK771" s="184"/>
      <c r="BL771" s="6"/>
      <c r="BM771" s="184"/>
      <c r="BR771" s="6"/>
      <c r="BS771" s="6"/>
      <c r="BT771" s="6"/>
      <c r="BU771" s="6"/>
      <c r="BV771" s="184"/>
      <c r="BW771" s="6"/>
      <c r="BX771" s="184"/>
      <c r="BY771" s="6"/>
      <c r="BZ771" s="184"/>
      <c r="CA771" s="6"/>
      <c r="CB771" s="184"/>
      <c r="CC771" s="6"/>
      <c r="CD771" s="184"/>
      <c r="CE771" s="6"/>
      <c r="CF771" s="184"/>
      <c r="CG771" s="6"/>
      <c r="CH771" s="184"/>
      <c r="CI771" s="6"/>
      <c r="CJ771" s="184"/>
      <c r="CK771" s="6"/>
      <c r="CL771" s="184"/>
      <c r="CM771" s="6"/>
      <c r="CN771" s="184"/>
      <c r="CO771" s="6"/>
      <c r="CP771" s="184"/>
      <c r="CQ771" s="6"/>
      <c r="CR771" s="184"/>
      <c r="CS771" s="184"/>
      <c r="CT771" s="28"/>
    </row>
    <row r="772" spans="1:98" ht="12.75" hidden="1" customHeight="1" outlineLevel="1" x14ac:dyDescent="0.2">
      <c r="A772" s="46" t="s">
        <v>340</v>
      </c>
      <c r="C772" s="82"/>
      <c r="E772" s="82"/>
      <c r="G772" s="82"/>
      <c r="I772" s="82"/>
      <c r="K772" s="184"/>
      <c r="L772" s="6"/>
      <c r="M772" s="184"/>
      <c r="N772" s="6"/>
      <c r="O772" s="184"/>
      <c r="P772" s="6"/>
      <c r="Q772" s="184"/>
      <c r="R772" s="6"/>
      <c r="S772" s="184"/>
      <c r="T772" s="6"/>
      <c r="U772" s="184"/>
      <c r="V772" s="6"/>
      <c r="W772" s="184"/>
      <c r="X772" s="6"/>
      <c r="Y772" s="184"/>
      <c r="Z772" s="6"/>
      <c r="AA772" s="184"/>
      <c r="AB772" s="6"/>
      <c r="AC772" s="184"/>
      <c r="AD772" s="6"/>
      <c r="AE772" s="184"/>
      <c r="AF772" s="6"/>
      <c r="AG772" s="184"/>
      <c r="AH772" s="6"/>
      <c r="AI772" s="184"/>
      <c r="AJ772" s="6"/>
      <c r="AK772" s="184"/>
      <c r="AL772" s="6"/>
      <c r="AM772" s="184"/>
      <c r="AN772" s="473"/>
      <c r="AO772" s="184"/>
      <c r="AP772" s="473"/>
      <c r="AQ772" s="184"/>
      <c r="AR772" s="473"/>
      <c r="AS772" s="184"/>
      <c r="AT772" s="473"/>
      <c r="AU772" s="184"/>
      <c r="AV772" s="473"/>
      <c r="AW772" s="184"/>
      <c r="AX772" s="473"/>
      <c r="AY772" s="184"/>
      <c r="AZ772" s="473"/>
      <c r="BA772" s="184"/>
      <c r="BB772" s="473"/>
      <c r="BC772" s="184"/>
      <c r="BD772" s="473"/>
      <c r="BE772" s="184"/>
      <c r="BF772" s="6"/>
      <c r="BG772" s="184"/>
      <c r="BH772" s="6"/>
      <c r="BI772" s="184"/>
      <c r="BJ772" s="6"/>
      <c r="BK772" s="184"/>
      <c r="BL772" s="6"/>
      <c r="BM772" s="184"/>
      <c r="BR772" s="6"/>
      <c r="BS772" s="6"/>
      <c r="BT772" s="6"/>
      <c r="BU772" s="6"/>
      <c r="BV772" s="184"/>
      <c r="BW772" s="6"/>
      <c r="BX772" s="184"/>
      <c r="BY772" s="6"/>
      <c r="BZ772" s="184"/>
      <c r="CA772" s="6"/>
      <c r="CB772" s="184"/>
      <c r="CC772" s="6"/>
      <c r="CD772" s="184"/>
      <c r="CE772" s="6"/>
      <c r="CF772" s="184"/>
      <c r="CG772" s="6"/>
      <c r="CH772" s="184"/>
      <c r="CI772" s="6"/>
      <c r="CJ772" s="184"/>
      <c r="CK772" s="6"/>
      <c r="CL772" s="184"/>
      <c r="CM772" s="6"/>
      <c r="CN772" s="184"/>
      <c r="CO772" s="6"/>
      <c r="CP772" s="184"/>
      <c r="CQ772" s="6"/>
      <c r="CR772" s="184"/>
      <c r="CS772" s="184"/>
      <c r="CT772" s="28"/>
    </row>
    <row r="773" spans="1:98" ht="12.75" hidden="1" customHeight="1" outlineLevel="1" x14ac:dyDescent="0.2">
      <c r="A773" s="165" t="s">
        <v>338</v>
      </c>
      <c r="B773" s="48">
        <f>B769+600</f>
        <v>7752</v>
      </c>
      <c r="C773" s="82"/>
      <c r="D773" s="48">
        <f>D769+600</f>
        <v>10969.499999999998</v>
      </c>
      <c r="E773" s="82"/>
      <c r="F773" s="48">
        <f>F769+600</f>
        <v>12986.400000000001</v>
      </c>
      <c r="G773" s="82"/>
      <c r="H773" s="48">
        <f>H769+600</f>
        <v>12953.9</v>
      </c>
      <c r="I773" s="82"/>
      <c r="J773" s="48">
        <f>J769+600</f>
        <v>12429.900000000001</v>
      </c>
      <c r="K773" s="23">
        <f t="shared" ref="K773:Y774" si="5174">IF(ISERROR((J773/B773-1)*100),"NA",IF(((J773/B773-1)*100)&gt;100,"NM",IF(((J773/B773-1)*100)&lt;-50,"NM",(J773/B773-1)*100)))</f>
        <v>60.344427244582064</v>
      </c>
      <c r="L773" s="48">
        <f>L769+600</f>
        <v>13441.8</v>
      </c>
      <c r="M773" s="23">
        <f t="shared" si="5174"/>
        <v>22.53794612334201</v>
      </c>
      <c r="N773" s="48">
        <f>N769+600</f>
        <v>14510.5</v>
      </c>
      <c r="O773" s="23">
        <f t="shared" si="5174"/>
        <v>11.736123945050192</v>
      </c>
      <c r="P773" s="48">
        <f>P769+600</f>
        <v>14474.900000000001</v>
      </c>
      <c r="Q773" s="23">
        <f t="shared" si="5174"/>
        <v>11.741637653525206</v>
      </c>
      <c r="R773" s="48">
        <f>R769+600</f>
        <v>13991.100000000002</v>
      </c>
      <c r="S773" s="23">
        <f t="shared" si="5174"/>
        <v>12.5600366857336</v>
      </c>
      <c r="T773" s="36">
        <f>T769</f>
        <v>12471.599999999999</v>
      </c>
      <c r="U773" s="23">
        <f t="shared" si="5174"/>
        <v>-7.2177833325893896</v>
      </c>
      <c r="V773" s="36">
        <f>V769</f>
        <v>12770</v>
      </c>
      <c r="W773" s="23">
        <f t="shared" si="5174"/>
        <v>-11.994762413424764</v>
      </c>
      <c r="X773" s="36">
        <f>X769</f>
        <v>13272.199999999999</v>
      </c>
      <c r="Y773" s="23">
        <f t="shared" si="5174"/>
        <v>-8.3088656916455506</v>
      </c>
      <c r="Z773" s="36">
        <f>Z769</f>
        <v>14001.5</v>
      </c>
      <c r="AA773" s="23">
        <f>IF(ISERROR((Z773/R773-1)*100),"NA",IF(((Z773/R773-1)*100)&gt;100,"NM",IF(((Z773/R773-1)*100)&lt;-50,"NM",(Z773/R773-1)*100)))</f>
        <v>7.4332968815871148E-2</v>
      </c>
      <c r="AB773" s="36">
        <f>AB769</f>
        <v>14867.100000000002</v>
      </c>
      <c r="AC773" s="23">
        <f>IF(ISERROR((AB773/T773-1)*100),"NA",IF(((AB773/T773-1)*100)&gt;100,"NM",IF(((AB773/T773-1)*100)&lt;-50,"NM",(AB773/T773-1)*100)))</f>
        <v>19.207639757529126</v>
      </c>
      <c r="AD773" s="36">
        <f>AD769</f>
        <v>14639.100000000002</v>
      </c>
      <c r="AE773" s="23">
        <f>IF(ISERROR((AD773/V773-1)*100),"NA",IF(((AD773/V773-1)*100)&gt;100,"NM",IF(((AD773/V773-1)*100)&lt;-50,"NM",(AD773/V773-1)*100)))</f>
        <v>14.636648394675046</v>
      </c>
      <c r="AF773" s="36">
        <f>AF769</f>
        <v>16146.199999999997</v>
      </c>
      <c r="AG773" s="23">
        <f>IF(ISERROR((AF773/X773-1)*100),"NA",IF(((AF773/X773-1)*100)&gt;100,"NM",IF(((AF773/X773-1)*100)&lt;-50,"NM",(AF773/X773-1)*100)))</f>
        <v>21.654284896249298</v>
      </c>
      <c r="AH773" s="36">
        <f>AH769</f>
        <v>16144.400000000001</v>
      </c>
      <c r="AI773" s="23">
        <f>IF(ISERROR((AH773/Z773-1)*100),"NA",IF(((AH773/Z773-1)*100)&gt;100,"NM",IF(((AH773/Z773-1)*100)&lt;-50,"NM",(AH773/Z773-1)*100)))</f>
        <v>15.304788772631506</v>
      </c>
      <c r="AJ773" s="36">
        <f>AJ769</f>
        <v>14855.8</v>
      </c>
      <c r="AK773" s="23">
        <f>IF(ISERROR((AJ773/AB773-1)*100),"NA",IF(((AJ773/AB773-1)*100)&gt;100,"NM",IF(((AJ773/AB773-1)*100)&lt;-50,"NM",(AJ773/AB773-1)*100)))</f>
        <v>-7.6006753166402152E-2</v>
      </c>
      <c r="AL773" s="36">
        <f>AL769</f>
        <v>14286.100000000002</v>
      </c>
      <c r="AM773" s="23">
        <f>IF(ISERROR((AL773/AD773-1)*100),"NA",IF(((AL773/AD773-1)*100)&gt;100,"NM",IF(((AL773/AD773-1)*100)&lt;-50,"NM",(AL773/AD773-1)*100)))</f>
        <v>-2.4113504245479533</v>
      </c>
      <c r="AN773" s="410">
        <f t="shared" ref="AN773:AP774" si="5175">AN769</f>
        <v>13435.799999999997</v>
      </c>
      <c r="AO773" s="23">
        <f>IF(ISERROR((AN773/AF773-1)*100),"NA",IF(((AN773/AF773-1)*100)&gt;100,"NM",IF(((AN773/AF773-1)*100)&lt;-50,"NM",(AN773/AF773-1)*100)))</f>
        <v>-16.786612329836125</v>
      </c>
      <c r="AP773" s="410">
        <f t="shared" si="5175"/>
        <v>14461.3</v>
      </c>
      <c r="AQ773" s="23">
        <f t="shared" ref="AQ773:AQ774" si="5176">IF(ISERROR((AP773/AH773-1)*100),"NA",IF(((AP773/AH773-1)*100)&gt;100,"NM",IF(((AP773/AH773-1)*100)&lt;-50,"NM",(AP773/AH773-1)*100)))</f>
        <v>-10.425286786749599</v>
      </c>
      <c r="AR773" s="410">
        <f t="shared" ref="AR773:AT774" si="5177">AR769</f>
        <v>15338.900000000001</v>
      </c>
      <c r="AS773" s="23">
        <f t="shared" ref="AS773:AS774" si="5178">IF(ISERROR((AR773/AJ773-1)*100),"NA",IF(((AR773/AJ773-1)*100)&gt;100,"NM",IF(((AR773/AJ773-1)*100)&lt;-50,"NM",(AR773/AJ773-1)*100)))</f>
        <v>3.2519285396949593</v>
      </c>
      <c r="AT773" s="410">
        <f t="shared" si="5177"/>
        <v>15205.999999999998</v>
      </c>
      <c r="AU773" s="23">
        <f t="shared" ref="AU773:AU774" si="5179">IF(ISERROR((AT773/AL773-1)*100),"NA",IF(((AT773/AL773-1)*100)&gt;100,"NM",IF(((AT773/AL773-1)*100)&lt;-50,"NM",(AT773/AL773-1)*100)))</f>
        <v>6.4391261435940983</v>
      </c>
      <c r="AV773" s="410">
        <f t="shared" ref="AV773:AX774" si="5180">AV769</f>
        <v>12994.5</v>
      </c>
      <c r="AW773" s="23">
        <f t="shared" ref="AW773:AW774" si="5181">IF(ISERROR((AV773/AN773-1)*100),"NA",IF(((AV773/AN773-1)*100)&gt;100,"NM",IF(((AV773/AN773-1)*100)&lt;-50,"NM",(AV773/AN773-1)*100)))</f>
        <v>-3.2845085517795525</v>
      </c>
      <c r="AX773" s="410">
        <f t="shared" si="5180"/>
        <v>12890.5</v>
      </c>
      <c r="AY773" s="23">
        <f t="shared" ref="AY773:AY774" si="5182">IF(ISERROR((AX773/AP773-1)*100),"NA",IF(((AX773/AP773-1)*100)&gt;100,"NM",IF(((AX773/AP773-1)*100)&lt;-50,"NM",(AX773/AP773-1)*100)))</f>
        <v>-10.862094002613865</v>
      </c>
      <c r="AZ773" s="410">
        <f t="shared" ref="AZ773:AZ774" si="5183">AZ769</f>
        <v>13352.5</v>
      </c>
      <c r="BA773" s="23">
        <f t="shared" ref="BA773:BA774" si="5184">IF(ISERROR((AZ773/AR773-1)*100),"NA",IF(((AZ773/AR773-1)*100)&gt;100,"NM",IF(((AZ773/AR773-1)*100)&lt;-50,"NM",(AZ773/AR773-1)*100)))</f>
        <v>-12.950081166185324</v>
      </c>
      <c r="BB773" s="410">
        <f t="shared" ref="BB773:BD774" si="5185">BB769</f>
        <v>13652.600000000002</v>
      </c>
      <c r="BC773" s="23">
        <f t="shared" ref="BC773:BC774" si="5186">IF(ISERROR((BB773/AT773-1)*100),"NA",IF(((BB773/AT773-1)*100)&gt;100,"NM",IF(((BB773/AT773-1)*100)&lt;-50,"NM",(BB773/AT773-1)*100)))</f>
        <v>-10.215704327239228</v>
      </c>
      <c r="BD773" s="410">
        <f t="shared" si="5185"/>
        <v>10009</v>
      </c>
      <c r="BE773" s="23">
        <f t="shared" ref="BE773:BE774" si="5187">IF(ISERROR((BD773/AV773-1)*100),"NA",IF(((BD773/AV773-1)*100)&gt;100,"NM",IF(((BD773/AV773-1)*100)&lt;-50,"NM",(BD773/AV773-1)*100)))</f>
        <v>-22.975104852052798</v>
      </c>
      <c r="BF773" s="36">
        <f t="shared" ref="BF773" si="5188">BF769</f>
        <v>9869.7998437368642</v>
      </c>
      <c r="BG773" s="23">
        <f t="shared" ref="BG773:BG774" si="5189">IF(ISERROR((BF773/AX773-1)*100),"NA",IF(((BF773/AX773-1)*100)&gt;100,"NM",IF(((BF773/AX773-1)*100)&lt;-50,"NM",(BF773/AX773-1)*100)))</f>
        <v>-23.433537537435601</v>
      </c>
      <c r="BH773" s="36">
        <f t="shared" ref="BH773" si="5190">BH769</f>
        <v>9348.5450081613726</v>
      </c>
      <c r="BI773" s="23">
        <f t="shared" ref="BI773:BI774" si="5191">IF(ISERROR((BH773/AZ773-1)*100),"NA",IF(((BH773/AZ773-1)*100)&gt;100,"NM",IF(((BH773/AZ773-1)*100)&lt;-50,"NM",(BH773/AZ773-1)*100)))</f>
        <v>-29.986556763442263</v>
      </c>
      <c r="BJ773" s="36">
        <f t="shared" ref="BJ773" si="5192">BJ769</f>
        <v>9288.3052063498344</v>
      </c>
      <c r="BK773" s="23">
        <f t="shared" ref="BK773:BK774" si="5193">IF(ISERROR((BJ773/BB773-1)*100),"NA",IF(((BJ773/BB773-1)*100)&gt;100,"NM",IF(((BJ773/BB773-1)*100)&lt;-50,"NM",(BJ773/BB773-1)*100)))</f>
        <v>-31.966766723189476</v>
      </c>
      <c r="BL773" s="36">
        <f t="shared" ref="BL773" si="5194">BL769</f>
        <v>9237.1174600135255</v>
      </c>
      <c r="BM773" s="23">
        <f t="shared" ref="BM773:BM774" si="5195">IF(ISERROR((BL773/BD773-1)*100),"NA",IF(((BL773/BD773-1)*100)&gt;100,"NM",IF(((BL773/BD773-1)*100)&lt;-50,"NM",(BL773/BD773-1)*100)))</f>
        <v>-7.7118847036314779</v>
      </c>
      <c r="BO773" s="137"/>
      <c r="BR773" s="6"/>
      <c r="BS773" s="6"/>
      <c r="BT773" s="6"/>
      <c r="BU773" s="48">
        <f>BU769+600</f>
        <v>12953.9</v>
      </c>
      <c r="BV773" s="23" t="str">
        <f t="shared" ref="BV773:CR774" si="5196">IF(ISERROR((BU773/BS773-1)*100),"NA",IF(((BU773/BS773-1)*100)&gt;100,"NM",IF(((BU773/BS773-1)*100)&lt;-50,"NM",(BU773/BS773-1)*100)))</f>
        <v>NA</v>
      </c>
      <c r="BW773" s="48">
        <f>BW769+600</f>
        <v>14474.900000000001</v>
      </c>
      <c r="BX773" s="23">
        <f t="shared" si="5196"/>
        <v>11.741637653525206</v>
      </c>
      <c r="BY773" s="48">
        <f>BY769</f>
        <v>13272.199999999999</v>
      </c>
      <c r="BZ773" s="23">
        <f t="shared" si="5196"/>
        <v>-8.3088656916455506</v>
      </c>
      <c r="CA773" s="48">
        <f>CA769</f>
        <v>16146.199999999997</v>
      </c>
      <c r="CB773" s="23">
        <f t="shared" si="5196"/>
        <v>21.654284896249298</v>
      </c>
      <c r="CC773" s="48">
        <f>CC769</f>
        <v>13435.799999999997</v>
      </c>
      <c r="CD773" s="23">
        <f t="shared" si="5196"/>
        <v>-16.786612329836125</v>
      </c>
      <c r="CE773" s="48">
        <f>CE769</f>
        <v>12994.5</v>
      </c>
      <c r="CF773" s="23">
        <f t="shared" si="5196"/>
        <v>-3.2845085517795525</v>
      </c>
      <c r="CG773" s="48">
        <f>CG769</f>
        <v>10009</v>
      </c>
      <c r="CH773" s="23">
        <f t="shared" si="5196"/>
        <v>-22.975104852052798</v>
      </c>
      <c r="CI773" s="48">
        <f>CI769</f>
        <v>9237.1174600135255</v>
      </c>
      <c r="CJ773" s="23">
        <f t="shared" si="5196"/>
        <v>-7.7118847036314779</v>
      </c>
      <c r="CK773" s="48">
        <f>CK769</f>
        <v>9444.8837556391663</v>
      </c>
      <c r="CL773" s="23">
        <f t="shared" si="5196"/>
        <v>2.2492546676497138</v>
      </c>
      <c r="CM773" s="48">
        <f>CM769</f>
        <v>9688.7416175488779</v>
      </c>
      <c r="CN773" s="23">
        <f t="shared" si="5196"/>
        <v>2.581904322158679</v>
      </c>
      <c r="CO773" s="48">
        <f>CO769</f>
        <v>9967.8509632555979</v>
      </c>
      <c r="CP773" s="23">
        <f t="shared" si="5196"/>
        <v>2.8807595116498774</v>
      </c>
      <c r="CQ773" s="48">
        <f>CQ769</f>
        <v>10281.895321497916</v>
      </c>
      <c r="CR773" s="23">
        <f t="shared" si="5196"/>
        <v>3.1505723691092058</v>
      </c>
      <c r="CS773" s="23"/>
      <c r="CT773" s="28"/>
    </row>
    <row r="774" spans="1:98" ht="12.75" hidden="1" customHeight="1" outlineLevel="1" x14ac:dyDescent="0.2">
      <c r="A774" s="165" t="s">
        <v>339</v>
      </c>
      <c r="B774" s="48">
        <f>B770+600</f>
        <v>6701.6</v>
      </c>
      <c r="C774" s="82"/>
      <c r="D774" s="48">
        <f>D770+600</f>
        <v>9726.0999999999985</v>
      </c>
      <c r="E774" s="82"/>
      <c r="F774" s="48">
        <f>F770+600</f>
        <v>10701.100000000002</v>
      </c>
      <c r="G774" s="82"/>
      <c r="H774" s="48">
        <f>H770+600</f>
        <v>10358.9</v>
      </c>
      <c r="I774" s="82"/>
      <c r="J774" s="48">
        <f>J770+600</f>
        <v>9842.9000000000015</v>
      </c>
      <c r="K774" s="23">
        <f t="shared" si="5174"/>
        <v>46.873880864271221</v>
      </c>
      <c r="L774" s="48">
        <f>L770+600</f>
        <v>10420.299999999999</v>
      </c>
      <c r="M774" s="23">
        <f t="shared" si="5174"/>
        <v>7.1374960158748113</v>
      </c>
      <c r="N774" s="48">
        <f>N770+600</f>
        <v>10809</v>
      </c>
      <c r="O774" s="23">
        <f t="shared" si="5174"/>
        <v>1.0083075571670097</v>
      </c>
      <c r="P774" s="48">
        <f>P770+600</f>
        <v>10764.2</v>
      </c>
      <c r="Q774" s="23">
        <f t="shared" si="5174"/>
        <v>3.9125775902846938</v>
      </c>
      <c r="R774" s="48">
        <f>R770+600</f>
        <v>10538.300000000003</v>
      </c>
      <c r="S774" s="23">
        <f t="shared" si="5174"/>
        <v>7.0649910087474455</v>
      </c>
      <c r="T774" s="36">
        <f>T770</f>
        <v>10383.799999999999</v>
      </c>
      <c r="U774" s="23">
        <f t="shared" si="5174"/>
        <v>-0.35027782309530187</v>
      </c>
      <c r="V774" s="36">
        <f>V770</f>
        <v>10820</v>
      </c>
      <c r="W774" s="23">
        <f t="shared" si="5174"/>
        <v>0.10176704598019448</v>
      </c>
      <c r="X774" s="36">
        <f>X770</f>
        <v>11423.099999999999</v>
      </c>
      <c r="Y774" s="23">
        <f t="shared" si="5174"/>
        <v>6.1212166254807299</v>
      </c>
      <c r="Z774" s="36">
        <f>Z770</f>
        <v>11424</v>
      </c>
      <c r="AA774" s="23">
        <f>IF(ISERROR((Z774/R774-1)*100),"NA",IF(((Z774/R774-1)*100)&gt;100,"NM",IF(((Z774/R774-1)*100)&lt;-50,"NM",(Z774/R774-1)*100)))</f>
        <v>8.4045813840941896</v>
      </c>
      <c r="AB774" s="36">
        <f>AB770</f>
        <v>11714.400000000001</v>
      </c>
      <c r="AC774" s="23">
        <f>IF(ISERROR((AB774/T774-1)*100),"NA",IF(((AB774/T774-1)*100)&gt;100,"NM",IF(((AB774/T774-1)*100)&lt;-50,"NM",(AB774/T774-1)*100)))</f>
        <v>12.814191336504965</v>
      </c>
      <c r="AD774" s="36">
        <f>AD770</f>
        <v>11818.900000000001</v>
      </c>
      <c r="AE774" s="23">
        <f>IF(ISERROR((AD774/V774-1)*100),"NA",IF(((AD774/V774-1)*100)&gt;100,"NM",IF(((AD774/V774-1)*100)&lt;-50,"NM",(AD774/V774-1)*100)))</f>
        <v>9.2319778188539878</v>
      </c>
      <c r="AF774" s="36">
        <f>AF770</f>
        <v>13042.499999999996</v>
      </c>
      <c r="AG774" s="23">
        <f>IF(ISERROR((AF774/X774-1)*100),"NA",IF(((AF774/X774-1)*100)&gt;100,"NM",IF(((AF774/X774-1)*100)&lt;-50,"NM",(AF774/X774-1)*100)))</f>
        <v>14.176537017096912</v>
      </c>
      <c r="AH774" s="36">
        <f>AH770</f>
        <v>12613.2</v>
      </c>
      <c r="AI774" s="23">
        <f>IF(ISERROR((AH774/Z774-1)*100),"NA",IF(((AH774/Z774-1)*100)&gt;100,"NM",IF(((AH774/Z774-1)*100)&lt;-50,"NM",(AH774/Z774-1)*100)))</f>
        <v>10.409663865546225</v>
      </c>
      <c r="AJ774" s="36">
        <f>AJ770</f>
        <v>12746.599999999999</v>
      </c>
      <c r="AK774" s="23">
        <f>IF(ISERROR((AJ774/AB774-1)*100),"NA",IF(((AJ774/AB774-1)*100)&gt;100,"NM",IF(((AJ774/AB774-1)*100)&lt;-50,"NM",(AJ774/AB774-1)*100)))</f>
        <v>8.8113774499760655</v>
      </c>
      <c r="AL774" s="36">
        <f>AL770</f>
        <v>12240.400000000001</v>
      </c>
      <c r="AM774" s="23">
        <f>IF(ISERROR((AL774/AD774-1)*100),"NA",IF(((AL774/AD774-1)*100)&gt;100,"NM",IF(((AL774/AD774-1)*100)&lt;-50,"NM",(AL774/AD774-1)*100)))</f>
        <v>3.5663217389097168</v>
      </c>
      <c r="AN774" s="410">
        <f t="shared" si="5175"/>
        <v>12010.899999999998</v>
      </c>
      <c r="AO774" s="23">
        <f>IF(ISERROR((AN774/AF774-1)*100),"NA",IF(((AN774/AF774-1)*100)&gt;100,"NM",IF(((AN774/AF774-1)*100)&lt;-50,"NM",(AN774/AF774-1)*100)))</f>
        <v>-7.9095265478244077</v>
      </c>
      <c r="AP774" s="410">
        <f t="shared" si="5175"/>
        <v>11985.099999999999</v>
      </c>
      <c r="AQ774" s="23">
        <f t="shared" si="5176"/>
        <v>-4.9797038023657976</v>
      </c>
      <c r="AR774" s="410">
        <f t="shared" si="5177"/>
        <v>11899.2</v>
      </c>
      <c r="AS774" s="23">
        <f t="shared" si="5178"/>
        <v>-6.6480473224232224</v>
      </c>
      <c r="AT774" s="410">
        <f t="shared" si="5177"/>
        <v>11688.899999999998</v>
      </c>
      <c r="AU774" s="23">
        <f t="shared" si="5179"/>
        <v>-4.5055717133427269</v>
      </c>
      <c r="AV774" s="410">
        <f t="shared" si="5180"/>
        <v>11073.5</v>
      </c>
      <c r="AW774" s="23">
        <f t="shared" si="5181"/>
        <v>-7.8045775087628559</v>
      </c>
      <c r="AX774" s="410">
        <f t="shared" si="5180"/>
        <v>10778.5</v>
      </c>
      <c r="AY774" s="23">
        <f t="shared" si="5182"/>
        <v>-10.067500479762359</v>
      </c>
      <c r="AZ774" s="410">
        <f t="shared" si="5183"/>
        <v>10746.5</v>
      </c>
      <c r="BA774" s="23">
        <f t="shared" si="5184"/>
        <v>-9.6872058625790061</v>
      </c>
      <c r="BB774" s="410">
        <f t="shared" si="5185"/>
        <v>10921.600000000002</v>
      </c>
      <c r="BC774" s="23">
        <f t="shared" si="5186"/>
        <v>-6.5643473722933336</v>
      </c>
      <c r="BD774" s="410">
        <f t="shared" si="5185"/>
        <v>7278</v>
      </c>
      <c r="BE774" s="23">
        <f t="shared" si="5187"/>
        <v>-34.275522644150449</v>
      </c>
      <c r="BF774" s="36">
        <f t="shared" ref="BF774" si="5197">BF770</f>
        <v>7138.7998437368642</v>
      </c>
      <c r="BG774" s="23">
        <f t="shared" si="5189"/>
        <v>-33.768151006755446</v>
      </c>
      <c r="BH774" s="36">
        <f t="shared" ref="BH774" si="5198">BH770</f>
        <v>7117.5450081613726</v>
      </c>
      <c r="BI774" s="23">
        <f t="shared" si="5191"/>
        <v>-33.768715319765761</v>
      </c>
      <c r="BJ774" s="36">
        <f t="shared" ref="BJ774" si="5199">BJ770</f>
        <v>7057.3052063498344</v>
      </c>
      <c r="BK774" s="23">
        <f t="shared" si="5193"/>
        <v>-35.382130765182453</v>
      </c>
      <c r="BL774" s="36">
        <f t="shared" ref="BL774" si="5200">BL770</f>
        <v>7006.1174600135255</v>
      </c>
      <c r="BM774" s="23">
        <f t="shared" si="5195"/>
        <v>-3.7356765593085206</v>
      </c>
      <c r="BO774" s="137"/>
      <c r="BR774" s="6"/>
      <c r="BS774" s="6"/>
      <c r="BT774" s="6"/>
      <c r="BU774" s="48">
        <f>BU770+600</f>
        <v>10358.9</v>
      </c>
      <c r="BV774" s="23" t="str">
        <f t="shared" si="5196"/>
        <v>NA</v>
      </c>
      <c r="BW774" s="48">
        <f>BW770+600</f>
        <v>10764.2</v>
      </c>
      <c r="BX774" s="23">
        <f t="shared" si="5196"/>
        <v>3.9125775902846938</v>
      </c>
      <c r="BY774" s="36">
        <f>BY770</f>
        <v>11423.099999999999</v>
      </c>
      <c r="BZ774" s="23">
        <f t="shared" si="5196"/>
        <v>6.1212166254807299</v>
      </c>
      <c r="CA774" s="36">
        <f>CA770</f>
        <v>13042.499999999996</v>
      </c>
      <c r="CB774" s="23">
        <f t="shared" si="5196"/>
        <v>14.176537017096912</v>
      </c>
      <c r="CC774" s="36">
        <f>CC770</f>
        <v>12010.899999999998</v>
      </c>
      <c r="CD774" s="23">
        <f t="shared" si="5196"/>
        <v>-7.9095265478244077</v>
      </c>
      <c r="CE774" s="36">
        <f>CE770</f>
        <v>11073.5</v>
      </c>
      <c r="CF774" s="23">
        <f t="shared" si="5196"/>
        <v>-7.8045775087628559</v>
      </c>
      <c r="CG774" s="36">
        <f>CG770</f>
        <v>7278</v>
      </c>
      <c r="CH774" s="23">
        <f t="shared" si="5196"/>
        <v>-34.275522644150449</v>
      </c>
      <c r="CI774" s="36">
        <f>CI770</f>
        <v>7006.1174600135255</v>
      </c>
      <c r="CJ774" s="23">
        <f t="shared" si="5196"/>
        <v>-3.7356765593085206</v>
      </c>
      <c r="CK774" s="36">
        <f>CK770</f>
        <v>7213.8837556391663</v>
      </c>
      <c r="CL774" s="23">
        <f t="shared" si="5196"/>
        <v>2.9654983207381136</v>
      </c>
      <c r="CM774" s="36">
        <f>CM770</f>
        <v>7457.7416175488779</v>
      </c>
      <c r="CN774" s="23">
        <f t="shared" si="5196"/>
        <v>3.3803963325453656</v>
      </c>
      <c r="CO774" s="36">
        <f>CO770</f>
        <v>7736.8509632555979</v>
      </c>
      <c r="CP774" s="23">
        <f t="shared" si="5196"/>
        <v>3.7425451298814805</v>
      </c>
      <c r="CQ774" s="36">
        <f>CQ770</f>
        <v>8050.8953214979156</v>
      </c>
      <c r="CR774" s="23">
        <f t="shared" si="5196"/>
        <v>4.0590720919118084</v>
      </c>
      <c r="CS774" s="23"/>
      <c r="CT774" s="28"/>
    </row>
    <row r="775" spans="1:98" ht="12.75" hidden="1" customHeight="1" outlineLevel="1" x14ac:dyDescent="0.2">
      <c r="A775" s="46"/>
      <c r="C775" s="82"/>
      <c r="E775" s="82"/>
      <c r="G775" s="82"/>
      <c r="I775" s="82"/>
      <c r="K775" s="184"/>
      <c r="L775" s="6"/>
      <c r="M775" s="184"/>
      <c r="N775" s="6"/>
      <c r="O775" s="184"/>
      <c r="P775" s="6"/>
      <c r="Q775" s="184"/>
      <c r="R775" s="6"/>
      <c r="S775" s="184"/>
      <c r="T775" s="6"/>
      <c r="U775" s="184"/>
      <c r="V775" s="6"/>
      <c r="W775" s="184"/>
      <c r="X775" s="6"/>
      <c r="Y775" s="184"/>
      <c r="Z775" s="6"/>
      <c r="AA775" s="184"/>
      <c r="AB775" s="6"/>
      <c r="AC775" s="184"/>
      <c r="AD775" s="6"/>
      <c r="AE775" s="184"/>
      <c r="AF775" s="6"/>
      <c r="AG775" s="184"/>
      <c r="AH775" s="6"/>
      <c r="AI775" s="184"/>
      <c r="AJ775" s="6"/>
      <c r="AK775" s="184"/>
      <c r="AL775" s="6"/>
      <c r="AM775" s="184"/>
      <c r="AN775" s="473"/>
      <c r="AO775" s="184"/>
      <c r="AP775" s="473"/>
      <c r="AQ775" s="184"/>
      <c r="AR775" s="473"/>
      <c r="AS775" s="184"/>
      <c r="AT775" s="473"/>
      <c r="AU775" s="184"/>
      <c r="AV775" s="473"/>
      <c r="AW775" s="184"/>
      <c r="AX775" s="473"/>
      <c r="AY775" s="184"/>
      <c r="AZ775" s="473"/>
      <c r="BA775" s="184"/>
      <c r="BB775" s="473"/>
      <c r="BC775" s="184"/>
      <c r="BD775" s="473"/>
      <c r="BE775" s="184"/>
      <c r="BF775" s="6"/>
      <c r="BG775" s="184"/>
      <c r="BH775" s="6"/>
      <c r="BI775" s="184"/>
      <c r="BJ775" s="6"/>
      <c r="BK775" s="184"/>
      <c r="BL775" s="6"/>
      <c r="BM775" s="184"/>
      <c r="BR775" s="6"/>
      <c r="BS775" s="6"/>
      <c r="BT775" s="6"/>
      <c r="BU775" s="6"/>
      <c r="BV775" s="184"/>
      <c r="BW775" s="6"/>
      <c r="BX775" s="184"/>
      <c r="BY775" s="6"/>
      <c r="BZ775" s="184"/>
      <c r="CA775" s="6"/>
      <c r="CB775" s="184"/>
      <c r="CC775" s="6"/>
      <c r="CD775" s="184"/>
      <c r="CE775" s="6"/>
      <c r="CF775" s="184"/>
      <c r="CG775" s="6"/>
      <c r="CH775" s="184"/>
      <c r="CI775" s="6"/>
      <c r="CJ775" s="184"/>
      <c r="CK775" s="6"/>
      <c r="CL775" s="184"/>
      <c r="CM775" s="6"/>
      <c r="CN775" s="184"/>
      <c r="CO775" s="6"/>
      <c r="CP775" s="184"/>
      <c r="CQ775" s="6"/>
      <c r="CR775" s="184"/>
      <c r="CS775" s="184"/>
      <c r="CT775" s="28"/>
    </row>
    <row r="776" spans="1:98" ht="12.75" hidden="1" customHeight="1" outlineLevel="1" x14ac:dyDescent="0.2">
      <c r="A776" s="46" t="s">
        <v>342</v>
      </c>
      <c r="C776" s="82"/>
      <c r="E776" s="82"/>
      <c r="G776" s="82"/>
      <c r="I776" s="82"/>
      <c r="K776" s="184"/>
      <c r="L776" s="6"/>
      <c r="M776" s="184"/>
      <c r="N776" s="6"/>
      <c r="O776" s="184"/>
      <c r="P776" s="6"/>
      <c r="Q776" s="184"/>
      <c r="R776" s="6"/>
      <c r="S776" s="184"/>
      <c r="T776" s="6"/>
      <c r="U776" s="184"/>
      <c r="V776" s="6"/>
      <c r="W776" s="184"/>
      <c r="X776" s="6"/>
      <c r="Y776" s="184"/>
      <c r="Z776" s="6"/>
      <c r="AA776" s="184"/>
      <c r="AB776" s="6"/>
      <c r="AC776" s="184"/>
      <c r="AD776" s="6"/>
      <c r="AE776" s="184"/>
      <c r="AF776" s="6"/>
      <c r="AG776" s="184"/>
      <c r="AH776" s="6"/>
      <c r="AI776" s="184"/>
      <c r="AJ776" s="6"/>
      <c r="AK776" s="184"/>
      <c r="AL776" s="6"/>
      <c r="AM776" s="184"/>
      <c r="AN776" s="473"/>
      <c r="AO776" s="184"/>
      <c r="AP776" s="473"/>
      <c r="AQ776" s="184"/>
      <c r="AR776" s="473"/>
      <c r="AS776" s="184"/>
      <c r="AT776" s="473"/>
      <c r="AU776" s="184"/>
      <c r="AV776" s="473"/>
      <c r="AW776" s="184"/>
      <c r="AX776" s="473"/>
      <c r="AY776" s="184"/>
      <c r="AZ776" s="473"/>
      <c r="BA776" s="184"/>
      <c r="BB776" s="473"/>
      <c r="BC776" s="184"/>
      <c r="BD776" s="473"/>
      <c r="BE776" s="184"/>
      <c r="BF776" s="6"/>
      <c r="BG776" s="184"/>
      <c r="BH776" s="6"/>
      <c r="BI776" s="184"/>
      <c r="BJ776" s="6"/>
      <c r="BK776" s="184"/>
      <c r="BL776" s="6"/>
      <c r="BM776" s="184"/>
      <c r="BR776" s="6"/>
      <c r="BS776" s="6"/>
      <c r="BT776" s="6"/>
      <c r="BU776" s="6"/>
      <c r="BV776" s="184"/>
      <c r="BW776" s="6"/>
      <c r="BX776" s="184"/>
      <c r="BY776" s="6"/>
      <c r="BZ776" s="184"/>
      <c r="CA776" s="6"/>
      <c r="CB776" s="184"/>
      <c r="CC776" s="6"/>
      <c r="CD776" s="184"/>
      <c r="CE776" s="6"/>
      <c r="CF776" s="184"/>
      <c r="CG776" s="6"/>
      <c r="CH776" s="184"/>
      <c r="CI776" s="6"/>
      <c r="CJ776" s="184"/>
      <c r="CK776" s="6"/>
      <c r="CL776" s="184"/>
      <c r="CM776" s="6"/>
      <c r="CN776" s="184"/>
      <c r="CO776" s="6"/>
      <c r="CP776" s="184"/>
      <c r="CQ776" s="6"/>
      <c r="CR776" s="184"/>
      <c r="CS776" s="184"/>
      <c r="CT776" s="28"/>
    </row>
    <row r="777" spans="1:98" ht="12.75" hidden="1" customHeight="1" outlineLevel="1" x14ac:dyDescent="0.2">
      <c r="A777" s="165" t="s">
        <v>338</v>
      </c>
      <c r="B777" s="166">
        <f>B769/B753</f>
        <v>31.095652173913045</v>
      </c>
      <c r="C777" s="82"/>
      <c r="D777" s="166">
        <f>D769/D753</f>
        <v>45.084782608695647</v>
      </c>
      <c r="E777" s="82"/>
      <c r="F777" s="166">
        <f>F769/F753</f>
        <v>53.853913043478265</v>
      </c>
      <c r="G777" s="82"/>
      <c r="H777" s="166">
        <f>H769/H753</f>
        <v>53.712608695652172</v>
      </c>
      <c r="I777" s="82"/>
      <c r="J777" s="166">
        <f>J769/J753</f>
        <v>51.434347826086963</v>
      </c>
      <c r="K777" s="23">
        <f t="shared" ref="K777:Y778" si="5201">IF(ISERROR((J777/B777-1)*100),"NA",IF(((J777/B777-1)*100)&gt;100,"NM",IF(((J777/B777-1)*100)&lt;-50,"NM",(J777/B777-1)*100)))</f>
        <v>65.406879194630889</v>
      </c>
      <c r="L777" s="166">
        <f>L769/L753</f>
        <v>55.833913043478255</v>
      </c>
      <c r="M777" s="23">
        <f t="shared" si="5201"/>
        <v>23.842036742369444</v>
      </c>
      <c r="N777" s="166">
        <f>N769/N753</f>
        <v>60.480434782608697</v>
      </c>
      <c r="O777" s="23">
        <f t="shared" si="5201"/>
        <v>12.304624426790678</v>
      </c>
      <c r="P777" s="166">
        <f>P769/P753</f>
        <v>60.325652173913049</v>
      </c>
      <c r="Q777" s="23">
        <f t="shared" si="5201"/>
        <v>12.311901504787981</v>
      </c>
      <c r="R777" s="166">
        <f>R769/R753</f>
        <v>58.20215237262731</v>
      </c>
      <c r="S777" s="23">
        <f t="shared" si="5201"/>
        <v>13.15814204434762</v>
      </c>
      <c r="T777" s="166">
        <f>T769/T753</f>
        <v>47.820552147239255</v>
      </c>
      <c r="U777" s="23">
        <f t="shared" si="5201"/>
        <v>-14.352139155998145</v>
      </c>
      <c r="V777" s="166">
        <f>V769/V753</f>
        <v>48.964723926380366</v>
      </c>
      <c r="W777" s="23">
        <f t="shared" si="5201"/>
        <v>-19.040390330559763</v>
      </c>
      <c r="X777" s="166">
        <f>X769/X753</f>
        <v>50.715322888803975</v>
      </c>
      <c r="Y777" s="23">
        <f t="shared" si="5201"/>
        <v>-15.930750748294308</v>
      </c>
      <c r="Z777" s="166">
        <f>Z769/Z753</f>
        <v>54.97251668629761</v>
      </c>
      <c r="AA777" s="23">
        <f>IF(ISERROR((Z777/R777-1)*100),"NA",IF(((Z777/R777-1)*100)&gt;100,"NM",IF(((Z777/R777-1)*100)&lt;-50,"NM",(Z777/R777-1)*100)))</f>
        <v>-5.5489969952530638</v>
      </c>
      <c r="AB777" s="166">
        <f>AB769/AB753</f>
        <v>58.393951296150831</v>
      </c>
      <c r="AC777" s="23">
        <f>IF(ISERROR((AB777/T777-1)*100),"NA",IF(((AB777/T777-1)*100)&gt;100,"NM",IF(((AB777/T777-1)*100)&lt;-50,"NM",(AB777/T777-1)*100)))</f>
        <v>22.110575211168904</v>
      </c>
      <c r="AD777" s="166">
        <f>AD769/AD753</f>
        <v>59.411931818181827</v>
      </c>
      <c r="AE777" s="23">
        <f>IF(ISERROR((AD777/V777-1)*100),"NA",IF(((AD777/V777-1)*100)&gt;100,"NM",IF(((AD777/V777-1)*100)&lt;-50,"NM",(AD777/V777-1)*100)))</f>
        <v>21.336192781376838</v>
      </c>
      <c r="AF777" s="166">
        <f>AF769/AF753</f>
        <v>66.747416287722189</v>
      </c>
      <c r="AG777" s="23">
        <f>IF(ISERROR((AF777/X777-1)*100),"NA",IF(((AF777/X777-1)*100)&gt;100,"NM",IF(((AF777/X777-1)*100)&lt;-50,"NM",(AF777/X777-1)*100)))</f>
        <v>31.611932027070843</v>
      </c>
      <c r="AH777" s="166">
        <f>AH769/AH753</f>
        <v>70.499563318777305</v>
      </c>
      <c r="AI777" s="23">
        <f>IF(ISERROR((AH777/Z777-1)*100),"NA",IF(((AH777/Z777-1)*100)&gt;100,"NM",IF(((AH777/Z777-1)*100)&lt;-50,"NM",(AH777/Z777-1)*100)))</f>
        <v>28.24510786196177</v>
      </c>
      <c r="AJ777" s="166">
        <f>AJ769/AJ753</f>
        <v>65.646486964206801</v>
      </c>
      <c r="AK777" s="23">
        <f>IF(ISERROR((AJ777/AB777-1)*100),"NA",IF(((AJ777/AB777-1)*100)&gt;100,"NM",IF(((AJ777/AB777-1)*100)&lt;-50,"NM",(AJ777/AB777-1)*100)))</f>
        <v>12.420011845531743</v>
      </c>
      <c r="AL777" s="166">
        <f>AL769/AL753</f>
        <v>66.354389224338135</v>
      </c>
      <c r="AM777" s="23">
        <f>IF(ISERROR((AL777/AD777-1)*100),"NA",IF(((AL777/AD777-1)*100)&gt;100,"NM",IF(((AL777/AD777-1)*100)&lt;-50,"NM",(AL777/AD777-1)*100)))</f>
        <v>11.685291478826665</v>
      </c>
      <c r="AN777" s="474">
        <f t="shared" ref="AN777:AP777" si="5202">AN769/AN753</f>
        <v>64.255380200860827</v>
      </c>
      <c r="AO777" s="23">
        <f>IF(ISERROR((AN777/AF777-1)*100),"NA",IF(((AN777/AF777-1)*100)&gt;100,"NM",IF(((AN777/AF777-1)*100)&lt;-50,"NM",(AN777/AF777-1)*100)))</f>
        <v>-3.7335319109868759</v>
      </c>
      <c r="AP777" s="474">
        <f t="shared" si="5202"/>
        <v>70.88872549019608</v>
      </c>
      <c r="AQ777" s="23">
        <f t="shared" ref="AQ777:AQ778" si="5203">IF(ISERROR((AP777/AH777-1)*100),"NA",IF(((AP777/AH777-1)*100)&gt;100,"NM",IF(((AP777/AH777-1)*100)&lt;-50,"NM",(AP777/AH777-1)*100)))</f>
        <v>0.55200649918794031</v>
      </c>
      <c r="AR777" s="474">
        <f t="shared" ref="AR777:AT777" si="5204">AR769/AR753</f>
        <v>76.617882117882132</v>
      </c>
      <c r="AS777" s="23">
        <f t="shared" ref="AS777:AS778" si="5205">IF(ISERROR((AR777/AJ777-1)*100),"NA",IF(((AR777/AJ777-1)*100)&gt;100,"NM",IF(((AR777/AJ777-1)*100)&lt;-50,"NM",(AR777/AJ777-1)*100)))</f>
        <v>16.71284429836648</v>
      </c>
      <c r="AT777" s="474">
        <f t="shared" si="5204"/>
        <v>78.139773895169569</v>
      </c>
      <c r="AU777" s="23">
        <f t="shared" ref="AU777:AU778" si="5206">IF(ISERROR((AT777/AL777-1)*100),"NA",IF(((AT777/AL777-1)*100)&gt;100,"NM",IF(((AT777/AL777-1)*100)&lt;-50,"NM",(AT777/AL777-1)*100)))</f>
        <v>17.761273683020605</v>
      </c>
      <c r="AV777" s="474">
        <f t="shared" ref="AV777:AX777" si="5207">AV769/AV753</f>
        <v>66.775436793422401</v>
      </c>
      <c r="AW777" s="23">
        <f t="shared" ref="AW777:AW778" si="5208">IF(ISERROR((AV777/AN777-1)*100),"NA",IF(((AV777/AN777-1)*100)&gt;100,"NM",IF(((AV777/AN777-1)*100)&lt;-50,"NM",(AV777/AN777-1)*100)))</f>
        <v>3.9219386527383993</v>
      </c>
      <c r="AX777" s="474">
        <f t="shared" si="5207"/>
        <v>67.880463401790408</v>
      </c>
      <c r="AY777" s="23">
        <f t="shared" ref="AY777:AY778" si="5209">IF(ISERROR((AX777/AP777-1)*100),"NA",IF(((AX777/AP777-1)*100)&gt;100,"NM",IF(((AX777/AP777-1)*100)&lt;-50,"NM",(AX777/AP777-1)*100)))</f>
        <v>-4.2436396868521964</v>
      </c>
      <c r="AZ777" s="474">
        <f t="shared" ref="AZ777" si="5210">AZ769/AZ753</f>
        <v>74.304396215915418</v>
      </c>
      <c r="BA777" s="23">
        <f t="shared" ref="BA777:BA778" si="5211">IF(ISERROR((AZ777/AR777-1)*100),"NA",IF(((AZ777/AR777-1)*100)&gt;100,"NM",IF(((AZ777/AR777-1)*100)&lt;-50,"NM",(AZ777/AR777-1)*100)))</f>
        <v>-3.0195116831958968</v>
      </c>
      <c r="BB777" s="474">
        <f t="shared" ref="BB777:BD777" si="5212">BB769/BB753</f>
        <v>75.974401780745708</v>
      </c>
      <c r="BC777" s="23">
        <f t="shared" ref="BC777:BC778" si="5213">IF(ISERROR((BB777/AT777-1)*100),"NA",IF(((BB777/AT777-1)*100)&gt;100,"NM",IF(((BB777/AT777-1)*100)&lt;-50,"NM",(BB777/AT777-1)*100)))</f>
        <v>-2.771152265335286</v>
      </c>
      <c r="BD777" s="474">
        <f t="shared" si="5212"/>
        <v>58.191860465116278</v>
      </c>
      <c r="BE777" s="23">
        <f t="shared" ref="BE777:BE778" si="5214">IF(ISERROR((BD777/AV777-1)*100),"NA",IF(((BD777/AV777-1)*100)&gt;100,"NM",IF(((BD777/AV777-1)*100)&lt;-50,"NM",(BD777/AV777-1)*100)))</f>
        <v>-12.854391884938799</v>
      </c>
      <c r="BF777" s="166">
        <f t="shared" ref="BF777" si="5215">BF769/BF753</f>
        <v>59.729103835100979</v>
      </c>
      <c r="BG777" s="23">
        <f t="shared" ref="BG777:BG778" si="5216">IF(ISERROR((BF777/AX777-1)*100),"NA",IF(((BF777/AX777-1)*100)&gt;100,"NM",IF(((BF777/AX777-1)*100)&lt;-50,"NM",(BF777/AX777-1)*100)))</f>
        <v>-12.008402945691188</v>
      </c>
      <c r="BH777" s="166">
        <f t="shared" ref="BH777" si="5217">BH769/BH753</f>
        <v>58.239333478103795</v>
      </c>
      <c r="BI777" s="23">
        <f t="shared" ref="BI777:BI778" si="5218">IF(ISERROR((BH777/AZ777-1)*100),"NA",IF(((BH777/AZ777-1)*100)&gt;100,"NM",IF(((BH777/AZ777-1)*100)&lt;-50,"NM",(BH777/AZ777-1)*100)))</f>
        <v>-21.620608679908248</v>
      </c>
      <c r="BJ777" s="166">
        <f t="shared" ref="BJ777" si="5219">BJ769/BJ753</f>
        <v>59.574596334336675</v>
      </c>
      <c r="BK777" s="23">
        <f t="shared" ref="BK777:BK778" si="5220">IF(ISERROR((BJ777/BB777-1)*100),"NA",IF(((BJ777/BB777-1)*100)&gt;100,"NM",IF(((BJ777/BB777-1)*100)&lt;-50,"NM",(BJ777/BB777-1)*100)))</f>
        <v>-21.585961931937526</v>
      </c>
      <c r="BL777" s="166">
        <f t="shared" ref="BL777" si="5221">BL769/BL753</f>
        <v>61.014922070610311</v>
      </c>
      <c r="BM777" s="23">
        <f t="shared" ref="BM777:BM778" si="5222">IF(ISERROR((BL777/BD777-1)*100),"NA",IF(((BL777/BD777-1)*100)&gt;100,"NM",IF(((BL777/BD777-1)*100)&lt;-50,"NM",(BL777/BD777-1)*100)))</f>
        <v>4.8512997916372536</v>
      </c>
      <c r="BR777" s="6"/>
      <c r="BS777" s="6"/>
      <c r="BT777" s="6"/>
      <c r="BU777" s="166">
        <f>BU769/BU753</f>
        <v>53.712608695652172</v>
      </c>
      <c r="BV777" s="23" t="str">
        <f t="shared" ref="BV777:CR778" si="5223">IF(ISERROR((BU777/BS777-1)*100),"NA",IF(((BU777/BS777-1)*100)&gt;100,"NM",IF(((BU777/BS777-1)*100)&lt;-50,"NM",(BU777/BS777-1)*100)))</f>
        <v>NA</v>
      </c>
      <c r="BW777" s="166">
        <f>BW769/BW753</f>
        <v>60.325652173913049</v>
      </c>
      <c r="BX777" s="23">
        <f t="shared" si="5223"/>
        <v>12.311901504787981</v>
      </c>
      <c r="BY777" s="166">
        <f>BY769/BY753</f>
        <v>50.715322888803975</v>
      </c>
      <c r="BZ777" s="23">
        <f t="shared" si="5223"/>
        <v>-15.930750748294308</v>
      </c>
      <c r="CA777" s="166">
        <f>CA769/CA753</f>
        <v>66.747416287722189</v>
      </c>
      <c r="CB777" s="23">
        <f t="shared" si="5223"/>
        <v>31.611932027070843</v>
      </c>
      <c r="CC777" s="166">
        <f>CC769/CC753</f>
        <v>64.255380200860827</v>
      </c>
      <c r="CD777" s="23">
        <f t="shared" si="5223"/>
        <v>-3.7335319109868759</v>
      </c>
      <c r="CE777" s="166">
        <f>CE769/CE753</f>
        <v>66.775436793422401</v>
      </c>
      <c r="CF777" s="23">
        <f t="shared" si="5223"/>
        <v>3.9219386527383993</v>
      </c>
      <c r="CG777" s="166">
        <f>CG769/CG753</f>
        <v>58.191860465116278</v>
      </c>
      <c r="CH777" s="23">
        <f t="shared" si="5223"/>
        <v>-12.854391884938799</v>
      </c>
      <c r="CI777" s="166">
        <f>CI769/CI753</f>
        <v>61.014922070610311</v>
      </c>
      <c r="CJ777" s="23">
        <f t="shared" si="5223"/>
        <v>4.8512997916372536</v>
      </c>
      <c r="CK777" s="166">
        <f>CK769/CK753</f>
        <v>66.98230827481845</v>
      </c>
      <c r="CL777" s="23">
        <f t="shared" si="5223"/>
        <v>9.7802078601400222</v>
      </c>
      <c r="CM777" s="166">
        <f>CM769/CM753</f>
        <v>73.744815710712786</v>
      </c>
      <c r="CN777" s="23">
        <f t="shared" si="5223"/>
        <v>10.095960575363838</v>
      </c>
      <c r="CO777" s="166">
        <f>CO769/CO753</f>
        <v>81.394018684011968</v>
      </c>
      <c r="CP777" s="23">
        <f t="shared" si="5223"/>
        <v>10.372529783389229</v>
      </c>
      <c r="CQ777" s="166">
        <f>CQ769/CQ753</f>
        <v>90.033906946700711</v>
      </c>
      <c r="CR777" s="23">
        <f t="shared" si="5223"/>
        <v>10.61489333292478</v>
      </c>
      <c r="CS777" s="23"/>
      <c r="CT777" s="28"/>
    </row>
    <row r="778" spans="1:98" ht="12.75" hidden="1" customHeight="1" outlineLevel="1" x14ac:dyDescent="0.2">
      <c r="A778" s="165" t="s">
        <v>339</v>
      </c>
      <c r="B778" s="166">
        <f>B770/B753</f>
        <v>26.528695652173916</v>
      </c>
      <c r="C778" s="82"/>
      <c r="D778" s="166">
        <f>D770/D753</f>
        <v>39.678695652173907</v>
      </c>
      <c r="E778" s="82"/>
      <c r="F778" s="166">
        <f>F770/F753</f>
        <v>43.917826086956531</v>
      </c>
      <c r="G778" s="82"/>
      <c r="H778" s="166">
        <f>H770/H753</f>
        <v>42.43</v>
      </c>
      <c r="I778" s="82"/>
      <c r="J778" s="166">
        <f>J770/J753</f>
        <v>40.186521739130441</v>
      </c>
      <c r="K778" s="23">
        <f t="shared" si="5201"/>
        <v>51.483217516716941</v>
      </c>
      <c r="L778" s="166">
        <f>L770/L753</f>
        <v>42.696956521739125</v>
      </c>
      <c r="M778" s="23">
        <f t="shared" si="5201"/>
        <v>7.606754254281678</v>
      </c>
      <c r="N778" s="166">
        <f>N770/N753</f>
        <v>44.38695652173913</v>
      </c>
      <c r="O778" s="23">
        <f t="shared" si="5201"/>
        <v>1.0682004930155919</v>
      </c>
      <c r="P778" s="166">
        <f>P770/P753</f>
        <v>44.192173913043483</v>
      </c>
      <c r="Q778" s="23">
        <f t="shared" si="5201"/>
        <v>4.1531320128293192</v>
      </c>
      <c r="R778" s="166">
        <f>R770/R753</f>
        <v>43.195140871540204</v>
      </c>
      <c r="S778" s="23">
        <f t="shared" si="5201"/>
        <v>7.486637315715261</v>
      </c>
      <c r="T778" s="166">
        <f>T770/T753</f>
        <v>39.815184049079747</v>
      </c>
      <c r="U778" s="23">
        <f t="shared" si="5201"/>
        <v>-6.749362735473019</v>
      </c>
      <c r="V778" s="166">
        <f>V770/V753</f>
        <v>41.487730061349694</v>
      </c>
      <c r="W778" s="23">
        <f t="shared" si="5201"/>
        <v>-6.5317081583854408</v>
      </c>
      <c r="X778" s="166">
        <f>X770/X753</f>
        <v>43.649598777225826</v>
      </c>
      <c r="Y778" s="23">
        <f t="shared" si="5201"/>
        <v>-1.2277629448265603</v>
      </c>
      <c r="Z778" s="166">
        <f>Z770/Z753</f>
        <v>44.852767962308597</v>
      </c>
      <c r="AA778" s="23">
        <f>IF(ISERROR((Z778/R778-1)*100),"NA",IF(((Z778/R778-1)*100)&gt;100,"NM",IF(((Z778/R778-1)*100)&lt;-50,"NM",(Z778/R778-1)*100)))</f>
        <v>3.8375313920102183</v>
      </c>
      <c r="AB778" s="166">
        <f>AB770/AB753</f>
        <v>46.010997643362145</v>
      </c>
      <c r="AC778" s="23">
        <f>IF(ISERROR((AB778/T778-1)*100),"NA",IF(((AB778/T778-1)*100)&gt;100,"NM",IF(((AB778/T778-1)*100)&lt;-50,"NM",(AB778/T778-1)*100)))</f>
        <v>15.561434016341313</v>
      </c>
      <c r="AD778" s="166">
        <f>AD770/AD753</f>
        <v>47.966314935064943</v>
      </c>
      <c r="AE778" s="23">
        <f>IF(ISERROR((AD778/V778-1)*100),"NA",IF(((AD778/V778-1)*100)&gt;100,"NM",IF(((AD778/V778-1)*100)&lt;-50,"NM",(AD778/V778-1)*100)))</f>
        <v>15.615664834241571</v>
      </c>
      <c r="AF778" s="166">
        <f>AF770/AF753</f>
        <v>53.916907813145912</v>
      </c>
      <c r="AG778" s="23">
        <f>IF(ISERROR((AF778/X778-1)*100),"NA",IF(((AF778/X778-1)*100)&gt;100,"NM",IF(((AF778/X778-1)*100)&lt;-50,"NM",(AF778/X778-1)*100)))</f>
        <v>23.522115491419026</v>
      </c>
      <c r="AH778" s="166">
        <f>AH770/AH753</f>
        <v>55.079475982532756</v>
      </c>
      <c r="AI778" s="23">
        <f>IF(ISERROR((AH778/Z778-1)*100),"NA",IF(((AH778/Z778-1)*100)&gt;100,"NM",IF(((AH778/Z778-1)*100)&lt;-50,"NM",(AH778/Z778-1)*100)))</f>
        <v>22.800617408535473</v>
      </c>
      <c r="AJ778" s="166">
        <f>AJ770/AJ753</f>
        <v>56.326115775519213</v>
      </c>
      <c r="AK778" s="23">
        <f>IF(ISERROR((AJ778/AB778-1)*100),"NA",IF(((AJ778/AB778-1)*100)&gt;100,"NM",IF(((AJ778/AB778-1)*100)&lt;-50,"NM",(AJ778/AB778-1)*100)))</f>
        <v>22.418809981281072</v>
      </c>
      <c r="AL778" s="166">
        <f>AL770/AL753</f>
        <v>56.852763585694383</v>
      </c>
      <c r="AM778" s="23">
        <f>IF(ISERROR((AL778/AD778-1)*100),"NA",IF(((AL778/AD778-1)*100)&gt;100,"NM",IF(((AL778/AD778-1)*100)&lt;-50,"NM",(AL778/AD778-1)*100)))</f>
        <v>18.526436026323047</v>
      </c>
      <c r="AN778" s="474">
        <f t="shared" ref="AN778:AP778" si="5224">AN770/AN753</f>
        <v>57.440937350549966</v>
      </c>
      <c r="AO778" s="23">
        <f>IF(ISERROR((AN778/AF778-1)*100),"NA",IF(((AN778/AF778-1)*100)&gt;100,"NM",IF(((AN778/AF778-1)*100)&lt;-50,"NM",(AN778/AF778-1)*100)))</f>
        <v>6.5360379152619608</v>
      </c>
      <c r="AP778" s="474">
        <f t="shared" si="5224"/>
        <v>58.750490196078424</v>
      </c>
      <c r="AQ778" s="23">
        <f t="shared" si="5203"/>
        <v>6.6649403395011353</v>
      </c>
      <c r="AR778" s="474">
        <f t="shared" ref="AR778:AT778" si="5225">AR770/AR753</f>
        <v>59.436563436563446</v>
      </c>
      <c r="AS778" s="23">
        <f t="shared" si="5205"/>
        <v>5.5222122424357201</v>
      </c>
      <c r="AT778" s="474">
        <f t="shared" si="5225"/>
        <v>60.066289825282624</v>
      </c>
      <c r="AU778" s="23">
        <f t="shared" si="5206"/>
        <v>5.6523659307158969</v>
      </c>
      <c r="AV778" s="474">
        <f t="shared" ref="AV778:AX778" si="5226">AV770/AV753</f>
        <v>56.903905447070919</v>
      </c>
      <c r="AW778" s="23">
        <f t="shared" si="5208"/>
        <v>-0.9349288647600873</v>
      </c>
      <c r="AX778" s="474">
        <f t="shared" si="5226"/>
        <v>56.758820431806214</v>
      </c>
      <c r="AY778" s="23">
        <f t="shared" si="5209"/>
        <v>-3.3900479087494495</v>
      </c>
      <c r="AZ778" s="474">
        <f t="shared" ref="AZ778" si="5227">AZ770/AZ753</f>
        <v>59.802448525319981</v>
      </c>
      <c r="BA778" s="23">
        <f t="shared" si="5211"/>
        <v>0.6155892393527207</v>
      </c>
      <c r="BB778" s="474">
        <f t="shared" ref="BB778:BD778" si="5228">BB770/BB753</f>
        <v>60.776850306065683</v>
      </c>
      <c r="BC778" s="23">
        <f t="shared" si="5213"/>
        <v>1.1829604972271479</v>
      </c>
      <c r="BD778" s="474">
        <f t="shared" si="5228"/>
        <v>42.313953488372093</v>
      </c>
      <c r="BE778" s="23">
        <f t="shared" si="5214"/>
        <v>-25.639632014835346</v>
      </c>
      <c r="BF778" s="166">
        <f t="shared" ref="BF778" si="5229">BF770/BF753</f>
        <v>43.201901140390518</v>
      </c>
      <c r="BG778" s="23">
        <f t="shared" si="5216"/>
        <v>-23.885132193160828</v>
      </c>
      <c r="BH778" s="166">
        <f t="shared" ref="BH778" si="5230">BH770/BH753</f>
        <v>44.340705095161027</v>
      </c>
      <c r="BI778" s="23">
        <f t="shared" si="5218"/>
        <v>-25.85469961754584</v>
      </c>
      <c r="BJ778" s="166">
        <f t="shared" ref="BJ778" si="5231">BJ770/BJ753</f>
        <v>45.265104831942651</v>
      </c>
      <c r="BK778" s="23">
        <f t="shared" si="5220"/>
        <v>-25.522456981576948</v>
      </c>
      <c r="BL778" s="166">
        <f t="shared" ref="BL778" si="5232">BL770/BL753</f>
        <v>46.27825863325566</v>
      </c>
      <c r="BM778" s="23">
        <f t="shared" si="5222"/>
        <v>9.3687892954104726</v>
      </c>
      <c r="BR778" s="6"/>
      <c r="BS778" s="6"/>
      <c r="BT778" s="6"/>
      <c r="BU778" s="166">
        <f>BU770/BU753</f>
        <v>42.43</v>
      </c>
      <c r="BV778" s="23" t="str">
        <f t="shared" si="5223"/>
        <v>NA</v>
      </c>
      <c r="BW778" s="166">
        <f>BW770/BW753</f>
        <v>44.192173913043483</v>
      </c>
      <c r="BX778" s="23">
        <f t="shared" si="5223"/>
        <v>4.1531320128293192</v>
      </c>
      <c r="BY778" s="166">
        <f>BY770/BY753</f>
        <v>43.649598777225826</v>
      </c>
      <c r="BZ778" s="23">
        <f t="shared" si="5223"/>
        <v>-1.2277629448265603</v>
      </c>
      <c r="CA778" s="166">
        <f>CA770/CA753</f>
        <v>53.916907813145912</v>
      </c>
      <c r="CB778" s="23">
        <f t="shared" si="5223"/>
        <v>23.522115491419026</v>
      </c>
      <c r="CC778" s="166">
        <f>CC770/CC753</f>
        <v>57.440937350549966</v>
      </c>
      <c r="CD778" s="23">
        <f t="shared" si="5223"/>
        <v>6.5360379152619608</v>
      </c>
      <c r="CE778" s="166">
        <f>CE770/CE753</f>
        <v>56.903905447070919</v>
      </c>
      <c r="CF778" s="23">
        <f t="shared" si="5223"/>
        <v>-0.9349288647600873</v>
      </c>
      <c r="CG778" s="166">
        <f>CG770/CG753</f>
        <v>42.313953488372093</v>
      </c>
      <c r="CH778" s="23">
        <f t="shared" si="5223"/>
        <v>-25.639632014835346</v>
      </c>
      <c r="CI778" s="166">
        <f>CI770/CI753</f>
        <v>46.27825863325566</v>
      </c>
      <c r="CJ778" s="23">
        <f t="shared" si="5223"/>
        <v>9.3687892954104726</v>
      </c>
      <c r="CK778" s="166">
        <f>CK770/CK753</f>
        <v>51.160246973969009</v>
      </c>
      <c r="CL778" s="23">
        <f t="shared" si="5223"/>
        <v>10.549204928824052</v>
      </c>
      <c r="CM778" s="166">
        <f>CM770/CM753</f>
        <v>56.763798944551688</v>
      </c>
      <c r="CN778" s="23">
        <f t="shared" si="5223"/>
        <v>10.952941594347344</v>
      </c>
      <c r="CO778" s="166">
        <f>CO770/CO753</f>
        <v>63.176445372229466</v>
      </c>
      <c r="CP778" s="23">
        <f t="shared" si="5223"/>
        <v>11.297070574754553</v>
      </c>
      <c r="CQ778" s="166">
        <f>CQ770/CQ753</f>
        <v>70.498049002484038</v>
      </c>
      <c r="CR778" s="23">
        <f t="shared" si="5223"/>
        <v>11.589135139079755</v>
      </c>
      <c r="CS778" s="23"/>
      <c r="CT778" s="28"/>
    </row>
    <row r="779" spans="1:98" ht="12.75" hidden="1" customHeight="1" outlineLevel="1" x14ac:dyDescent="0.2">
      <c r="A779" s="46"/>
      <c r="C779" s="82"/>
      <c r="E779" s="82"/>
      <c r="G779" s="82"/>
      <c r="I779" s="82"/>
      <c r="K779" s="184"/>
      <c r="L779" s="6"/>
      <c r="M779" s="184"/>
      <c r="N779" s="6"/>
      <c r="O779" s="184"/>
      <c r="P779" s="6"/>
      <c r="Q779" s="184"/>
      <c r="R779" s="6"/>
      <c r="S779" s="184"/>
      <c r="T779" s="6"/>
      <c r="U779" s="184"/>
      <c r="V779" s="6"/>
      <c r="W779" s="184"/>
      <c r="X779" s="6"/>
      <c r="Y779" s="184"/>
      <c r="Z779" s="6"/>
      <c r="AA779" s="184"/>
      <c r="AB779" s="6"/>
      <c r="AC779" s="184"/>
      <c r="AD779" s="6"/>
      <c r="AE779" s="184"/>
      <c r="AF779" s="6"/>
      <c r="AG779" s="184"/>
      <c r="AH779" s="6"/>
      <c r="AI779" s="184"/>
      <c r="AJ779" s="6"/>
      <c r="AK779" s="184"/>
      <c r="AL779" s="6"/>
      <c r="AM779" s="184"/>
      <c r="AN779" s="473"/>
      <c r="AO779" s="184"/>
      <c r="AP779" s="473"/>
      <c r="AQ779" s="184"/>
      <c r="AR779" s="473"/>
      <c r="AS779" s="184"/>
      <c r="AT779" s="473"/>
      <c r="AU779" s="184"/>
      <c r="AV779" s="473"/>
      <c r="AW779" s="184"/>
      <c r="AX779" s="473"/>
      <c r="AY779" s="184"/>
      <c r="AZ779" s="473"/>
      <c r="BA779" s="184"/>
      <c r="BB779" s="473"/>
      <c r="BC779" s="184"/>
      <c r="BD779" s="473"/>
      <c r="BE779" s="184"/>
      <c r="BF779" s="6"/>
      <c r="BG779" s="184"/>
      <c r="BH779" s="6"/>
      <c r="BI779" s="184"/>
      <c r="BJ779" s="6"/>
      <c r="BK779" s="184"/>
      <c r="BL779" s="6"/>
      <c r="BM779" s="184"/>
      <c r="BR779" s="6"/>
      <c r="BS779" s="6"/>
      <c r="BT779" s="6"/>
      <c r="BU779" s="6"/>
      <c r="BV779" s="184"/>
      <c r="BW779" s="6"/>
      <c r="BX779" s="184"/>
      <c r="BY779" s="6"/>
      <c r="BZ779" s="184"/>
      <c r="CA779" s="6"/>
      <c r="CB779" s="184"/>
      <c r="CC779" s="6"/>
      <c r="CD779" s="184"/>
      <c r="CE779" s="6"/>
      <c r="CF779" s="184"/>
      <c r="CG779" s="6"/>
      <c r="CH779" s="184"/>
      <c r="CI779" s="6"/>
      <c r="CJ779" s="184"/>
      <c r="CK779" s="6"/>
      <c r="CL779" s="184"/>
      <c r="CM779" s="6"/>
      <c r="CN779" s="184"/>
      <c r="CO779" s="6"/>
      <c r="CP779" s="184"/>
      <c r="CQ779" s="6"/>
      <c r="CR779" s="184"/>
      <c r="CS779" s="184"/>
      <c r="CT779" s="28"/>
    </row>
    <row r="780" spans="1:98" ht="12.75" hidden="1" customHeight="1" outlineLevel="1" x14ac:dyDescent="0.2">
      <c r="A780" s="46" t="s">
        <v>340</v>
      </c>
      <c r="C780" s="82"/>
      <c r="E780" s="82"/>
      <c r="G780" s="82"/>
      <c r="I780" s="82"/>
      <c r="K780" s="184"/>
      <c r="L780" s="6"/>
      <c r="M780" s="184"/>
      <c r="N780" s="6"/>
      <c r="O780" s="184"/>
      <c r="P780" s="6"/>
      <c r="Q780" s="184"/>
      <c r="R780" s="6"/>
      <c r="S780" s="184"/>
      <c r="T780" s="6"/>
      <c r="U780" s="184"/>
      <c r="V780" s="6"/>
      <c r="W780" s="184"/>
      <c r="X780" s="6"/>
      <c r="Y780" s="184"/>
      <c r="Z780" s="6"/>
      <c r="AA780" s="184"/>
      <c r="AB780" s="6"/>
      <c r="AC780" s="184"/>
      <c r="AD780" s="6"/>
      <c r="AE780" s="184"/>
      <c r="AF780" s="6"/>
      <c r="AG780" s="184"/>
      <c r="AH780" s="6"/>
      <c r="AI780" s="184"/>
      <c r="AJ780" s="6"/>
      <c r="AK780" s="184"/>
      <c r="AL780" s="6"/>
      <c r="AM780" s="184"/>
      <c r="AN780" s="473"/>
      <c r="AO780" s="184"/>
      <c r="AP780" s="473"/>
      <c r="AQ780" s="184"/>
      <c r="AR780" s="473"/>
      <c r="AS780" s="184"/>
      <c r="AT780" s="473"/>
      <c r="AU780" s="184"/>
      <c r="AV780" s="473"/>
      <c r="AW780" s="184"/>
      <c r="AX780" s="473"/>
      <c r="AY780" s="184"/>
      <c r="AZ780" s="473"/>
      <c r="BA780" s="184"/>
      <c r="BB780" s="473"/>
      <c r="BC780" s="184"/>
      <c r="BD780" s="473"/>
      <c r="BE780" s="184"/>
      <c r="BF780" s="6"/>
      <c r="BG780" s="184"/>
      <c r="BH780" s="6"/>
      <c r="BI780" s="184"/>
      <c r="BJ780" s="6"/>
      <c r="BK780" s="184"/>
      <c r="BL780" s="6"/>
      <c r="BM780" s="184"/>
      <c r="BR780" s="6"/>
      <c r="BS780" s="6"/>
      <c r="BT780" s="6"/>
      <c r="BU780" s="6"/>
      <c r="BV780" s="184"/>
      <c r="BW780" s="6"/>
      <c r="BX780" s="184"/>
      <c r="BY780" s="6"/>
      <c r="BZ780" s="184"/>
      <c r="CA780" s="6"/>
      <c r="CB780" s="184"/>
      <c r="CC780" s="6"/>
      <c r="CD780" s="184"/>
      <c r="CE780" s="6"/>
      <c r="CF780" s="184"/>
      <c r="CG780" s="6"/>
      <c r="CH780" s="184"/>
      <c r="CI780" s="6"/>
      <c r="CJ780" s="184"/>
      <c r="CK780" s="6"/>
      <c r="CL780" s="184"/>
      <c r="CM780" s="6"/>
      <c r="CN780" s="184"/>
      <c r="CO780" s="6"/>
      <c r="CP780" s="184"/>
      <c r="CQ780" s="6"/>
      <c r="CR780" s="184"/>
      <c r="CS780" s="184"/>
      <c r="CT780" s="28"/>
    </row>
    <row r="781" spans="1:98" ht="12.75" hidden="1" customHeight="1" outlineLevel="1" x14ac:dyDescent="0.2">
      <c r="A781" s="165" t="s">
        <v>338</v>
      </c>
      <c r="B781" s="166">
        <f>B773/$T753</f>
        <v>29.723926380368098</v>
      </c>
      <c r="C781" s="82"/>
      <c r="D781" s="166">
        <f>D773/$T753</f>
        <v>42.060966257668703</v>
      </c>
      <c r="E781" s="82"/>
      <c r="F781" s="166">
        <f>F773/$T753</f>
        <v>49.794478527607367</v>
      </c>
      <c r="G781" s="82"/>
      <c r="H781" s="166">
        <f>H773/$T753</f>
        <v>49.669861963190179</v>
      </c>
      <c r="I781" s="82"/>
      <c r="J781" s="166">
        <f>J773/$T753</f>
        <v>47.660659509202461</v>
      </c>
      <c r="K781" s="23">
        <f t="shared" ref="K781:Y782" si="5233">IF(ISERROR((J781/B781-1)*100),"NA",IF(((J781/B781-1)*100)&gt;100,"NM",IF(((J781/B781-1)*100)&lt;-50,"NM",(J781/B781-1)*100)))</f>
        <v>60.344427244582064</v>
      </c>
      <c r="L781" s="166">
        <f>L773/$T753</f>
        <v>51.540644171779135</v>
      </c>
      <c r="M781" s="23">
        <f t="shared" si="5233"/>
        <v>22.53794612334201</v>
      </c>
      <c r="N781" s="166">
        <f>N773/$T753</f>
        <v>55.63842024539877</v>
      </c>
      <c r="O781" s="23">
        <f t="shared" si="5233"/>
        <v>11.736123945050192</v>
      </c>
      <c r="P781" s="166">
        <f>P773/$T753</f>
        <v>55.501917177914116</v>
      </c>
      <c r="Q781" s="23">
        <f t="shared" si="5233"/>
        <v>11.741637653525206</v>
      </c>
      <c r="R781" s="166">
        <f>R773/$T753</f>
        <v>53.646855828220865</v>
      </c>
      <c r="S781" s="23">
        <f t="shared" si="5233"/>
        <v>12.5600366857336</v>
      </c>
      <c r="T781" s="166">
        <f>T773/$T753</f>
        <v>47.820552147239255</v>
      </c>
      <c r="U781" s="23">
        <f t="shared" si="5233"/>
        <v>-7.2177833325893896</v>
      </c>
      <c r="V781" s="166">
        <f>V773/$T753</f>
        <v>48.964723926380366</v>
      </c>
      <c r="W781" s="23">
        <f t="shared" si="5233"/>
        <v>-11.994762413424764</v>
      </c>
      <c r="X781" s="166">
        <f>X773/$T753</f>
        <v>50.890337423312879</v>
      </c>
      <c r="Y781" s="23">
        <f t="shared" si="5233"/>
        <v>-8.3088656916455506</v>
      </c>
      <c r="Z781" s="166">
        <f>Z773/$T753</f>
        <v>53.686733128834355</v>
      </c>
      <c r="AA781" s="23">
        <f>IF(ISERROR((Z781/R781-1)*100),"NA",IF(((Z781/R781-1)*100)&gt;100,"NM",IF(((Z781/R781-1)*100)&lt;-50,"NM",(Z781/R781-1)*100)))</f>
        <v>7.4332968815871148E-2</v>
      </c>
      <c r="AB781" s="166">
        <f>AB773/$T753</f>
        <v>57.005751533742334</v>
      </c>
      <c r="AC781" s="23">
        <f>IF(ISERROR((AB781/T781-1)*100),"NA",IF(((AB781/T781-1)*100)&gt;100,"NM",IF(((AB781/T781-1)*100)&lt;-50,"NM",(AB781/T781-1)*100)))</f>
        <v>19.207639757529126</v>
      </c>
      <c r="AD781" s="166">
        <f>AD773/$T753</f>
        <v>56.131518404907979</v>
      </c>
      <c r="AE781" s="23">
        <f>IF(ISERROR((AD781/V781-1)*100),"NA",IF(((AD781/V781-1)*100)&gt;100,"NM",IF(((AD781/V781-1)*100)&lt;-50,"NM",(AD781/V781-1)*100)))</f>
        <v>14.636648394675023</v>
      </c>
      <c r="AF781" s="166">
        <f>AF773/$T753</f>
        <v>61.91027607361962</v>
      </c>
      <c r="AG781" s="23">
        <f>IF(ISERROR((AF781/X781-1)*100),"NA",IF(((AF781/X781-1)*100)&gt;100,"NM",IF(((AF781/X781-1)*100)&lt;-50,"NM",(AF781/X781-1)*100)))</f>
        <v>21.654284896249298</v>
      </c>
      <c r="AH781" s="166">
        <f>AH773/$T753</f>
        <v>61.903374233128837</v>
      </c>
      <c r="AI781" s="23">
        <f>IF(ISERROR((AH781/Z781-1)*100),"NA",IF(((AH781/Z781-1)*100)&gt;100,"NM",IF(((AH781/Z781-1)*100)&lt;-50,"NM",(AH781/Z781-1)*100)))</f>
        <v>15.304788772631506</v>
      </c>
      <c r="AJ781" s="166">
        <f>AJ773/$T753</f>
        <v>56.962423312883431</v>
      </c>
      <c r="AK781" s="23">
        <f>IF(ISERROR((AJ781/AB781-1)*100),"NA",IF(((AJ781/AB781-1)*100)&gt;100,"NM",IF(((AJ781/AB781-1)*100)&lt;-50,"NM",(AJ781/AB781-1)*100)))</f>
        <v>-7.6006753166402152E-2</v>
      </c>
      <c r="AL781" s="166">
        <f>AL773/$T753</f>
        <v>54.777990797546018</v>
      </c>
      <c r="AM781" s="23">
        <f>IF(ISERROR((AL781/AD781-1)*100),"NA",IF(((AL781/AD781-1)*100)&gt;100,"NM",IF(((AL781/AD781-1)*100)&lt;-50,"NM",(AL781/AD781-1)*100)))</f>
        <v>-2.4113504245479533</v>
      </c>
      <c r="AN781" s="474">
        <f t="shared" ref="AN781:AP781" si="5234">AN773/$T753</f>
        <v>51.517638036809807</v>
      </c>
      <c r="AO781" s="23">
        <f>IF(ISERROR((AN781/AF781-1)*100),"NA",IF(((AN781/AF781-1)*100)&gt;100,"NM",IF(((AN781/AF781-1)*100)&lt;-50,"NM",(AN781/AF781-1)*100)))</f>
        <v>-16.786612329836125</v>
      </c>
      <c r="AP781" s="474">
        <f t="shared" si="5234"/>
        <v>55.449769938650299</v>
      </c>
      <c r="AQ781" s="23">
        <f t="shared" ref="AQ781:AQ782" si="5235">IF(ISERROR((AP781/AH781-1)*100),"NA",IF(((AP781/AH781-1)*100)&gt;100,"NM",IF(((AP781/AH781-1)*100)&lt;-50,"NM",(AP781/AH781-1)*100)))</f>
        <v>-10.425286786749599</v>
      </c>
      <c r="AR781" s="450">
        <f t="shared" ref="AR781:AT782" si="5236">AR777</f>
        <v>76.617882117882132</v>
      </c>
      <c r="AS781" s="23">
        <f t="shared" ref="AS781:AS782" si="5237">IF(ISERROR((AR781/AJ781-1)*100),"NA",IF(((AR781/AJ781-1)*100)&gt;100,"NM",IF(((AR781/AJ781-1)*100)&lt;-50,"NM",(AR781/AJ781-1)*100)))</f>
        <v>34.506008806955265</v>
      </c>
      <c r="AT781" s="450">
        <f t="shared" si="5236"/>
        <v>78.139773895169569</v>
      </c>
      <c r="AU781" s="23">
        <f t="shared" ref="AU781:AU782" si="5238">IF(ISERROR((AT781/AL781-1)*100),"NA",IF(((AT781/AL781-1)*100)&gt;100,"NM",IF(((AT781/AL781-1)*100)&lt;-50,"NM",(AT781/AL781-1)*100)))</f>
        <v>42.648119723789016</v>
      </c>
      <c r="AV781" s="450">
        <f t="shared" ref="AV781:AX782" si="5239">AV777</f>
        <v>66.775436793422401</v>
      </c>
      <c r="AW781" s="23">
        <f t="shared" ref="AW781:AW782" si="5240">IF(ISERROR((AV781/AN781-1)*100),"NA",IF(((AV781/AN781-1)*100)&gt;100,"NM",IF(((AV781/AN781-1)*100)&lt;-50,"NM",(AV781/AN781-1)*100)))</f>
        <v>29.616650409536938</v>
      </c>
      <c r="AX781" s="450">
        <f t="shared" si="5239"/>
        <v>67.880463401790408</v>
      </c>
      <c r="AY781" s="23">
        <f t="shared" ref="AY781:AY782" si="5241">IF(ISERROR((AX781/AP781-1)*100),"NA",IF(((AX781/AP781-1)*100)&gt;100,"NM",IF(((AX781/AP781-1)*100)&lt;-50,"NM",(AX781/AP781-1)*100)))</f>
        <v>22.41793514543604</v>
      </c>
      <c r="AZ781" s="450">
        <f t="shared" ref="AZ781:AZ782" si="5242">AZ777</f>
        <v>74.304396215915418</v>
      </c>
      <c r="BA781" s="23">
        <f t="shared" ref="BA781:BA782" si="5243">IF(ISERROR((AZ781/AR781-1)*100),"NA",IF(((AZ781/AR781-1)*100)&gt;100,"NM",IF(((AZ781/AR781-1)*100)&lt;-50,"NM",(AZ781/AR781-1)*100)))</f>
        <v>-3.0195116831958968</v>
      </c>
      <c r="BB781" s="450">
        <f t="shared" ref="BB781:BD782" si="5244">BB777</f>
        <v>75.974401780745708</v>
      </c>
      <c r="BC781" s="23">
        <f t="shared" ref="BC781:BC782" si="5245">IF(ISERROR((BB781/AT781-1)*100),"NA",IF(((BB781/AT781-1)*100)&gt;100,"NM",IF(((BB781/AT781-1)*100)&lt;-50,"NM",(BB781/AT781-1)*100)))</f>
        <v>-2.771152265335286</v>
      </c>
      <c r="BD781" s="450">
        <f t="shared" si="5244"/>
        <v>58.191860465116278</v>
      </c>
      <c r="BE781" s="23">
        <f t="shared" ref="BE781:BE782" si="5246">IF(ISERROR((BD781/AV781-1)*100),"NA",IF(((BD781/AV781-1)*100)&gt;100,"NM",IF(((BD781/AV781-1)*100)&lt;-50,"NM",(BD781/AV781-1)*100)))</f>
        <v>-12.854391884938799</v>
      </c>
      <c r="BF781" s="43">
        <f t="shared" ref="BF781" si="5247">BF777</f>
        <v>59.729103835100979</v>
      </c>
      <c r="BG781" s="23">
        <f t="shared" ref="BG781:BG782" si="5248">IF(ISERROR((BF781/AX781-1)*100),"NA",IF(((BF781/AX781-1)*100)&gt;100,"NM",IF(((BF781/AX781-1)*100)&lt;-50,"NM",(BF781/AX781-1)*100)))</f>
        <v>-12.008402945691188</v>
      </c>
      <c r="BH781" s="43">
        <f t="shared" ref="BH781" si="5249">BH777</f>
        <v>58.239333478103795</v>
      </c>
      <c r="BI781" s="23">
        <f t="shared" ref="BI781:BI782" si="5250">IF(ISERROR((BH781/AZ781-1)*100),"NA",IF(((BH781/AZ781-1)*100)&gt;100,"NM",IF(((BH781/AZ781-1)*100)&lt;-50,"NM",(BH781/AZ781-1)*100)))</f>
        <v>-21.620608679908248</v>
      </c>
      <c r="BJ781" s="43">
        <f t="shared" ref="BJ781" si="5251">BJ777</f>
        <v>59.574596334336675</v>
      </c>
      <c r="BK781" s="23">
        <f t="shared" ref="BK781:BK782" si="5252">IF(ISERROR((BJ781/BB781-1)*100),"NA",IF(((BJ781/BB781-1)*100)&gt;100,"NM",IF(((BJ781/BB781-1)*100)&lt;-50,"NM",(BJ781/BB781-1)*100)))</f>
        <v>-21.585961931937526</v>
      </c>
      <c r="BL781" s="43">
        <f t="shared" ref="BL781" si="5253">BL777</f>
        <v>61.014922070610311</v>
      </c>
      <c r="BM781" s="23">
        <f t="shared" ref="BM781:BM782" si="5254">IF(ISERROR((BL781/BD781-1)*100),"NA",IF(((BL781/BD781-1)*100)&gt;100,"NM",IF(((BL781/BD781-1)*100)&lt;-50,"NM",(BL781/BD781-1)*100)))</f>
        <v>4.8512997916372536</v>
      </c>
      <c r="BR781" s="6"/>
      <c r="BS781" s="6"/>
      <c r="BT781" s="6"/>
      <c r="BU781" s="166">
        <f>BU773/$T753</f>
        <v>49.669861963190179</v>
      </c>
      <c r="BV781" s="23" t="str">
        <f t="shared" ref="BV781:CR782" si="5255">IF(ISERROR((BU781/BS781-1)*100),"NA",IF(((BU781/BS781-1)*100)&gt;100,"NM",IF(((BU781/BS781-1)*100)&lt;-50,"NM",(BU781/BS781-1)*100)))</f>
        <v>NA</v>
      </c>
      <c r="BW781" s="166">
        <f>BW773/$T753</f>
        <v>55.501917177914116</v>
      </c>
      <c r="BX781" s="23">
        <f t="shared" si="5255"/>
        <v>11.741637653525206</v>
      </c>
      <c r="BY781" s="43">
        <f>BY777</f>
        <v>50.715322888803975</v>
      </c>
      <c r="BZ781" s="23">
        <f t="shared" si="5255"/>
        <v>-8.6241963025646129</v>
      </c>
      <c r="CA781" s="43">
        <f>CA777</f>
        <v>66.747416287722189</v>
      </c>
      <c r="CB781" s="23">
        <f t="shared" si="5255"/>
        <v>31.611932027070843</v>
      </c>
      <c r="CC781" s="43">
        <f>CC777</f>
        <v>64.255380200860827</v>
      </c>
      <c r="CD781" s="23">
        <f t="shared" si="5255"/>
        <v>-3.7335319109868759</v>
      </c>
      <c r="CE781" s="43">
        <f>CE777</f>
        <v>66.775436793422401</v>
      </c>
      <c r="CF781" s="23">
        <f t="shared" si="5255"/>
        <v>3.9219386527383993</v>
      </c>
      <c r="CG781" s="43">
        <f>CG777</f>
        <v>58.191860465116278</v>
      </c>
      <c r="CH781" s="23">
        <f t="shared" si="5255"/>
        <v>-12.854391884938799</v>
      </c>
      <c r="CI781" s="43">
        <f>CI777</f>
        <v>61.014922070610311</v>
      </c>
      <c r="CJ781" s="23">
        <f t="shared" si="5255"/>
        <v>4.8512997916372536</v>
      </c>
      <c r="CK781" s="43">
        <f>CK777</f>
        <v>66.98230827481845</v>
      </c>
      <c r="CL781" s="23">
        <f t="shared" si="5255"/>
        <v>9.7802078601400222</v>
      </c>
      <c r="CM781" s="43">
        <f>CM777</f>
        <v>73.744815710712786</v>
      </c>
      <c r="CN781" s="23">
        <f t="shared" si="5255"/>
        <v>10.095960575363838</v>
      </c>
      <c r="CO781" s="43">
        <f>CO777</f>
        <v>81.394018684011968</v>
      </c>
      <c r="CP781" s="23">
        <f t="shared" si="5255"/>
        <v>10.372529783389229</v>
      </c>
      <c r="CQ781" s="43">
        <f>CQ777</f>
        <v>90.033906946700711</v>
      </c>
      <c r="CR781" s="23">
        <f t="shared" si="5255"/>
        <v>10.61489333292478</v>
      </c>
      <c r="CS781" s="23"/>
      <c r="CT781" s="28"/>
    </row>
    <row r="782" spans="1:98" ht="12.75" hidden="1" customHeight="1" outlineLevel="1" x14ac:dyDescent="0.2">
      <c r="A782" s="165" t="s">
        <v>339</v>
      </c>
      <c r="B782" s="166">
        <f>B774/$T753</f>
        <v>25.696319018404907</v>
      </c>
      <c r="C782" s="82"/>
      <c r="D782" s="166">
        <f>D774/$T753</f>
        <v>37.293328220858889</v>
      </c>
      <c r="E782" s="82"/>
      <c r="F782" s="166">
        <f>F774/$T753</f>
        <v>41.031825153374243</v>
      </c>
      <c r="G782" s="82"/>
      <c r="H782" s="166">
        <f>H774/$T753</f>
        <v>39.719708588957054</v>
      </c>
      <c r="I782" s="82"/>
      <c r="J782" s="166">
        <f>J774/$T753</f>
        <v>37.741180981595093</v>
      </c>
      <c r="K782" s="23">
        <f t="shared" si="5233"/>
        <v>46.873880864271221</v>
      </c>
      <c r="L782" s="166">
        <f>L774/$T753</f>
        <v>39.955138036809814</v>
      </c>
      <c r="M782" s="23">
        <f t="shared" si="5233"/>
        <v>7.1374960158748335</v>
      </c>
      <c r="N782" s="166">
        <f>N774/$T753</f>
        <v>41.445552147239262</v>
      </c>
      <c r="O782" s="23">
        <f t="shared" si="5233"/>
        <v>1.0083075571669875</v>
      </c>
      <c r="P782" s="166">
        <f>P774/$T753</f>
        <v>41.273773006134974</v>
      </c>
      <c r="Q782" s="23">
        <f t="shared" si="5233"/>
        <v>3.9125775902846938</v>
      </c>
      <c r="R782" s="166">
        <f>R774/$T753</f>
        <v>40.407592024539888</v>
      </c>
      <c r="S782" s="23">
        <f t="shared" si="5233"/>
        <v>7.0649910087474455</v>
      </c>
      <c r="T782" s="166">
        <f>T774/$T753</f>
        <v>39.815184049079747</v>
      </c>
      <c r="U782" s="23">
        <f t="shared" si="5233"/>
        <v>-0.35027782309531297</v>
      </c>
      <c r="V782" s="166">
        <f>V774/$T753</f>
        <v>41.487730061349694</v>
      </c>
      <c r="W782" s="23">
        <f t="shared" si="5233"/>
        <v>0.10176704598021669</v>
      </c>
      <c r="X782" s="166">
        <f>X774/$T753</f>
        <v>43.800230061349687</v>
      </c>
      <c r="Y782" s="23">
        <f t="shared" si="5233"/>
        <v>6.1212166254807299</v>
      </c>
      <c r="Z782" s="166">
        <f>Z774/$T753</f>
        <v>43.803680981595093</v>
      </c>
      <c r="AA782" s="23">
        <f>IF(ISERROR((Z782/R782-1)*100),"NA",IF(((Z782/R782-1)*100)&gt;100,"NM",IF(((Z782/R782-1)*100)&lt;-50,"NM",(Z782/R782-1)*100)))</f>
        <v>8.4045813840941896</v>
      </c>
      <c r="AB782" s="166">
        <f>AB774/$T753</f>
        <v>44.917177914110432</v>
      </c>
      <c r="AC782" s="23">
        <f>IF(ISERROR((AB782/T782-1)*100),"NA",IF(((AB782/T782-1)*100)&gt;100,"NM",IF(((AB782/T782-1)*100)&lt;-50,"NM",(AB782/T782-1)*100)))</f>
        <v>12.814191336504965</v>
      </c>
      <c r="AD782" s="166">
        <f>AD774/$T753</f>
        <v>45.317868098159515</v>
      </c>
      <c r="AE782" s="23">
        <f>IF(ISERROR((AD782/V782-1)*100),"NA",IF(((AD782/V782-1)*100)&gt;100,"NM",IF(((AD782/V782-1)*100)&lt;-50,"NM",(AD782/V782-1)*100)))</f>
        <v>9.2319778188539878</v>
      </c>
      <c r="AF782" s="166">
        <f>AF774/$T753</f>
        <v>50.009585889570538</v>
      </c>
      <c r="AG782" s="23">
        <f>IF(ISERROR((AF782/X782-1)*100),"NA",IF(((AF782/X782-1)*100)&gt;100,"NM",IF(((AF782/X782-1)*100)&lt;-50,"NM",(AF782/X782-1)*100)))</f>
        <v>14.176537017096912</v>
      </c>
      <c r="AH782" s="166">
        <f>AH774/$T753</f>
        <v>48.363496932515339</v>
      </c>
      <c r="AI782" s="23">
        <f>IF(ISERROR((AH782/Z782-1)*100),"NA",IF(((AH782/Z782-1)*100)&gt;100,"NM",IF(((AH782/Z782-1)*100)&lt;-50,"NM",(AH782/Z782-1)*100)))</f>
        <v>10.409663865546225</v>
      </c>
      <c r="AJ782" s="166">
        <f>AJ774/$T753</f>
        <v>48.874999999999993</v>
      </c>
      <c r="AK782" s="23">
        <f>IF(ISERROR((AJ782/AB782-1)*100),"NA",IF(((AJ782/AB782-1)*100)&gt;100,"NM",IF(((AJ782/AB782-1)*100)&lt;-50,"NM",(AJ782/AB782-1)*100)))</f>
        <v>8.8113774499760655</v>
      </c>
      <c r="AL782" s="166">
        <f>AL774/$T753</f>
        <v>46.934049079754608</v>
      </c>
      <c r="AM782" s="23">
        <f>IF(ISERROR((AL782/AD782-1)*100),"NA",IF(((AL782/AD782-1)*100)&gt;100,"NM",IF(((AL782/AD782-1)*100)&lt;-50,"NM",(AL782/AD782-1)*100)))</f>
        <v>3.5663217389097168</v>
      </c>
      <c r="AN782" s="474">
        <f t="shared" ref="AN782:AP782" si="5256">AN774/$T753</f>
        <v>46.054064417177905</v>
      </c>
      <c r="AO782" s="23">
        <f>IF(ISERROR((AN782/AF782-1)*100),"NA",IF(((AN782/AF782-1)*100)&gt;100,"NM",IF(((AN782/AF782-1)*100)&lt;-50,"NM",(AN782/AF782-1)*100)))</f>
        <v>-7.9095265478244077</v>
      </c>
      <c r="AP782" s="474">
        <f t="shared" si="5256"/>
        <v>45.955138036809807</v>
      </c>
      <c r="AQ782" s="23">
        <f t="shared" si="5235"/>
        <v>-4.9797038023657976</v>
      </c>
      <c r="AR782" s="450">
        <f t="shared" si="5236"/>
        <v>59.436563436563446</v>
      </c>
      <c r="AS782" s="23">
        <f t="shared" si="5237"/>
        <v>21.609336954605538</v>
      </c>
      <c r="AT782" s="450">
        <f t="shared" si="5236"/>
        <v>60.066289825282624</v>
      </c>
      <c r="AU782" s="23">
        <f t="shared" si="5238"/>
        <v>27.980199882632164</v>
      </c>
      <c r="AV782" s="450">
        <f t="shared" si="5239"/>
        <v>56.903905447070919</v>
      </c>
      <c r="AW782" s="23">
        <f t="shared" si="5240"/>
        <v>23.558921817649782</v>
      </c>
      <c r="AX782" s="450">
        <f t="shared" si="5239"/>
        <v>56.758820431806214</v>
      </c>
      <c r="AY782" s="23">
        <f t="shared" si="5241"/>
        <v>23.509193653912462</v>
      </c>
      <c r="AZ782" s="450">
        <f t="shared" si="5242"/>
        <v>59.802448525319981</v>
      </c>
      <c r="BA782" s="23">
        <f t="shared" si="5243"/>
        <v>0.6155892393527207</v>
      </c>
      <c r="BB782" s="450">
        <f t="shared" si="5244"/>
        <v>60.776850306065683</v>
      </c>
      <c r="BC782" s="23">
        <f t="shared" si="5245"/>
        <v>1.1829604972271479</v>
      </c>
      <c r="BD782" s="450">
        <f t="shared" si="5244"/>
        <v>42.313953488372093</v>
      </c>
      <c r="BE782" s="23">
        <f t="shared" si="5246"/>
        <v>-25.639632014835346</v>
      </c>
      <c r="BF782" s="43">
        <f t="shared" ref="BF782" si="5257">BF778</f>
        <v>43.201901140390518</v>
      </c>
      <c r="BG782" s="23">
        <f t="shared" si="5248"/>
        <v>-23.885132193160828</v>
      </c>
      <c r="BH782" s="43">
        <f t="shared" ref="BH782" si="5258">BH778</f>
        <v>44.340705095161027</v>
      </c>
      <c r="BI782" s="23">
        <f t="shared" si="5250"/>
        <v>-25.85469961754584</v>
      </c>
      <c r="BJ782" s="43">
        <f t="shared" ref="BJ782" si="5259">BJ778</f>
        <v>45.265104831942651</v>
      </c>
      <c r="BK782" s="23">
        <f t="shared" si="5252"/>
        <v>-25.522456981576948</v>
      </c>
      <c r="BL782" s="43">
        <f t="shared" ref="BL782" si="5260">BL778</f>
        <v>46.27825863325566</v>
      </c>
      <c r="BM782" s="23">
        <f t="shared" si="5254"/>
        <v>9.3687892954104726</v>
      </c>
      <c r="BR782" s="6"/>
      <c r="BS782" s="6"/>
      <c r="BT782" s="6"/>
      <c r="BU782" s="166">
        <f>BU774/$T753</f>
        <v>39.719708588957054</v>
      </c>
      <c r="BV782" s="23" t="str">
        <f t="shared" si="5255"/>
        <v>NA</v>
      </c>
      <c r="BW782" s="166">
        <f>BW774/$T753</f>
        <v>41.273773006134974</v>
      </c>
      <c r="BX782" s="23">
        <f t="shared" si="5255"/>
        <v>3.9125775902846938</v>
      </c>
      <c r="BY782" s="43">
        <f>BY778</f>
        <v>43.649598777225826</v>
      </c>
      <c r="BZ782" s="23">
        <f t="shared" si="5255"/>
        <v>5.7562602060579948</v>
      </c>
      <c r="CA782" s="43">
        <f>CA778</f>
        <v>53.916907813145912</v>
      </c>
      <c r="CB782" s="23">
        <f t="shared" si="5255"/>
        <v>23.522115491419026</v>
      </c>
      <c r="CC782" s="43">
        <f>CC778</f>
        <v>57.440937350549966</v>
      </c>
      <c r="CD782" s="23">
        <f t="shared" si="5255"/>
        <v>6.5360379152619608</v>
      </c>
      <c r="CE782" s="43">
        <f>CE778</f>
        <v>56.903905447070919</v>
      </c>
      <c r="CF782" s="23">
        <f t="shared" si="5255"/>
        <v>-0.9349288647600873</v>
      </c>
      <c r="CG782" s="43">
        <f>CG778</f>
        <v>42.313953488372093</v>
      </c>
      <c r="CH782" s="23">
        <f t="shared" si="5255"/>
        <v>-25.639632014835346</v>
      </c>
      <c r="CI782" s="43">
        <f>CI778</f>
        <v>46.27825863325566</v>
      </c>
      <c r="CJ782" s="23">
        <f t="shared" si="5255"/>
        <v>9.3687892954104726</v>
      </c>
      <c r="CK782" s="43">
        <f>CK778</f>
        <v>51.160246973969009</v>
      </c>
      <c r="CL782" s="23">
        <f t="shared" si="5255"/>
        <v>10.549204928824052</v>
      </c>
      <c r="CM782" s="43">
        <f>CM778</f>
        <v>56.763798944551688</v>
      </c>
      <c r="CN782" s="23">
        <f t="shared" si="5255"/>
        <v>10.952941594347344</v>
      </c>
      <c r="CO782" s="43">
        <f>CO778</f>
        <v>63.176445372229466</v>
      </c>
      <c r="CP782" s="23">
        <f t="shared" si="5255"/>
        <v>11.297070574754553</v>
      </c>
      <c r="CQ782" s="43">
        <f>CQ778</f>
        <v>70.498049002484038</v>
      </c>
      <c r="CR782" s="23">
        <f t="shared" si="5255"/>
        <v>11.589135139079755</v>
      </c>
      <c r="CS782" s="23"/>
      <c r="CT782" s="28"/>
    </row>
    <row r="783" spans="1:98" ht="12.75" hidden="1" customHeight="1" outlineLevel="1" x14ac:dyDescent="0.2">
      <c r="A783" s="46"/>
      <c r="C783" s="82"/>
      <c r="D783" s="166"/>
      <c r="E783" s="82"/>
      <c r="G783" s="82"/>
      <c r="I783" s="82"/>
      <c r="K783" s="184"/>
      <c r="L783" s="6"/>
      <c r="M783" s="184"/>
      <c r="N783" s="6"/>
      <c r="O783" s="184"/>
      <c r="P783" s="6"/>
      <c r="Q783" s="184"/>
      <c r="R783" s="6"/>
      <c r="S783" s="184"/>
      <c r="T783" s="6"/>
      <c r="U783" s="184"/>
      <c r="V783" s="6"/>
      <c r="W783" s="184"/>
      <c r="X783" s="6"/>
      <c r="Y783" s="184"/>
      <c r="Z783" s="6"/>
      <c r="AA783" s="184"/>
      <c r="AB783" s="6"/>
      <c r="AC783" s="184"/>
      <c r="AD783" s="6"/>
      <c r="AE783" s="184"/>
      <c r="AF783" s="6"/>
      <c r="AG783" s="184"/>
      <c r="AH783" s="6"/>
      <c r="AI783" s="184"/>
      <c r="AJ783" s="6"/>
      <c r="AK783" s="184"/>
      <c r="AL783" s="6"/>
      <c r="AM783" s="184"/>
      <c r="AN783" s="473"/>
      <c r="AO783" s="184"/>
      <c r="AP783" s="473"/>
      <c r="AQ783" s="184"/>
      <c r="AR783" s="450"/>
      <c r="AS783" s="184"/>
      <c r="AT783" s="450"/>
      <c r="AU783" s="184"/>
      <c r="AV783" s="450"/>
      <c r="AW783" s="184"/>
      <c r="AX783" s="450"/>
      <c r="AY783" s="184"/>
      <c r="AZ783" s="450"/>
      <c r="BA783" s="184"/>
      <c r="BB783" s="450"/>
      <c r="BC783" s="184"/>
      <c r="BD783" s="450"/>
      <c r="BE783" s="184"/>
      <c r="BF783" s="43"/>
      <c r="BG783" s="184"/>
      <c r="BH783" s="43"/>
      <c r="BI783" s="184"/>
      <c r="BJ783" s="43"/>
      <c r="BK783" s="184"/>
      <c r="BL783" s="43"/>
      <c r="BM783" s="184"/>
      <c r="BR783" s="6"/>
      <c r="BS783" s="6"/>
      <c r="BT783" s="6"/>
      <c r="BU783" s="6"/>
      <c r="BV783" s="184"/>
      <c r="BW783" s="6"/>
      <c r="BX783" s="184"/>
      <c r="BY783" s="6"/>
      <c r="BZ783" s="184"/>
      <c r="CA783" s="6"/>
      <c r="CB783" s="184"/>
      <c r="CC783" s="6"/>
      <c r="CD783" s="184"/>
      <c r="CE783" s="6"/>
      <c r="CF783" s="184"/>
      <c r="CG783" s="6"/>
      <c r="CH783" s="184"/>
      <c r="CI783" s="6"/>
      <c r="CJ783" s="184"/>
      <c r="CK783" s="6"/>
      <c r="CL783" s="184"/>
      <c r="CM783" s="6"/>
      <c r="CN783" s="184"/>
      <c r="CO783" s="6"/>
      <c r="CP783" s="184"/>
      <c r="CQ783" s="6"/>
      <c r="CR783" s="184"/>
      <c r="CS783" s="184"/>
      <c r="CT783" s="28"/>
    </row>
    <row r="784" spans="1:98" ht="12.75" hidden="1" customHeight="1" outlineLevel="1" x14ac:dyDescent="0.2">
      <c r="A784" s="46" t="s">
        <v>75</v>
      </c>
      <c r="C784" s="82"/>
      <c r="E784" s="82"/>
      <c r="G784" s="82"/>
      <c r="I784" s="82"/>
      <c r="K784" s="184"/>
      <c r="L784" s="6"/>
      <c r="M784" s="184"/>
      <c r="N784" s="6"/>
      <c r="O784" s="184"/>
      <c r="P784" s="6"/>
      <c r="Q784" s="184"/>
      <c r="R784" s="6"/>
      <c r="S784" s="184"/>
      <c r="T784" s="6"/>
      <c r="U784" s="184"/>
      <c r="V784" s="6"/>
      <c r="W784" s="184"/>
      <c r="X784" s="6"/>
      <c r="Y784" s="184"/>
      <c r="Z784" s="6"/>
      <c r="AA784" s="184"/>
      <c r="AB784" s="6"/>
      <c r="AC784" s="184"/>
      <c r="AD784" s="6"/>
      <c r="AE784" s="184"/>
      <c r="AF784" s="6"/>
      <c r="AG784" s="184"/>
      <c r="AH784" s="6"/>
      <c r="AI784" s="184"/>
      <c r="AJ784" s="6"/>
      <c r="AK784" s="184"/>
      <c r="AL784" s="6"/>
      <c r="AM784" s="184"/>
      <c r="AN784" s="473"/>
      <c r="AO784" s="184"/>
      <c r="AP784" s="473"/>
      <c r="AQ784" s="184"/>
      <c r="AR784" s="473"/>
      <c r="AS784" s="184"/>
      <c r="AT784" s="473"/>
      <c r="AU784" s="184"/>
      <c r="AV784" s="473"/>
      <c r="AW784" s="184"/>
      <c r="AX784" s="473"/>
      <c r="AY784" s="184"/>
      <c r="AZ784" s="473"/>
      <c r="BA784" s="184"/>
      <c r="BB784" s="473"/>
      <c r="BC784" s="184"/>
      <c r="BD784" s="473"/>
      <c r="BE784" s="184"/>
      <c r="BF784" s="6"/>
      <c r="BG784" s="184"/>
      <c r="BH784" s="6"/>
      <c r="BI784" s="184"/>
      <c r="BJ784" s="6"/>
      <c r="BK784" s="184"/>
      <c r="BL784" s="6"/>
      <c r="BM784" s="184"/>
      <c r="BR784" s="6"/>
      <c r="BS784" s="6"/>
      <c r="BT784" s="6"/>
      <c r="BU784" s="6"/>
      <c r="BV784" s="184"/>
      <c r="BW784" s="6"/>
      <c r="BX784" s="184"/>
      <c r="BY784" s="6"/>
      <c r="BZ784" s="184"/>
      <c r="CA784" s="6"/>
      <c r="CB784" s="184"/>
      <c r="CC784" s="6"/>
      <c r="CD784" s="184"/>
      <c r="CE784" s="6"/>
      <c r="CF784" s="184"/>
      <c r="CG784" s="6"/>
      <c r="CH784" s="184"/>
      <c r="CI784" s="6"/>
      <c r="CJ784" s="184"/>
      <c r="CK784" s="6"/>
      <c r="CL784" s="184"/>
      <c r="CM784" s="6"/>
      <c r="CN784" s="184"/>
      <c r="CO784" s="6"/>
      <c r="CP784" s="184"/>
      <c r="CQ784" s="6"/>
      <c r="CR784" s="184"/>
      <c r="CS784" s="184"/>
      <c r="CT784" s="28"/>
    </row>
    <row r="785" spans="1:105" ht="12.75" hidden="1" customHeight="1" outlineLevel="1" x14ac:dyDescent="0.2">
      <c r="A785" s="165" t="s">
        <v>343</v>
      </c>
      <c r="B785" s="36">
        <f>B870</f>
        <v>7685.2</v>
      </c>
      <c r="C785" s="82"/>
      <c r="D785" s="36">
        <f>D870</f>
        <v>5050.3</v>
      </c>
      <c r="E785" s="82"/>
      <c r="F785" s="36">
        <f>F870</f>
        <v>5134.3</v>
      </c>
      <c r="G785" s="82"/>
      <c r="H785" s="36">
        <f>H870</f>
        <v>4041.3</v>
      </c>
      <c r="I785" s="82"/>
      <c r="J785" s="36">
        <f>J870</f>
        <v>4043.2</v>
      </c>
      <c r="K785" s="23">
        <f t="shared" ref="K785:Y788" si="5261">IF(ISERROR((J785/B785-1)*100),"NA",IF(((J785/B785-1)*100)&gt;100,"NM",IF(((J785/B785-1)*100)&lt;-50,"NM",(J785/B785-1)*100)))</f>
        <v>-47.389788164263777</v>
      </c>
      <c r="L785" s="36">
        <f>L870</f>
        <v>3933.8</v>
      </c>
      <c r="M785" s="23">
        <f t="shared" si="5261"/>
        <v>-22.10759756846128</v>
      </c>
      <c r="N785" s="36">
        <f>N870</f>
        <v>3893.2</v>
      </c>
      <c r="O785" s="23">
        <f t="shared" si="5261"/>
        <v>-24.172720721422593</v>
      </c>
      <c r="P785" s="36">
        <f>P870</f>
        <v>3808.3</v>
      </c>
      <c r="Q785" s="23">
        <f t="shared" si="5261"/>
        <v>-5.7654715066933875</v>
      </c>
      <c r="R785" s="36">
        <f>R870</f>
        <v>3707.3</v>
      </c>
      <c r="S785" s="23">
        <f t="shared" si="5261"/>
        <v>-8.3077760189948506</v>
      </c>
      <c r="T785" s="36">
        <f>T870</f>
        <v>3683.3</v>
      </c>
      <c r="U785" s="23">
        <f t="shared" si="5261"/>
        <v>-6.367888555595103</v>
      </c>
      <c r="V785" s="36">
        <f>V870</f>
        <v>3514.5</v>
      </c>
      <c r="W785" s="23">
        <f t="shared" si="5261"/>
        <v>-9.7272166855029258</v>
      </c>
      <c r="X785" s="36">
        <f>X870</f>
        <v>3514.7</v>
      </c>
      <c r="Y785" s="23">
        <f t="shared" si="5261"/>
        <v>-7.7094766693800443</v>
      </c>
      <c r="Z785" s="36">
        <f>Z870</f>
        <v>3515</v>
      </c>
      <c r="AA785" s="23">
        <f>IF(ISERROR((Z785/R785-1)*100),"NA",IF(((Z785/R785-1)*100)&gt;100,"NM",IF(((Z785/R785-1)*100)&lt;-50,"NM",(Z785/R785-1)*100)))</f>
        <v>-5.1870633614760076</v>
      </c>
      <c r="AB785" s="36">
        <f>AB870</f>
        <v>3515.2</v>
      </c>
      <c r="AC785" s="23">
        <f>IF(ISERROR((AB785/T785-1)*100),"NA",IF(((AB785/T785-1)*100)&gt;100,"NM",IF(((AB785/T785-1)*100)&lt;-50,"NM",(AB785/T785-1)*100)))</f>
        <v>-4.5638422067168172</v>
      </c>
      <c r="AD785" s="36">
        <f>AD870</f>
        <v>3515.5</v>
      </c>
      <c r="AE785" s="23">
        <f>IF(ISERROR((AD785/V785-1)*100),"NA",IF(((AD785/V785-1)*100)&gt;100,"NM",IF(((AD785/V785-1)*100)&lt;-50,"NM",(AD785/V785-1)*100)))</f>
        <v>2.8453549580320647E-2</v>
      </c>
      <c r="AF785" s="36">
        <f>AF870</f>
        <v>3515.7</v>
      </c>
      <c r="AG785" s="23">
        <f>IF(ISERROR((AF785/X785-1)*100),"NA",IF(((AF785/X785-1)*100)&gt;100,"NM",IF(((AF785/X785-1)*100)&lt;-50,"NM",(AF785/X785-1)*100)))</f>
        <v>2.8451930463480046E-2</v>
      </c>
      <c r="AH785" s="36">
        <f>AH870</f>
        <v>3516</v>
      </c>
      <c r="AI785" s="23">
        <f>IF(ISERROR((AH785/Z785-1)*100),"NA",IF(((AH785/Z785-1)*100)&gt;100,"NM",IF(((AH785/Z785-1)*100)&lt;-50,"NM",(AH785/Z785-1)*100)))</f>
        <v>2.844950213372055E-2</v>
      </c>
      <c r="AJ785" s="36">
        <f>AJ870</f>
        <v>3486</v>
      </c>
      <c r="AK785" s="23">
        <f>IF(ISERROR((AJ785/AB785-1)*100),"NA",IF(((AJ785/AB785-1)*100)&gt;100,"NM",IF(((AJ785/AB785-1)*100)&lt;-50,"NM",(AJ785/AB785-1)*100)))</f>
        <v>-0.8306781975421007</v>
      </c>
      <c r="AL785" s="36">
        <f>AL870</f>
        <v>3485.6</v>
      </c>
      <c r="AM785" s="23">
        <f>IF(ISERROR((AL785/AD785-1)*100),"NA",IF(((AL785/AD785-1)*100)&gt;100,"NM",IF(((AL785/AD785-1)*100)&lt;-50,"NM",(AL785/AD785-1)*100)))</f>
        <v>-0.85051912956904951</v>
      </c>
      <c r="AN785" s="410">
        <f t="shared" ref="AN785:AP785" si="5262">AN870</f>
        <v>3485.9</v>
      </c>
      <c r="AO785" s="23">
        <f>IF(ISERROR((AN785/AF785-1)*100),"NA",IF(((AN785/AF785-1)*100)&gt;100,"NM",IF(((AN785/AF785-1)*100)&lt;-50,"NM",(AN785/AF785-1)*100)))</f>
        <v>-0.84762636174872119</v>
      </c>
      <c r="AP785" s="410">
        <f t="shared" si="5262"/>
        <v>3455.9</v>
      </c>
      <c r="AQ785" s="23">
        <f t="shared" ref="AQ785:AQ788" si="5263">IF(ISERROR((AP785/AH785-1)*100),"NA",IF(((AP785/AH785-1)*100)&gt;100,"NM",IF(((AP785/AH785-1)*100)&lt;-50,"NM",(AP785/AH785-1)*100)))</f>
        <v>-1.7093287827076198</v>
      </c>
      <c r="AR785" s="410">
        <f t="shared" ref="AR785:AT785" si="5264">AR870</f>
        <v>3547.5</v>
      </c>
      <c r="AS785" s="23">
        <f t="shared" ref="AS785:AS788" si="5265">IF(ISERROR((AR785/AJ785-1)*100),"NA",IF(((AR785/AJ785-1)*100)&gt;100,"NM",IF(((AR785/AJ785-1)*100)&lt;-50,"NM",(AR785/AJ785-1)*100)))</f>
        <v>1.7641996557659301</v>
      </c>
      <c r="AT785" s="410">
        <f t="shared" si="5264"/>
        <v>3548.5</v>
      </c>
      <c r="AU785" s="23">
        <f t="shared" ref="AU785:AU788" si="5266">IF(ISERROR((AT785/AL785-1)*100),"NA",IF(((AT785/AL785-1)*100)&gt;100,"NM",IF(((AT785/AL785-1)*100)&lt;-50,"NM",(AT785/AL785-1)*100)))</f>
        <v>1.8045673628643621</v>
      </c>
      <c r="AV785" s="410">
        <f t="shared" ref="AV785:AX785" si="5267">AV870</f>
        <v>3549.5</v>
      </c>
      <c r="AW785" s="23">
        <f t="shared" ref="AW785:AW788" si="5268">IF(ISERROR((AV785/AN785-1)*100),"NA",IF(((AV785/AN785-1)*100)&gt;100,"NM",IF(((AV785/AN785-1)*100)&lt;-50,"NM",(AV785/AN785-1)*100)))</f>
        <v>1.8244929573424384</v>
      </c>
      <c r="AX785" s="410">
        <f t="shared" si="5267"/>
        <v>2725.7</v>
      </c>
      <c r="AY785" s="23">
        <f t="shared" ref="AY785:AY788" si="5269">IF(ISERROR((AX785/AP785-1)*100),"NA",IF(((AX785/AP785-1)*100)&gt;100,"NM",IF(((AX785/AP785-1)*100)&lt;-50,"NM",(AX785/AP785-1)*100)))</f>
        <v>-21.129083596168876</v>
      </c>
      <c r="AZ785" s="410">
        <f t="shared" ref="AZ785" si="5270">AZ870</f>
        <v>2726.2</v>
      </c>
      <c r="BA785" s="23">
        <f t="shared" ref="BA785:BA788" si="5271">IF(ISERROR((AZ785/AR785-1)*100),"NA",IF(((AZ785/AR785-1)*100)&gt;100,"NM",IF(((AZ785/AR785-1)*100)&lt;-50,"NM",(AZ785/AR785-1)*100)))</f>
        <v>-23.151515151515156</v>
      </c>
      <c r="BB785" s="410">
        <f t="shared" ref="BB785:BD785" si="5272">BB870</f>
        <v>3122.2</v>
      </c>
      <c r="BC785" s="23">
        <f t="shared" ref="BC785:BC788" si="5273">IF(ISERROR((BB785/AT785-1)*100),"NA",IF(((BB785/AT785-1)*100)&gt;100,"NM",IF(((BB785/AT785-1)*100)&lt;-50,"NM",(BB785/AT785-1)*100)))</f>
        <v>-12.013526842327749</v>
      </c>
      <c r="BD785" s="410">
        <f t="shared" si="5272"/>
        <v>3123</v>
      </c>
      <c r="BE785" s="23">
        <f t="shared" ref="BE785:BE788" si="5274">IF(ISERROR((BD785/AV785-1)*100),"NA",IF(((BD785/AV785-1)*100)&gt;100,"NM",IF(((BD785/AV785-1)*100)&lt;-50,"NM",(BD785/AV785-1)*100)))</f>
        <v>-12.015776869981687</v>
      </c>
      <c r="BF785" s="36">
        <f t="shared" ref="BF785" si="5275">BF870</f>
        <v>3123</v>
      </c>
      <c r="BG785" s="23">
        <f t="shared" ref="BG785:BG788" si="5276">IF(ISERROR((BF785/AX785-1)*100),"NA",IF(((BF785/AX785-1)*100)&gt;100,"NM",IF(((BF785/AX785-1)*100)&lt;-50,"NM",(BF785/AX785-1)*100)))</f>
        <v>14.576072201636281</v>
      </c>
      <c r="BH785" s="36">
        <f t="shared" ref="BH785" si="5277">BH870</f>
        <v>3123</v>
      </c>
      <c r="BI785" s="23">
        <f t="shared" ref="BI785:BI788" si="5278">IF(ISERROR((BH785/AZ785-1)*100),"NA",IF(((BH785/AZ785-1)*100)&gt;100,"NM",IF(((BH785/AZ785-1)*100)&lt;-50,"NM",(BH785/AZ785-1)*100)))</f>
        <v>14.555058322940372</v>
      </c>
      <c r="BJ785" s="36">
        <f t="shared" ref="BJ785" si="5279">BJ870</f>
        <v>3123</v>
      </c>
      <c r="BK785" s="23">
        <f t="shared" ref="BK785:BK788" si="5280">IF(ISERROR((BJ785/BB785-1)*100),"NA",IF(((BJ785/BB785-1)*100)&gt;100,"NM",IF(((BJ785/BB785-1)*100)&lt;-50,"NM",(BJ785/BB785-1)*100)))</f>
        <v>2.5622958170523624E-2</v>
      </c>
      <c r="BL785" s="36">
        <f t="shared" ref="BL785" si="5281">BL870</f>
        <v>3123</v>
      </c>
      <c r="BM785" s="23">
        <f t="shared" ref="BM785:BM788" si="5282">IF(ISERROR((BL785/BD785-1)*100),"NA",IF(((BL785/BD785-1)*100)&gt;100,"NM",IF(((BL785/BD785-1)*100)&lt;-50,"NM",(BL785/BD785-1)*100)))</f>
        <v>0</v>
      </c>
      <c r="BO785" s="137"/>
      <c r="BR785" s="6"/>
      <c r="BS785" s="6"/>
      <c r="BT785" s="6"/>
      <c r="BU785" s="36">
        <f>BU870</f>
        <v>4041.3</v>
      </c>
      <c r="BV785" s="23" t="str">
        <f t="shared" ref="BV785:CR788" si="5283">IF(ISERROR((BU785/BS785-1)*100),"NA",IF(((BU785/BS785-1)*100)&gt;100,"NM",IF(((BU785/BS785-1)*100)&lt;-50,"NM",(BU785/BS785-1)*100)))</f>
        <v>NA</v>
      </c>
      <c r="BW785" s="36">
        <f>BW870</f>
        <v>3808.3</v>
      </c>
      <c r="BX785" s="23">
        <f t="shared" si="5283"/>
        <v>-5.7654715066933875</v>
      </c>
      <c r="BY785" s="36">
        <f>BY870</f>
        <v>3514.7</v>
      </c>
      <c r="BZ785" s="23">
        <f t="shared" si="5283"/>
        <v>-7.7094766693800443</v>
      </c>
      <c r="CA785" s="36">
        <f>CA870</f>
        <v>3515.7</v>
      </c>
      <c r="CB785" s="23">
        <f t="shared" si="5283"/>
        <v>2.8451930463480046E-2</v>
      </c>
      <c r="CC785" s="36">
        <f>CC870</f>
        <v>3485.9</v>
      </c>
      <c r="CD785" s="23">
        <f t="shared" si="5283"/>
        <v>-0.84762636174872119</v>
      </c>
      <c r="CE785" s="36">
        <f>CE870</f>
        <v>3549.5</v>
      </c>
      <c r="CF785" s="23">
        <f t="shared" si="5283"/>
        <v>1.8244929573424384</v>
      </c>
      <c r="CG785" s="36">
        <f>CG870</f>
        <v>3123</v>
      </c>
      <c r="CH785" s="23">
        <f t="shared" si="5283"/>
        <v>-12.015776869981687</v>
      </c>
      <c r="CI785" s="36">
        <f>CI870</f>
        <v>3123</v>
      </c>
      <c r="CJ785" s="23">
        <f t="shared" si="5283"/>
        <v>0</v>
      </c>
      <c r="CK785" s="36">
        <f>CK870</f>
        <v>3123</v>
      </c>
      <c r="CL785" s="23">
        <f t="shared" si="5283"/>
        <v>0</v>
      </c>
      <c r="CM785" s="36">
        <f>CM870</f>
        <v>3123</v>
      </c>
      <c r="CN785" s="23">
        <f t="shared" si="5283"/>
        <v>0</v>
      </c>
      <c r="CO785" s="36">
        <f>CO870</f>
        <v>3123</v>
      </c>
      <c r="CP785" s="23">
        <f t="shared" si="5283"/>
        <v>0</v>
      </c>
      <c r="CQ785" s="36">
        <f>CQ870</f>
        <v>3123</v>
      </c>
      <c r="CR785" s="23">
        <f t="shared" si="5283"/>
        <v>0</v>
      </c>
      <c r="CS785" s="23"/>
      <c r="CT785" s="28"/>
    </row>
    <row r="786" spans="1:105" ht="12.75" hidden="1" customHeight="1" outlineLevel="1" x14ac:dyDescent="0.2">
      <c r="A786" s="165" t="s">
        <v>344</v>
      </c>
      <c r="B786" s="36">
        <f>B770</f>
        <v>6101.6</v>
      </c>
      <c r="C786" s="82"/>
      <c r="D786" s="36">
        <f>D770</f>
        <v>9126.0999999999985</v>
      </c>
      <c r="E786" s="82"/>
      <c r="F786" s="36">
        <f>F770</f>
        <v>10101.100000000002</v>
      </c>
      <c r="G786" s="82"/>
      <c r="H786" s="36">
        <f>H770</f>
        <v>9758.9</v>
      </c>
      <c r="I786" s="82"/>
      <c r="J786" s="36">
        <f>J770</f>
        <v>9242.9000000000015</v>
      </c>
      <c r="K786" s="23">
        <f t="shared" si="5261"/>
        <v>51.483217516716941</v>
      </c>
      <c r="L786" s="36">
        <f>L770</f>
        <v>9820.2999999999993</v>
      </c>
      <c r="M786" s="23">
        <f t="shared" si="5261"/>
        <v>7.606754254281678</v>
      </c>
      <c r="N786" s="36">
        <f>N770</f>
        <v>10209</v>
      </c>
      <c r="O786" s="23">
        <f t="shared" si="5261"/>
        <v>1.0682004930155919</v>
      </c>
      <c r="P786" s="36">
        <f>P770</f>
        <v>10164.200000000001</v>
      </c>
      <c r="Q786" s="23">
        <f t="shared" si="5261"/>
        <v>4.1531320128293192</v>
      </c>
      <c r="R786" s="36">
        <f>R770</f>
        <v>9938.3000000000029</v>
      </c>
      <c r="S786" s="23">
        <f t="shared" si="5261"/>
        <v>7.5236127189518553</v>
      </c>
      <c r="T786" s="36">
        <f>T770</f>
        <v>10383.799999999999</v>
      </c>
      <c r="U786" s="23">
        <f t="shared" si="5261"/>
        <v>5.7381139069071274</v>
      </c>
      <c r="V786" s="36">
        <f>V770</f>
        <v>10820</v>
      </c>
      <c r="W786" s="23">
        <f t="shared" si="5261"/>
        <v>5.9849152708394637</v>
      </c>
      <c r="X786" s="36">
        <f>X770</f>
        <v>11423.099999999999</v>
      </c>
      <c r="Y786" s="23">
        <f t="shared" si="5261"/>
        <v>12.385627988429949</v>
      </c>
      <c r="Z786" s="36">
        <f>Z770</f>
        <v>11424</v>
      </c>
      <c r="AA786" s="23">
        <f>IF(ISERROR((Z786/R786-1)*100),"NA",IF(((Z786/R786-1)*100)&gt;100,"NM",IF(((Z786/R786-1)*100)&lt;-50,"NM",(Z786/R786-1)*100)))</f>
        <v>14.949236791000441</v>
      </c>
      <c r="AB786" s="36">
        <f>AB770</f>
        <v>11714.400000000001</v>
      </c>
      <c r="AC786" s="23">
        <f>IF(ISERROR((AB786/T786-1)*100),"NA",IF(((AB786/T786-1)*100)&gt;100,"NM",IF(((AB786/T786-1)*100)&lt;-50,"NM",(AB786/T786-1)*100)))</f>
        <v>12.814191336504965</v>
      </c>
      <c r="AD786" s="36">
        <f>AD770</f>
        <v>11818.900000000001</v>
      </c>
      <c r="AE786" s="23">
        <f>IF(ISERROR((AD786/V786-1)*100),"NA",IF(((AD786/V786-1)*100)&gt;100,"NM",IF(((AD786/V786-1)*100)&lt;-50,"NM",(AD786/V786-1)*100)))</f>
        <v>9.2319778188539878</v>
      </c>
      <c r="AF786" s="36">
        <f>AF770</f>
        <v>13042.499999999996</v>
      </c>
      <c r="AG786" s="23">
        <f>IF(ISERROR((AF786/X786-1)*100),"NA",IF(((AF786/X786-1)*100)&gt;100,"NM",IF(((AF786/X786-1)*100)&lt;-50,"NM",(AF786/X786-1)*100)))</f>
        <v>14.176537017096912</v>
      </c>
      <c r="AH786" s="36">
        <f>AH770</f>
        <v>12613.2</v>
      </c>
      <c r="AI786" s="23">
        <f>IF(ISERROR((AH786/Z786-1)*100),"NA",IF(((AH786/Z786-1)*100)&gt;100,"NM",IF(((AH786/Z786-1)*100)&lt;-50,"NM",(AH786/Z786-1)*100)))</f>
        <v>10.409663865546225</v>
      </c>
      <c r="AJ786" s="36">
        <f>AJ770</f>
        <v>12746.599999999999</v>
      </c>
      <c r="AK786" s="23">
        <f>IF(ISERROR((AJ786/AB786-1)*100),"NA",IF(((AJ786/AB786-1)*100)&gt;100,"NM",IF(((AJ786/AB786-1)*100)&lt;-50,"NM",(AJ786/AB786-1)*100)))</f>
        <v>8.8113774499760655</v>
      </c>
      <c r="AL786" s="36">
        <f>AL770</f>
        <v>12240.400000000001</v>
      </c>
      <c r="AM786" s="23">
        <f>IF(ISERROR((AL786/AD786-1)*100),"NA",IF(((AL786/AD786-1)*100)&gt;100,"NM",IF(((AL786/AD786-1)*100)&lt;-50,"NM",(AL786/AD786-1)*100)))</f>
        <v>3.5663217389097168</v>
      </c>
      <c r="AN786" s="410">
        <f t="shared" ref="AN786:AP786" si="5284">AN770</f>
        <v>12010.899999999998</v>
      </c>
      <c r="AO786" s="23">
        <f>IF(ISERROR((AN786/AF786-1)*100),"NA",IF(((AN786/AF786-1)*100)&gt;100,"NM",IF(((AN786/AF786-1)*100)&lt;-50,"NM",(AN786/AF786-1)*100)))</f>
        <v>-7.9095265478244077</v>
      </c>
      <c r="AP786" s="410">
        <f t="shared" si="5284"/>
        <v>11985.099999999999</v>
      </c>
      <c r="AQ786" s="23">
        <f t="shared" si="5263"/>
        <v>-4.9797038023657976</v>
      </c>
      <c r="AR786" s="410">
        <f t="shared" ref="AR786:AT786" si="5285">AR770</f>
        <v>11899.2</v>
      </c>
      <c r="AS786" s="23">
        <f t="shared" si="5265"/>
        <v>-6.6480473224232224</v>
      </c>
      <c r="AT786" s="410">
        <f t="shared" si="5285"/>
        <v>11688.899999999998</v>
      </c>
      <c r="AU786" s="23">
        <f t="shared" si="5266"/>
        <v>-4.5055717133427269</v>
      </c>
      <c r="AV786" s="410">
        <f t="shared" ref="AV786:AX786" si="5286">AV770</f>
        <v>11073.5</v>
      </c>
      <c r="AW786" s="23">
        <f t="shared" si="5268"/>
        <v>-7.8045775087628559</v>
      </c>
      <c r="AX786" s="410">
        <f t="shared" si="5286"/>
        <v>10778.5</v>
      </c>
      <c r="AY786" s="23">
        <f t="shared" si="5269"/>
        <v>-10.067500479762359</v>
      </c>
      <c r="AZ786" s="410">
        <f t="shared" ref="AZ786" si="5287">AZ770</f>
        <v>10746.5</v>
      </c>
      <c r="BA786" s="23">
        <f t="shared" si="5271"/>
        <v>-9.6872058625790061</v>
      </c>
      <c r="BB786" s="410">
        <f t="shared" ref="BB786:BD786" si="5288">BB770</f>
        <v>10921.600000000002</v>
      </c>
      <c r="BC786" s="23">
        <f t="shared" si="5273"/>
        <v>-6.5643473722933336</v>
      </c>
      <c r="BD786" s="410">
        <f t="shared" si="5288"/>
        <v>7278</v>
      </c>
      <c r="BE786" s="23">
        <f t="shared" si="5274"/>
        <v>-34.275522644150449</v>
      </c>
      <c r="BF786" s="36">
        <f t="shared" ref="BF786" si="5289">BF770</f>
        <v>7138.7998437368642</v>
      </c>
      <c r="BG786" s="23">
        <f t="shared" si="5276"/>
        <v>-33.768151006755446</v>
      </c>
      <c r="BH786" s="36">
        <f t="shared" ref="BH786" si="5290">BH770</f>
        <v>7117.5450081613726</v>
      </c>
      <c r="BI786" s="23">
        <f t="shared" si="5278"/>
        <v>-33.768715319765761</v>
      </c>
      <c r="BJ786" s="36">
        <f t="shared" ref="BJ786" si="5291">BJ770</f>
        <v>7057.3052063498344</v>
      </c>
      <c r="BK786" s="23">
        <f t="shared" si="5280"/>
        <v>-35.382130765182453</v>
      </c>
      <c r="BL786" s="36">
        <f t="shared" ref="BL786" si="5292">BL770</f>
        <v>7006.1174600135255</v>
      </c>
      <c r="BM786" s="23">
        <f t="shared" si="5282"/>
        <v>-3.7356765593085206</v>
      </c>
      <c r="BO786" s="137"/>
      <c r="BR786" s="6"/>
      <c r="BS786" s="6"/>
      <c r="BT786" s="6"/>
      <c r="BU786" s="36">
        <f>BU770</f>
        <v>9758.9</v>
      </c>
      <c r="BV786" s="23" t="str">
        <f t="shared" si="5283"/>
        <v>NA</v>
      </c>
      <c r="BW786" s="36">
        <f>BW770</f>
        <v>10164.200000000001</v>
      </c>
      <c r="BX786" s="23">
        <f t="shared" si="5283"/>
        <v>4.1531320128293192</v>
      </c>
      <c r="BY786" s="36">
        <f>BY770</f>
        <v>11423.099999999999</v>
      </c>
      <c r="BZ786" s="23">
        <f t="shared" si="5283"/>
        <v>12.385627988429949</v>
      </c>
      <c r="CA786" s="36">
        <f>CA770</f>
        <v>13042.499999999996</v>
      </c>
      <c r="CB786" s="23">
        <f t="shared" si="5283"/>
        <v>14.176537017096912</v>
      </c>
      <c r="CC786" s="36">
        <f>CC770</f>
        <v>12010.899999999998</v>
      </c>
      <c r="CD786" s="23">
        <f t="shared" si="5283"/>
        <v>-7.9095265478244077</v>
      </c>
      <c r="CE786" s="36">
        <f>CE770</f>
        <v>11073.5</v>
      </c>
      <c r="CF786" s="23">
        <f t="shared" si="5283"/>
        <v>-7.8045775087628559</v>
      </c>
      <c r="CG786" s="36">
        <f>CG770</f>
        <v>7278</v>
      </c>
      <c r="CH786" s="23">
        <f t="shared" si="5283"/>
        <v>-34.275522644150449</v>
      </c>
      <c r="CI786" s="36">
        <f>CI770</f>
        <v>7006.1174600135255</v>
      </c>
      <c r="CJ786" s="23">
        <f t="shared" si="5283"/>
        <v>-3.7356765593085206</v>
      </c>
      <c r="CK786" s="36">
        <f>CK770</f>
        <v>7213.8837556391663</v>
      </c>
      <c r="CL786" s="23">
        <f t="shared" si="5283"/>
        <v>2.9654983207381136</v>
      </c>
      <c r="CM786" s="36">
        <f>CM770</f>
        <v>7457.7416175488779</v>
      </c>
      <c r="CN786" s="23">
        <f t="shared" si="5283"/>
        <v>3.3803963325453656</v>
      </c>
      <c r="CO786" s="36">
        <f>CO770</f>
        <v>7736.8509632555979</v>
      </c>
      <c r="CP786" s="23">
        <f t="shared" si="5283"/>
        <v>3.7425451298814805</v>
      </c>
      <c r="CQ786" s="36">
        <f>CQ770</f>
        <v>8050.8953214979156</v>
      </c>
      <c r="CR786" s="23">
        <f t="shared" si="5283"/>
        <v>4.0590720919118084</v>
      </c>
      <c r="CS786" s="23"/>
      <c r="CT786" s="28"/>
    </row>
    <row r="787" spans="1:105" ht="12.75" hidden="1" customHeight="1" outlineLevel="1" x14ac:dyDescent="0.2">
      <c r="A787" s="165" t="s">
        <v>75</v>
      </c>
      <c r="B787" s="36">
        <f>B785+B786</f>
        <v>13786.8</v>
      </c>
      <c r="C787" s="82"/>
      <c r="D787" s="36">
        <f>D785+D786</f>
        <v>14176.399999999998</v>
      </c>
      <c r="E787" s="82"/>
      <c r="F787" s="36">
        <f>F785+F786</f>
        <v>15235.400000000001</v>
      </c>
      <c r="G787" s="82"/>
      <c r="H787" s="36">
        <f>H785+H786</f>
        <v>13800.2</v>
      </c>
      <c r="I787" s="82"/>
      <c r="J787" s="36">
        <f>J785+J786</f>
        <v>13286.100000000002</v>
      </c>
      <c r="K787" s="23">
        <f t="shared" si="5261"/>
        <v>-3.6317347027591373</v>
      </c>
      <c r="L787" s="36">
        <f>L785+L786</f>
        <v>13754.099999999999</v>
      </c>
      <c r="M787" s="23">
        <f t="shared" si="5261"/>
        <v>-2.9788945007194978</v>
      </c>
      <c r="N787" s="36">
        <f>N785+N786</f>
        <v>14102.2</v>
      </c>
      <c r="O787" s="23">
        <f t="shared" si="5261"/>
        <v>-7.4379405857411101</v>
      </c>
      <c r="P787" s="36">
        <f>P785+P786</f>
        <v>13972.5</v>
      </c>
      <c r="Q787" s="23">
        <f t="shared" si="5261"/>
        <v>1.2485326299618738</v>
      </c>
      <c r="R787" s="36">
        <f>R785+R786</f>
        <v>13645.600000000002</v>
      </c>
      <c r="S787" s="23">
        <f t="shared" si="5261"/>
        <v>2.7058354219823721</v>
      </c>
      <c r="T787" s="36">
        <f>T785+T786</f>
        <v>14067.099999999999</v>
      </c>
      <c r="U787" s="23">
        <f t="shared" si="5261"/>
        <v>2.2756850684523267</v>
      </c>
      <c r="V787" s="36">
        <f>V785+V786</f>
        <v>14334.5</v>
      </c>
      <c r="W787" s="23">
        <f t="shared" si="5261"/>
        <v>1.6472607110947113</v>
      </c>
      <c r="X787" s="36">
        <f>X785+X786</f>
        <v>14937.8</v>
      </c>
      <c r="Y787" s="23">
        <f t="shared" si="5261"/>
        <v>6.9085704061549347</v>
      </c>
      <c r="Z787" s="36">
        <f>Z785+Z786</f>
        <v>14939</v>
      </c>
      <c r="AA787" s="23">
        <f>IF(ISERROR((Z787/R787-1)*100),"NA",IF(((Z787/R787-1)*100)&gt;100,"NM",IF(((Z787/R787-1)*100)&lt;-50,"NM",(Z787/R787-1)*100)))</f>
        <v>9.4785132203787157</v>
      </c>
      <c r="AB787" s="36">
        <f>AB785+AB786</f>
        <v>15229.600000000002</v>
      </c>
      <c r="AC787" s="23">
        <f>IF(ISERROR((AB787/T787-1)*100),"NA",IF(((AB787/T787-1)*100)&gt;100,"NM",IF(((AB787/T787-1)*100)&lt;-50,"NM",(AB787/T787-1)*100)))</f>
        <v>8.2639634324061397</v>
      </c>
      <c r="AD787" s="36">
        <f>AD785+AD786</f>
        <v>15334.400000000001</v>
      </c>
      <c r="AE787" s="23">
        <f>IF(ISERROR((AD787/V787-1)*100),"NA",IF(((AD787/V787-1)*100)&gt;100,"NM",IF(((AD787/V787-1)*100)&lt;-50,"NM",(AD787/V787-1)*100)))</f>
        <v>6.9754787401025586</v>
      </c>
      <c r="AF787" s="36">
        <f>AF785+AF786</f>
        <v>16558.199999999997</v>
      </c>
      <c r="AG787" s="23">
        <f>IF(ISERROR((AF787/X787-1)*100),"NA",IF(((AF787/X787-1)*100)&gt;100,"NM",IF(((AF787/X787-1)*100)&lt;-50,"NM",(AF787/X787-1)*100)))</f>
        <v>10.847648248068653</v>
      </c>
      <c r="AH787" s="36">
        <f>AH785+AH786</f>
        <v>16129.2</v>
      </c>
      <c r="AI787" s="23">
        <f>IF(ISERROR((AH787/Z787-1)*100),"NA",IF(((AH787/Z787-1)*100)&gt;100,"NM",IF(((AH787/Z787-1)*100)&lt;-50,"NM",(AH787/Z787-1)*100)))</f>
        <v>7.967066068679296</v>
      </c>
      <c r="AJ787" s="36">
        <f>AJ785+AJ786</f>
        <v>16232.599999999999</v>
      </c>
      <c r="AK787" s="23">
        <f>IF(ISERROR((AJ787/AB787-1)*100),"NA",IF(((AJ787/AB787-1)*100)&gt;100,"NM",IF(((AJ787/AB787-1)*100)&lt;-50,"NM",(AJ787/AB787-1)*100)))</f>
        <v>6.5858591164573932</v>
      </c>
      <c r="AL787" s="36">
        <f>AL785+AL786</f>
        <v>15726.000000000002</v>
      </c>
      <c r="AM787" s="23">
        <f>IF(ISERROR((AL787/AD787-1)*100),"NA",IF(((AL787/AD787-1)*100)&gt;100,"NM",IF(((AL787/AD787-1)*100)&lt;-50,"NM",(AL787/AD787-1)*100)))</f>
        <v>2.553735392320533</v>
      </c>
      <c r="AN787" s="410">
        <f t="shared" ref="AN787:AP787" si="5293">AN785+AN786</f>
        <v>15496.799999999997</v>
      </c>
      <c r="AO787" s="23">
        <f>IF(ISERROR((AN787/AF787-1)*100),"NA",IF(((AN787/AF787-1)*100)&gt;100,"NM",IF(((AN787/AF787-1)*100)&lt;-50,"NM",(AN787/AF787-1)*100)))</f>
        <v>-6.41011704170743</v>
      </c>
      <c r="AP787" s="410">
        <f t="shared" si="5293"/>
        <v>15440.999999999998</v>
      </c>
      <c r="AQ787" s="23">
        <f t="shared" si="5263"/>
        <v>-4.2667956253255142</v>
      </c>
      <c r="AR787" s="410">
        <f t="shared" ref="AR787:AT787" si="5294">AR785+AR786</f>
        <v>15446.7</v>
      </c>
      <c r="AS787" s="23">
        <f t="shared" si="5265"/>
        <v>-4.8414918127718138</v>
      </c>
      <c r="AT787" s="410">
        <f t="shared" si="5294"/>
        <v>15237.399999999998</v>
      </c>
      <c r="AU787" s="23">
        <f t="shared" si="5266"/>
        <v>-3.1069566323286502</v>
      </c>
      <c r="AV787" s="410">
        <f t="shared" ref="AV787:AX787" si="5295">AV785+AV786</f>
        <v>14623</v>
      </c>
      <c r="AW787" s="23">
        <f t="shared" si="5268"/>
        <v>-5.6385834494863341</v>
      </c>
      <c r="AX787" s="410">
        <f t="shared" si="5295"/>
        <v>13504.2</v>
      </c>
      <c r="AY787" s="23">
        <f t="shared" si="5269"/>
        <v>-12.543229065475014</v>
      </c>
      <c r="AZ787" s="410">
        <f t="shared" ref="AZ787" si="5296">AZ785+AZ786</f>
        <v>13472.7</v>
      </c>
      <c r="BA787" s="23">
        <f t="shared" si="5271"/>
        <v>-12.779428615820853</v>
      </c>
      <c r="BB787" s="410">
        <f t="shared" ref="BB787:BD787" si="5297">BB785+BB786</f>
        <v>14043.800000000003</v>
      </c>
      <c r="BC787" s="23">
        <f t="shared" si="5273"/>
        <v>-7.8333573969312065</v>
      </c>
      <c r="BD787" s="410">
        <f t="shared" si="5297"/>
        <v>10401</v>
      </c>
      <c r="BE787" s="23">
        <f t="shared" si="5274"/>
        <v>-28.872324420433561</v>
      </c>
      <c r="BF787" s="36">
        <f t="shared" ref="BF787" si="5298">BF785+BF786</f>
        <v>10261.799843736864</v>
      </c>
      <c r="BG787" s="23">
        <f t="shared" si="5276"/>
        <v>-24.010309061352299</v>
      </c>
      <c r="BH787" s="36">
        <f t="shared" ref="BH787" si="5299">BH785+BH786</f>
        <v>10240.545008161373</v>
      </c>
      <c r="BI787" s="23">
        <f t="shared" si="5278"/>
        <v>-23.990402754003494</v>
      </c>
      <c r="BJ787" s="36">
        <f t="shared" ref="BJ787" si="5300">BJ785+BJ786</f>
        <v>10180.305206349834</v>
      </c>
      <c r="BK787" s="23">
        <f t="shared" si="5280"/>
        <v>-27.510323371524571</v>
      </c>
      <c r="BL787" s="36">
        <f t="shared" ref="BL787" si="5301">BL785+BL786</f>
        <v>10129.117460013525</v>
      </c>
      <c r="BM787" s="23">
        <f t="shared" si="5282"/>
        <v>-2.6140038456540227</v>
      </c>
      <c r="BO787" s="137"/>
      <c r="BR787" s="6"/>
      <c r="BS787" s="6"/>
      <c r="BT787" s="6"/>
      <c r="BU787" s="36">
        <f>BU785+BU786</f>
        <v>13800.2</v>
      </c>
      <c r="BV787" s="23" t="str">
        <f t="shared" si="5283"/>
        <v>NA</v>
      </c>
      <c r="BW787" s="36">
        <f>BW785+BW786</f>
        <v>13972.5</v>
      </c>
      <c r="BX787" s="23">
        <f t="shared" si="5283"/>
        <v>1.2485326299618738</v>
      </c>
      <c r="BY787" s="36">
        <f>BY785+BY786</f>
        <v>14937.8</v>
      </c>
      <c r="BZ787" s="23">
        <f t="shared" si="5283"/>
        <v>6.9085704061549347</v>
      </c>
      <c r="CA787" s="36">
        <f>CA785+CA786</f>
        <v>16558.199999999997</v>
      </c>
      <c r="CB787" s="23">
        <f t="shared" si="5283"/>
        <v>10.847648248068653</v>
      </c>
      <c r="CC787" s="36">
        <f>CC785+CC786</f>
        <v>15496.799999999997</v>
      </c>
      <c r="CD787" s="23">
        <f t="shared" si="5283"/>
        <v>-6.41011704170743</v>
      </c>
      <c r="CE787" s="36">
        <f>CE785+CE786</f>
        <v>14623</v>
      </c>
      <c r="CF787" s="23">
        <f t="shared" si="5283"/>
        <v>-5.6385834494863341</v>
      </c>
      <c r="CG787" s="36">
        <f>CG785+CG786</f>
        <v>10401</v>
      </c>
      <c r="CH787" s="23">
        <f t="shared" si="5283"/>
        <v>-28.872324420433561</v>
      </c>
      <c r="CI787" s="36">
        <f>CI785+CI786</f>
        <v>10129.117460013525</v>
      </c>
      <c r="CJ787" s="23">
        <f t="shared" si="5283"/>
        <v>-2.6140038456540227</v>
      </c>
      <c r="CK787" s="36">
        <f>CK785+CK786</f>
        <v>10336.883755639166</v>
      </c>
      <c r="CL787" s="23">
        <f t="shared" si="5283"/>
        <v>2.0511786584155534</v>
      </c>
      <c r="CM787" s="36">
        <f>CM785+CM786</f>
        <v>10580.741617548878</v>
      </c>
      <c r="CN787" s="23">
        <f t="shared" si="5283"/>
        <v>2.3591042298088949</v>
      </c>
      <c r="CO787" s="36">
        <f>CO785+CO786</f>
        <v>10859.850963255598</v>
      </c>
      <c r="CP787" s="23">
        <f t="shared" si="5283"/>
        <v>2.6378996463140014</v>
      </c>
      <c r="CQ787" s="36">
        <f>CQ785+CQ786</f>
        <v>11173.895321497916</v>
      </c>
      <c r="CR787" s="23">
        <f t="shared" si="5283"/>
        <v>2.8917925237177622</v>
      </c>
      <c r="CS787" s="23"/>
      <c r="CT787" s="28"/>
    </row>
    <row r="788" spans="1:105" ht="12.75" hidden="1" customHeight="1" outlineLevel="1" x14ac:dyDescent="0.2">
      <c r="A788" s="165" t="s">
        <v>357</v>
      </c>
      <c r="B788" s="35">
        <f>B785/B787*100</f>
        <v>55.74317463080628</v>
      </c>
      <c r="C788" s="169"/>
      <c r="D788" s="35">
        <f>D785/D787*100</f>
        <v>35.624700205976133</v>
      </c>
      <c r="E788" s="169"/>
      <c r="F788" s="35">
        <f>F785/F787*100</f>
        <v>33.699804402903759</v>
      </c>
      <c r="G788" s="169"/>
      <c r="H788" s="35">
        <f>H785/H787*100</f>
        <v>29.284358197707277</v>
      </c>
      <c r="I788" s="169"/>
      <c r="J788" s="35">
        <f>J785/J787*100</f>
        <v>30.431804668036509</v>
      </c>
      <c r="K788" s="23">
        <f t="shared" si="5261"/>
        <v>-45.40711958084556</v>
      </c>
      <c r="L788" s="35">
        <f>L785/L787*100</f>
        <v>28.600926269257897</v>
      </c>
      <c r="M788" s="23">
        <f t="shared" si="5261"/>
        <v>-19.716022580142244</v>
      </c>
      <c r="N788" s="35">
        <f>N785/N787*100</f>
        <v>27.60704003630639</v>
      </c>
      <c r="O788" s="23">
        <f t="shared" si="5261"/>
        <v>-18.079524420243764</v>
      </c>
      <c r="P788" s="35">
        <f>P785/P787*100</f>
        <v>27.25568080157452</v>
      </c>
      <c r="Q788" s="23">
        <f t="shared" si="5261"/>
        <v>-6.9275118902608739</v>
      </c>
      <c r="R788" s="35">
        <f>R785/R787*100</f>
        <v>27.168464560004686</v>
      </c>
      <c r="S788" s="23">
        <f t="shared" si="5261"/>
        <v>-10.723452465700834</v>
      </c>
      <c r="T788" s="35">
        <f>T785/T787*100</f>
        <v>26.183790546736716</v>
      </c>
      <c r="U788" s="23">
        <f t="shared" si="5261"/>
        <v>-8.4512497943791125</v>
      </c>
      <c r="V788" s="35">
        <f>V785/V787*100</f>
        <v>24.517771809271338</v>
      </c>
      <c r="W788" s="23">
        <f t="shared" si="5261"/>
        <v>-11.190146509630573</v>
      </c>
      <c r="X788" s="35">
        <f>X785/X787*100</f>
        <v>23.528899837994885</v>
      </c>
      <c r="Y788" s="23">
        <f t="shared" si="5261"/>
        <v>-13.673409924012415</v>
      </c>
      <c r="Z788" s="35">
        <f>Z785/Z787*100</f>
        <v>23.529018006560008</v>
      </c>
      <c r="AA788" s="23">
        <f>IF(ISERROR((Z788/R788-1)*100),"NA",IF(((Z788/R788-1)*100)&gt;100,"NM",IF(((Z788/R788-1)*100)&lt;-50,"NM",(Z788/R788-1)*100)))</f>
        <v>-13.395849240602242</v>
      </c>
      <c r="AB788" s="35">
        <f>AB785/AB787*100</f>
        <v>23.081367862583384</v>
      </c>
      <c r="AC788" s="23">
        <f>IF(ISERROR((AB788/T788-1)*100),"NA",IF(((AB788/T788-1)*100)&gt;100,"NM",IF(((AB788/T788-1)*100)&lt;-50,"NM",(AB788/T788-1)*100)))</f>
        <v>-11.848638487294904</v>
      </c>
      <c r="AD788" s="35">
        <f>AD785/AD787*100</f>
        <v>22.925579090150247</v>
      </c>
      <c r="AE788" s="23">
        <f>IF(ISERROR((AD788/V788-1)*100),"NA",IF(((AD788/V788-1)*100)&gt;100,"NM",IF(((AD788/V788-1)*100)&lt;-50,"NM",(AD788/V788-1)*100)))</f>
        <v>-6.4940351493075195</v>
      </c>
      <c r="AF788" s="35">
        <f>AF785/AF787*100</f>
        <v>21.232380331195422</v>
      </c>
      <c r="AG788" s="23">
        <f>IF(ISERROR((AF788/X788-1)*100),"NA",IF(((AF788/X788-1)*100)&gt;100,"NM",IF(((AF788/X788-1)*100)&lt;-50,"NM",(AF788/X788-1)*100)))</f>
        <v>-9.7604202602409877</v>
      </c>
      <c r="AH788" s="35">
        <f>AH785/AH787*100</f>
        <v>21.798973290677775</v>
      </c>
      <c r="AI788" s="23">
        <f>IF(ISERROR((AH788/Z788-1)*100),"NA",IF(((AH788/Z788-1)*100)&gt;100,"NM",IF(((AH788/Z788-1)*100)&lt;-50,"NM",(AH788/Z788-1)*100)))</f>
        <v>-7.3528130897765775</v>
      </c>
      <c r="AJ788" s="35">
        <f>AJ785/AJ787*100</f>
        <v>21.475302785752131</v>
      </c>
      <c r="AK788" s="23">
        <f>IF(ISERROR((AJ788/AB788-1)*100),"NA",IF(((AJ788/AB788-1)*100)&gt;100,"NM",IF(((AJ788/AB788-1)*100)&lt;-50,"NM",(AJ788/AB788-1)*100)))</f>
        <v>-6.9582751178053233</v>
      </c>
      <c r="AL788" s="35">
        <f>AL785/AL787*100</f>
        <v>22.164568230955105</v>
      </c>
      <c r="AM788" s="23">
        <f>IF(ISERROR((AL788/AD788-1)*100),"NA",IF(((AL788/AD788-1)*100)&gt;100,"NM",IF(((AL788/AD788-1)*100)&lt;-50,"NM",(AL788/AD788-1)*100)))</f>
        <v>-3.3194836920045545</v>
      </c>
      <c r="AN788" s="409">
        <f t="shared" ref="AN788:AP788" si="5302">AN785/AN787*100</f>
        <v>22.494321408290748</v>
      </c>
      <c r="AO788" s="23">
        <f>IF(ISERROR((AN788/AF788-1)*100),"NA",IF(((AN788/AF788-1)*100)&gt;100,"NM",IF(((AN788/AF788-1)*100)&lt;-50,"NM",(AN788/AF788-1)*100)))</f>
        <v>5.9434743415990532</v>
      </c>
      <c r="AP788" s="409">
        <f t="shared" si="5302"/>
        <v>22.381322453208995</v>
      </c>
      <c r="AQ788" s="23">
        <f t="shared" si="5263"/>
        <v>2.6714522503693328</v>
      </c>
      <c r="AR788" s="409">
        <f t="shared" ref="AR788:AT788" si="5303">AR785/AR787*100</f>
        <v>22.966070422808755</v>
      </c>
      <c r="AS788" s="23">
        <f t="shared" si="5265"/>
        <v>6.9417770353658481</v>
      </c>
      <c r="AT788" s="409">
        <f t="shared" si="5303"/>
        <v>23.288093769278227</v>
      </c>
      <c r="AU788" s="23">
        <f t="shared" si="5266"/>
        <v>5.0690161279749235</v>
      </c>
      <c r="AV788" s="409">
        <f t="shared" ref="AV788:AX788" si="5304">AV785/AV787*100</f>
        <v>24.273404910073175</v>
      </c>
      <c r="AW788" s="23">
        <f t="shared" si="5268"/>
        <v>7.909033882332217</v>
      </c>
      <c r="AX788" s="409">
        <f t="shared" si="5304"/>
        <v>20.184090875431345</v>
      </c>
      <c r="AY788" s="23">
        <f t="shared" si="5269"/>
        <v>-9.8172553582177358</v>
      </c>
      <c r="AZ788" s="409">
        <f t="shared" ref="AZ788" si="5305">AZ785/AZ787*100</f>
        <v>20.234993728057475</v>
      </c>
      <c r="BA788" s="23">
        <f t="shared" si="5271"/>
        <v>-11.891789254634133</v>
      </c>
      <c r="BB788" s="409">
        <f t="shared" ref="BB788:BD788" si="5306">BB785/BB787*100</f>
        <v>22.231874563864476</v>
      </c>
      <c r="BC788" s="23">
        <f t="shared" si="5273"/>
        <v>-4.5354472370216943</v>
      </c>
      <c r="BD788" s="409">
        <f t="shared" si="5306"/>
        <v>30.025959042399769</v>
      </c>
      <c r="BE788" s="23">
        <f t="shared" si="5274"/>
        <v>23.698999599101779</v>
      </c>
      <c r="BF788" s="35">
        <f t="shared" ref="BF788" si="5307">BF785/BF787*100</f>
        <v>30.433257786703727</v>
      </c>
      <c r="BG788" s="23">
        <f t="shared" si="5276"/>
        <v>50.778442162822216</v>
      </c>
      <c r="BH788" s="35">
        <f t="shared" ref="BH788" si="5308">BH785/BH787*100</f>
        <v>30.496423750015971</v>
      </c>
      <c r="BI788" s="23">
        <f t="shared" si="5278"/>
        <v>50.711308142043961</v>
      </c>
      <c r="BJ788" s="35">
        <f t="shared" ref="BJ788" si="5309">BJ785/BJ787*100</f>
        <v>30.676879884230473</v>
      </c>
      <c r="BK788" s="23">
        <f t="shared" si="5280"/>
        <v>37.986024507768889</v>
      </c>
      <c r="BL788" s="35">
        <f t="shared" ref="BL788" si="5310">BL785/BL787*100</f>
        <v>30.831906257663537</v>
      </c>
      <c r="BM788" s="23">
        <f t="shared" si="5282"/>
        <v>2.6841681030926878</v>
      </c>
      <c r="BN788" s="157"/>
      <c r="BO788" s="138"/>
      <c r="BP788" s="157"/>
      <c r="BQ788" s="157"/>
      <c r="BR788" s="157"/>
      <c r="BS788" s="157"/>
      <c r="BT788" s="157"/>
      <c r="BU788" s="35">
        <f>BU785/BU787*100</f>
        <v>29.284358197707277</v>
      </c>
      <c r="BV788" s="23" t="str">
        <f t="shared" si="5283"/>
        <v>NA</v>
      </c>
      <c r="BW788" s="35">
        <f>BW785/BW787*100</f>
        <v>27.25568080157452</v>
      </c>
      <c r="BX788" s="23">
        <f t="shared" si="5283"/>
        <v>-6.9275118902608739</v>
      </c>
      <c r="BY788" s="35">
        <f>BY785/BY787*100</f>
        <v>23.528899837994885</v>
      </c>
      <c r="BZ788" s="23">
        <f t="shared" si="5283"/>
        <v>-13.673409924012415</v>
      </c>
      <c r="CA788" s="35">
        <f>CA785/CA787*100</f>
        <v>21.232380331195422</v>
      </c>
      <c r="CB788" s="23">
        <f t="shared" si="5283"/>
        <v>-9.7604202602409877</v>
      </c>
      <c r="CC788" s="35">
        <f>CC785/CC787*100</f>
        <v>22.494321408290748</v>
      </c>
      <c r="CD788" s="23">
        <f t="shared" si="5283"/>
        <v>5.9434743415990532</v>
      </c>
      <c r="CE788" s="35">
        <f>CE785/CE787*100</f>
        <v>24.273404910073175</v>
      </c>
      <c r="CF788" s="23">
        <f t="shared" si="5283"/>
        <v>7.909033882332217</v>
      </c>
      <c r="CG788" s="35">
        <f>CG785/CG787*100</f>
        <v>30.025959042399769</v>
      </c>
      <c r="CH788" s="23">
        <f t="shared" si="5283"/>
        <v>23.698999599101779</v>
      </c>
      <c r="CI788" s="35">
        <f>CI785/CI787*100</f>
        <v>30.831906257663537</v>
      </c>
      <c r="CJ788" s="23">
        <f t="shared" si="5283"/>
        <v>2.6841681030926878</v>
      </c>
      <c r="CK788" s="35">
        <f>CK785/CK787*100</f>
        <v>30.212200057839322</v>
      </c>
      <c r="CL788" s="23">
        <f t="shared" si="5283"/>
        <v>-2.0099509730125198</v>
      </c>
      <c r="CM788" s="35">
        <f>CM785/CM787*100</f>
        <v>29.515889461096872</v>
      </c>
      <c r="CN788" s="23">
        <f t="shared" si="5283"/>
        <v>-2.3047331720609798</v>
      </c>
      <c r="CO788" s="35">
        <f>CO785/CO787*100</f>
        <v>28.757300726931689</v>
      </c>
      <c r="CP788" s="23">
        <f t="shared" si="5283"/>
        <v>-2.5701029107221496</v>
      </c>
      <c r="CQ788" s="35">
        <f>CQ785/CQ787*100</f>
        <v>27.949071564967433</v>
      </c>
      <c r="CR788" s="23">
        <f t="shared" si="5283"/>
        <v>-2.8105181694168424</v>
      </c>
      <c r="CS788" s="23"/>
      <c r="CT788" s="28"/>
    </row>
    <row r="789" spans="1:105" ht="12.75" hidden="1" customHeight="1" outlineLevel="1" x14ac:dyDescent="0.2">
      <c r="A789" s="165" t="s">
        <v>358</v>
      </c>
      <c r="B789" s="35"/>
      <c r="C789" s="169"/>
      <c r="D789" s="35"/>
      <c r="E789" s="169"/>
      <c r="F789" s="35"/>
      <c r="G789" s="169"/>
      <c r="H789" s="35">
        <f>H785/(H787-H793)*100</f>
        <v>39.053168667014553</v>
      </c>
      <c r="I789" s="169"/>
      <c r="J789" s="35"/>
      <c r="K789" s="184"/>
      <c r="L789" s="35"/>
      <c r="M789" s="184"/>
      <c r="N789" s="35"/>
      <c r="O789" s="184"/>
      <c r="P789" s="35">
        <f>P785/(P787-P793)*100</f>
        <v>35.556696699500492</v>
      </c>
      <c r="Q789" s="184"/>
      <c r="R789" s="35">
        <f>R785/(R787-R793)*100</f>
        <v>40.934787889494942</v>
      </c>
      <c r="S789" s="184"/>
      <c r="T789" s="35">
        <f>T785/(T787-T793)*100</f>
        <v>36.525817871699019</v>
      </c>
      <c r="U789" s="184"/>
      <c r="V789" s="35">
        <f>V785/(V787-V793)*100</f>
        <v>32.271245581010973</v>
      </c>
      <c r="W789" s="184"/>
      <c r="X789" s="35">
        <f>X785/(X787-X793)*100</f>
        <v>29.738213693437576</v>
      </c>
      <c r="Y789" s="184"/>
      <c r="Z789" s="35">
        <f>Z785/(Z787-Z793)*100</f>
        <v>29.790660225442835</v>
      </c>
      <c r="AA789" s="184"/>
      <c r="AB789" s="35">
        <f>AB785/(AB787-AB793)*100</f>
        <v>29.448921803528638</v>
      </c>
      <c r="AC789" s="184"/>
      <c r="AD789" s="35">
        <f>AD785/(AD787-AD793)*100</f>
        <v>29.6406529290749</v>
      </c>
      <c r="AE789" s="184"/>
      <c r="AF789" s="35">
        <f>AF785/(AF787-AF793)*100</f>
        <v>25.154906197678915</v>
      </c>
      <c r="AG789" s="184"/>
      <c r="AH789" s="35">
        <f>AH785/(AH787-AH793)*100</f>
        <v>26.01900364088447</v>
      </c>
      <c r="AI789" s="184"/>
      <c r="AJ789" s="35">
        <f>AJ785/(AJ787-AJ793)*100</f>
        <v>25.665189286292762</v>
      </c>
      <c r="AK789" s="184"/>
      <c r="AL789" s="35">
        <f>AL785/(AL787-AL793)*100</f>
        <v>26.656469868461297</v>
      </c>
      <c r="AM789" s="184"/>
      <c r="AN789" s="409">
        <f t="shared" ref="AN789:AP789" si="5311">AN785/(AN787-AN793)*100</f>
        <v>27.533015291292816</v>
      </c>
      <c r="AO789" s="184"/>
      <c r="AP789" s="409">
        <f t="shared" si="5311"/>
        <v>28.537572254335263</v>
      </c>
      <c r="AQ789" s="184"/>
      <c r="AR789" s="409">
        <f t="shared" ref="AR789:AT789" si="5312">AR785/(AR787-AR793)*100</f>
        <v>29.138294988788221</v>
      </c>
      <c r="AS789" s="184"/>
      <c r="AT789" s="409">
        <f t="shared" si="5312"/>
        <v>28.715587421302217</v>
      </c>
      <c r="AU789" s="184"/>
      <c r="AV789" s="409">
        <f t="shared" ref="AV789:AX789" si="5313">AV785/(AV787-AV793)*100</f>
        <v>28.678193423285126</v>
      </c>
      <c r="AW789" s="184"/>
      <c r="AX789" s="409">
        <f t="shared" si="5313"/>
        <v>23.352067305220949</v>
      </c>
      <c r="AY789" s="184"/>
      <c r="AZ789" s="409">
        <f t="shared" ref="AZ789" si="5314">AZ785/(AZ787-AZ793)*100</f>
        <v>23.419553806901643</v>
      </c>
      <c r="BA789" s="184"/>
      <c r="BB789" s="409">
        <f t="shared" ref="BB789:BD789" si="5315">BB785/(BB787-BB793)*100</f>
        <v>25.567074468956246</v>
      </c>
      <c r="BC789" s="184"/>
      <c r="BD789" s="409">
        <f t="shared" si="5315"/>
        <v>36.445326175749798</v>
      </c>
      <c r="BE789" s="184"/>
      <c r="BF789" s="35">
        <f t="shared" ref="BF789" si="5316">BF785/(BF787-BF793)*100</f>
        <v>37.047142967698257</v>
      </c>
      <c r="BG789" s="184"/>
      <c r="BH789" s="35">
        <f t="shared" ref="BH789" si="5317">BH785/(BH787-BH793)*100</f>
        <v>37.140789482232677</v>
      </c>
      <c r="BI789" s="184"/>
      <c r="BJ789" s="35">
        <f t="shared" ref="BJ789" si="5318">BJ785/(BJ787-BJ793)*100</f>
        <v>37.408790440778375</v>
      </c>
      <c r="BK789" s="184"/>
      <c r="BL789" s="35">
        <f t="shared" ref="BL789" si="5319">BL785/(BL787-BL793)*100</f>
        <v>37.639578022737901</v>
      </c>
      <c r="BM789" s="184"/>
      <c r="BN789" s="157"/>
      <c r="BO789" s="138"/>
      <c r="BP789" s="157"/>
      <c r="BQ789" s="157"/>
      <c r="BR789" s="157"/>
      <c r="BS789" s="157"/>
      <c r="BT789" s="157"/>
      <c r="BU789" s="35"/>
      <c r="BV789" s="184"/>
      <c r="BW789" s="35"/>
      <c r="BX789" s="184"/>
      <c r="BY789" s="35">
        <f>BY785/(BY787-BY793)*100</f>
        <v>29.738213693437576</v>
      </c>
      <c r="BZ789" s="184"/>
      <c r="CA789" s="35">
        <f>CA785/(CA787-CA793)*100</f>
        <v>25.154906197678915</v>
      </c>
      <c r="CB789" s="184"/>
      <c r="CC789" s="35">
        <f>CC785/(CC787-CC793)*100</f>
        <v>27.533015291292816</v>
      </c>
      <c r="CD789" s="184"/>
      <c r="CE789" s="35">
        <f>CE785/(CE787-CE793)*100</f>
        <v>28.678193423285126</v>
      </c>
      <c r="CF789" s="184"/>
      <c r="CG789" s="35">
        <f>CG785/(CG787-CG793)*100</f>
        <v>36.445326175749798</v>
      </c>
      <c r="CH789" s="184"/>
      <c r="CI789" s="35">
        <f>CI785/(CI787-CI793)*100</f>
        <v>37.639578022737901</v>
      </c>
      <c r="CJ789" s="184"/>
      <c r="CK789" s="35">
        <f>CK785/(CK787-CK793)*100</f>
        <v>36.174623327507064</v>
      </c>
      <c r="CL789" s="184"/>
      <c r="CM789" s="35">
        <f>CM785/(CM787-CM793)*100</f>
        <v>34.714484358051237</v>
      </c>
      <c r="CN789" s="184"/>
      <c r="CO789" s="35">
        <f>CO785/(CO787-CO793)*100</f>
        <v>33.272006376664478</v>
      </c>
      <c r="CP789" s="184"/>
      <c r="CQ789" s="35">
        <f>CQ785/(CQ787-CQ793)*100</f>
        <v>31.856086659974974</v>
      </c>
      <c r="CR789" s="184"/>
      <c r="CS789" s="184"/>
      <c r="CT789" s="28"/>
    </row>
    <row r="790" spans="1:105" ht="12.75" hidden="1" customHeight="1" outlineLevel="1" x14ac:dyDescent="0.2">
      <c r="A790" s="46"/>
      <c r="C790" s="82"/>
      <c r="E790" s="82"/>
      <c r="G790" s="82"/>
      <c r="I790" s="82"/>
      <c r="K790" s="184"/>
      <c r="L790" s="6"/>
      <c r="M790" s="184"/>
      <c r="N790" s="6"/>
      <c r="O790" s="184"/>
      <c r="P790" s="6"/>
      <c r="Q790" s="184"/>
      <c r="R790" s="6"/>
      <c r="S790" s="184"/>
      <c r="T790" s="6"/>
      <c r="U790" s="184"/>
      <c r="V790" s="6"/>
      <c r="W790" s="184"/>
      <c r="X790" s="6"/>
      <c r="Y790" s="184"/>
      <c r="Z790" s="6"/>
      <c r="AA790" s="184"/>
      <c r="AB790" s="6"/>
      <c r="AC790" s="184"/>
      <c r="AD790" s="6"/>
      <c r="AE790" s="184"/>
      <c r="AF790" s="6"/>
      <c r="AG790" s="184"/>
      <c r="AH790" s="6"/>
      <c r="AI790" s="184"/>
      <c r="AJ790" s="6"/>
      <c r="AK790" s="184"/>
      <c r="AL790" s="6"/>
      <c r="AM790" s="184"/>
      <c r="AN790" s="473"/>
      <c r="AO790" s="184"/>
      <c r="AP790" s="473"/>
      <c r="AQ790" s="184"/>
      <c r="AR790" s="473"/>
      <c r="AS790" s="184"/>
      <c r="AT790" s="473"/>
      <c r="AU790" s="184"/>
      <c r="AV790" s="473"/>
      <c r="AW790" s="184"/>
      <c r="AX790" s="473"/>
      <c r="AY790" s="184"/>
      <c r="AZ790" s="473"/>
      <c r="BA790" s="184"/>
      <c r="BB790" s="473"/>
      <c r="BC790" s="184"/>
      <c r="BD790" s="473"/>
      <c r="BE790" s="184"/>
      <c r="BF790" s="6"/>
      <c r="BG790" s="184"/>
      <c r="BH790" s="6"/>
      <c r="BI790" s="184"/>
      <c r="BJ790" s="6"/>
      <c r="BK790" s="184"/>
      <c r="BL790" s="6"/>
      <c r="BM790" s="184"/>
      <c r="BR790" s="6"/>
      <c r="BS790" s="6"/>
      <c r="BT790" s="6"/>
      <c r="BU790" s="6"/>
      <c r="BV790" s="184"/>
      <c r="BW790" s="6"/>
      <c r="BX790" s="184"/>
      <c r="BY790" s="6"/>
      <c r="BZ790" s="184"/>
      <c r="CA790" s="6"/>
      <c r="CB790" s="184"/>
      <c r="CC790" s="6"/>
      <c r="CD790" s="184"/>
      <c r="CE790" s="6"/>
      <c r="CF790" s="184"/>
      <c r="CG790" s="6"/>
      <c r="CH790" s="184"/>
      <c r="CI790" s="6"/>
      <c r="CJ790" s="184"/>
      <c r="CK790" s="6"/>
      <c r="CL790" s="184"/>
      <c r="CM790" s="6"/>
      <c r="CN790" s="184"/>
      <c r="CO790" s="6"/>
      <c r="CP790" s="184"/>
      <c r="CQ790" s="6"/>
      <c r="CR790" s="184"/>
      <c r="CS790" s="184"/>
      <c r="CT790" s="28"/>
    </row>
    <row r="791" spans="1:105" ht="12.75" hidden="1" customHeight="1" outlineLevel="1" x14ac:dyDescent="0.2">
      <c r="A791" s="46" t="s">
        <v>345</v>
      </c>
      <c r="C791" s="82"/>
      <c r="E791" s="82"/>
      <c r="G791" s="82"/>
      <c r="I791" s="82"/>
      <c r="K791" s="184"/>
      <c r="L791" s="6"/>
      <c r="M791" s="184"/>
      <c r="N791" s="6"/>
      <c r="O791" s="184"/>
      <c r="P791" s="6"/>
      <c r="Q791" s="184"/>
      <c r="R791" s="6"/>
      <c r="S791" s="184"/>
      <c r="T791" s="6"/>
      <c r="U791" s="184"/>
      <c r="V791" s="6"/>
      <c r="W791" s="221"/>
      <c r="X791" s="6"/>
      <c r="Y791" s="221"/>
      <c r="Z791" s="6"/>
      <c r="AA791" s="221"/>
      <c r="AB791" s="6"/>
      <c r="AC791" s="221"/>
      <c r="AD791" s="6"/>
      <c r="AE791" s="221"/>
      <c r="AF791" s="6"/>
      <c r="AG791" s="221"/>
      <c r="AH791" s="6"/>
      <c r="AI791" s="221"/>
      <c r="AJ791" s="6"/>
      <c r="AK791" s="221"/>
      <c r="AL791" s="6"/>
      <c r="AM791" s="221"/>
      <c r="AN791" s="473"/>
      <c r="AO791" s="221"/>
      <c r="AP791" s="473"/>
      <c r="AQ791" s="221"/>
      <c r="AR791" s="544"/>
      <c r="AS791" s="221"/>
      <c r="AT791" s="544"/>
      <c r="AU791" s="221"/>
      <c r="AV791" s="544"/>
      <c r="AW791" s="221"/>
      <c r="AX791" s="544"/>
      <c r="AY791" s="221"/>
      <c r="AZ791" s="544"/>
      <c r="BA791" s="221"/>
      <c r="BB791" s="544"/>
      <c r="BC791" s="221"/>
      <c r="BD791" s="544"/>
      <c r="BE791" s="221"/>
      <c r="BF791" s="220"/>
      <c r="BG791" s="221"/>
      <c r="BH791" s="220"/>
      <c r="BI791" s="221"/>
      <c r="BJ791" s="220"/>
      <c r="BK791" s="221"/>
      <c r="BL791" s="220"/>
      <c r="BM791" s="221"/>
      <c r="BN791" s="222"/>
      <c r="BP791" s="222"/>
      <c r="BQ791" s="222"/>
      <c r="BR791" s="220"/>
      <c r="BS791" s="220"/>
      <c r="BT791" s="220"/>
      <c r="BU791" s="220"/>
      <c r="BV791" s="184"/>
      <c r="BW791" s="6"/>
      <c r="BX791" s="184"/>
      <c r="BY791" s="6"/>
      <c r="BZ791" s="184"/>
      <c r="CA791" s="6"/>
      <c r="CB791" s="184"/>
      <c r="CC791" s="6"/>
      <c r="CD791" s="184"/>
      <c r="CE791" s="6"/>
      <c r="CF791" s="184"/>
      <c r="CG791" s="6"/>
      <c r="CH791" s="184"/>
      <c r="CI791" s="6"/>
      <c r="CJ791" s="184"/>
      <c r="CK791" s="6"/>
      <c r="CL791" s="184"/>
      <c r="CM791" s="6"/>
      <c r="CN791" s="184"/>
      <c r="CO791" s="6"/>
      <c r="CP791" s="184"/>
      <c r="CQ791" s="6"/>
      <c r="CR791" s="184"/>
      <c r="CS791" s="184"/>
      <c r="CT791" s="28"/>
    </row>
    <row r="792" spans="1:105" ht="12.75" hidden="1" customHeight="1" outlineLevel="1" x14ac:dyDescent="0.2">
      <c r="A792" s="165" t="s">
        <v>346</v>
      </c>
      <c r="B792" s="36"/>
      <c r="C792" s="82"/>
      <c r="D792" s="36"/>
      <c r="E792" s="82"/>
      <c r="F792" s="36"/>
      <c r="G792" s="82"/>
      <c r="H792" s="48">
        <v>10037</v>
      </c>
      <c r="I792" s="82"/>
      <c r="J792" s="36"/>
      <c r="K792" s="23"/>
      <c r="L792" s="36"/>
      <c r="M792" s="23"/>
      <c r="N792" s="36"/>
      <c r="O792" s="23"/>
      <c r="P792" s="48">
        <v>9823</v>
      </c>
      <c r="Q792" s="23"/>
      <c r="R792" s="48">
        <v>9012</v>
      </c>
      <c r="S792" s="23" t="str">
        <f t="shared" ref="S792:Y795" si="5320">IF(ISERROR((R792/J792-1)*100),"NA",IF(((R792/J792-1)*100)&gt;100,"NM",IF(((R792/J792-1)*100)&lt;-50,"NM",(R792/J792-1)*100)))</f>
        <v>NA</v>
      </c>
      <c r="T792" s="48">
        <v>9190</v>
      </c>
      <c r="U792" s="23" t="str">
        <f t="shared" si="5320"/>
        <v>NA</v>
      </c>
      <c r="V792" s="48">
        <v>9419</v>
      </c>
      <c r="W792" s="23" t="str">
        <f t="shared" si="5320"/>
        <v>NA</v>
      </c>
      <c r="X792" s="48">
        <v>9216</v>
      </c>
      <c r="Y792" s="23">
        <f t="shared" si="5320"/>
        <v>-6.179374936373816</v>
      </c>
      <c r="Z792" s="49">
        <v>9123</v>
      </c>
      <c r="AA792" s="23">
        <f>IF(ISERROR((Z792/R792-1)*100),"NA",IF(((Z792/R792-1)*100)&gt;100,"NM",IF(((Z792/R792-1)*100)&lt;-50,"NM",(Z792/R792-1)*100)))</f>
        <v>1.231691078561914</v>
      </c>
      <c r="AB792" s="49">
        <v>9063</v>
      </c>
      <c r="AC792" s="23">
        <f>IF(ISERROR((AB792/T792-1)*100),"NA",IF(((AB792/T792-1)*100)&gt;100,"NM",IF(((AB792/T792-1)*100)&lt;-50,"NM",(AB792/T792-1)*100)))</f>
        <v>-1.3819368879216531</v>
      </c>
      <c r="AD792" s="49">
        <v>9115</v>
      </c>
      <c r="AE792" s="416">
        <f>IF(ISERROR((AD792/V792-1)*100),"NA",IF(((AD792/V792-1)*100)&gt;100,"NM",IF(((AD792/V792-1)*100)&lt;-50,"NM",(AD792/V792-1)*100)))</f>
        <v>-3.2275188448879888</v>
      </c>
      <c r="AF792" s="49">
        <v>8777</v>
      </c>
      <c r="AG792" s="215">
        <f>IF(ISERROR((AF792/X792-1)*100),"NA",IF(((AF792/X792-1)*100)&gt;100,"NM",IF(((AF792/X792-1)*100)&lt;-50,"NM",(AF792/X792-1)*100)))</f>
        <v>-4.763454861111116</v>
      </c>
      <c r="AH792" s="49">
        <v>8864</v>
      </c>
      <c r="AI792" s="215">
        <f>IF(ISERROR((AH792/Z792-1)*100),"NA",IF(((AH792/Z792-1)*100)&gt;100,"NM",IF(((AH792/Z792-1)*100)&lt;-50,"NM",(AH792/Z792-1)*100)))</f>
        <v>-2.8389784062260226</v>
      </c>
      <c r="AJ792" s="49">
        <v>8841</v>
      </c>
      <c r="AK792" s="215">
        <f>IF(ISERROR((AJ792/AB792-1)*100),"NA",IF(((AJ792/AB792-1)*100)&gt;100,"NM",IF(((AJ792/AB792-1)*100)&lt;-50,"NM",(AJ792/AB792-1)*100)))</f>
        <v>-2.4495200264813</v>
      </c>
      <c r="AL792" s="49">
        <v>8643</v>
      </c>
      <c r="AM792" s="215">
        <f>IF(ISERROR((AL792/AD792-1)*100),"NA",IF(((AL792/AD792-1)*100)&gt;100,"NM",IF(((AL792/AD792-1)*100)&lt;-50,"NM",(AL792/AD792-1)*100)))</f>
        <v>-5.1782775644541923</v>
      </c>
      <c r="AN792" s="158">
        <v>8377</v>
      </c>
      <c r="AO792" s="215">
        <f>IF(ISERROR((AN792/AF792-1)*100),"NA",IF(((AN792/AF792-1)*100)&gt;100,"NM",IF(((AN792/AF792-1)*100)&lt;-50,"NM",(AN792/AF792-1)*100)))</f>
        <v>-4.5573658425430157</v>
      </c>
      <c r="AP792" s="158">
        <v>8370</v>
      </c>
      <c r="AQ792" s="215">
        <f t="shared" ref="AQ792:AQ795" si="5321">IF(ISERROR((AP792/AH792-1)*100),"NA",IF(((AP792/AH792-1)*100)&gt;100,"NM",IF(((AP792/AH792-1)*100)&lt;-50,"NM",(AP792/AH792-1)*100)))</f>
        <v>-5.5731046931407953</v>
      </c>
      <c r="AR792" s="158">
        <v>8256</v>
      </c>
      <c r="AS792" s="215">
        <f t="shared" ref="AS792:AS795" si="5322">IF(ISERROR((AR792/AJ792-1)*100),"NA",IF(((AR792/AJ792-1)*100)&gt;100,"NM",IF(((AR792/AJ792-1)*100)&lt;-50,"NM",(AR792/AJ792-1)*100)))</f>
        <v>-6.6168985408890375</v>
      </c>
      <c r="AT792" s="158">
        <v>8108</v>
      </c>
      <c r="AU792" s="215">
        <f t="shared" ref="AU792:AU795" si="5323">IF(ISERROR((AT792/AL792-1)*100),"NA",IF(((AT792/AL792-1)*100)&gt;100,"NM",IF(((AT792/AL792-1)*100)&lt;-50,"NM",(AT792/AL792-1)*100)))</f>
        <v>-6.1899803309036212</v>
      </c>
      <c r="AV792" s="158">
        <v>7878</v>
      </c>
      <c r="AW792" s="215">
        <f t="shared" ref="AW792:AW795" si="5324">IF(ISERROR((AV792/AN792-1)*100),"NA",IF(((AV792/AN792-1)*100)&gt;100,"NM",IF(((AV792/AN792-1)*100)&lt;-50,"NM",(AV792/AN792-1)*100)))</f>
        <v>-5.956786439059325</v>
      </c>
      <c r="AX792" s="158">
        <v>7656</v>
      </c>
      <c r="AY792" s="215">
        <f t="shared" ref="AY792:AY795" si="5325">IF(ISERROR((AX792/AP792-1)*100),"NA",IF(((AX792/AP792-1)*100)&gt;100,"NM",IF(((AX792/AP792-1)*100)&lt;-50,"NM",(AX792/AP792-1)*100)))</f>
        <v>-8.5304659498207869</v>
      </c>
      <c r="AZ792" s="158">
        <f t="shared" ref="AZ792:AZ793" si="5326">AX792</f>
        <v>7656</v>
      </c>
      <c r="BA792" s="215">
        <f t="shared" ref="BA792:BA795" si="5327">IF(ISERROR((AZ792/AR792-1)*100),"NA",IF(((AZ792/AR792-1)*100)&gt;100,"NM",IF(((AZ792/AR792-1)*100)&lt;-50,"NM",(AZ792/AR792-1)*100)))</f>
        <v>-7.2674418604651176</v>
      </c>
      <c r="BB792" s="158">
        <f t="shared" ref="BB792:BD793" si="5328">AZ792</f>
        <v>7656</v>
      </c>
      <c r="BC792" s="215">
        <f t="shared" ref="BC792:BC795" si="5329">IF(ISERROR((BB792/AT792-1)*100),"NA",IF(((BB792/AT792-1)*100)&gt;100,"NM",IF(((BB792/AT792-1)*100)&lt;-50,"NM",(BB792/AT792-1)*100)))</f>
        <v>-5.5747409965466233</v>
      </c>
      <c r="BD792" s="158">
        <f t="shared" si="5328"/>
        <v>7656</v>
      </c>
      <c r="BE792" s="215">
        <f t="shared" ref="BE792:BE795" si="5330">IF(ISERROR((BD792/AV792-1)*100),"NA",IF(((BD792/AV792-1)*100)&gt;100,"NM",IF(((BD792/AV792-1)*100)&lt;-50,"NM",(BD792/AV792-1)*100)))</f>
        <v>-2.8179741051028162</v>
      </c>
      <c r="BF792" s="49">
        <f t="shared" ref="BF792:BJ793" si="5331">BD792</f>
        <v>7656</v>
      </c>
      <c r="BG792" s="215">
        <f t="shared" ref="BG792:BG795" si="5332">IF(ISERROR((BF792/AX792-1)*100),"NA",IF(((BF792/AX792-1)*100)&gt;100,"NM",IF(((BF792/AX792-1)*100)&lt;-50,"NM",(BF792/AX792-1)*100)))</f>
        <v>0</v>
      </c>
      <c r="BH792" s="49">
        <f t="shared" si="5331"/>
        <v>7656</v>
      </c>
      <c r="BI792" s="215">
        <f t="shared" ref="BI792:BI795" si="5333">IF(ISERROR((BH792/AZ792-1)*100),"NA",IF(((BH792/AZ792-1)*100)&gt;100,"NM",IF(((BH792/AZ792-1)*100)&lt;-50,"NM",(BH792/AZ792-1)*100)))</f>
        <v>0</v>
      </c>
      <c r="BJ792" s="49">
        <f t="shared" si="5331"/>
        <v>7656</v>
      </c>
      <c r="BK792" s="215">
        <f t="shared" ref="BK792:BK795" si="5334">IF(ISERROR((BJ792/BB792-1)*100),"NA",IF(((BJ792/BB792-1)*100)&gt;100,"NM",IF(((BJ792/BB792-1)*100)&lt;-50,"NM",(BJ792/BB792-1)*100)))</f>
        <v>0</v>
      </c>
      <c r="BL792" s="49">
        <f t="shared" ref="BL792:BL793" si="5335">BJ792</f>
        <v>7656</v>
      </c>
      <c r="BM792" s="215">
        <f t="shared" ref="BM792:BM795" si="5336">IF(ISERROR((BL792/BD792-1)*100),"NA",IF(((BL792/BD792-1)*100)&gt;100,"NM",IF(((BL792/BD792-1)*100)&lt;-50,"NM",(BL792/BD792-1)*100)))</f>
        <v>0</v>
      </c>
      <c r="BN792" s="222"/>
      <c r="BP792" s="222"/>
      <c r="BQ792" s="222"/>
      <c r="BR792" s="220"/>
      <c r="BS792" s="220"/>
      <c r="BT792" s="220"/>
      <c r="BU792" s="211">
        <f>H792</f>
        <v>10037</v>
      </c>
      <c r="BV792" s="23" t="str">
        <f t="shared" ref="BV792:CR795" si="5337">IF(ISERROR((BU792/BS792-1)*100),"NA",IF(((BU792/BS792-1)*100)&gt;100,"NM",IF(((BU792/BS792-1)*100)&lt;-50,"NM",(BU792/BS792-1)*100)))</f>
        <v>NA</v>
      </c>
      <c r="BW792" s="36">
        <f>P792</f>
        <v>9823</v>
      </c>
      <c r="BX792" s="23">
        <f t="shared" si="5337"/>
        <v>-2.1321111886021704</v>
      </c>
      <c r="BY792" s="36">
        <f>X792</f>
        <v>9216</v>
      </c>
      <c r="BZ792" s="23">
        <f t="shared" si="5337"/>
        <v>-6.179374936373816</v>
      </c>
      <c r="CA792" s="36">
        <f>AF792</f>
        <v>8777</v>
      </c>
      <c r="CB792" s="23">
        <f t="shared" si="5337"/>
        <v>-4.763454861111116</v>
      </c>
      <c r="CC792" s="36">
        <f>AN792</f>
        <v>8377</v>
      </c>
      <c r="CD792" s="23">
        <f t="shared" si="5337"/>
        <v>-4.5573658425430157</v>
      </c>
      <c r="CE792" s="36">
        <f>AV792</f>
        <v>7878</v>
      </c>
      <c r="CF792" s="23">
        <f t="shared" si="5337"/>
        <v>-5.956786439059325</v>
      </c>
      <c r="CG792" s="36">
        <f>BD792</f>
        <v>7656</v>
      </c>
      <c r="CH792" s="23">
        <f t="shared" si="5337"/>
        <v>-2.8179741051028162</v>
      </c>
      <c r="CI792" s="36">
        <f>BL792</f>
        <v>7656</v>
      </c>
      <c r="CJ792" s="23">
        <f t="shared" si="5337"/>
        <v>0</v>
      </c>
      <c r="CK792" s="48">
        <f>CI792</f>
        <v>7656</v>
      </c>
      <c r="CL792" s="23">
        <f t="shared" si="5337"/>
        <v>0</v>
      </c>
      <c r="CM792" s="48">
        <f>CK792</f>
        <v>7656</v>
      </c>
      <c r="CN792" s="23">
        <f t="shared" si="5337"/>
        <v>0</v>
      </c>
      <c r="CO792" s="48">
        <f>CM792</f>
        <v>7656</v>
      </c>
      <c r="CP792" s="23">
        <f t="shared" si="5337"/>
        <v>0</v>
      </c>
      <c r="CQ792" s="48">
        <f>CO792</f>
        <v>7656</v>
      </c>
      <c r="CR792" s="23">
        <f t="shared" si="5337"/>
        <v>0</v>
      </c>
      <c r="CS792" s="23"/>
      <c r="CT792" s="28"/>
    </row>
    <row r="793" spans="1:105" ht="12.75" hidden="1" customHeight="1" outlineLevel="1" x14ac:dyDescent="0.2">
      <c r="A793" s="165" t="s">
        <v>221</v>
      </c>
      <c r="B793" s="48">
        <v>3010</v>
      </c>
      <c r="C793" s="24"/>
      <c r="D793" s="56">
        <f>B793</f>
        <v>3010</v>
      </c>
      <c r="E793" s="24"/>
      <c r="F793" s="56">
        <f>D793</f>
        <v>3010</v>
      </c>
      <c r="G793" s="24"/>
      <c r="H793" s="49">
        <v>3452</v>
      </c>
      <c r="I793" s="24"/>
      <c r="J793" s="56">
        <f>H793</f>
        <v>3452</v>
      </c>
      <c r="K793" s="23">
        <f>IF(ISERROR((J793/B793-1)*100),"NA",IF(((J793/B793-1)*100)&gt;100,"NM",IF(((J793/B793-1)*100)&lt;-50,"NM",(J793/B793-1)*100)))</f>
        <v>14.684385382059805</v>
      </c>
      <c r="L793" s="56">
        <f>J793</f>
        <v>3452</v>
      </c>
      <c r="M793" s="23">
        <f>IF(ISERROR((L793/D793-1)*100),"NA",IF(((L793/D793-1)*100)&gt;100,"NM",IF(((L793/D793-1)*100)&lt;-50,"NM",(L793/D793-1)*100)))</f>
        <v>14.684385382059805</v>
      </c>
      <c r="N793" s="56">
        <f>L793</f>
        <v>3452</v>
      </c>
      <c r="O793" s="23">
        <f>IF(ISERROR((N793/F793-1)*100),"NA",IF(((N793/F793-1)*100)&gt;100,"NM",IF(((N793/F793-1)*100)&lt;-50,"NM",(N793/F793-1)*100)))</f>
        <v>14.684385382059805</v>
      </c>
      <c r="P793" s="49">
        <v>3262</v>
      </c>
      <c r="Q793" s="23">
        <f>IF(ISERROR((P793/H793-1)*100),"NA",IF(((P793/H793-1)*100)&gt;100,"NM",IF(((P793/H793-1)*100)&lt;-50,"NM",(P793/H793-1)*100)))</f>
        <v>-5.5040556199304707</v>
      </c>
      <c r="R793" s="49">
        <v>4589</v>
      </c>
      <c r="S793" s="23">
        <f t="shared" si="5320"/>
        <v>32.937427578215519</v>
      </c>
      <c r="T793" s="49">
        <v>3983</v>
      </c>
      <c r="U793" s="23">
        <f t="shared" si="5320"/>
        <v>15.38238702201622</v>
      </c>
      <c r="V793" s="49">
        <v>3444</v>
      </c>
      <c r="W793" s="23">
        <f>IF(ISERROR((V793/N793-1)*100),"NA",IF(((V793/N793-1)*100)&gt;100,"NM",IF(((V793/N793-1)*100)&lt;-50,"NM",(V793/N793-1)*100)))</f>
        <v>-0.2317497103128674</v>
      </c>
      <c r="X793" s="49">
        <v>3119</v>
      </c>
      <c r="Y793" s="23">
        <f t="shared" si="5320"/>
        <v>-4.3838136112814174</v>
      </c>
      <c r="Z793" s="49">
        <v>3140</v>
      </c>
      <c r="AA793" s="23">
        <f>IF(ISERROR((Z793/R793-1)*100),"NA",IF(((Z793/R793-1)*100)&gt;100,"NM",IF(((Z793/R793-1)*100)&lt;-50,"NM",(Z793/R793-1)*100)))</f>
        <v>-31.575506646328179</v>
      </c>
      <c r="AB793" s="49">
        <v>3293</v>
      </c>
      <c r="AC793" s="23">
        <f>IF(ISERROR((AB793/T793-1)*100),"NA",IF(((AB793/T793-1)*100)&gt;100,"NM",IF(((AB793/T793-1)*100)&lt;-50,"NM",(AB793/T793-1)*100)))</f>
        <v>-17.323625407983933</v>
      </c>
      <c r="AD793" s="49">
        <v>3474</v>
      </c>
      <c r="AE793" s="416">
        <f>IF(ISERROR((AD793/V793-1)*100),"NA",IF(((AD793/V793-1)*100)&gt;100,"NM",IF(((AD793/V793-1)*100)&lt;-50,"NM",(AD793/V793-1)*100)))</f>
        <v>0.87108013937282625</v>
      </c>
      <c r="AF793" s="49">
        <v>2582</v>
      </c>
      <c r="AG793" s="215">
        <f>IF(ISERROR((AF793/X793-1)*100),"NA",IF(((AF793/X793-1)*100)&gt;100,"NM",IF(((AF793/X793-1)*100)&lt;-50,"NM",(AF793/X793-1)*100)))</f>
        <v>-17.217056748958004</v>
      </c>
      <c r="AH793" s="49">
        <v>2616</v>
      </c>
      <c r="AI793" s="215">
        <f>IF(ISERROR((AH793/Z793-1)*100),"NA",IF(((AH793/Z793-1)*100)&gt;100,"NM",IF(((AH793/Z793-1)*100)&lt;-50,"NM",(AH793/Z793-1)*100)))</f>
        <v>-16.68789808917197</v>
      </c>
      <c r="AJ793" s="49">
        <v>2650</v>
      </c>
      <c r="AK793" s="215">
        <f>IF(ISERROR((AJ793/AB793-1)*100),"NA",IF(((AJ793/AB793-1)*100)&gt;100,"NM",IF(((AJ793/AB793-1)*100)&lt;-50,"NM",(AJ793/AB793-1)*100)))</f>
        <v>-19.526267840874578</v>
      </c>
      <c r="AL793" s="581">
        <v>2650</v>
      </c>
      <c r="AM793" s="215">
        <f>IF(ISERROR((AL793/AD793-1)*100),"NA",IF(((AL793/AD793-1)*100)&gt;100,"NM",IF(((AL793/AD793-1)*100)&lt;-50,"NM",(AL793/AD793-1)*100)))</f>
        <v>-23.719055843408178</v>
      </c>
      <c r="AN793" s="158">
        <v>2836</v>
      </c>
      <c r="AO793" s="215">
        <f>IF(ISERROR((AN793/AF793-1)*100),"NA",IF(((AN793/AF793-1)*100)&gt;100,"NM",IF(((AN793/AF793-1)*100)&lt;-50,"NM",(AN793/AF793-1)*100)))</f>
        <v>9.8373353989155596</v>
      </c>
      <c r="AP793" s="158">
        <v>3331</v>
      </c>
      <c r="AQ793" s="23">
        <f t="shared" si="5321"/>
        <v>27.331804281345562</v>
      </c>
      <c r="AR793" s="158">
        <v>3272</v>
      </c>
      <c r="AS793" s="23">
        <f t="shared" si="5322"/>
        <v>23.471698113207552</v>
      </c>
      <c r="AT793" s="158">
        <v>2880</v>
      </c>
      <c r="AU793" s="215">
        <f t="shared" si="5323"/>
        <v>8.6792452830188651</v>
      </c>
      <c r="AV793" s="158">
        <v>2246</v>
      </c>
      <c r="AW793" s="215">
        <f t="shared" si="5324"/>
        <v>-20.803949224259522</v>
      </c>
      <c r="AX793" s="158">
        <v>1832</v>
      </c>
      <c r="AY793" s="215">
        <f t="shared" si="5325"/>
        <v>-45.001501050735513</v>
      </c>
      <c r="AZ793" s="158">
        <f t="shared" si="5326"/>
        <v>1832</v>
      </c>
      <c r="BA793" s="215">
        <f t="shared" si="5327"/>
        <v>-44.009779951100249</v>
      </c>
      <c r="BB793" s="158">
        <f t="shared" si="5328"/>
        <v>1832</v>
      </c>
      <c r="BC793" s="215">
        <f t="shared" si="5329"/>
        <v>-36.388888888888893</v>
      </c>
      <c r="BD793" s="158">
        <f t="shared" si="5328"/>
        <v>1832</v>
      </c>
      <c r="BE793" s="215">
        <f t="shared" si="5330"/>
        <v>-18.432769367764912</v>
      </c>
      <c r="BF793" s="49">
        <f t="shared" si="5331"/>
        <v>1832</v>
      </c>
      <c r="BG793" s="215">
        <f t="shared" si="5332"/>
        <v>0</v>
      </c>
      <c r="BH793" s="49">
        <f t="shared" si="5331"/>
        <v>1832</v>
      </c>
      <c r="BI793" s="215">
        <f t="shared" si="5333"/>
        <v>0</v>
      </c>
      <c r="BJ793" s="49">
        <f t="shared" si="5331"/>
        <v>1832</v>
      </c>
      <c r="BK793" s="215">
        <f t="shared" si="5334"/>
        <v>0</v>
      </c>
      <c r="BL793" s="49">
        <f t="shared" si="5335"/>
        <v>1832</v>
      </c>
      <c r="BM793" s="215">
        <f t="shared" si="5336"/>
        <v>0</v>
      </c>
      <c r="BN793" s="222"/>
      <c r="BP793" s="222"/>
      <c r="BQ793" s="222"/>
      <c r="BR793" s="220"/>
      <c r="BS793" s="220"/>
      <c r="BT793" s="220"/>
      <c r="BU793" s="211">
        <f>H793</f>
        <v>3452</v>
      </c>
      <c r="BV793" s="23" t="str">
        <f t="shared" si="5337"/>
        <v>NA</v>
      </c>
      <c r="BW793" s="36">
        <f>P793</f>
        <v>3262</v>
      </c>
      <c r="BX793" s="23">
        <f t="shared" si="5337"/>
        <v>-5.5040556199304707</v>
      </c>
      <c r="BY793" s="36">
        <f>X793</f>
        <v>3119</v>
      </c>
      <c r="BZ793" s="23">
        <f t="shared" si="5337"/>
        <v>-4.3838136112814174</v>
      </c>
      <c r="CA793" s="36">
        <f>AF793</f>
        <v>2582</v>
      </c>
      <c r="CB793" s="23">
        <f t="shared" si="5337"/>
        <v>-17.217056748958004</v>
      </c>
      <c r="CC793" s="36">
        <f>AN793</f>
        <v>2836</v>
      </c>
      <c r="CD793" s="23">
        <f t="shared" si="5337"/>
        <v>9.8373353989155596</v>
      </c>
      <c r="CE793" s="36">
        <f>AV793</f>
        <v>2246</v>
      </c>
      <c r="CF793" s="23">
        <f t="shared" si="5337"/>
        <v>-20.803949224259522</v>
      </c>
      <c r="CG793" s="36">
        <f>BD793</f>
        <v>1832</v>
      </c>
      <c r="CH793" s="23">
        <f t="shared" si="5337"/>
        <v>-18.432769367764912</v>
      </c>
      <c r="CI793" s="36">
        <f>BL793</f>
        <v>1832</v>
      </c>
      <c r="CJ793" s="23">
        <f t="shared" si="5337"/>
        <v>0</v>
      </c>
      <c r="CK793" s="48">
        <f>CI793*0.93</f>
        <v>1703.76</v>
      </c>
      <c r="CL793" s="23">
        <f t="shared" si="5337"/>
        <v>-6.9999999999999947</v>
      </c>
      <c r="CM793" s="48">
        <f>CK793*0.93</f>
        <v>1584.4968000000001</v>
      </c>
      <c r="CN793" s="23">
        <f t="shared" si="5337"/>
        <v>-6.9999999999999947</v>
      </c>
      <c r="CO793" s="48">
        <f>CM793*0.93</f>
        <v>1473.5820240000003</v>
      </c>
      <c r="CP793" s="23">
        <f t="shared" si="5337"/>
        <v>-6.9999999999999947</v>
      </c>
      <c r="CQ793" s="48">
        <f>CO793*0.93</f>
        <v>1370.4312823200003</v>
      </c>
      <c r="CR793" s="23">
        <f t="shared" si="5337"/>
        <v>-6.9999999999999947</v>
      </c>
      <c r="CS793" s="23"/>
      <c r="CT793" s="28"/>
    </row>
    <row r="794" spans="1:105" ht="12.75" hidden="1" customHeight="1" outlineLevel="1" x14ac:dyDescent="0.2">
      <c r="A794" s="165" t="s">
        <v>347</v>
      </c>
      <c r="B794" s="36"/>
      <c r="C794" s="82"/>
      <c r="D794" s="36"/>
      <c r="E794" s="82"/>
      <c r="F794" s="36"/>
      <c r="G794" s="82"/>
      <c r="H794" s="36">
        <f>H795-H793-H792</f>
        <v>311.20000000000073</v>
      </c>
      <c r="I794" s="82"/>
      <c r="J794" s="36"/>
      <c r="K794" s="23"/>
      <c r="L794" s="36"/>
      <c r="M794" s="23"/>
      <c r="N794" s="36"/>
      <c r="O794" s="23"/>
      <c r="P794" s="36">
        <f>P795-P793-P792</f>
        <v>887.5</v>
      </c>
      <c r="Q794" s="23"/>
      <c r="R794" s="36">
        <f>R795-R793-R792</f>
        <v>44.600000000002183</v>
      </c>
      <c r="S794" s="23" t="str">
        <f t="shared" si="5320"/>
        <v>NA</v>
      </c>
      <c r="T794" s="36">
        <f>T795-T793-T792</f>
        <v>894.09999999999854</v>
      </c>
      <c r="U794" s="23" t="str">
        <f t="shared" si="5320"/>
        <v>NA</v>
      </c>
      <c r="V794" s="36">
        <f>V795-V793-V792</f>
        <v>1471.5</v>
      </c>
      <c r="W794" s="215" t="str">
        <f t="shared" si="5320"/>
        <v>NA</v>
      </c>
      <c r="X794" s="36">
        <f>X795-X793-X792</f>
        <v>2602.7999999999993</v>
      </c>
      <c r="Y794" s="215" t="str">
        <f t="shared" si="5320"/>
        <v>NM</v>
      </c>
      <c r="Z794" s="36">
        <f>Z795-Z793-Z792</f>
        <v>2676</v>
      </c>
      <c r="AA794" s="215" t="str">
        <f>IF(ISERROR((Z794/R794-1)*100),"NA",IF(((Z794/R794-1)*100)&gt;100,"NM",IF(((Z794/R794-1)*100)&lt;-50,"NM",(Z794/R794-1)*100)))</f>
        <v>NM</v>
      </c>
      <c r="AB794" s="36">
        <f>AB795-AB793-AB792</f>
        <v>2873.6000000000022</v>
      </c>
      <c r="AC794" s="215" t="str">
        <f>IF(ISERROR((AB794/T794-1)*100),"NA",IF(((AB794/T794-1)*100)&gt;100,"NM",IF(((AB794/T794-1)*100)&lt;-50,"NM",(AB794/T794-1)*100)))</f>
        <v>NM</v>
      </c>
      <c r="AD794" s="36">
        <f>AD795-AD793-AD792</f>
        <v>2745.4000000000015</v>
      </c>
      <c r="AE794" s="215">
        <f>IF(ISERROR((AD794/V794-1)*100),"NA",IF(((AD794/V794-1)*100)&gt;100,"NM",IF(((AD794/V794-1)*100)&lt;-50,"NM",(AD794/V794-1)*100)))</f>
        <v>86.571525654094557</v>
      </c>
      <c r="AF794" s="36">
        <f>AF795-AF793-AF792</f>
        <v>5199.1999999999971</v>
      </c>
      <c r="AG794" s="215">
        <f>IF(ISERROR((AF794/X794-1)*100),"NA",IF(((AF794/X794-1)*100)&gt;100,"NM",IF(((AF794/X794-1)*100)&lt;-50,"NM",(AF794/X794-1)*100)))</f>
        <v>99.754110957430413</v>
      </c>
      <c r="AH794" s="36">
        <f>AH795-AH793-AH792</f>
        <v>4649.2000000000007</v>
      </c>
      <c r="AI794" s="215">
        <f>IF(ISERROR((AH794/Z794-1)*100),"NA",IF(((AH794/Z794-1)*100)&gt;100,"NM",IF(((AH794/Z794-1)*100)&lt;-50,"NM",(AH794/Z794-1)*100)))</f>
        <v>73.736920777279551</v>
      </c>
      <c r="AJ794" s="36">
        <f>AJ795-AJ793-AJ792</f>
        <v>4741.5999999999985</v>
      </c>
      <c r="AK794" s="215">
        <f>IF(ISERROR((AJ794/AB794-1)*100),"NA",IF(((AJ794/AB794-1)*100)&gt;100,"NM",IF(((AJ794/AB794-1)*100)&lt;-50,"NM",(AJ794/AB794-1)*100)))</f>
        <v>65.005567928730329</v>
      </c>
      <c r="AL794" s="36">
        <f>AL795-AL793-AL792</f>
        <v>4433.0000000000018</v>
      </c>
      <c r="AM794" s="215">
        <f>IF(ISERROR((AL794/AD794-1)*100),"NA",IF(((AL794/AD794-1)*100)&gt;100,"NM",IF(((AL794/AD794-1)*100)&lt;-50,"NM",(AL794/AD794-1)*100)))</f>
        <v>61.470095432359571</v>
      </c>
      <c r="AN794" s="410">
        <f t="shared" ref="AN794:AP794" si="5338">AN795-AN793-AN792</f>
        <v>4283.7999999999975</v>
      </c>
      <c r="AO794" s="215">
        <f>IF(ISERROR((AN794/AF794-1)*100),"NA",IF(((AN794/AF794-1)*100)&gt;100,"NM",IF(((AN794/AF794-1)*100)&lt;-50,"NM",(AN794/AF794-1)*100)))</f>
        <v>-17.606554854593014</v>
      </c>
      <c r="AP794" s="410">
        <f t="shared" si="5338"/>
        <v>3739.9999999999982</v>
      </c>
      <c r="AQ794" s="215">
        <f t="shared" si="5321"/>
        <v>-19.556052654220135</v>
      </c>
      <c r="AR794" s="456">
        <f t="shared" ref="AR794:AT794" si="5339">AR795-AR793-AR792</f>
        <v>3918.7000000000007</v>
      </c>
      <c r="AS794" s="215">
        <f t="shared" si="5322"/>
        <v>-17.354901299139492</v>
      </c>
      <c r="AT794" s="456">
        <f t="shared" si="5339"/>
        <v>4249.3999999999978</v>
      </c>
      <c r="AU794" s="215">
        <f t="shared" si="5323"/>
        <v>-4.1416647868261602</v>
      </c>
      <c r="AV794" s="456">
        <f t="shared" ref="AV794:AX794" si="5340">AV795-AV793-AV792</f>
        <v>4499</v>
      </c>
      <c r="AW794" s="215">
        <f t="shared" si="5324"/>
        <v>5.0235771978150767</v>
      </c>
      <c r="AX794" s="456">
        <f t="shared" si="5340"/>
        <v>4016.2000000000007</v>
      </c>
      <c r="AY794" s="215">
        <f t="shared" si="5325"/>
        <v>7.3850267379679924</v>
      </c>
      <c r="AZ794" s="456">
        <f t="shared" ref="AZ794" si="5341">AZ795-AZ793-AZ792</f>
        <v>3984.7000000000007</v>
      </c>
      <c r="BA794" s="215">
        <f t="shared" si="5327"/>
        <v>1.6842320157195001</v>
      </c>
      <c r="BB794" s="456">
        <f t="shared" ref="BB794:BD794" si="5342">BB795-BB793-BB792</f>
        <v>4555.8000000000029</v>
      </c>
      <c r="BC794" s="215">
        <f t="shared" si="5329"/>
        <v>7.2104297077235646</v>
      </c>
      <c r="BD794" s="456">
        <f t="shared" si="5342"/>
        <v>913</v>
      </c>
      <c r="BE794" s="215" t="str">
        <f t="shared" si="5330"/>
        <v>NM</v>
      </c>
      <c r="BF794" s="211">
        <f t="shared" ref="BF794" si="5343">BF795-BF793-BF792</f>
        <v>773.7998437368642</v>
      </c>
      <c r="BG794" s="215" t="str">
        <f t="shared" si="5332"/>
        <v>NM</v>
      </c>
      <c r="BH794" s="211">
        <f t="shared" ref="BH794" si="5344">BH795-BH793-BH792</f>
        <v>752.54500816137261</v>
      </c>
      <c r="BI794" s="215" t="str">
        <f t="shared" si="5333"/>
        <v>NM</v>
      </c>
      <c r="BJ794" s="211">
        <f t="shared" ref="BJ794" si="5345">BJ795-BJ793-BJ792</f>
        <v>692.30520634983441</v>
      </c>
      <c r="BK794" s="215" t="str">
        <f t="shared" si="5334"/>
        <v>NM</v>
      </c>
      <c r="BL794" s="211">
        <f t="shared" ref="BL794" si="5346">BL795-BL793-BL792</f>
        <v>641.11746001352549</v>
      </c>
      <c r="BM794" s="215">
        <f t="shared" si="5336"/>
        <v>-29.779029571355366</v>
      </c>
      <c r="BN794" s="222"/>
      <c r="BP794" s="222"/>
      <c r="BQ794" s="222"/>
      <c r="BR794" s="220"/>
      <c r="BS794" s="220"/>
      <c r="BT794" s="220"/>
      <c r="BU794" s="211">
        <f>BU795-BU793-BU792</f>
        <v>311.20000000000073</v>
      </c>
      <c r="BV794" s="23" t="str">
        <f t="shared" si="5337"/>
        <v>NA</v>
      </c>
      <c r="BW794" s="211">
        <f>BW795-BW793-BW792</f>
        <v>887.5</v>
      </c>
      <c r="BX794" s="23" t="str">
        <f t="shared" si="5337"/>
        <v>NM</v>
      </c>
      <c r="BY794" s="211">
        <f>BY795-BY793-BY792</f>
        <v>2602.7999999999993</v>
      </c>
      <c r="BZ794" s="23" t="str">
        <f t="shared" si="5337"/>
        <v>NM</v>
      </c>
      <c r="CA794" s="211">
        <f>CA795-CA793-CA792</f>
        <v>5199.1999999999971</v>
      </c>
      <c r="CB794" s="23">
        <f t="shared" si="5337"/>
        <v>99.754110957430413</v>
      </c>
      <c r="CC794" s="211">
        <f>CC795-CC793-CC792</f>
        <v>4283.7999999999975</v>
      </c>
      <c r="CD794" s="23">
        <f t="shared" si="5337"/>
        <v>-17.606554854593014</v>
      </c>
      <c r="CE794" s="211">
        <f>CE795-CE793-CE792</f>
        <v>4499</v>
      </c>
      <c r="CF794" s="23">
        <f t="shared" si="5337"/>
        <v>5.0235771978150767</v>
      </c>
      <c r="CG794" s="211">
        <f>CG795-CG793-CG792</f>
        <v>913</v>
      </c>
      <c r="CH794" s="23" t="str">
        <f t="shared" si="5337"/>
        <v>NM</v>
      </c>
      <c r="CI794" s="211">
        <f>CI795-CI793-CI792</f>
        <v>641.11746001352549</v>
      </c>
      <c r="CJ794" s="23">
        <f t="shared" si="5337"/>
        <v>-29.779029571355366</v>
      </c>
      <c r="CK794" s="211">
        <f>CK795-CK793-CK792</f>
        <v>977.12375563916612</v>
      </c>
      <c r="CL794" s="23">
        <f t="shared" si="5337"/>
        <v>52.409475109062221</v>
      </c>
      <c r="CM794" s="211">
        <f>CM795-CM793-CM792</f>
        <v>1340.2448175488771</v>
      </c>
      <c r="CN794" s="23">
        <f t="shared" si="5337"/>
        <v>37.162238643167832</v>
      </c>
      <c r="CO794" s="211">
        <f>CO795-CO793-CO792</f>
        <v>1730.2689392555985</v>
      </c>
      <c r="CP794" s="23">
        <f t="shared" si="5337"/>
        <v>29.100961003529324</v>
      </c>
      <c r="CQ794" s="211">
        <f>CQ795-CQ793-CQ792</f>
        <v>2147.4640391779158</v>
      </c>
      <c r="CR794" s="23">
        <f t="shared" si="5337"/>
        <v>24.111575400631313</v>
      </c>
      <c r="CS794" s="23"/>
      <c r="CT794" s="28"/>
    </row>
    <row r="795" spans="1:105" ht="12.75" hidden="1" customHeight="1" outlineLevel="1" x14ac:dyDescent="0.2">
      <c r="A795" s="165" t="s">
        <v>75</v>
      </c>
      <c r="B795" s="36">
        <f>B787</f>
        <v>13786.8</v>
      </c>
      <c r="C795" s="82"/>
      <c r="D795" s="36">
        <f>D787</f>
        <v>14176.399999999998</v>
      </c>
      <c r="E795" s="82"/>
      <c r="F795" s="36">
        <f>F787</f>
        <v>15235.400000000001</v>
      </c>
      <c r="G795" s="82"/>
      <c r="H795" s="36">
        <f>H787</f>
        <v>13800.2</v>
      </c>
      <c r="I795" s="82"/>
      <c r="J795" s="36">
        <f>J787</f>
        <v>13286.100000000002</v>
      </c>
      <c r="K795" s="23">
        <f>IF(ISERROR((J795/B795-1)*100),"NA",IF(((J795/B795-1)*100)&gt;100,"NM",IF(((J795/B795-1)*100)&lt;-50,"NM",(J795/B795-1)*100)))</f>
        <v>-3.6317347027591373</v>
      </c>
      <c r="L795" s="36">
        <f>L787</f>
        <v>13754.099999999999</v>
      </c>
      <c r="M795" s="23">
        <f>IF(ISERROR((L795/D795-1)*100),"NA",IF(((L795/D795-1)*100)&gt;100,"NM",IF(((L795/D795-1)*100)&lt;-50,"NM",(L795/D795-1)*100)))</f>
        <v>-2.9788945007194978</v>
      </c>
      <c r="N795" s="36">
        <f>N787</f>
        <v>14102.2</v>
      </c>
      <c r="O795" s="23">
        <f>IF(ISERROR((N795/F795-1)*100),"NA",IF(((N795/F795-1)*100)&gt;100,"NM",IF(((N795/F795-1)*100)&lt;-50,"NM",(N795/F795-1)*100)))</f>
        <v>-7.4379405857411101</v>
      </c>
      <c r="P795" s="36">
        <f>P787</f>
        <v>13972.5</v>
      </c>
      <c r="Q795" s="23">
        <f>IF(ISERROR((P795/H795-1)*100),"NA",IF(((P795/H795-1)*100)&gt;100,"NM",IF(((P795/H795-1)*100)&lt;-50,"NM",(P795/H795-1)*100)))</f>
        <v>1.2485326299618738</v>
      </c>
      <c r="R795" s="36">
        <f>R787</f>
        <v>13645.600000000002</v>
      </c>
      <c r="S795" s="23">
        <f t="shared" si="5320"/>
        <v>2.7058354219823721</v>
      </c>
      <c r="T795" s="36">
        <f>T787</f>
        <v>14067.099999999999</v>
      </c>
      <c r="U795" s="23">
        <f t="shared" si="5320"/>
        <v>2.2756850684523267</v>
      </c>
      <c r="V795" s="36">
        <f>V787</f>
        <v>14334.5</v>
      </c>
      <c r="W795" s="215">
        <f t="shared" si="5320"/>
        <v>1.6472607110947113</v>
      </c>
      <c r="X795" s="36">
        <f>X787</f>
        <v>14937.8</v>
      </c>
      <c r="Y795" s="215">
        <f t="shared" si="5320"/>
        <v>6.9085704061549347</v>
      </c>
      <c r="Z795" s="36">
        <f>Z787</f>
        <v>14939</v>
      </c>
      <c r="AA795" s="215">
        <f>IF(ISERROR((Z795/R795-1)*100),"NA",IF(((Z795/R795-1)*100)&gt;100,"NM",IF(((Z795/R795-1)*100)&lt;-50,"NM",(Z795/R795-1)*100)))</f>
        <v>9.4785132203787157</v>
      </c>
      <c r="AB795" s="36">
        <f>AB787</f>
        <v>15229.600000000002</v>
      </c>
      <c r="AC795" s="215">
        <f>IF(ISERROR((AB795/T795-1)*100),"NA",IF(((AB795/T795-1)*100)&gt;100,"NM",IF(((AB795/T795-1)*100)&lt;-50,"NM",(AB795/T795-1)*100)))</f>
        <v>8.2639634324061397</v>
      </c>
      <c r="AD795" s="36">
        <f>AD787</f>
        <v>15334.400000000001</v>
      </c>
      <c r="AE795" s="215">
        <f>IF(ISERROR((AD795/V795-1)*100),"NA",IF(((AD795/V795-1)*100)&gt;100,"NM",IF(((AD795/V795-1)*100)&lt;-50,"NM",(AD795/V795-1)*100)))</f>
        <v>6.9754787401025586</v>
      </c>
      <c r="AF795" s="36">
        <f>AF787</f>
        <v>16558.199999999997</v>
      </c>
      <c r="AG795" s="215">
        <f>IF(ISERROR((AF795/X795-1)*100),"NA",IF(((AF795/X795-1)*100)&gt;100,"NM",IF(((AF795/X795-1)*100)&lt;-50,"NM",(AF795/X795-1)*100)))</f>
        <v>10.847648248068653</v>
      </c>
      <c r="AH795" s="36">
        <f>AH787</f>
        <v>16129.2</v>
      </c>
      <c r="AI795" s="215">
        <f>IF(ISERROR((AH795/Z795-1)*100),"NA",IF(((AH795/Z795-1)*100)&gt;100,"NM",IF(((AH795/Z795-1)*100)&lt;-50,"NM",(AH795/Z795-1)*100)))</f>
        <v>7.967066068679296</v>
      </c>
      <c r="AJ795" s="36">
        <f>AJ787</f>
        <v>16232.599999999999</v>
      </c>
      <c r="AK795" s="215">
        <f>IF(ISERROR((AJ795/AB795-1)*100),"NA",IF(((AJ795/AB795-1)*100)&gt;100,"NM",IF(((AJ795/AB795-1)*100)&lt;-50,"NM",(AJ795/AB795-1)*100)))</f>
        <v>6.5858591164573932</v>
      </c>
      <c r="AL795" s="36">
        <f>AL787</f>
        <v>15726.000000000002</v>
      </c>
      <c r="AM795" s="215">
        <f>IF(ISERROR((AL795/AD795-1)*100),"NA",IF(((AL795/AD795-1)*100)&gt;100,"NM",IF(((AL795/AD795-1)*100)&lt;-50,"NM",(AL795/AD795-1)*100)))</f>
        <v>2.553735392320533</v>
      </c>
      <c r="AN795" s="410">
        <f t="shared" ref="AN795:AP795" si="5347">AN787</f>
        <v>15496.799999999997</v>
      </c>
      <c r="AO795" s="215">
        <f>IF(ISERROR((AN795/AF795-1)*100),"NA",IF(((AN795/AF795-1)*100)&gt;100,"NM",IF(((AN795/AF795-1)*100)&lt;-50,"NM",(AN795/AF795-1)*100)))</f>
        <v>-6.41011704170743</v>
      </c>
      <c r="AP795" s="410">
        <f t="shared" si="5347"/>
        <v>15440.999999999998</v>
      </c>
      <c r="AQ795" s="215">
        <f t="shared" si="5321"/>
        <v>-4.2667956253255142</v>
      </c>
      <c r="AR795" s="456">
        <f t="shared" ref="AR795:AT795" si="5348">AR787</f>
        <v>15446.7</v>
      </c>
      <c r="AS795" s="215">
        <f t="shared" si="5322"/>
        <v>-4.8414918127718138</v>
      </c>
      <c r="AT795" s="456">
        <f t="shared" si="5348"/>
        <v>15237.399999999998</v>
      </c>
      <c r="AU795" s="215">
        <f t="shared" si="5323"/>
        <v>-3.1069566323286502</v>
      </c>
      <c r="AV795" s="456">
        <f t="shared" ref="AV795:AX795" si="5349">AV787</f>
        <v>14623</v>
      </c>
      <c r="AW795" s="215">
        <f t="shared" si="5324"/>
        <v>-5.6385834494863341</v>
      </c>
      <c r="AX795" s="456">
        <f t="shared" si="5349"/>
        <v>13504.2</v>
      </c>
      <c r="AY795" s="215">
        <f t="shared" si="5325"/>
        <v>-12.543229065475014</v>
      </c>
      <c r="AZ795" s="456">
        <f t="shared" ref="AZ795" si="5350">AZ787</f>
        <v>13472.7</v>
      </c>
      <c r="BA795" s="215">
        <f t="shared" si="5327"/>
        <v>-12.779428615820853</v>
      </c>
      <c r="BB795" s="456">
        <f t="shared" ref="BB795:BD795" si="5351">BB787</f>
        <v>14043.800000000003</v>
      </c>
      <c r="BC795" s="215">
        <f t="shared" si="5329"/>
        <v>-7.8333573969312065</v>
      </c>
      <c r="BD795" s="456">
        <f t="shared" si="5351"/>
        <v>10401</v>
      </c>
      <c r="BE795" s="215">
        <f t="shared" si="5330"/>
        <v>-28.872324420433561</v>
      </c>
      <c r="BF795" s="211">
        <f t="shared" ref="BF795" si="5352">BF787</f>
        <v>10261.799843736864</v>
      </c>
      <c r="BG795" s="215">
        <f t="shared" si="5332"/>
        <v>-24.010309061352299</v>
      </c>
      <c r="BH795" s="211">
        <f t="shared" ref="BH795" si="5353">BH787</f>
        <v>10240.545008161373</v>
      </c>
      <c r="BI795" s="215">
        <f t="shared" si="5333"/>
        <v>-23.990402754003494</v>
      </c>
      <c r="BJ795" s="211">
        <f t="shared" ref="BJ795" si="5354">BJ787</f>
        <v>10180.305206349834</v>
      </c>
      <c r="BK795" s="215">
        <f t="shared" si="5334"/>
        <v>-27.510323371524571</v>
      </c>
      <c r="BL795" s="211">
        <f t="shared" ref="BL795" si="5355">BL787</f>
        <v>10129.117460013525</v>
      </c>
      <c r="BM795" s="215">
        <f t="shared" si="5336"/>
        <v>-2.6140038456540227</v>
      </c>
      <c r="BN795" s="222"/>
      <c r="BP795" s="222"/>
      <c r="BQ795" s="222"/>
      <c r="BR795" s="220"/>
      <c r="BS795" s="220"/>
      <c r="BT795" s="220"/>
      <c r="BU795" s="211">
        <f>BU787</f>
        <v>13800.2</v>
      </c>
      <c r="BV795" s="23" t="str">
        <f t="shared" si="5337"/>
        <v>NA</v>
      </c>
      <c r="BW795" s="36">
        <f>BW787</f>
        <v>13972.5</v>
      </c>
      <c r="BX795" s="23">
        <f t="shared" si="5337"/>
        <v>1.2485326299618738</v>
      </c>
      <c r="BY795" s="36">
        <f>BY787</f>
        <v>14937.8</v>
      </c>
      <c r="BZ795" s="23">
        <f t="shared" si="5337"/>
        <v>6.9085704061549347</v>
      </c>
      <c r="CA795" s="36">
        <f>CA787</f>
        <v>16558.199999999997</v>
      </c>
      <c r="CB795" s="23">
        <f t="shared" si="5337"/>
        <v>10.847648248068653</v>
      </c>
      <c r="CC795" s="36">
        <f>CC787</f>
        <v>15496.799999999997</v>
      </c>
      <c r="CD795" s="23">
        <f t="shared" si="5337"/>
        <v>-6.41011704170743</v>
      </c>
      <c r="CE795" s="36">
        <f>CE787</f>
        <v>14623</v>
      </c>
      <c r="CF795" s="23">
        <f t="shared" si="5337"/>
        <v>-5.6385834494863341</v>
      </c>
      <c r="CG795" s="36">
        <f>CG787</f>
        <v>10401</v>
      </c>
      <c r="CH795" s="23">
        <f t="shared" si="5337"/>
        <v>-28.872324420433561</v>
      </c>
      <c r="CI795" s="36">
        <f>CI787</f>
        <v>10129.117460013525</v>
      </c>
      <c r="CJ795" s="23">
        <f t="shared" si="5337"/>
        <v>-2.6140038456540227</v>
      </c>
      <c r="CK795" s="36">
        <f>CK787</f>
        <v>10336.883755639166</v>
      </c>
      <c r="CL795" s="23">
        <f t="shared" si="5337"/>
        <v>2.0511786584155534</v>
      </c>
      <c r="CM795" s="36">
        <f>CM787</f>
        <v>10580.741617548878</v>
      </c>
      <c r="CN795" s="23">
        <f t="shared" si="5337"/>
        <v>2.3591042298088949</v>
      </c>
      <c r="CO795" s="36">
        <f>CO787</f>
        <v>10859.850963255598</v>
      </c>
      <c r="CP795" s="23">
        <f t="shared" si="5337"/>
        <v>2.6378996463140014</v>
      </c>
      <c r="CQ795" s="36">
        <f>CQ787</f>
        <v>11173.895321497916</v>
      </c>
      <c r="CR795" s="23">
        <f t="shared" si="5337"/>
        <v>2.8917925237177622</v>
      </c>
      <c r="CS795" s="23"/>
      <c r="CT795" s="28"/>
    </row>
    <row r="796" spans="1:105" ht="12.75" hidden="1" customHeight="1" outlineLevel="1" x14ac:dyDescent="0.2">
      <c r="A796" s="46"/>
      <c r="C796" s="82"/>
      <c r="E796" s="82"/>
      <c r="G796" s="82"/>
      <c r="I796" s="82"/>
      <c r="J796" s="5"/>
      <c r="K796" s="184"/>
      <c r="L796" s="6"/>
      <c r="M796" s="184"/>
      <c r="N796" s="6"/>
      <c r="O796" s="184"/>
      <c r="P796" s="5"/>
      <c r="Q796" s="184"/>
      <c r="R796" s="5"/>
      <c r="S796" s="184"/>
      <c r="T796" s="5"/>
      <c r="U796" s="184"/>
      <c r="V796" s="5"/>
      <c r="W796" s="184"/>
      <c r="X796" s="5"/>
      <c r="Y796" s="184"/>
      <c r="Z796" s="5"/>
      <c r="AA796" s="184"/>
      <c r="AB796" s="5"/>
      <c r="AC796" s="184"/>
      <c r="AD796" s="5"/>
      <c r="AE796" s="184"/>
      <c r="AF796" s="5"/>
      <c r="AG796" s="184"/>
      <c r="AH796" s="5"/>
      <c r="AI796" s="184"/>
      <c r="AJ796" s="5"/>
      <c r="AK796" s="184"/>
      <c r="AL796" s="5"/>
      <c r="AM796" s="184"/>
      <c r="AN796" s="475"/>
      <c r="AO796" s="184"/>
      <c r="AP796" s="475"/>
      <c r="AQ796" s="184"/>
      <c r="AR796" s="475"/>
      <c r="AS796" s="184"/>
      <c r="AT796" s="475"/>
      <c r="AU796" s="184"/>
      <c r="AV796" s="475"/>
      <c r="AW796" s="184"/>
      <c r="AX796" s="475"/>
      <c r="AY796" s="184"/>
      <c r="AZ796" s="475"/>
      <c r="BA796" s="184"/>
      <c r="BB796" s="475"/>
      <c r="BC796" s="184"/>
      <c r="BD796" s="475"/>
      <c r="BE796" s="184"/>
      <c r="BF796" s="5"/>
      <c r="BG796" s="184"/>
      <c r="BH796" s="5"/>
      <c r="BI796" s="184"/>
      <c r="BJ796" s="5"/>
      <c r="BK796" s="184"/>
      <c r="BL796" s="5"/>
      <c r="BM796" s="184"/>
      <c r="BR796" s="6"/>
      <c r="BS796" s="6"/>
      <c r="BT796" s="6"/>
      <c r="BU796" s="6"/>
      <c r="BV796" s="184"/>
      <c r="BW796" s="6"/>
      <c r="BX796" s="184"/>
      <c r="BY796" s="5"/>
      <c r="BZ796" s="184"/>
      <c r="CA796" s="5"/>
      <c r="CB796" s="184"/>
      <c r="CC796" s="5"/>
      <c r="CD796" s="184"/>
      <c r="CE796" s="5"/>
      <c r="CF796" s="184"/>
      <c r="CG796" s="5"/>
      <c r="CH796" s="184"/>
      <c r="CI796" s="5"/>
      <c r="CJ796" s="184"/>
      <c r="CK796" s="5"/>
      <c r="CL796" s="184"/>
      <c r="CM796" s="5"/>
      <c r="CN796" s="184"/>
      <c r="CO796" s="5"/>
      <c r="CP796" s="184"/>
      <c r="CQ796" s="5"/>
      <c r="CR796" s="184"/>
      <c r="CS796" s="184"/>
      <c r="CT796" s="28"/>
    </row>
    <row r="797" spans="1:105" s="193" customFormat="1" ht="12.75" hidden="1" customHeight="1" outlineLevel="1" x14ac:dyDescent="0.2">
      <c r="A797" s="187" t="s">
        <v>388</v>
      </c>
      <c r="B797" s="188"/>
      <c r="C797" s="189"/>
      <c r="D797" s="188"/>
      <c r="E797" s="189"/>
      <c r="F797" s="188"/>
      <c r="G797" s="189"/>
      <c r="H797" s="188"/>
      <c r="I797" s="189"/>
      <c r="J797" s="190"/>
      <c r="K797" s="191"/>
      <c r="L797" s="192"/>
      <c r="M797" s="191"/>
      <c r="N797" s="192"/>
      <c r="O797" s="191"/>
      <c r="P797" s="190"/>
      <c r="Q797" s="191"/>
      <c r="R797" s="190"/>
      <c r="S797" s="191"/>
      <c r="T797" s="190"/>
      <c r="U797" s="191"/>
      <c r="V797" s="190"/>
      <c r="W797" s="191"/>
      <c r="X797" s="190"/>
      <c r="Y797" s="191"/>
      <c r="Z797" s="190"/>
      <c r="AA797" s="191"/>
      <c r="AB797" s="190"/>
      <c r="AC797" s="191"/>
      <c r="AD797" s="190"/>
      <c r="AE797" s="191"/>
      <c r="AF797" s="190"/>
      <c r="AG797" s="191"/>
      <c r="AH797" s="190"/>
      <c r="AI797" s="191"/>
      <c r="AJ797" s="190"/>
      <c r="AK797" s="191"/>
      <c r="AL797" s="190"/>
      <c r="AM797" s="191"/>
      <c r="AN797" s="476"/>
      <c r="AO797" s="191"/>
      <c r="AP797" s="476"/>
      <c r="AQ797" s="191"/>
      <c r="AR797" s="476"/>
      <c r="AS797" s="191"/>
      <c r="AT797" s="476"/>
      <c r="AU797" s="191"/>
      <c r="AV797" s="476"/>
      <c r="AW797" s="191"/>
      <c r="AX797" s="476"/>
      <c r="AY797" s="191"/>
      <c r="AZ797" s="476"/>
      <c r="BA797" s="191"/>
      <c r="BB797" s="476"/>
      <c r="BC797" s="191"/>
      <c r="BD797" s="476"/>
      <c r="BE797" s="191"/>
      <c r="BF797" s="190"/>
      <c r="BG797" s="191"/>
      <c r="BH797" s="190"/>
      <c r="BI797" s="191"/>
      <c r="BJ797" s="190"/>
      <c r="BK797" s="191"/>
      <c r="BL797" s="190"/>
      <c r="BM797" s="191"/>
      <c r="BO797" s="131"/>
      <c r="BR797" s="192"/>
      <c r="BS797" s="192"/>
      <c r="BT797" s="192"/>
      <c r="BU797" s="192"/>
      <c r="BV797" s="191"/>
      <c r="BW797" s="192"/>
      <c r="BX797" s="191"/>
      <c r="BY797" s="190"/>
      <c r="BZ797" s="191"/>
      <c r="CA797" s="190"/>
      <c r="CB797" s="191"/>
      <c r="CC797" s="190"/>
      <c r="CD797" s="191"/>
      <c r="CE797" s="190"/>
      <c r="CF797" s="191"/>
      <c r="CG797" s="190"/>
      <c r="CH797" s="191"/>
      <c r="CI797" s="190"/>
      <c r="CJ797" s="191"/>
      <c r="CK797" s="190"/>
      <c r="CL797" s="191"/>
      <c r="CM797" s="190"/>
      <c r="CN797" s="191"/>
      <c r="CO797" s="190"/>
      <c r="CP797" s="191"/>
      <c r="CQ797" s="190"/>
      <c r="CR797" s="191"/>
      <c r="CS797" s="191"/>
      <c r="CT797" s="192"/>
      <c r="CV797"/>
      <c r="CW797"/>
      <c r="CX797"/>
      <c r="CY797"/>
      <c r="CZ797"/>
      <c r="DA797"/>
    </row>
    <row r="798" spans="1:105" s="193" customFormat="1" ht="12.75" hidden="1" customHeight="1" outlineLevel="1" x14ac:dyDescent="0.2">
      <c r="A798" s="194" t="s">
        <v>379</v>
      </c>
      <c r="B798" s="188"/>
      <c r="C798" s="189"/>
      <c r="D798" s="188"/>
      <c r="E798" s="189"/>
      <c r="F798" s="188"/>
      <c r="G798" s="189"/>
      <c r="H798" s="188"/>
      <c r="I798" s="189"/>
      <c r="K798" s="191"/>
      <c r="L798" s="192"/>
      <c r="M798" s="191"/>
      <c r="N798" s="192"/>
      <c r="O798" s="191"/>
      <c r="P798" s="192"/>
      <c r="Q798" s="191"/>
      <c r="R798" s="192"/>
      <c r="S798" s="191"/>
      <c r="T798" s="192"/>
      <c r="U798" s="191"/>
      <c r="V798" s="192"/>
      <c r="W798" s="191"/>
      <c r="X798" s="192"/>
      <c r="Y798" s="191"/>
      <c r="Z798" s="192"/>
      <c r="AA798" s="191"/>
      <c r="AB798" s="192"/>
      <c r="AC798" s="191"/>
      <c r="AD798" s="192"/>
      <c r="AE798" s="191"/>
      <c r="AF798" s="192"/>
      <c r="AG798" s="191"/>
      <c r="AH798" s="192"/>
      <c r="AI798" s="191"/>
      <c r="AJ798" s="192"/>
      <c r="AK798" s="191"/>
      <c r="AL798" s="192"/>
      <c r="AM798" s="191"/>
      <c r="AN798" s="477"/>
      <c r="AO798" s="191"/>
      <c r="AP798" s="477"/>
      <c r="AQ798" s="191"/>
      <c r="AR798" s="477"/>
      <c r="AS798" s="191"/>
      <c r="AT798" s="477"/>
      <c r="AU798" s="191"/>
      <c r="AV798" s="477"/>
      <c r="AW798" s="191"/>
      <c r="AX798" s="477"/>
      <c r="AY798" s="191"/>
      <c r="AZ798" s="477"/>
      <c r="BA798" s="191"/>
      <c r="BB798" s="477"/>
      <c r="BC798" s="191"/>
      <c r="BD798" s="477"/>
      <c r="BE798" s="191"/>
      <c r="BF798" s="192"/>
      <c r="BG798" s="191"/>
      <c r="BH798" s="192"/>
      <c r="BI798" s="191"/>
      <c r="BJ798" s="192"/>
      <c r="BK798" s="191"/>
      <c r="BL798" s="192"/>
      <c r="BM798" s="191"/>
      <c r="BO798" s="131"/>
      <c r="BR798" s="192"/>
      <c r="BS798" s="192"/>
      <c r="BT798" s="192"/>
      <c r="BU798" s="192"/>
      <c r="BV798" s="191"/>
      <c r="BW798" s="192"/>
      <c r="BX798" s="191"/>
      <c r="BY798" s="192"/>
      <c r="BZ798" s="191"/>
      <c r="CA798" s="192"/>
      <c r="CB798" s="191"/>
      <c r="CC798" s="192"/>
      <c r="CD798" s="191"/>
      <c r="CE798" s="192"/>
      <c r="CF798" s="191"/>
      <c r="CG798" s="192"/>
      <c r="CH798" s="191"/>
      <c r="CI798" s="192"/>
      <c r="CJ798" s="191"/>
      <c r="CK798" s="192"/>
      <c r="CL798" s="191"/>
      <c r="CM798" s="192"/>
      <c r="CN798" s="191"/>
      <c r="CO798" s="192"/>
      <c r="CP798" s="191"/>
      <c r="CQ798" s="192"/>
      <c r="CR798" s="191"/>
      <c r="CS798" s="191"/>
      <c r="CT798" s="192"/>
      <c r="CV798"/>
      <c r="CW798"/>
      <c r="CX798"/>
      <c r="CY798"/>
      <c r="CZ798"/>
      <c r="DA798"/>
    </row>
    <row r="799" spans="1:105" s="193" customFormat="1" ht="12.75" hidden="1" customHeight="1" outlineLevel="1" x14ac:dyDescent="0.2">
      <c r="A799" s="195" t="s">
        <v>348</v>
      </c>
      <c r="B799" s="196"/>
      <c r="C799" s="189"/>
      <c r="D799" s="196"/>
      <c r="E799" s="189"/>
      <c r="F799" s="196"/>
      <c r="G799" s="189"/>
      <c r="H799" s="196"/>
      <c r="I799" s="189"/>
      <c r="J799" s="196"/>
      <c r="K799" s="197"/>
      <c r="L799" s="196"/>
      <c r="M799" s="197"/>
      <c r="N799" s="196"/>
      <c r="O799" s="197"/>
      <c r="P799" s="196"/>
      <c r="Q799" s="197"/>
      <c r="R799" s="196">
        <f>R653</f>
        <v>285.3</v>
      </c>
      <c r="S799" s="197" t="str">
        <f t="shared" ref="S799:Y803" si="5356">IF(ISERROR((R799/J799-1)*100),"NA",IF(((R799/J799-1)*100)&gt;100,"NM",IF(((R799/J799-1)*100)&lt;-50,"NM",(R799/J799-1)*100)))</f>
        <v>NA</v>
      </c>
      <c r="T799" s="196">
        <f>T653</f>
        <v>306.8</v>
      </c>
      <c r="U799" s="197" t="str">
        <f t="shared" si="5356"/>
        <v>NA</v>
      </c>
      <c r="V799" s="196">
        <f>V653</f>
        <v>484.39999999999986</v>
      </c>
      <c r="W799" s="197" t="str">
        <f t="shared" si="5356"/>
        <v>NA</v>
      </c>
      <c r="X799" s="196">
        <f>X653</f>
        <v>352.19999999999993</v>
      </c>
      <c r="Y799" s="197" t="str">
        <f t="shared" si="5356"/>
        <v>NA</v>
      </c>
      <c r="Z799" s="478">
        <f>Z669</f>
        <v>287.30000000000018</v>
      </c>
      <c r="AA799" s="197">
        <f>IF(ISERROR((Z799/R799-1)*100),"NA",IF(((Z799/R799-1)*100)&gt;100,"NM",IF(((Z799/R799-1)*100)&lt;-50,"NM",(Z799/R799-1)*100)))</f>
        <v>0.701016473887206</v>
      </c>
      <c r="AB799" s="478">
        <f>AB669</f>
        <v>345.7000000000001</v>
      </c>
      <c r="AC799" s="197">
        <f>IF(ISERROR((AB799/T799-1)*100),"NA",IF(((AB799/T799-1)*100)&gt;100,"NM",IF(((AB799/T799-1)*100)&lt;-50,"NM",(AB799/T799-1)*100)))</f>
        <v>12.679269882659749</v>
      </c>
      <c r="AD799" s="478">
        <f>AD669</f>
        <v>325.3</v>
      </c>
      <c r="AE799" s="197">
        <f>IF(ISERROR((AD799/V799-1)*100),"NA",IF(((AD799/V799-1)*100)&gt;100,"NM",IF(((AD799/V799-1)*100)&lt;-50,"NM",(AD799/V799-1)*100)))</f>
        <v>-32.84475639966967</v>
      </c>
      <c r="AF799" s="478">
        <f>AF669</f>
        <v>395.39999999999992</v>
      </c>
      <c r="AG799" s="197">
        <f>IF(ISERROR((AF799/X799-1)*100),"NA",IF(((AF799/X799-1)*100)&gt;100,"NM",IF(((AF799/X799-1)*100)&lt;-50,"NM",(AF799/X799-1)*100)))</f>
        <v>12.265758091993195</v>
      </c>
      <c r="AH799" s="478">
        <f>AH669</f>
        <v>318.97000000000003</v>
      </c>
      <c r="AI799" s="197">
        <f>IF(ISERROR((AH799/Z799-1)*100),"NA",IF(((AH799/Z799-1)*100)&gt;100,"NM",IF(((AH799/Z799-1)*100)&lt;-50,"NM",(AH799/Z799-1)*100)))</f>
        <v>11.023320570831817</v>
      </c>
      <c r="AJ799" s="478">
        <f>AJ669</f>
        <v>318.8</v>
      </c>
      <c r="AK799" s="197">
        <f>IF(ISERROR((AJ799/AB799-1)*100),"NA",IF(((AJ799/AB799-1)*100)&gt;100,"NM",IF(((AJ799/AB799-1)*100)&lt;-50,"NM",(AJ799/AB799-1)*100)))</f>
        <v>-7.7813132774081861</v>
      </c>
      <c r="AL799" s="478">
        <f>AL669</f>
        <v>303.19999999999993</v>
      </c>
      <c r="AM799" s="197">
        <f>IF(ISERROR((AL799/AD799-1)*100),"NA",IF(((AL799/AD799-1)*100)&gt;100,"NM",IF(((AL799/AD799-1)*100)&lt;-50,"NM",(AL799/AD799-1)*100)))</f>
        <v>-6.7937288656624855</v>
      </c>
      <c r="AN799" s="478">
        <f>AN669</f>
        <v>319.50000000000006</v>
      </c>
      <c r="AO799" s="197">
        <f>IF(ISERROR((AN799/AF799-1)*100),"NA",IF(((AN799/AF799-1)*100)&gt;100,"NM",IF(((AN799/AF799-1)*100)&lt;-50,"NM",(AN799/AF799-1)*100)))</f>
        <v>-19.195751138087978</v>
      </c>
      <c r="AP799" s="478">
        <f>AP669</f>
        <v>196.69999999999985</v>
      </c>
      <c r="AQ799" s="197">
        <f t="shared" ref="AQ799:AQ803" si="5357">IF(ISERROR((AP799/AH799-1)*100),"NA",IF(((AP799/AH799-1)*100)&gt;100,"NM",IF(((AP799/AH799-1)*100)&lt;-50,"NM",(AP799/AH799-1)*100)))</f>
        <v>-38.332758566636414</v>
      </c>
      <c r="AR799" s="478">
        <f>AR669</f>
        <v>261.57058823529405</v>
      </c>
      <c r="AS799" s="197">
        <f t="shared" ref="AS799:AS803" si="5358">IF(ISERROR((AR799/AJ799-1)*100),"NA",IF(((AR799/AJ799-1)*100)&gt;100,"NM",IF(((AR799/AJ799-1)*100)&lt;-50,"NM",(AR799/AJ799-1)*100)))</f>
        <v>-17.951509336482417</v>
      </c>
      <c r="AT799" s="478">
        <f>AT669</f>
        <v>247.1999999999999</v>
      </c>
      <c r="AU799" s="197">
        <f t="shared" ref="AU799:AU803" si="5359">IF(ISERROR((AT799/AL799-1)*100),"NA",IF(((AT799/AL799-1)*100)&gt;100,"NM",IF(((AT799/AL799-1)*100)&lt;-50,"NM",(AT799/AL799-1)*100)))</f>
        <v>-18.469656992084449</v>
      </c>
      <c r="AV799" s="478">
        <f>AV669</f>
        <v>280.69999999999993</v>
      </c>
      <c r="AW799" s="197">
        <f t="shared" ref="AW799:AW803" si="5360">IF(ISERROR((AV799/AN799-1)*100),"NA",IF(((AV799/AN799-1)*100)&gt;100,"NM",IF(((AV799/AN799-1)*100)&lt;-50,"NM",(AV799/AN799-1)*100)))</f>
        <v>-12.143974960876402</v>
      </c>
      <c r="AX799" s="478">
        <f>AX669</f>
        <v>227.99999999999983</v>
      </c>
      <c r="AY799" s="197">
        <f t="shared" ref="AY799:AY803" si="5361">IF(ISERROR((AX799/AP799-1)*100),"NA",IF(((AX799/AP799-1)*100)&gt;100,"NM",IF(((AX799/AP799-1)*100)&lt;-50,"NM",(AX799/AP799-1)*100)))</f>
        <v>15.912557193695998</v>
      </c>
      <c r="AZ799" s="478">
        <f>AZ669</f>
        <v>282.49999999999989</v>
      </c>
      <c r="BA799" s="197">
        <f t="shared" ref="BA799:BA803" si="5362">IF(ISERROR((AZ799/AR799-1)*100),"NA",IF(((AZ799/AR799-1)*100)&gt;100,"NM",IF(((AZ799/AR799-1)*100)&lt;-50,"NM",(AZ799/AR799-1)*100)))</f>
        <v>8.001439269570664</v>
      </c>
      <c r="BB799" s="478">
        <f>BB669</f>
        <v>284.20000000000005</v>
      </c>
      <c r="BC799" s="197">
        <f t="shared" ref="BC799:BC803" si="5363">IF(ISERROR((BB799/AT799-1)*100),"NA",IF(((BB799/AT799-1)*100)&gt;100,"NM",IF(((BB799/AT799-1)*100)&lt;-50,"NM",(BB799/AT799-1)*100)))</f>
        <v>14.967637540453138</v>
      </c>
      <c r="BD799" s="478">
        <f>BD669</f>
        <v>303.19999999999993</v>
      </c>
      <c r="BE799" s="197">
        <f t="shared" ref="BE799:BE803" si="5364">IF(ISERROR((BD799/AV799-1)*100),"NA",IF(((BD799/AV799-1)*100)&gt;100,"NM",IF(((BD799/AV799-1)*100)&lt;-50,"NM",(BD799/AV799-1)*100)))</f>
        <v>8.0156750979693658</v>
      </c>
      <c r="BF799" s="478">
        <f>BF669</f>
        <v>260.91592862875552</v>
      </c>
      <c r="BG799" s="197">
        <f t="shared" ref="BG799:BG803" si="5365">IF(ISERROR((BF799/AX799-1)*100),"NA",IF(((BF799/AX799-1)*100)&gt;100,"NM",IF(((BF799/AX799-1)*100)&lt;-50,"NM",(BF799/AX799-1)*100)))</f>
        <v>14.43681080208583</v>
      </c>
      <c r="BH799" s="478">
        <f>BH669</f>
        <v>294.40032272784299</v>
      </c>
      <c r="BI799" s="197">
        <f t="shared" ref="BI799:BI803" si="5366">IF(ISERROR((BH799/AZ799-1)*100),"NA",IF(((BH799/AZ799-1)*100)&gt;100,"NM",IF(((BH799/AZ799-1)*100)&lt;-50,"NM",(BH799/AZ799-1)*100)))</f>
        <v>4.2125036204754274</v>
      </c>
      <c r="BJ799" s="478">
        <f>BJ669</f>
        <v>296.29061969113837</v>
      </c>
      <c r="BK799" s="197">
        <f t="shared" ref="BK799:BK803" si="5367">IF(ISERROR((BJ799/BB799-1)*100),"NA",IF(((BJ799/BB799-1)*100)&gt;100,"NM",IF(((BJ799/BB799-1)*100)&lt;-50,"NM",(BJ799/BB799-1)*100)))</f>
        <v>4.2542644937151097</v>
      </c>
      <c r="BL799" s="478">
        <f>BL669</f>
        <v>301.30401841016374</v>
      </c>
      <c r="BM799" s="197">
        <f t="shared" ref="BM799:BM803" si="5368">IF(ISERROR((BL799/BD799-1)*100),"NA",IF(((BL799/BD799-1)*100)&gt;100,"NM",IF(((BL799/BD799-1)*100)&lt;-50,"NM",(BL799/BD799-1)*100)))</f>
        <v>-0.62532374334967056</v>
      </c>
      <c r="BO799" s="137"/>
      <c r="BR799" s="192"/>
      <c r="BS799" s="192"/>
      <c r="BT799" s="192"/>
      <c r="BU799" s="196"/>
      <c r="BV799" s="197"/>
      <c r="BW799" s="196">
        <f>BW653</f>
        <v>990.34000000000037</v>
      </c>
      <c r="BX799" s="197" t="str">
        <f>IF(ISERROR((BW799/BU799-1)*100),"NA",IF(((BW799/BU799-1)*100)&gt;100,"NM",IF(((BW799/BU799-1)*100)&lt;-50,"NM",(BW799/BU799-1)*100)))</f>
        <v>NA</v>
      </c>
      <c r="BY799" s="478">
        <f>BY669</f>
        <v>1186.8820000000003</v>
      </c>
      <c r="BZ799" s="197">
        <f>IF(ISERROR((BY799/BW799-1)*100),"NA",IF(((BY799/BW799-1)*100)&gt;100,"NM",IF(((BY799/BW799-1)*100)&lt;-50,"NM",(BY799/BW799-1)*100)))</f>
        <v>19.845911505139636</v>
      </c>
      <c r="CA799" s="478">
        <f>CA669</f>
        <v>1353.7000000000003</v>
      </c>
      <c r="CB799" s="197">
        <f>IF(ISERROR((CA799/BY799-1)*100),"NA",IF(((CA799/BY799-1)*100)&gt;100,"NM",IF(((CA799/BY799-1)*100)&lt;-50,"NM",(CA799/BY799-1)*100)))</f>
        <v>14.055146172913568</v>
      </c>
      <c r="CC799" s="478">
        <f>CC669</f>
        <v>1260.47</v>
      </c>
      <c r="CD799" s="197">
        <f>IF(ISERROR((CC799/CA799-1)*100),"NA",IF(((CC799/CA799-1)*100)&gt;100,"NM",IF(((CC799/CA799-1)*100)&lt;-50,"NM",(CC799/CA799-1)*100)))</f>
        <v>-6.8870503065671995</v>
      </c>
      <c r="CE799" s="478">
        <f>CE669</f>
        <v>986.17058823529419</v>
      </c>
      <c r="CF799" s="197">
        <f>IF(ISERROR((CE799/CC799-1)*100),"NA",IF(((CE799/CC799-1)*100)&gt;100,"NM",IF(((CE799/CC799-1)*100)&lt;-50,"NM",(CE799/CC799-1)*100)))</f>
        <v>-21.761677133506218</v>
      </c>
      <c r="CG799" s="478">
        <f>CG669</f>
        <v>1097.9000000000001</v>
      </c>
      <c r="CH799" s="197">
        <f>IF(ISERROR((CG799/CE799-1)*100),"NA",IF(((CG799/CE799-1)*100)&gt;100,"NM",IF(((CG799/CE799-1)*100)&lt;-50,"NM",(CG799/CE799-1)*100)))</f>
        <v>11.329623200854178</v>
      </c>
      <c r="CI799" s="478">
        <f>CI669</f>
        <v>1152.9108894579006</v>
      </c>
      <c r="CJ799" s="197">
        <f>IF(ISERROR((CI799/CG799-1)*100),"NA",IF(((CI799/CG799-1)*100)&gt;100,"NM",IF(((CI799/CG799-1)*100)&lt;-50,"NM",(CI799/CG799-1)*100)))</f>
        <v>5.0105555567811599</v>
      </c>
      <c r="CK799" s="478">
        <f>CK669</f>
        <v>1201.1782067360518</v>
      </c>
      <c r="CL799" s="197">
        <f>IF(ISERROR((CK799/CI799-1)*100),"NA",IF(((CK799/CI799-1)*100)&gt;100,"NM",IF(((CK799/CI799-1)*100)&lt;-50,"NM",(CK799/CI799-1)*100)))</f>
        <v>4.186560966636943</v>
      </c>
      <c r="CM799" s="478">
        <f>CM669</f>
        <v>1247.1799693054431</v>
      </c>
      <c r="CN799" s="197">
        <f>IF(ISERROR((CM799/CK799-1)*100),"NA",IF(((CM799/CK799-1)*100)&gt;100,"NM",IF(((CM799/CK799-1)*100)&lt;-50,"NM",(CM799/CK799-1)*100)))</f>
        <v>3.8297200458199621</v>
      </c>
      <c r="CO799" s="478">
        <f>CO669</f>
        <v>1292.1206649492401</v>
      </c>
      <c r="CP799" s="197">
        <f>IF(ISERROR((CO799/CM799-1)*100),"NA",IF(((CO799/CM799-1)*100)&gt;100,"NM",IF(((CO799/CM799-1)*100)&lt;-50,"NM",(CO799/CM799-1)*100)))</f>
        <v>3.6033849764941728</v>
      </c>
      <c r="CQ799" s="478">
        <f>CQ669</f>
        <v>1336.6261181310085</v>
      </c>
      <c r="CR799" s="197">
        <f>IF(ISERROR((CQ799/CO799-1)*100),"NA",IF(((CQ799/CO799-1)*100)&gt;100,"NM",IF(((CQ799/CO799-1)*100)&lt;-50,"NM",(CQ799/CO799-1)*100)))</f>
        <v>3.4443728352194336</v>
      </c>
      <c r="CS799" s="197"/>
      <c r="CT799" s="192"/>
      <c r="CV799"/>
      <c r="CW799"/>
      <c r="CX799"/>
      <c r="CY799"/>
      <c r="CZ799"/>
      <c r="DA799"/>
    </row>
    <row r="800" spans="1:105" s="193" customFormat="1" ht="12.75" hidden="1" customHeight="1" outlineLevel="1" x14ac:dyDescent="0.2">
      <c r="A800" s="195" t="s">
        <v>349</v>
      </c>
      <c r="B800" s="196"/>
      <c r="C800" s="189"/>
      <c r="D800" s="196"/>
      <c r="E800" s="189"/>
      <c r="F800" s="196"/>
      <c r="G800" s="189"/>
      <c r="H800" s="196"/>
      <c r="I800" s="189"/>
      <c r="J800" s="196"/>
      <c r="K800" s="197"/>
      <c r="L800" s="196"/>
      <c r="M800" s="197"/>
      <c r="N800" s="196"/>
      <c r="O800" s="197"/>
      <c r="P800" s="196"/>
      <c r="Q800" s="197"/>
      <c r="R800" s="196">
        <f>R86+R171+R276+R345</f>
        <v>7.3</v>
      </c>
      <c r="S800" s="197" t="str">
        <f t="shared" si="5356"/>
        <v>NA</v>
      </c>
      <c r="T800" s="196">
        <f>T86+T171+T276+T345</f>
        <v>3.5999999999999988</v>
      </c>
      <c r="U800" s="197" t="str">
        <f t="shared" si="5356"/>
        <v>NA</v>
      </c>
      <c r="V800" s="196">
        <f>V86+V171+V276+V345</f>
        <v>99.8</v>
      </c>
      <c r="W800" s="197" t="str">
        <f t="shared" si="5356"/>
        <v>NA</v>
      </c>
      <c r="X800" s="196">
        <f>X86+X171+X276+X345</f>
        <v>23</v>
      </c>
      <c r="Y800" s="197" t="str">
        <f t="shared" si="5356"/>
        <v>NA</v>
      </c>
      <c r="Z800" s="196">
        <v>0</v>
      </c>
      <c r="AA800" s="197" t="str">
        <f>IF(ISERROR((Z800/R800-1)*100),"NA",IF(((Z800/R800-1)*100)&gt;100,"NM",IF(((Z800/R800-1)*100)&lt;-50,"NM",(Z800/R800-1)*100)))</f>
        <v>NM</v>
      </c>
      <c r="AB800" s="196">
        <v>0</v>
      </c>
      <c r="AC800" s="197" t="str">
        <f>IF(ISERROR((AB800/T800-1)*100),"NA",IF(((AB800/T800-1)*100)&gt;100,"NM",IF(((AB800/T800-1)*100)&lt;-50,"NM",(AB800/T800-1)*100)))</f>
        <v>NM</v>
      </c>
      <c r="AD800" s="196">
        <f>AD799-352</f>
        <v>-26.699999999999989</v>
      </c>
      <c r="AE800" s="197" t="str">
        <f>IF(ISERROR((AD800/V800-1)*100),"NA",IF(((AD800/V800-1)*100)&gt;100,"NM",IF(((AD800/V800-1)*100)&lt;-50,"NM",(AD800/V800-1)*100)))</f>
        <v>NM</v>
      </c>
      <c r="AF800" s="196">
        <f>AF799-392.8</f>
        <v>2.5999999999999091</v>
      </c>
      <c r="AG800" s="197" t="str">
        <f>IF(ISERROR((AF800/X800-1)*100),"NA",IF(((AF800/X800-1)*100)&gt;100,"NM",IF(((AF800/X800-1)*100)&lt;-50,"NM",(AF800/X800-1)*100)))</f>
        <v>NM</v>
      </c>
      <c r="AH800" s="196">
        <v>0</v>
      </c>
      <c r="AI800" s="197" t="str">
        <f>IF(ISERROR((AH800/Z800-1)*100),"NA",IF(((AH800/Z800-1)*100)&gt;100,"NM",IF(((AH800/Z800-1)*100)&lt;-50,"NM",(AH800/Z800-1)*100)))</f>
        <v>NA</v>
      </c>
      <c r="AJ800" s="196">
        <v>0</v>
      </c>
      <c r="AK800" s="197" t="str">
        <f>IF(ISERROR((AJ800/AB800-1)*100),"NA",IF(((AJ800/AB800-1)*100)&gt;100,"NM",IF(((AJ800/AB800-1)*100)&lt;-50,"NM",(AJ800/AB800-1)*100)))</f>
        <v>NA</v>
      </c>
      <c r="AL800" s="196">
        <v>0</v>
      </c>
      <c r="AM800" s="197" t="str">
        <f>IF(ISERROR((AL800/AD800-1)*100),"NA",IF(((AL800/AD800-1)*100)&gt;100,"NM",IF(((AL800/AD800-1)*100)&lt;-50,"NM",(AL800/AD800-1)*100)))</f>
        <v>NM</v>
      </c>
      <c r="AN800" s="478">
        <f>AN799-340.6-5</f>
        <v>-26.099999999999966</v>
      </c>
      <c r="AO800" s="197" t="str">
        <f>IF(ISERROR((AN800/AF800-1)*100),"NA",IF(((AN800/AF800-1)*100)&gt;100,"NM",IF(((AN800/AF800-1)*100)&lt;-50,"NM",(AN800/AF800-1)*100)))</f>
        <v>NM</v>
      </c>
      <c r="AP800" s="478">
        <f>AP86+AP171+AP276+AP345</f>
        <v>-6.1000000000000005</v>
      </c>
      <c r="AQ800" s="197" t="str">
        <f t="shared" si="5357"/>
        <v>NA</v>
      </c>
      <c r="AR800" s="545">
        <f>AR799-307.9</f>
        <v>-46.329411764705924</v>
      </c>
      <c r="AS800" s="197" t="str">
        <f t="shared" si="5358"/>
        <v>NA</v>
      </c>
      <c r="AT800" s="545">
        <f>AT799-330.2</f>
        <v>-83.000000000000085</v>
      </c>
      <c r="AU800" s="197" t="str">
        <f t="shared" si="5359"/>
        <v>NA</v>
      </c>
      <c r="AV800" s="545">
        <v>0</v>
      </c>
      <c r="AW800" s="197" t="str">
        <f t="shared" si="5360"/>
        <v>NM</v>
      </c>
      <c r="AX800" s="545">
        <v>0</v>
      </c>
      <c r="AY800" s="197" t="str">
        <f t="shared" si="5361"/>
        <v>NM</v>
      </c>
      <c r="AZ800" s="545">
        <v>0</v>
      </c>
      <c r="BA800" s="197" t="str">
        <f t="shared" si="5362"/>
        <v>NM</v>
      </c>
      <c r="BB800" s="545">
        <v>0</v>
      </c>
      <c r="BC800" s="197" t="str">
        <f t="shared" si="5363"/>
        <v>NM</v>
      </c>
      <c r="BD800" s="545">
        <v>0</v>
      </c>
      <c r="BE800" s="197" t="str">
        <f t="shared" si="5364"/>
        <v>NA</v>
      </c>
      <c r="BF800" s="198">
        <v>0</v>
      </c>
      <c r="BG800" s="197" t="str">
        <f t="shared" si="5365"/>
        <v>NA</v>
      </c>
      <c r="BH800" s="198">
        <v>0</v>
      </c>
      <c r="BI800" s="197" t="str">
        <f t="shared" si="5366"/>
        <v>NA</v>
      </c>
      <c r="BJ800" s="198">
        <v>0</v>
      </c>
      <c r="BK800" s="197" t="str">
        <f t="shared" si="5367"/>
        <v>NA</v>
      </c>
      <c r="BL800" s="198">
        <v>0</v>
      </c>
      <c r="BM800" s="197" t="str">
        <f t="shared" si="5368"/>
        <v>NA</v>
      </c>
      <c r="BO800" s="137"/>
      <c r="BR800" s="192"/>
      <c r="BS800" s="192"/>
      <c r="BT800" s="192"/>
      <c r="BU800" s="196"/>
      <c r="BV800" s="197"/>
      <c r="BW800" s="196"/>
      <c r="BX800" s="197"/>
      <c r="BY800" s="196">
        <f>X800+V800+T800+R800</f>
        <v>133.69999999999999</v>
      </c>
      <c r="BZ800" s="197"/>
      <c r="CA800" s="196">
        <f>AF800+AD800+AB800+Z800</f>
        <v>-24.10000000000008</v>
      </c>
      <c r="CB800" s="197"/>
      <c r="CC800" s="196">
        <f>AN800+AL800+AJ800+AH800</f>
        <v>-26.099999999999966</v>
      </c>
      <c r="CD800" s="197"/>
      <c r="CE800" s="196">
        <f>AV800+AT800+AR800+AP800</f>
        <v>-135.429411764706</v>
      </c>
      <c r="CF800" s="197"/>
      <c r="CG800" s="196">
        <f>BD800+BB800+AZ800+AX800</f>
        <v>0</v>
      </c>
      <c r="CH800" s="197"/>
      <c r="CI800" s="196">
        <f>BL800+BJ800+BH800+BF800</f>
        <v>0</v>
      </c>
      <c r="CJ800" s="197"/>
      <c r="CK800" s="196">
        <v>0</v>
      </c>
      <c r="CL800" s="197"/>
      <c r="CM800" s="196">
        <v>0</v>
      </c>
      <c r="CN800" s="197"/>
      <c r="CO800" s="196">
        <v>0</v>
      </c>
      <c r="CP800" s="197"/>
      <c r="CQ800" s="196">
        <v>0</v>
      </c>
      <c r="CR800" s="197"/>
      <c r="CS800" s="197"/>
      <c r="CT800" s="192"/>
      <c r="CV800"/>
      <c r="CW800"/>
      <c r="CX800"/>
      <c r="CY800"/>
      <c r="CZ800"/>
      <c r="DA800"/>
    </row>
    <row r="801" spans="1:105" s="193" customFormat="1" ht="12.75" hidden="1" customHeight="1" outlineLevel="1" x14ac:dyDescent="0.2">
      <c r="A801" s="195" t="s">
        <v>350</v>
      </c>
      <c r="B801" s="196"/>
      <c r="C801" s="189"/>
      <c r="D801" s="196"/>
      <c r="E801" s="189"/>
      <c r="F801" s="196"/>
      <c r="G801" s="189"/>
      <c r="H801" s="196"/>
      <c r="I801" s="189"/>
      <c r="J801" s="196"/>
      <c r="K801" s="197"/>
      <c r="L801" s="196"/>
      <c r="M801" s="197"/>
      <c r="N801" s="196"/>
      <c r="O801" s="197"/>
      <c r="P801" s="196"/>
      <c r="Q801" s="197"/>
      <c r="R801" s="196">
        <f>R799-R800</f>
        <v>278</v>
      </c>
      <c r="S801" s="197" t="str">
        <f t="shared" si="5356"/>
        <v>NA</v>
      </c>
      <c r="T801" s="196">
        <f>T799-T800</f>
        <v>303.2</v>
      </c>
      <c r="U801" s="197" t="str">
        <f t="shared" si="5356"/>
        <v>NA</v>
      </c>
      <c r="V801" s="196">
        <f>V799-V800</f>
        <v>384.59999999999985</v>
      </c>
      <c r="W801" s="197" t="str">
        <f t="shared" si="5356"/>
        <v>NA</v>
      </c>
      <c r="X801" s="196">
        <f>X799-X800</f>
        <v>329.19999999999993</v>
      </c>
      <c r="Y801" s="197" t="str">
        <f t="shared" si="5356"/>
        <v>NA</v>
      </c>
      <c r="Z801" s="196">
        <f>Z799-Z800</f>
        <v>287.30000000000018</v>
      </c>
      <c r="AA801" s="197">
        <f>IF(ISERROR((Z801/R801-1)*100),"NA",IF(((Z801/R801-1)*100)&gt;100,"NM",IF(((Z801/R801-1)*100)&lt;-50,"NM",(Z801/R801-1)*100)))</f>
        <v>3.3453237410072667</v>
      </c>
      <c r="AB801" s="196">
        <f>AB799-AB800</f>
        <v>345.7000000000001</v>
      </c>
      <c r="AC801" s="197">
        <f>IF(ISERROR((AB801/T801-1)*100),"NA",IF(((AB801/T801-1)*100)&gt;100,"NM",IF(((AB801/T801-1)*100)&lt;-50,"NM",(AB801/T801-1)*100)))</f>
        <v>14.017150395778399</v>
      </c>
      <c r="AD801" s="196">
        <f>AD799-AD800</f>
        <v>352</v>
      </c>
      <c r="AE801" s="197">
        <f>IF(ISERROR((AD801/V801-1)*100),"NA",IF(((AD801/V801-1)*100)&gt;100,"NM",IF(((AD801/V801-1)*100)&lt;-50,"NM",(AD801/V801-1)*100)))</f>
        <v>-8.4763390535621106</v>
      </c>
      <c r="AF801" s="196">
        <f>AF799-AF800</f>
        <v>392.8</v>
      </c>
      <c r="AG801" s="197">
        <f>IF(ISERROR((AF801/X801-1)*100),"NA",IF(((AF801/X801-1)*100)&gt;100,"NM",IF(((AF801/X801-1)*100)&lt;-50,"NM",(AF801/X801-1)*100)))</f>
        <v>19.319562575941696</v>
      </c>
      <c r="AH801" s="196">
        <f>AH799-AH800</f>
        <v>318.97000000000003</v>
      </c>
      <c r="AI801" s="197">
        <f>IF(ISERROR((AH801/Z801-1)*100),"NA",IF(((AH801/Z801-1)*100)&gt;100,"NM",IF(((AH801/Z801-1)*100)&lt;-50,"NM",(AH801/Z801-1)*100)))</f>
        <v>11.023320570831817</v>
      </c>
      <c r="AJ801" s="196">
        <f>AJ799-AJ800</f>
        <v>318.8</v>
      </c>
      <c r="AK801" s="197">
        <f>IF(ISERROR((AJ801/AB801-1)*100),"NA",IF(((AJ801/AB801-1)*100)&gt;100,"NM",IF(((AJ801/AB801-1)*100)&lt;-50,"NM",(AJ801/AB801-1)*100)))</f>
        <v>-7.7813132774081861</v>
      </c>
      <c r="AL801" s="196">
        <f>AL799-AL800</f>
        <v>303.19999999999993</v>
      </c>
      <c r="AM801" s="197">
        <f>IF(ISERROR((AL801/AD801-1)*100),"NA",IF(((AL801/AD801-1)*100)&gt;100,"NM",IF(((AL801/AD801-1)*100)&lt;-50,"NM",(AL801/AD801-1)*100)))</f>
        <v>-13.863636363636378</v>
      </c>
      <c r="AN801" s="478">
        <f t="shared" ref="AN801:AP801" si="5369">AN799-AN800</f>
        <v>345.6</v>
      </c>
      <c r="AO801" s="197">
        <f>IF(ISERROR((AN801/AF801-1)*100),"NA",IF(((AN801/AF801-1)*100)&gt;100,"NM",IF(((AN801/AF801-1)*100)&lt;-50,"NM",(AN801/AF801-1)*100)))</f>
        <v>-12.016293279022406</v>
      </c>
      <c r="AP801" s="478">
        <f t="shared" si="5369"/>
        <v>202.79999999999984</v>
      </c>
      <c r="AQ801" s="197">
        <f t="shared" si="5357"/>
        <v>-36.420353011255038</v>
      </c>
      <c r="AR801" s="478">
        <f t="shared" ref="AR801:AT801" si="5370">AR799-AR800</f>
        <v>307.89999999999998</v>
      </c>
      <c r="AS801" s="197">
        <f t="shared" si="5358"/>
        <v>-3.4190715181932396</v>
      </c>
      <c r="AT801" s="478">
        <f t="shared" si="5370"/>
        <v>330.2</v>
      </c>
      <c r="AU801" s="197">
        <f t="shared" si="5359"/>
        <v>8.9050131926121665</v>
      </c>
      <c r="AV801" s="478">
        <f t="shared" ref="AV801:AX801" si="5371">AV799-AV800</f>
        <v>280.69999999999993</v>
      </c>
      <c r="AW801" s="197">
        <f t="shared" si="5360"/>
        <v>-18.778935185185208</v>
      </c>
      <c r="AX801" s="478">
        <f t="shared" si="5371"/>
        <v>227.99999999999983</v>
      </c>
      <c r="AY801" s="197">
        <f t="shared" si="5361"/>
        <v>12.426035502958577</v>
      </c>
      <c r="AZ801" s="478">
        <f t="shared" ref="AZ801" si="5372">AZ799-AZ800</f>
        <v>282.49999999999989</v>
      </c>
      <c r="BA801" s="197">
        <f t="shared" si="5362"/>
        <v>-8.249431633647319</v>
      </c>
      <c r="BB801" s="478">
        <f t="shared" ref="BB801:BD801" si="5373">BB799-BB800</f>
        <v>284.20000000000005</v>
      </c>
      <c r="BC801" s="197">
        <f t="shared" si="5363"/>
        <v>-13.930950938824937</v>
      </c>
      <c r="BD801" s="478">
        <f t="shared" si="5373"/>
        <v>303.19999999999993</v>
      </c>
      <c r="BE801" s="197">
        <f t="shared" si="5364"/>
        <v>8.0156750979693658</v>
      </c>
      <c r="BF801" s="196">
        <f t="shared" ref="BF801" si="5374">BF799-BF800</f>
        <v>260.91592862875552</v>
      </c>
      <c r="BG801" s="197">
        <f t="shared" si="5365"/>
        <v>14.43681080208583</v>
      </c>
      <c r="BH801" s="196">
        <f t="shared" ref="BH801" si="5375">BH799-BH800</f>
        <v>294.40032272784299</v>
      </c>
      <c r="BI801" s="197">
        <f t="shared" si="5366"/>
        <v>4.2125036204754274</v>
      </c>
      <c r="BJ801" s="196">
        <f t="shared" ref="BJ801" si="5376">BJ799-BJ800</f>
        <v>296.29061969113837</v>
      </c>
      <c r="BK801" s="197">
        <f t="shared" si="5367"/>
        <v>4.2542644937151097</v>
      </c>
      <c r="BL801" s="196">
        <f t="shared" ref="BL801" si="5377">BL799-BL800</f>
        <v>301.30401841016374</v>
      </c>
      <c r="BM801" s="197">
        <f t="shared" si="5368"/>
        <v>-0.62532374334967056</v>
      </c>
      <c r="BO801" s="137"/>
      <c r="BR801" s="192"/>
      <c r="BS801" s="192"/>
      <c r="BT801" s="192"/>
      <c r="BU801" s="196"/>
      <c r="BV801" s="197"/>
      <c r="BW801" s="196">
        <f>BW799-BW800</f>
        <v>990.34000000000037</v>
      </c>
      <c r="BX801" s="197" t="str">
        <f t="shared" ref="BX801:CR803" si="5378">IF(ISERROR((BW801/BU801-1)*100),"NA",IF(((BW801/BU801-1)*100)&gt;100,"NM",IF(((BW801/BU801-1)*100)&lt;-50,"NM",(BW801/BU801-1)*100)))</f>
        <v>NA</v>
      </c>
      <c r="BY801" s="196">
        <f>X801+V801+T801+R801</f>
        <v>1294.9999999999998</v>
      </c>
      <c r="BZ801" s="197">
        <f t="shared" si="5378"/>
        <v>30.763172243875768</v>
      </c>
      <c r="CA801" s="196">
        <f>AF801+AD801+AB801+Z801</f>
        <v>1377.8000000000002</v>
      </c>
      <c r="CB801" s="197">
        <f t="shared" si="5378"/>
        <v>6.3938223938224237</v>
      </c>
      <c r="CC801" s="196">
        <f>AN801+AL801+AJ801+AH801</f>
        <v>1286.57</v>
      </c>
      <c r="CD801" s="197">
        <f t="shared" si="5378"/>
        <v>-6.6214254608796814</v>
      </c>
      <c r="CE801" s="196">
        <f>AV801+AT801+AR801+AP801</f>
        <v>1121.5999999999997</v>
      </c>
      <c r="CF801" s="197">
        <f t="shared" si="5378"/>
        <v>-12.822465936560024</v>
      </c>
      <c r="CG801" s="196">
        <f>BD801+BB801+AZ801+AX801</f>
        <v>1097.8999999999996</v>
      </c>
      <c r="CH801" s="197">
        <f t="shared" si="5378"/>
        <v>-2.1130527817403766</v>
      </c>
      <c r="CI801" s="196">
        <f>BL801+BJ801+BH801+BF801</f>
        <v>1152.9108894579006</v>
      </c>
      <c r="CJ801" s="197">
        <f t="shared" si="5378"/>
        <v>5.0105555567812043</v>
      </c>
      <c r="CK801" s="196">
        <f>CK799-CK800</f>
        <v>1201.1782067360518</v>
      </c>
      <c r="CL801" s="197">
        <f t="shared" si="5378"/>
        <v>4.186560966636943</v>
      </c>
      <c r="CM801" s="196">
        <f>CM799-CM800</f>
        <v>1247.1799693054431</v>
      </c>
      <c r="CN801" s="197">
        <f t="shared" si="5378"/>
        <v>3.8297200458199621</v>
      </c>
      <c r="CO801" s="196">
        <f>CO799-CO800</f>
        <v>1292.1206649492401</v>
      </c>
      <c r="CP801" s="197">
        <f t="shared" si="5378"/>
        <v>3.6033849764941728</v>
      </c>
      <c r="CQ801" s="196">
        <f>CQ799-CQ800</f>
        <v>1336.6261181310085</v>
      </c>
      <c r="CR801" s="197">
        <f t="shared" si="5378"/>
        <v>3.4443728352194336</v>
      </c>
      <c r="CS801" s="197"/>
      <c r="CT801" s="192"/>
      <c r="CV801"/>
      <c r="CW801"/>
      <c r="CX801"/>
      <c r="CY801"/>
      <c r="CZ801"/>
      <c r="DA801"/>
    </row>
    <row r="802" spans="1:105" s="193" customFormat="1" ht="12.75" hidden="1" customHeight="1" outlineLevel="1" x14ac:dyDescent="0.2">
      <c r="A802" s="195" t="s">
        <v>22</v>
      </c>
      <c r="B802" s="196"/>
      <c r="C802" s="189"/>
      <c r="D802" s="196"/>
      <c r="E802" s="189"/>
      <c r="F802" s="196"/>
      <c r="G802" s="189"/>
      <c r="H802" s="196"/>
      <c r="I802" s="189"/>
      <c r="J802" s="196"/>
      <c r="K802" s="197"/>
      <c r="L802" s="196"/>
      <c r="M802" s="197"/>
      <c r="N802" s="196"/>
      <c r="O802" s="197"/>
      <c r="P802" s="196"/>
      <c r="Q802" s="197"/>
      <c r="R802" s="196">
        <f>0.35*R801</f>
        <v>97.3</v>
      </c>
      <c r="S802" s="197" t="str">
        <f t="shared" si="5356"/>
        <v>NA</v>
      </c>
      <c r="T802" s="196">
        <f>0.35*T801</f>
        <v>106.11999999999999</v>
      </c>
      <c r="U802" s="197" t="str">
        <f t="shared" si="5356"/>
        <v>NA</v>
      </c>
      <c r="V802" s="196">
        <f>0.35*V801</f>
        <v>134.60999999999993</v>
      </c>
      <c r="W802" s="197" t="str">
        <f t="shared" si="5356"/>
        <v>NA</v>
      </c>
      <c r="X802" s="196">
        <f>0.35*X801</f>
        <v>115.21999999999997</v>
      </c>
      <c r="Y802" s="197" t="str">
        <f t="shared" si="5356"/>
        <v>NA</v>
      </c>
      <c r="Z802" s="196">
        <f>0.35*Z801</f>
        <v>100.55500000000006</v>
      </c>
      <c r="AA802" s="197">
        <f>IF(ISERROR((Z802/R802-1)*100),"NA",IF(((Z802/R802-1)*100)&gt;100,"NM",IF(((Z802/R802-1)*100)&lt;-50,"NM",(Z802/R802-1)*100)))</f>
        <v>3.3453237410072667</v>
      </c>
      <c r="AB802" s="196">
        <f>0.35*AB801</f>
        <v>120.99500000000003</v>
      </c>
      <c r="AC802" s="197">
        <f>IF(ISERROR((AB802/T802-1)*100),"NA",IF(((AB802/T802-1)*100)&gt;100,"NM",IF(((AB802/T802-1)*100)&lt;-50,"NM",(AB802/T802-1)*100)))</f>
        <v>14.017150395778399</v>
      </c>
      <c r="AD802" s="196">
        <f>0.35*AD801</f>
        <v>123.19999999999999</v>
      </c>
      <c r="AE802" s="197">
        <f>IF(ISERROR((AD802/V802-1)*100),"NA",IF(((AD802/V802-1)*100)&gt;100,"NM",IF(((AD802/V802-1)*100)&lt;-50,"NM",(AD802/V802-1)*100)))</f>
        <v>-8.4763390535620982</v>
      </c>
      <c r="AF802" s="196">
        <f>0.35*AF801</f>
        <v>137.47999999999999</v>
      </c>
      <c r="AG802" s="197">
        <f>IF(ISERROR((AF802/X802-1)*100),"NA",IF(((AF802/X802-1)*100)&gt;100,"NM",IF(((AF802/X802-1)*100)&lt;-50,"NM",(AF802/X802-1)*100)))</f>
        <v>19.319562575941696</v>
      </c>
      <c r="AH802" s="196">
        <f>0.32*AH801</f>
        <v>102.07040000000001</v>
      </c>
      <c r="AI802" s="197">
        <f>IF(ISERROR((AH802/Z802-1)*100),"NA",IF(((AH802/Z802-1)*100)&gt;100,"NM",IF(((AH802/Z802-1)*100)&lt;-50,"NM",(AH802/Z802-1)*100)))</f>
        <v>1.507035950474811</v>
      </c>
      <c r="AJ802" s="196">
        <f>0.32*AJ801</f>
        <v>102.01600000000001</v>
      </c>
      <c r="AK802" s="197">
        <f>IF(ISERROR((AJ802/AB802-1)*100),"NA",IF(((AJ802/AB802-1)*100)&gt;100,"NM",IF(((AJ802/AB802-1)*100)&lt;-50,"NM",(AJ802/AB802-1)*100)))</f>
        <v>-15.685772139344623</v>
      </c>
      <c r="AL802" s="196">
        <f>0.32*AL801</f>
        <v>97.023999999999987</v>
      </c>
      <c r="AM802" s="197">
        <f>IF(ISERROR((AL802/AD802-1)*100),"NA",IF(((AL802/AD802-1)*100)&gt;100,"NM",IF(((AL802/AD802-1)*100)&lt;-50,"NM",(AL802/AD802-1)*100)))</f>
        <v>-21.246753246753247</v>
      </c>
      <c r="AN802" s="478">
        <f t="shared" ref="AN802:AP802" si="5379">0.32*AN801</f>
        <v>110.59200000000001</v>
      </c>
      <c r="AO802" s="197">
        <f>IF(ISERROR((AN802/AF802-1)*100),"NA",IF(((AN802/AF802-1)*100)&gt;100,"NM",IF(((AN802/AF802-1)*100)&lt;-50,"NM",(AN802/AF802-1)*100)))</f>
        <v>-19.557753855106185</v>
      </c>
      <c r="AP802" s="478">
        <f t="shared" si="5379"/>
        <v>64.895999999999944</v>
      </c>
      <c r="AQ802" s="197">
        <f t="shared" si="5357"/>
        <v>-36.420353011255038</v>
      </c>
      <c r="AR802" s="478">
        <f>0.32*AR801</f>
        <v>98.527999999999992</v>
      </c>
      <c r="AS802" s="197">
        <f t="shared" si="5358"/>
        <v>-3.4190715181932396</v>
      </c>
      <c r="AT802" s="478">
        <f>0.32*AT801</f>
        <v>105.664</v>
      </c>
      <c r="AU802" s="197">
        <f t="shared" si="5359"/>
        <v>8.9050131926121434</v>
      </c>
      <c r="AV802" s="478">
        <f t="shared" ref="AV802:AX802" si="5380">0.32*AV801</f>
        <v>89.823999999999984</v>
      </c>
      <c r="AW802" s="197">
        <f t="shared" si="5360"/>
        <v>-18.778935185185208</v>
      </c>
      <c r="AX802" s="478">
        <f t="shared" si="5380"/>
        <v>72.959999999999951</v>
      </c>
      <c r="AY802" s="197">
        <f t="shared" si="5361"/>
        <v>12.426035502958598</v>
      </c>
      <c r="AZ802" s="478">
        <f t="shared" ref="AZ802" si="5381">0.32*AZ801</f>
        <v>90.399999999999963</v>
      </c>
      <c r="BA802" s="197">
        <f t="shared" si="5362"/>
        <v>-8.249431633647319</v>
      </c>
      <c r="BB802" s="478">
        <f t="shared" ref="BB802:BD802" si="5382">0.32*BB801</f>
        <v>90.944000000000017</v>
      </c>
      <c r="BC802" s="197">
        <f t="shared" si="5363"/>
        <v>-13.930950938824937</v>
      </c>
      <c r="BD802" s="478">
        <f t="shared" si="5382"/>
        <v>97.023999999999987</v>
      </c>
      <c r="BE802" s="197">
        <f t="shared" si="5364"/>
        <v>8.0156750979693658</v>
      </c>
      <c r="BF802" s="196">
        <f t="shared" ref="BF802" si="5383">0.32*BF801</f>
        <v>83.493097161201774</v>
      </c>
      <c r="BG802" s="197">
        <f t="shared" si="5365"/>
        <v>14.43681080208583</v>
      </c>
      <c r="BH802" s="196">
        <f t="shared" ref="BH802" si="5384">0.32*BH801</f>
        <v>94.208103272909753</v>
      </c>
      <c r="BI802" s="197">
        <f t="shared" si="5366"/>
        <v>4.2125036204754274</v>
      </c>
      <c r="BJ802" s="196">
        <f t="shared" ref="BJ802" si="5385">0.32*BJ801</f>
        <v>94.812998301164285</v>
      </c>
      <c r="BK802" s="197">
        <f t="shared" si="5367"/>
        <v>4.2542644937151097</v>
      </c>
      <c r="BL802" s="196">
        <f t="shared" ref="BL802" si="5386">0.32*BL801</f>
        <v>96.417285891252391</v>
      </c>
      <c r="BM802" s="197">
        <f t="shared" si="5368"/>
        <v>-0.62532374334968166</v>
      </c>
      <c r="BO802" s="137"/>
      <c r="BR802" s="192"/>
      <c r="BS802" s="192"/>
      <c r="BT802" s="192"/>
      <c r="BU802" s="196"/>
      <c r="BV802" s="197"/>
      <c r="BW802" s="196">
        <f>0.35*BW801</f>
        <v>346.61900000000009</v>
      </c>
      <c r="BX802" s="197" t="str">
        <f t="shared" si="5378"/>
        <v>NA</v>
      </c>
      <c r="BY802" s="196">
        <f>X802+V802+T802+R802</f>
        <v>453.24999999999989</v>
      </c>
      <c r="BZ802" s="197">
        <f t="shared" si="5378"/>
        <v>30.763172243875768</v>
      </c>
      <c r="CA802" s="196">
        <f>AF802+AD802+AB802+Z802</f>
        <v>482.23</v>
      </c>
      <c r="CB802" s="197">
        <f t="shared" si="5378"/>
        <v>6.3938223938224237</v>
      </c>
      <c r="CC802" s="196">
        <f>AN802+AL802+AJ802+AH802</f>
        <v>411.70240000000001</v>
      </c>
      <c r="CD802" s="197">
        <f t="shared" si="5378"/>
        <v>-14.625303278518553</v>
      </c>
      <c r="CE802" s="196">
        <f>AV802+AT802+AR802+AP802</f>
        <v>358.91199999999992</v>
      </c>
      <c r="CF802" s="197">
        <f t="shared" si="5378"/>
        <v>-12.822465936560024</v>
      </c>
      <c r="CG802" s="196">
        <f>BD802+BB802+AZ802+AX802</f>
        <v>351.32799999999997</v>
      </c>
      <c r="CH802" s="197">
        <f t="shared" si="5378"/>
        <v>-2.1130527817403544</v>
      </c>
      <c r="CI802" s="196">
        <f>BL802+BJ802+BH802+BF802</f>
        <v>368.93148462652817</v>
      </c>
      <c r="CJ802" s="197">
        <f t="shared" si="5378"/>
        <v>5.0105555567811821</v>
      </c>
      <c r="CK802" s="196">
        <f>0.32*CK801</f>
        <v>384.37702615553661</v>
      </c>
      <c r="CL802" s="197">
        <f t="shared" si="5378"/>
        <v>4.186560966636943</v>
      </c>
      <c r="CM802" s="196">
        <f>0.32*CM801</f>
        <v>399.09759017774184</v>
      </c>
      <c r="CN802" s="197">
        <f t="shared" si="5378"/>
        <v>3.8297200458199621</v>
      </c>
      <c r="CO802" s="196">
        <f>0.32*CO801</f>
        <v>413.47861278375683</v>
      </c>
      <c r="CP802" s="197">
        <f t="shared" si="5378"/>
        <v>3.6033849764941728</v>
      </c>
      <c r="CQ802" s="196">
        <f>0.32*CQ801</f>
        <v>427.72035780192272</v>
      </c>
      <c r="CR802" s="197">
        <f t="shared" si="5378"/>
        <v>3.4443728352194336</v>
      </c>
      <c r="CS802" s="197"/>
      <c r="CT802" s="192"/>
      <c r="CV802"/>
      <c r="CW802"/>
      <c r="CX802"/>
      <c r="CY802"/>
      <c r="CZ802"/>
      <c r="DA802"/>
    </row>
    <row r="803" spans="1:105" s="193" customFormat="1" ht="12.75" hidden="1" customHeight="1" outlineLevel="1" x14ac:dyDescent="0.2">
      <c r="A803" s="195" t="s">
        <v>380</v>
      </c>
      <c r="B803" s="196"/>
      <c r="C803" s="189"/>
      <c r="D803" s="196"/>
      <c r="E803" s="189"/>
      <c r="F803" s="196"/>
      <c r="G803" s="189"/>
      <c r="H803" s="196"/>
      <c r="I803" s="189"/>
      <c r="J803" s="196"/>
      <c r="K803" s="197"/>
      <c r="L803" s="196"/>
      <c r="M803" s="197"/>
      <c r="N803" s="196"/>
      <c r="O803" s="197"/>
      <c r="P803" s="196"/>
      <c r="Q803" s="197"/>
      <c r="R803" s="196">
        <f>R801-R802</f>
        <v>180.7</v>
      </c>
      <c r="S803" s="197" t="str">
        <f t="shared" si="5356"/>
        <v>NA</v>
      </c>
      <c r="T803" s="196">
        <f>T801-T802</f>
        <v>197.07999999999998</v>
      </c>
      <c r="U803" s="197" t="str">
        <f t="shared" si="5356"/>
        <v>NA</v>
      </c>
      <c r="V803" s="196">
        <f>V801-V802</f>
        <v>249.98999999999992</v>
      </c>
      <c r="W803" s="197" t="str">
        <f t="shared" si="5356"/>
        <v>NA</v>
      </c>
      <c r="X803" s="196">
        <f>X801-X802</f>
        <v>213.97999999999996</v>
      </c>
      <c r="Y803" s="197" t="str">
        <f t="shared" si="5356"/>
        <v>NA</v>
      </c>
      <c r="Z803" s="196">
        <f>Z801-Z802</f>
        <v>186.74500000000012</v>
      </c>
      <c r="AA803" s="197">
        <f>IF(ISERROR((Z803/R803-1)*100),"NA",IF(((Z803/R803-1)*100)&gt;100,"NM",IF(((Z803/R803-1)*100)&lt;-50,"NM",(Z803/R803-1)*100)))</f>
        <v>3.3453237410072667</v>
      </c>
      <c r="AB803" s="196">
        <f>AB801-AB802</f>
        <v>224.70500000000007</v>
      </c>
      <c r="AC803" s="197">
        <f>IF(ISERROR((AB803/T803-1)*100),"NA",IF(((AB803/T803-1)*100)&gt;100,"NM",IF(((AB803/T803-1)*100)&lt;-50,"NM",(AB803/T803-1)*100)))</f>
        <v>14.017150395778399</v>
      </c>
      <c r="AD803" s="196">
        <f>AD801-AD802</f>
        <v>228.8</v>
      </c>
      <c r="AE803" s="197">
        <f>IF(ISERROR((AD803/V803-1)*100),"NA",IF(((AD803/V803-1)*100)&gt;100,"NM",IF(((AD803/V803-1)*100)&lt;-50,"NM",(AD803/V803-1)*100)))</f>
        <v>-8.4763390535621106</v>
      </c>
      <c r="AF803" s="493">
        <f>AF801-AF802</f>
        <v>255.32000000000002</v>
      </c>
      <c r="AG803" s="197">
        <f>IF(ISERROR((AF803/X803-1)*100),"NA",IF(((AF803/X803-1)*100)&gt;100,"NM",IF(((AF803/X803-1)*100)&lt;-50,"NM",(AF803/X803-1)*100)))</f>
        <v>19.319562575941717</v>
      </c>
      <c r="AH803" s="196">
        <f>AH801-AH802</f>
        <v>216.89960000000002</v>
      </c>
      <c r="AI803" s="197">
        <f>IF(ISERROR((AH803/Z803-1)*100),"NA",IF(((AH803/Z803-1)*100)&gt;100,"NM",IF(((AH803/Z803-1)*100)&lt;-50,"NM",(AH803/Z803-1)*100)))</f>
        <v>16.147473827947145</v>
      </c>
      <c r="AJ803" s="196">
        <f>AJ801-AJ802</f>
        <v>216.78399999999999</v>
      </c>
      <c r="AK803" s="197">
        <f>IF(ISERROR((AJ803/AB803-1)*100),"NA",IF(((AJ803/AB803-1)*100)&gt;100,"NM",IF(((AJ803/AB803-1)*100)&lt;-50,"NM",(AJ803/AB803-1)*100)))</f>
        <v>-3.5250661979039477</v>
      </c>
      <c r="AL803" s="196">
        <f>AL801-AL802</f>
        <v>206.17599999999993</v>
      </c>
      <c r="AM803" s="197">
        <f>IF(ISERROR((AL803/AD803-1)*100),"NA",IF(((AL803/AD803-1)*100)&gt;100,"NM",IF(((AL803/AD803-1)*100)&lt;-50,"NM",(AL803/AD803-1)*100)))</f>
        <v>-9.8881118881119274</v>
      </c>
      <c r="AN803" s="478">
        <f t="shared" ref="AN803:AP803" si="5387">AN801-AN802</f>
        <v>235.00800000000001</v>
      </c>
      <c r="AO803" s="197">
        <f>IF(ISERROR((AN803/AF803-1)*100),"NA",IF(((AN803/AF803-1)*100)&gt;100,"NM",IF(((AN803/AF803-1)*100)&lt;-50,"NM",(AN803/AF803-1)*100)))</f>
        <v>-7.9555068149772872</v>
      </c>
      <c r="AP803" s="478">
        <f t="shared" si="5387"/>
        <v>137.90399999999988</v>
      </c>
      <c r="AQ803" s="197">
        <f t="shared" si="5357"/>
        <v>-36.420353011255038</v>
      </c>
      <c r="AR803" s="478">
        <f t="shared" ref="AR803:AT803" si="5388">AR801-AR802</f>
        <v>209.37199999999999</v>
      </c>
      <c r="AS803" s="197">
        <f t="shared" si="5358"/>
        <v>-3.4190715181932285</v>
      </c>
      <c r="AT803" s="478">
        <f t="shared" si="5388"/>
        <v>224.536</v>
      </c>
      <c r="AU803" s="197">
        <f t="shared" si="5359"/>
        <v>8.9050131926121665</v>
      </c>
      <c r="AV803" s="478">
        <f t="shared" ref="AV803:AX803" si="5389">AV801-AV802</f>
        <v>190.87599999999995</v>
      </c>
      <c r="AW803" s="197">
        <f t="shared" si="5360"/>
        <v>-18.778935185185208</v>
      </c>
      <c r="AX803" s="478">
        <f t="shared" si="5389"/>
        <v>155.03999999999988</v>
      </c>
      <c r="AY803" s="197">
        <f t="shared" si="5361"/>
        <v>12.426035502958577</v>
      </c>
      <c r="AZ803" s="478">
        <f t="shared" ref="AZ803" si="5390">AZ801-AZ802</f>
        <v>192.09999999999991</v>
      </c>
      <c r="BA803" s="197">
        <f t="shared" si="5362"/>
        <v>-8.2494316336473297</v>
      </c>
      <c r="BB803" s="478">
        <f t="shared" ref="BB803:BD803" si="5391">BB801-BB802</f>
        <v>193.25600000000003</v>
      </c>
      <c r="BC803" s="197">
        <f t="shared" si="5363"/>
        <v>-13.930950938824937</v>
      </c>
      <c r="BD803" s="478">
        <f t="shared" si="5391"/>
        <v>206.17599999999993</v>
      </c>
      <c r="BE803" s="197">
        <f t="shared" si="5364"/>
        <v>8.0156750979693658</v>
      </c>
      <c r="BF803" s="196">
        <f t="shared" ref="BF803" si="5392">BF801-BF802</f>
        <v>177.42283146755375</v>
      </c>
      <c r="BG803" s="197">
        <f t="shared" si="5365"/>
        <v>14.43681080208583</v>
      </c>
      <c r="BH803" s="196">
        <f t="shared" ref="BH803" si="5393">BH801-BH802</f>
        <v>200.19221945493325</v>
      </c>
      <c r="BI803" s="197">
        <f t="shared" si="5366"/>
        <v>4.2125036204754496</v>
      </c>
      <c r="BJ803" s="196">
        <f t="shared" ref="BJ803" si="5394">BJ801-BJ802</f>
        <v>201.4776213899741</v>
      </c>
      <c r="BK803" s="197">
        <f t="shared" si="5367"/>
        <v>4.2542644937151097</v>
      </c>
      <c r="BL803" s="196">
        <f t="shared" ref="BL803" si="5395">BL801-BL802</f>
        <v>204.88673251891134</v>
      </c>
      <c r="BM803" s="197">
        <f t="shared" si="5368"/>
        <v>-0.62532374334965946</v>
      </c>
      <c r="BO803" s="137"/>
      <c r="BR803" s="192"/>
      <c r="BS803" s="192"/>
      <c r="BT803" s="192"/>
      <c r="BU803" s="196"/>
      <c r="BV803" s="197"/>
      <c r="BW803" s="196">
        <f>BW801-BW802</f>
        <v>643.72100000000023</v>
      </c>
      <c r="BX803" s="197" t="str">
        <f t="shared" si="5378"/>
        <v>NA</v>
      </c>
      <c r="BY803" s="196">
        <f>X803+V803+T803+R803</f>
        <v>841.75</v>
      </c>
      <c r="BZ803" s="197">
        <f t="shared" si="5378"/>
        <v>30.763172243875793</v>
      </c>
      <c r="CA803" s="196">
        <f>AF803+AD803+AB803+Z803</f>
        <v>895.57000000000016</v>
      </c>
      <c r="CB803" s="197">
        <f t="shared" si="5378"/>
        <v>6.3938223938224237</v>
      </c>
      <c r="CC803" s="196">
        <f>AN803+AL803+AJ803+AH803</f>
        <v>874.86760000000004</v>
      </c>
      <c r="CD803" s="197">
        <f t="shared" si="5378"/>
        <v>-2.3116450975356639</v>
      </c>
      <c r="CE803" s="196">
        <f>AV803+AT803+AR803+AP803</f>
        <v>762.68799999999976</v>
      </c>
      <c r="CF803" s="197">
        <f t="shared" si="5378"/>
        <v>-12.822465936560034</v>
      </c>
      <c r="CG803" s="196">
        <f>BD803+BB803+AZ803+AX803</f>
        <v>746.57199999999978</v>
      </c>
      <c r="CH803" s="197">
        <f t="shared" si="5378"/>
        <v>-2.1130527817403655</v>
      </c>
      <c r="CI803" s="196">
        <f>BL803+BJ803+BH803+BF803</f>
        <v>783.97940483137245</v>
      </c>
      <c r="CJ803" s="197">
        <f t="shared" si="5378"/>
        <v>5.0105555567812265</v>
      </c>
      <c r="CK803" s="196">
        <f>CK801-CK802</f>
        <v>816.80118058051517</v>
      </c>
      <c r="CL803" s="197">
        <f t="shared" si="5378"/>
        <v>4.1865609666369208</v>
      </c>
      <c r="CM803" s="196">
        <f>CM801-CM802</f>
        <v>848.0823791277013</v>
      </c>
      <c r="CN803" s="197">
        <f t="shared" si="5378"/>
        <v>3.8297200458199621</v>
      </c>
      <c r="CO803" s="196">
        <f>CO801-CO802</f>
        <v>878.64205216548328</v>
      </c>
      <c r="CP803" s="197">
        <f t="shared" si="5378"/>
        <v>3.6033849764941728</v>
      </c>
      <c r="CQ803" s="196">
        <f>CQ801-CQ802</f>
        <v>908.90576032908575</v>
      </c>
      <c r="CR803" s="197">
        <f t="shared" si="5378"/>
        <v>3.4443728352194336</v>
      </c>
      <c r="CS803" s="197"/>
      <c r="CT803" s="192"/>
      <c r="CV803"/>
      <c r="CW803"/>
      <c r="CX803"/>
      <c r="CY803"/>
      <c r="CZ803"/>
      <c r="DA803"/>
    </row>
    <row r="804" spans="1:105" s="193" customFormat="1" ht="12.75" hidden="1" customHeight="1" outlineLevel="1" x14ac:dyDescent="0.2">
      <c r="A804" s="194"/>
      <c r="B804" s="188"/>
      <c r="C804" s="189"/>
      <c r="D804" s="188"/>
      <c r="E804" s="189"/>
      <c r="F804" s="188"/>
      <c r="G804" s="189"/>
      <c r="H804" s="188"/>
      <c r="I804" s="189"/>
      <c r="K804" s="191"/>
      <c r="L804" s="192"/>
      <c r="M804" s="191"/>
      <c r="N804" s="192"/>
      <c r="O804" s="191"/>
      <c r="P804" s="192"/>
      <c r="Q804" s="191"/>
      <c r="R804" s="192"/>
      <c r="S804" s="191"/>
      <c r="T804" s="192"/>
      <c r="U804" s="191"/>
      <c r="V804" s="192"/>
      <c r="W804" s="191"/>
      <c r="X804" s="192"/>
      <c r="Y804" s="191"/>
      <c r="Z804" s="192"/>
      <c r="AA804" s="191"/>
      <c r="AB804" s="192"/>
      <c r="AC804" s="191"/>
      <c r="AD804" s="192"/>
      <c r="AE804" s="191"/>
      <c r="AF804" s="192"/>
      <c r="AG804" s="191"/>
      <c r="AH804" s="192"/>
      <c r="AI804" s="191"/>
      <c r="AJ804" s="192"/>
      <c r="AK804" s="191"/>
      <c r="AL804" s="192"/>
      <c r="AM804" s="191"/>
      <c r="AN804" s="477"/>
      <c r="AO804" s="191"/>
      <c r="AP804" s="477"/>
      <c r="AQ804" s="191"/>
      <c r="AR804" s="477"/>
      <c r="AS804" s="191"/>
      <c r="AT804" s="477"/>
      <c r="AU804" s="191"/>
      <c r="AV804" s="477"/>
      <c r="AW804" s="191"/>
      <c r="AX804" s="477"/>
      <c r="AY804" s="191"/>
      <c r="AZ804" s="477"/>
      <c r="BA804" s="191"/>
      <c r="BB804" s="477"/>
      <c r="BC804" s="191"/>
      <c r="BD804" s="477"/>
      <c r="BE804" s="191"/>
      <c r="BF804" s="192"/>
      <c r="BG804" s="191"/>
      <c r="BH804" s="192"/>
      <c r="BI804" s="191"/>
      <c r="BJ804" s="192"/>
      <c r="BK804" s="191"/>
      <c r="BL804" s="192"/>
      <c r="BM804" s="191"/>
      <c r="BO804" s="131"/>
      <c r="BR804" s="192"/>
      <c r="BS804" s="192"/>
      <c r="BT804" s="192"/>
      <c r="BU804" s="192"/>
      <c r="BV804" s="191"/>
      <c r="BW804" s="192"/>
      <c r="BX804" s="191"/>
      <c r="BY804" s="192"/>
      <c r="BZ804" s="191"/>
      <c r="CA804" s="192"/>
      <c r="CB804" s="191"/>
      <c r="CC804" s="192"/>
      <c r="CD804" s="191"/>
      <c r="CE804" s="192"/>
      <c r="CF804" s="191"/>
      <c r="CG804" s="192"/>
      <c r="CH804" s="191"/>
      <c r="CI804" s="192"/>
      <c r="CJ804" s="191"/>
      <c r="CK804" s="192"/>
      <c r="CL804" s="191"/>
      <c r="CM804" s="192"/>
      <c r="CN804" s="191"/>
      <c r="CO804" s="192"/>
      <c r="CP804" s="191"/>
      <c r="CQ804" s="192"/>
      <c r="CR804" s="191"/>
      <c r="CS804" s="191"/>
      <c r="CT804" s="192"/>
      <c r="CV804"/>
      <c r="CW804"/>
      <c r="CX804"/>
      <c r="CY804"/>
      <c r="CZ804"/>
      <c r="DA804"/>
    </row>
    <row r="805" spans="1:105" s="193" customFormat="1" ht="12.75" hidden="1" customHeight="1" outlineLevel="1" x14ac:dyDescent="0.2">
      <c r="A805" s="195" t="s">
        <v>382</v>
      </c>
      <c r="B805" s="188"/>
      <c r="C805" s="189"/>
      <c r="D805" s="188"/>
      <c r="E805" s="189"/>
      <c r="F805" s="188"/>
      <c r="G805" s="189"/>
      <c r="H805" s="196">
        <f>H792*0.25</f>
        <v>2509.25</v>
      </c>
      <c r="I805" s="189"/>
      <c r="K805" s="197"/>
      <c r="L805" s="192"/>
      <c r="M805" s="197"/>
      <c r="N805" s="192"/>
      <c r="O805" s="197"/>
      <c r="P805" s="196">
        <f>P792*0.25</f>
        <v>2455.75</v>
      </c>
      <c r="Q805" s="197"/>
      <c r="R805" s="196">
        <f>R792*0.25</f>
        <v>2253</v>
      </c>
      <c r="S805" s="197" t="str">
        <f>IF(ISERROR((R805/J805-1)*100),"NA",IF(((R805/J805-1)*100)&gt;100,"NM",IF(((R805/J805-1)*100)&lt;-50,"NM",(R805/J805-1)*100)))</f>
        <v>NA</v>
      </c>
      <c r="T805" s="196">
        <f>T792*0.25</f>
        <v>2297.5</v>
      </c>
      <c r="U805" s="197" t="str">
        <f>IF(ISERROR((T805/L805-1)*100),"NA",IF(((T805/L805-1)*100)&gt;100,"NM",IF(((T805/L805-1)*100)&lt;-50,"NM",(T805/L805-1)*100)))</f>
        <v>NA</v>
      </c>
      <c r="V805" s="196">
        <f>V792*0.25</f>
        <v>2354.75</v>
      </c>
      <c r="W805" s="197" t="str">
        <f>IF(ISERROR((V805/N805-1)*100),"NA",IF(((V805/N805-1)*100)&gt;100,"NM",IF(((V805/N805-1)*100)&lt;-50,"NM",(V805/N805-1)*100)))</f>
        <v>NA</v>
      </c>
      <c r="X805" s="196">
        <f>X792*0.25</f>
        <v>2304</v>
      </c>
      <c r="Y805" s="197">
        <f>IF(ISERROR((X805/P805-1)*100),"NA",IF(((X805/P805-1)*100)&gt;100,"NM",IF(((X805/P805-1)*100)&lt;-50,"NM",(X805/P805-1)*100)))</f>
        <v>-6.179374936373816</v>
      </c>
      <c r="Z805" s="196">
        <f>Z792*0.25</f>
        <v>2280.75</v>
      </c>
      <c r="AA805" s="197">
        <f>IF(ISERROR((Z805/R805-1)*100),"NA",IF(((Z805/R805-1)*100)&gt;100,"NM",IF(((Z805/R805-1)*100)&lt;-50,"NM",(Z805/R805-1)*100)))</f>
        <v>1.231691078561914</v>
      </c>
      <c r="AB805" s="196">
        <f>AB792*0.25</f>
        <v>2265.75</v>
      </c>
      <c r="AC805" s="197">
        <f>IF(ISERROR((AB805/T805-1)*100),"NA",IF(((AB805/T805-1)*100)&gt;100,"NM",IF(((AB805/T805-1)*100)&lt;-50,"NM",(AB805/T805-1)*100)))</f>
        <v>-1.3819368879216531</v>
      </c>
      <c r="AD805" s="196">
        <f>AD792*0.25</f>
        <v>2278.75</v>
      </c>
      <c r="AE805" s="197">
        <f>IF(ISERROR((AD805/V805-1)*100),"NA",IF(((AD805/V805-1)*100)&gt;100,"NM",IF(((AD805/V805-1)*100)&lt;-50,"NM",(AD805/V805-1)*100)))</f>
        <v>-3.2275188448879888</v>
      </c>
      <c r="AF805" s="196">
        <f>AF792*0.25</f>
        <v>2194.25</v>
      </c>
      <c r="AG805" s="197">
        <f>IF(ISERROR((AF805/X805-1)*100),"NA",IF(((AF805/X805-1)*100)&gt;100,"NM",IF(((AF805/X805-1)*100)&lt;-50,"NM",(AF805/X805-1)*100)))</f>
        <v>-4.763454861111116</v>
      </c>
      <c r="AH805" s="196">
        <f>AH792*0.25</f>
        <v>2216</v>
      </c>
      <c r="AI805" s="197">
        <f>IF(ISERROR((AH805/Z805-1)*100),"NA",IF(((AH805/Z805-1)*100)&gt;100,"NM",IF(((AH805/Z805-1)*100)&lt;-50,"NM",(AH805/Z805-1)*100)))</f>
        <v>-2.8389784062260226</v>
      </c>
      <c r="AJ805" s="196">
        <f>AJ792*0.25</f>
        <v>2210.25</v>
      </c>
      <c r="AK805" s="197">
        <f>IF(ISERROR((AJ805/AB805-1)*100),"NA",IF(((AJ805/AB805-1)*100)&gt;100,"NM",IF(((AJ805/AB805-1)*100)&lt;-50,"NM",(AJ805/AB805-1)*100)))</f>
        <v>-2.4495200264813</v>
      </c>
      <c r="AL805" s="196">
        <f>AL792*0.25</f>
        <v>2160.75</v>
      </c>
      <c r="AM805" s="197">
        <f>IF(ISERROR((AL805/AD805-1)*100),"NA",IF(((AL805/AD805-1)*100)&gt;100,"NM",IF(((AL805/AD805-1)*100)&lt;-50,"NM",(AL805/AD805-1)*100)))</f>
        <v>-5.1782775644541923</v>
      </c>
      <c r="AN805" s="478">
        <f t="shared" ref="AN805:AP805" si="5396">AN792*0.25</f>
        <v>2094.25</v>
      </c>
      <c r="AO805" s="197">
        <f>IF(ISERROR((AN805/AF805-1)*100),"NA",IF(((AN805/AF805-1)*100)&gt;100,"NM",IF(((AN805/AF805-1)*100)&lt;-50,"NM",(AN805/AF805-1)*100)))</f>
        <v>-4.5573658425430157</v>
      </c>
      <c r="AP805" s="478">
        <f t="shared" si="5396"/>
        <v>2092.5</v>
      </c>
      <c r="AQ805" s="197">
        <f t="shared" ref="AQ805:AQ808" si="5397">IF(ISERROR((AP805/AH805-1)*100),"NA",IF(((AP805/AH805-1)*100)&gt;100,"NM",IF(((AP805/AH805-1)*100)&lt;-50,"NM",(AP805/AH805-1)*100)))</f>
        <v>-5.5731046931407953</v>
      </c>
      <c r="AR805" s="478">
        <f t="shared" ref="AR805:AT805" si="5398">AR792*0.25</f>
        <v>2064</v>
      </c>
      <c r="AS805" s="197">
        <f t="shared" ref="AS805:AS808" si="5399">IF(ISERROR((AR805/AJ805-1)*100),"NA",IF(((AR805/AJ805-1)*100)&gt;100,"NM",IF(((AR805/AJ805-1)*100)&lt;-50,"NM",(AR805/AJ805-1)*100)))</f>
        <v>-6.6168985408890375</v>
      </c>
      <c r="AT805" s="478">
        <f t="shared" si="5398"/>
        <v>2027</v>
      </c>
      <c r="AU805" s="197">
        <f t="shared" ref="AU805:AU808" si="5400">IF(ISERROR((AT805/AL805-1)*100),"NA",IF(((AT805/AL805-1)*100)&gt;100,"NM",IF(((AT805/AL805-1)*100)&lt;-50,"NM",(AT805/AL805-1)*100)))</f>
        <v>-6.1899803309036212</v>
      </c>
      <c r="AV805" s="478">
        <f t="shared" ref="AV805:AX805" si="5401">AV792*0.25</f>
        <v>1969.5</v>
      </c>
      <c r="AW805" s="197">
        <f t="shared" ref="AW805:AW808" si="5402">IF(ISERROR((AV805/AN805-1)*100),"NA",IF(((AV805/AN805-1)*100)&gt;100,"NM",IF(((AV805/AN805-1)*100)&lt;-50,"NM",(AV805/AN805-1)*100)))</f>
        <v>-5.956786439059325</v>
      </c>
      <c r="AX805" s="478">
        <f t="shared" si="5401"/>
        <v>1914</v>
      </c>
      <c r="AY805" s="197">
        <f t="shared" ref="AY805:AY808" si="5403">IF(ISERROR((AX805/AP805-1)*100),"NA",IF(((AX805/AP805-1)*100)&gt;100,"NM",IF(((AX805/AP805-1)*100)&lt;-50,"NM",(AX805/AP805-1)*100)))</f>
        <v>-8.5304659498207869</v>
      </c>
      <c r="AZ805" s="478">
        <f t="shared" ref="AZ805" si="5404">AZ792*0.25</f>
        <v>1914</v>
      </c>
      <c r="BA805" s="197">
        <f t="shared" ref="BA805:BA808" si="5405">IF(ISERROR((AZ805/AR805-1)*100),"NA",IF(((AZ805/AR805-1)*100)&gt;100,"NM",IF(((AZ805/AR805-1)*100)&lt;-50,"NM",(AZ805/AR805-1)*100)))</f>
        <v>-7.2674418604651176</v>
      </c>
      <c r="BB805" s="478">
        <f t="shared" ref="BB805:BD805" si="5406">BB792*0.25</f>
        <v>1914</v>
      </c>
      <c r="BC805" s="197">
        <f t="shared" ref="BC805:BC808" si="5407">IF(ISERROR((BB805/AT805-1)*100),"NA",IF(((BB805/AT805-1)*100)&gt;100,"NM",IF(((BB805/AT805-1)*100)&lt;-50,"NM",(BB805/AT805-1)*100)))</f>
        <v>-5.5747409965466233</v>
      </c>
      <c r="BD805" s="478">
        <f t="shared" si="5406"/>
        <v>1914</v>
      </c>
      <c r="BE805" s="197">
        <f t="shared" ref="BE805:BE808" si="5408">IF(ISERROR((BD805/AV805-1)*100),"NA",IF(((BD805/AV805-1)*100)&gt;100,"NM",IF(((BD805/AV805-1)*100)&lt;-50,"NM",(BD805/AV805-1)*100)))</f>
        <v>-2.8179741051028162</v>
      </c>
      <c r="BF805" s="196">
        <f t="shared" ref="BF805" si="5409">BF792*0.25</f>
        <v>1914</v>
      </c>
      <c r="BG805" s="197">
        <f t="shared" ref="BG805:BG808" si="5410">IF(ISERROR((BF805/AX805-1)*100),"NA",IF(((BF805/AX805-1)*100)&gt;100,"NM",IF(((BF805/AX805-1)*100)&lt;-50,"NM",(BF805/AX805-1)*100)))</f>
        <v>0</v>
      </c>
      <c r="BH805" s="196">
        <f t="shared" ref="BH805" si="5411">BH792*0.25</f>
        <v>1914</v>
      </c>
      <c r="BI805" s="197">
        <f t="shared" ref="BI805:BI808" si="5412">IF(ISERROR((BH805/AZ805-1)*100),"NA",IF(((BH805/AZ805-1)*100)&gt;100,"NM",IF(((BH805/AZ805-1)*100)&lt;-50,"NM",(BH805/AZ805-1)*100)))</f>
        <v>0</v>
      </c>
      <c r="BJ805" s="196">
        <f t="shared" ref="BJ805" si="5413">BJ792*0.25</f>
        <v>1914</v>
      </c>
      <c r="BK805" s="197">
        <f t="shared" ref="BK805:BK808" si="5414">IF(ISERROR((BJ805/BB805-1)*100),"NA",IF(((BJ805/BB805-1)*100)&gt;100,"NM",IF(((BJ805/BB805-1)*100)&lt;-50,"NM",(BJ805/BB805-1)*100)))</f>
        <v>0</v>
      </c>
      <c r="BL805" s="196">
        <f t="shared" ref="BL805" si="5415">BL792*0.25</f>
        <v>1914</v>
      </c>
      <c r="BM805" s="197">
        <f t="shared" ref="BM805:BM808" si="5416">IF(ISERROR((BL805/BD805-1)*100),"NA",IF(((BL805/BD805-1)*100)&gt;100,"NM",IF(((BL805/BD805-1)*100)&lt;-50,"NM",(BL805/BD805-1)*100)))</f>
        <v>0</v>
      </c>
      <c r="BO805" s="137"/>
      <c r="BR805" s="192"/>
      <c r="BS805" s="192"/>
      <c r="BT805" s="192"/>
      <c r="BU805" s="196"/>
      <c r="BV805" s="197"/>
      <c r="BW805" s="196"/>
      <c r="BX805" s="197"/>
      <c r="BY805" s="196"/>
      <c r="BZ805" s="197"/>
      <c r="CA805" s="196"/>
      <c r="CB805" s="197"/>
      <c r="CC805" s="196"/>
      <c r="CD805" s="197"/>
      <c r="CE805" s="196"/>
      <c r="CF805" s="197"/>
      <c r="CG805" s="196"/>
      <c r="CH805" s="197"/>
      <c r="CI805" s="196"/>
      <c r="CJ805" s="197"/>
      <c r="CK805" s="196"/>
      <c r="CL805" s="197"/>
      <c r="CM805" s="196"/>
      <c r="CN805" s="197"/>
      <c r="CO805" s="196"/>
      <c r="CP805" s="197"/>
      <c r="CQ805" s="196"/>
      <c r="CR805" s="197"/>
      <c r="CS805" s="197"/>
      <c r="CT805" s="192"/>
      <c r="CV805"/>
      <c r="CW805"/>
      <c r="CX805"/>
      <c r="CY805"/>
      <c r="CZ805"/>
      <c r="DA805"/>
    </row>
    <row r="806" spans="1:105" s="193" customFormat="1" ht="12.75" hidden="1" customHeight="1" outlineLevel="1" x14ac:dyDescent="0.2">
      <c r="A806" s="195" t="s">
        <v>352</v>
      </c>
      <c r="B806" s="196"/>
      <c r="C806" s="189"/>
      <c r="D806" s="196"/>
      <c r="E806" s="189"/>
      <c r="F806" s="196"/>
      <c r="G806" s="189"/>
      <c r="H806" s="196"/>
      <c r="I806" s="189"/>
      <c r="J806" s="196"/>
      <c r="K806" s="197"/>
      <c r="L806" s="196"/>
      <c r="M806" s="197"/>
      <c r="N806" s="196"/>
      <c r="O806" s="197"/>
      <c r="P806" s="196"/>
      <c r="Q806" s="197"/>
      <c r="R806" s="196">
        <f>AVERAGE(R805,P805)</f>
        <v>2354.375</v>
      </c>
      <c r="S806" s="197" t="str">
        <f>IF(ISERROR((R806/J806-1)*100),"NA",IF(((R806/J806-1)*100)&gt;100,"NM",IF(((R806/J806-1)*100)&lt;-50,"NM",(R806/J806-1)*100)))</f>
        <v>NA</v>
      </c>
      <c r="T806" s="196">
        <f>AVERAGE(T805,R805)</f>
        <v>2275.25</v>
      </c>
      <c r="U806" s="197" t="str">
        <f>IF(ISERROR((T806/L806-1)*100),"NA",IF(((T806/L806-1)*100)&gt;100,"NM",IF(((T806/L806-1)*100)&lt;-50,"NM",(T806/L806-1)*100)))</f>
        <v>NA</v>
      </c>
      <c r="V806" s="196">
        <f>AVERAGE(V805,T805)</f>
        <v>2326.125</v>
      </c>
      <c r="W806" s="197" t="str">
        <f>IF(ISERROR((V806/N806-1)*100),"NA",IF(((V806/N806-1)*100)&gt;100,"NM",IF(((V806/N806-1)*100)&lt;-50,"NM",(V806/N806-1)*100)))</f>
        <v>NA</v>
      </c>
      <c r="X806" s="196">
        <f>AVERAGE(X805,V805)</f>
        <v>2329.375</v>
      </c>
      <c r="Y806" s="197" t="str">
        <f>IF(ISERROR((X806/P806-1)*100),"NA",IF(((X806/P806-1)*100)&gt;100,"NM",IF(((X806/P806-1)*100)&lt;-50,"NM",(X806/P806-1)*100)))</f>
        <v>NA</v>
      </c>
      <c r="Z806" s="196">
        <f>AVERAGE(Z805,X805)</f>
        <v>2292.375</v>
      </c>
      <c r="AA806" s="197">
        <f>IF(ISERROR((Z806/R806-1)*100),"NA",IF(((Z806/R806-1)*100)&gt;100,"NM",IF(((Z806/R806-1)*100)&lt;-50,"NM",(Z806/R806-1)*100)))</f>
        <v>-2.6333952747544465</v>
      </c>
      <c r="AB806" s="196">
        <f>AVERAGE(AB805,Z805)</f>
        <v>2273.25</v>
      </c>
      <c r="AC806" s="197">
        <f>IF(ISERROR((AB806/T806-1)*100),"NA",IF(((AB806/T806-1)*100)&gt;100,"NM",IF(((AB806/T806-1)*100)&lt;-50,"NM",(AB806/T806-1)*100)))</f>
        <v>-8.7902428304587055E-2</v>
      </c>
      <c r="AD806" s="196">
        <f>AVERAGE(AD805,AB805)</f>
        <v>2272.25</v>
      </c>
      <c r="AE806" s="197">
        <f>IF(ISERROR((AD806/V806-1)*100),"NA",IF(((AD806/V806-1)*100)&gt;100,"NM",IF(((AD806/V806-1)*100)&lt;-50,"NM",(AD806/V806-1)*100)))</f>
        <v>-2.3160836154548892</v>
      </c>
      <c r="AF806" s="196">
        <f>AVERAGE(AF805,AD805)</f>
        <v>2236.5</v>
      </c>
      <c r="AG806" s="197">
        <f>IF(ISERROR((AF806/X806-1)*100),"NA",IF(((AF806/X806-1)*100)&gt;100,"NM",IF(((AF806/X806-1)*100)&lt;-50,"NM",(AF806/X806-1)*100)))</f>
        <v>-3.9871210088543108</v>
      </c>
      <c r="AH806" s="196">
        <f>AVERAGE(AH805,AF805)</f>
        <v>2205.125</v>
      </c>
      <c r="AI806" s="197">
        <f>IF(ISERROR((AH806/Z806-1)*100),"NA",IF(((AH806/Z806-1)*100)&gt;100,"NM",IF(((AH806/Z806-1)*100)&lt;-50,"NM",(AH806/Z806-1)*100)))</f>
        <v>-3.8060962975080437</v>
      </c>
      <c r="AJ806" s="196">
        <f>AVERAGE(AJ805,AH805)</f>
        <v>2213.125</v>
      </c>
      <c r="AK806" s="197">
        <f>IF(ISERROR((AJ806/AB806-1)*100),"NA",IF(((AJ806/AB806-1)*100)&gt;100,"NM",IF(((AJ806/AB806-1)*100)&lt;-50,"NM",(AJ806/AB806-1)*100)))</f>
        <v>-2.6448916749147733</v>
      </c>
      <c r="AL806" s="196">
        <f>AVERAGE(AL805,AJ805)</f>
        <v>2185.5</v>
      </c>
      <c r="AM806" s="197">
        <f>IF(ISERROR((AL806/AD806-1)*100),"NA",IF(((AL806/AD806-1)*100)&gt;100,"NM",IF(((AL806/AD806-1)*100)&lt;-50,"NM",(AL806/AD806-1)*100)))</f>
        <v>-3.8178017383650564</v>
      </c>
      <c r="AN806" s="478">
        <f t="shared" ref="AN806:AP806" si="5417">AVERAGE(AN805,AL805)</f>
        <v>2127.5</v>
      </c>
      <c r="AO806" s="197">
        <f>IF(ISERROR((AN806/AF806-1)*100),"NA",IF(((AN806/AF806-1)*100)&gt;100,"NM",IF(((AN806/AF806-1)*100)&lt;-50,"NM",(AN806/AF806-1)*100)))</f>
        <v>-4.8736865638274063</v>
      </c>
      <c r="AP806" s="478">
        <f t="shared" si="5417"/>
        <v>2093.375</v>
      </c>
      <c r="AQ806" s="197">
        <f t="shared" si="5397"/>
        <v>-5.0677399240405823</v>
      </c>
      <c r="AR806" s="478">
        <f t="shared" ref="AR806:AT806" si="5418">AVERAGE(AR805,AP805)</f>
        <v>2078.25</v>
      </c>
      <c r="AS806" s="197">
        <f t="shared" si="5399"/>
        <v>-6.0943236373905645</v>
      </c>
      <c r="AT806" s="478">
        <f t="shared" si="5418"/>
        <v>2045.5</v>
      </c>
      <c r="AU806" s="197">
        <f t="shared" si="5400"/>
        <v>-6.4058567833447766</v>
      </c>
      <c r="AV806" s="478">
        <f t="shared" ref="AV806:AX806" si="5419">AVERAGE(AV805,AT805)</f>
        <v>1998.25</v>
      </c>
      <c r="AW806" s="197">
        <f t="shared" si="5402"/>
        <v>-6.0752056404230315</v>
      </c>
      <c r="AX806" s="478">
        <f t="shared" si="5419"/>
        <v>1941.75</v>
      </c>
      <c r="AY806" s="197">
        <f t="shared" si="5403"/>
        <v>-7.243088314324952</v>
      </c>
      <c r="AZ806" s="478">
        <f t="shared" ref="AZ806" si="5420">AVERAGE(AZ805,AX805)</f>
        <v>1914</v>
      </c>
      <c r="BA806" s="197">
        <f t="shared" si="5405"/>
        <v>-7.9032840129916959</v>
      </c>
      <c r="BB806" s="478">
        <f t="shared" ref="BB806:BD806" si="5421">AVERAGE(BB805,AZ805)</f>
        <v>1914</v>
      </c>
      <c r="BC806" s="197">
        <f t="shared" si="5407"/>
        <v>-6.4287460278660502</v>
      </c>
      <c r="BD806" s="478">
        <f t="shared" si="5421"/>
        <v>1914</v>
      </c>
      <c r="BE806" s="197">
        <f t="shared" si="5408"/>
        <v>-4.2161891655198342</v>
      </c>
      <c r="BF806" s="196">
        <f t="shared" ref="BF806:BJ806" si="5422">AVERAGE(BF805,BD805)</f>
        <v>1914</v>
      </c>
      <c r="BG806" s="197">
        <f t="shared" si="5410"/>
        <v>-1.4291232135959842</v>
      </c>
      <c r="BH806" s="196">
        <f t="shared" si="5422"/>
        <v>1914</v>
      </c>
      <c r="BI806" s="197">
        <f t="shared" si="5412"/>
        <v>0</v>
      </c>
      <c r="BJ806" s="196">
        <f t="shared" si="5422"/>
        <v>1914</v>
      </c>
      <c r="BK806" s="197">
        <f t="shared" si="5414"/>
        <v>0</v>
      </c>
      <c r="BL806" s="196">
        <f t="shared" ref="BL806" si="5423">AVERAGE(BL805,BJ805)</f>
        <v>1914</v>
      </c>
      <c r="BM806" s="197">
        <f t="shared" si="5416"/>
        <v>0</v>
      </c>
      <c r="BO806" s="137"/>
      <c r="BR806" s="192"/>
      <c r="BS806" s="192"/>
      <c r="BT806" s="192"/>
      <c r="BU806" s="196"/>
      <c r="BV806" s="197"/>
      <c r="BW806" s="196">
        <f>0.25*AVERAGE(BW792,BU792)</f>
        <v>2482.5</v>
      </c>
      <c r="BX806" s="197" t="str">
        <f>IF(ISERROR((BW806/BU806-1)*100),"NA",IF(((BW806/BU806-1)*100)&gt;100,"NM",IF(((BW806/BU806-1)*100)&lt;-50,"NM",(BW806/BU806-1)*100)))</f>
        <v>NA</v>
      </c>
      <c r="BY806" s="196">
        <f>AVERAGE(X806,V806,T806,R806)</f>
        <v>2321.28125</v>
      </c>
      <c r="BZ806" s="197">
        <f>IF(ISERROR((BY806/BW806-1)*100),"NA",IF(((BY806/BW806-1)*100)&gt;100,"NM",IF(((BY806/BW806-1)*100)&lt;-50,"NM",(BY806/BW806-1)*100)))</f>
        <v>-6.494209466263845</v>
      </c>
      <c r="CA806" s="196">
        <f>AVERAGE(AF806,AD806,AB806,Z806)</f>
        <v>2268.59375</v>
      </c>
      <c r="CB806" s="197">
        <f>IF(ISERROR((CA806/BY806-1)*100),"NA",IF(((CA806/BY806-1)*100)&gt;100,"NM",IF(((CA806/BY806-1)*100)&lt;-50,"NM",(CA806/BY806-1)*100)))</f>
        <v>-2.269759427040563</v>
      </c>
      <c r="CC806" s="196">
        <f>AVERAGE(AN806,AL806,AJ806,AH806)</f>
        <v>2182.8125</v>
      </c>
      <c r="CD806" s="197">
        <f>IF(ISERROR((CC806/CA806-1)*100),"NA",IF(((CC806/CA806-1)*100)&gt;100,"NM",IF(((CC806/CA806-1)*100)&lt;-50,"NM",(CC806/CA806-1)*100)))</f>
        <v>-3.7812521523520881</v>
      </c>
      <c r="CE806" s="196">
        <f>AVERAGE(AV806,AT806,AR806,AP806)</f>
        <v>2053.84375</v>
      </c>
      <c r="CF806" s="197">
        <f>IF(ISERROR((CE806/CC806-1)*100),"NA",IF(((CE806/CC806-1)*100)&gt;100,"NM",IF(((CE806/CC806-1)*100)&lt;-50,"NM",(CE806/CC806-1)*100)))</f>
        <v>-5.9083750894774472</v>
      </c>
      <c r="CG806" s="196">
        <f>AVERAGE(BD806,BB806,AZ806,AX806)</f>
        <v>1920.9375</v>
      </c>
      <c r="CH806" s="197">
        <f>IF(ISERROR((CG806/CE806-1)*100),"NA",IF(((CG806/CE806-1)*100)&gt;100,"NM",IF(((CG806/CE806-1)*100)&lt;-50,"NM",(CG806/CE806-1)*100)))</f>
        <v>-6.4710983978211623</v>
      </c>
      <c r="CI806" s="196">
        <f>AVERAGE(BL806,BJ806,BH806,BF806)</f>
        <v>1914</v>
      </c>
      <c r="CJ806" s="197">
        <f>IF(ISERROR((CI806/CG806-1)*100),"NA",IF(((CI806/CG806-1)*100)&gt;100,"NM",IF(((CI806/CG806-1)*100)&lt;-50,"NM",(CI806/CG806-1)*100)))</f>
        <v>-0.36115178135676107</v>
      </c>
      <c r="CK806" s="196">
        <f>0.25*AVERAGE(CK792,CI792)</f>
        <v>1914</v>
      </c>
      <c r="CL806" s="197">
        <f>IF(ISERROR((CK806/CI806-1)*100),"NA",IF(((CK806/CI806-1)*100)&gt;100,"NM",IF(((CK806/CI806-1)*100)&lt;-50,"NM",(CK806/CI806-1)*100)))</f>
        <v>0</v>
      </c>
      <c r="CM806" s="196">
        <f>0.25*AVERAGE(CM792,CK792)</f>
        <v>1914</v>
      </c>
      <c r="CN806" s="197">
        <f>IF(ISERROR((CM806/CK806-1)*100),"NA",IF(((CM806/CK806-1)*100)&gt;100,"NM",IF(((CM806/CK806-1)*100)&lt;-50,"NM",(CM806/CK806-1)*100)))</f>
        <v>0</v>
      </c>
      <c r="CO806" s="196">
        <f>0.25*AVERAGE(CO792,CM792)</f>
        <v>1914</v>
      </c>
      <c r="CP806" s="197">
        <f>IF(ISERROR((CO806/CM806-1)*100),"NA",IF(((CO806/CM806-1)*100)&gt;100,"NM",IF(((CO806/CM806-1)*100)&lt;-50,"NM",(CO806/CM806-1)*100)))</f>
        <v>0</v>
      </c>
      <c r="CQ806" s="196">
        <f>0.25*AVERAGE(CQ792,CO792)</f>
        <v>1914</v>
      </c>
      <c r="CR806" s="197">
        <f>IF(ISERROR((CQ806/CO806-1)*100),"NA",IF(((CQ806/CO806-1)*100)&gt;100,"NM",IF(((CQ806/CO806-1)*100)&lt;-50,"NM",(CQ806/CO806-1)*100)))</f>
        <v>0</v>
      </c>
      <c r="CS806" s="197"/>
      <c r="CT806" s="192"/>
      <c r="CV806"/>
      <c r="CW806"/>
      <c r="CX806"/>
      <c r="CY806"/>
      <c r="CZ806"/>
      <c r="DA806"/>
    </row>
    <row r="807" spans="1:105" s="193" customFormat="1" ht="12.75" hidden="1" customHeight="1" outlineLevel="1" x14ac:dyDescent="0.2">
      <c r="A807" s="195" t="s">
        <v>353</v>
      </c>
      <c r="B807" s="196"/>
      <c r="C807" s="189"/>
      <c r="D807" s="196"/>
      <c r="E807" s="189"/>
      <c r="F807" s="196"/>
      <c r="G807" s="189"/>
      <c r="H807" s="196"/>
      <c r="I807" s="189"/>
      <c r="J807" s="196"/>
      <c r="K807" s="197"/>
      <c r="L807" s="196"/>
      <c r="M807" s="197"/>
      <c r="N807" s="196"/>
      <c r="O807" s="197"/>
      <c r="P807" s="196"/>
      <c r="Q807" s="197"/>
      <c r="R807" s="196">
        <f>0.055/4*R806*0.65</f>
        <v>21.042226562500002</v>
      </c>
      <c r="S807" s="197" t="str">
        <f>IF(ISERROR((R807/J807-1)*100),"NA",IF(((R807/J807-1)*100)&gt;100,"NM",IF(((R807/J807-1)*100)&lt;-50,"NM",(R807/J807-1)*100)))</f>
        <v>NA</v>
      </c>
      <c r="T807" s="196">
        <f>0.055/4*T806*0.65</f>
        <v>20.335046875</v>
      </c>
      <c r="U807" s="197" t="str">
        <f>IF(ISERROR((T807/L807-1)*100),"NA",IF(((T807/L807-1)*100)&gt;100,"NM",IF(((T807/L807-1)*100)&lt;-50,"NM",(T807/L807-1)*100)))</f>
        <v>NA</v>
      </c>
      <c r="V807" s="196">
        <f>0.055/4*V806*0.65</f>
        <v>20.7897421875</v>
      </c>
      <c r="W807" s="197" t="str">
        <f>IF(ISERROR((V807/N807-1)*100),"NA",IF(((V807/N807-1)*100)&gt;100,"NM",IF(((V807/N807-1)*100)&lt;-50,"NM",(V807/N807-1)*100)))</f>
        <v>NA</v>
      </c>
      <c r="X807" s="196">
        <f>0.055/4*X806*0.65</f>
        <v>20.818789062499999</v>
      </c>
      <c r="Y807" s="197" t="str">
        <f>IF(ISERROR((X807/P807-1)*100),"NA",IF(((X807/P807-1)*100)&gt;100,"NM",IF(((X807/P807-1)*100)&lt;-50,"NM",(X807/P807-1)*100)))</f>
        <v>NA</v>
      </c>
      <c r="Z807" s="545">
        <f>0.055/4*Z806*0.65</f>
        <v>20.488101562499999</v>
      </c>
      <c r="AA807" s="545">
        <f>IF(ISERROR((Z807/R807-1)*100),"NA",IF(((Z807/R807-1)*100)&gt;100,"NM",IF(((Z807/R807-1)*100)&lt;-50,"NM",(Z807/R807-1)*100)))</f>
        <v>-2.6333952747544576</v>
      </c>
      <c r="AB807" s="545">
        <f>0.055/4*AB806*0.65</f>
        <v>20.317171875</v>
      </c>
      <c r="AC807" s="545">
        <f>IF(ISERROR((AB807/T807-1)*100),"NA",IF(((AB807/T807-1)*100)&gt;100,"NM",IF(((AB807/T807-1)*100)&lt;-50,"NM",(AB807/T807-1)*100)))</f>
        <v>-8.7902428304587055E-2</v>
      </c>
      <c r="AD807" s="545">
        <v>18.7</v>
      </c>
      <c r="AE807" s="197">
        <f>IF(ISERROR((AD807/V807-1)*100),"NA",IF(((AD807/V807-1)*100)&gt;100,"NM",IF(((AD807/V807-1)*100)&lt;-50,"NM",(AD807/V807-1)*100)))</f>
        <v>-10.051794623775923</v>
      </c>
      <c r="AF807" s="196">
        <v>18.7</v>
      </c>
      <c r="AG807" s="197">
        <f>IF(ISERROR((AF807/X807-1)*100),"NA",IF(((AF807/X807-1)*100)&gt;100,"NM",IF(((AF807/X807-1)*100)&lt;-50,"NM",(AF807/X807-1)*100)))</f>
        <v>-10.177292522342164</v>
      </c>
      <c r="AH807" s="545">
        <v>20.9</v>
      </c>
      <c r="AI807" s="197">
        <f>IF(ISERROR((AH807/Z807-1)*100),"NA",IF(((AH807/Z807-1)*100)&gt;100,"NM",IF(((AH807/Z807-1)*100)&lt;-50,"NM",(AH807/Z807-1)*100)))</f>
        <v>2.0104275461710452</v>
      </c>
      <c r="AJ807" s="545">
        <v>20.9</v>
      </c>
      <c r="AK807" s="197">
        <f>IF(ISERROR((AJ807/AB807-1)*100),"NA",IF(((AJ807/AB807-1)*100)&gt;100,"NM",IF(((AJ807/AB807-1)*100)&lt;-50,"NM",(AJ807/AB807-1)*100)))</f>
        <v>2.8686479032899337</v>
      </c>
      <c r="AL807" s="545">
        <v>20.6</v>
      </c>
      <c r="AM807" s="197">
        <f>IF(ISERROR((AL807/AD807-1)*100),"NA",IF(((AL807/AD807-1)*100)&gt;100,"NM",IF(((AL807/AD807-1)*100)&lt;-50,"NM",(AL807/AD807-1)*100)))</f>
        <v>10.160427807486649</v>
      </c>
      <c r="AN807" s="478">
        <f t="shared" ref="AN807:AP807" si="5424">0.055/4*AN806*0.65</f>
        <v>19.014531250000001</v>
      </c>
      <c r="AO807" s="197">
        <f>IF(ISERROR((AN807/AF807-1)*100),"NA",IF(((AN807/AF807-1)*100)&gt;100,"NM",IF(((AN807/AF807-1)*100)&lt;-50,"NM",(AN807/AF807-1)*100)))</f>
        <v>1.6819852941176494</v>
      </c>
      <c r="AP807" s="478">
        <f t="shared" si="5424"/>
        <v>18.709539062500003</v>
      </c>
      <c r="AQ807" s="197">
        <f t="shared" si="5397"/>
        <v>-10.480674342105246</v>
      </c>
      <c r="AR807" s="478">
        <f t="shared" ref="AR807:AT807" si="5425">0.055/4*AR806*0.65</f>
        <v>18.574359375</v>
      </c>
      <c r="AS807" s="197">
        <f t="shared" si="5399"/>
        <v>-11.127467105263156</v>
      </c>
      <c r="AT807" s="478">
        <f t="shared" si="5425"/>
        <v>18.281656250000001</v>
      </c>
      <c r="AU807" s="197">
        <f t="shared" si="5400"/>
        <v>-11.254095873786408</v>
      </c>
      <c r="AV807" s="478">
        <f t="shared" ref="AV807:AX807" si="5426">0.055/4*AV806*0.65</f>
        <v>17.859359375</v>
      </c>
      <c r="AW807" s="197">
        <f t="shared" si="5402"/>
        <v>-6.0752056404230315</v>
      </c>
      <c r="AX807" s="478">
        <f t="shared" si="5426"/>
        <v>17.354390625000001</v>
      </c>
      <c r="AY807" s="197">
        <f t="shared" si="5403"/>
        <v>-7.2430883143249636</v>
      </c>
      <c r="AZ807" s="478">
        <f t="shared" ref="AZ807" si="5427">0.055/4*AZ806*0.65</f>
        <v>17.106375</v>
      </c>
      <c r="BA807" s="197">
        <f t="shared" si="5405"/>
        <v>-7.9032840129917066</v>
      </c>
      <c r="BB807" s="478">
        <f t="shared" ref="BB807:BD807" si="5428">0.055/4*BB806*0.65</f>
        <v>17.106375</v>
      </c>
      <c r="BC807" s="197">
        <f t="shared" si="5407"/>
        <v>-6.4287460278660502</v>
      </c>
      <c r="BD807" s="478">
        <f t="shared" si="5428"/>
        <v>17.106375</v>
      </c>
      <c r="BE807" s="197">
        <f t="shared" si="5408"/>
        <v>-4.2161891655198342</v>
      </c>
      <c r="BF807" s="196">
        <f t="shared" ref="BF807" si="5429">0.055/4*BF806*0.65</f>
        <v>17.106375</v>
      </c>
      <c r="BG807" s="197">
        <f t="shared" si="5410"/>
        <v>-1.4291232135959842</v>
      </c>
      <c r="BH807" s="196">
        <f t="shared" ref="BH807" si="5430">0.055/4*BH806*0.65</f>
        <v>17.106375</v>
      </c>
      <c r="BI807" s="197">
        <f t="shared" si="5412"/>
        <v>0</v>
      </c>
      <c r="BJ807" s="196">
        <f t="shared" ref="BJ807" si="5431">0.055/4*BJ806*0.65</f>
        <v>17.106375</v>
      </c>
      <c r="BK807" s="197">
        <f t="shared" si="5414"/>
        <v>0</v>
      </c>
      <c r="BL807" s="196">
        <f t="shared" ref="BL807" si="5432">0.055/4*BL806*0.65</f>
        <v>17.106375</v>
      </c>
      <c r="BM807" s="197">
        <f t="shared" si="5416"/>
        <v>0</v>
      </c>
      <c r="BO807" s="137"/>
      <c r="BR807" s="192"/>
      <c r="BS807" s="192"/>
      <c r="BT807" s="192"/>
      <c r="BU807" s="196"/>
      <c r="BV807" s="197"/>
      <c r="BW807" s="196">
        <f>0.055*BW806*0.65</f>
        <v>88.749375000000001</v>
      </c>
      <c r="BX807" s="197" t="str">
        <f>IF(ISERROR((BW807/BU807-1)*100),"NA",IF(((BW807/BU807-1)*100)&gt;100,"NM",IF(((BW807/BU807-1)*100)&lt;-50,"NM",(BW807/BU807-1)*100)))</f>
        <v>NA</v>
      </c>
      <c r="BY807" s="196">
        <f>X807+V807+T807+R807</f>
        <v>82.985804687500007</v>
      </c>
      <c r="BZ807" s="197">
        <f>IF(ISERROR((BY807/BW807-1)*100),"NA",IF(((BY807/BW807-1)*100)&gt;100,"NM",IF(((BY807/BW807-1)*100)&lt;-50,"NM",(BY807/BW807-1)*100)))</f>
        <v>-6.494209466263845</v>
      </c>
      <c r="CA807" s="196">
        <f>AF807+AD807+AB807+Z807</f>
        <v>78.205273437499997</v>
      </c>
      <c r="CB807" s="197">
        <f>IF(ISERROR((CA807/BY807-1)*100),"NA",IF(((CA807/BY807-1)*100)&gt;100,"NM",IF(((CA807/BY807-1)*100)&lt;-50,"NM",(CA807/BY807-1)*100)))</f>
        <v>-5.7606614384256183</v>
      </c>
      <c r="CC807" s="196">
        <f>AN807+AL807+AJ807+AH807</f>
        <v>81.414531249999996</v>
      </c>
      <c r="CD807" s="197">
        <f>IF(ISERROR((CC807/CA807-1)*100),"NA",IF(((CC807/CA807-1)*100)&gt;100,"NM",IF(((CC807/CA807-1)*100)&lt;-50,"NM",(CC807/CA807-1)*100)))</f>
        <v>4.1036335165617333</v>
      </c>
      <c r="CE807" s="196">
        <f>AV807+AT807+AR807+AP807</f>
        <v>73.424914062500008</v>
      </c>
      <c r="CF807" s="197">
        <f>IF(ISERROR((CE807/CC807-1)*100),"NA",IF(((CE807/CC807-1)*100)&gt;100,"NM",IF(((CE807/CC807-1)*100)&lt;-50,"NM",(CE807/CC807-1)*100)))</f>
        <v>-9.8135026571193222</v>
      </c>
      <c r="CG807" s="196">
        <f>BD807+BB807+AZ807+AX807</f>
        <v>68.673515624999993</v>
      </c>
      <c r="CH807" s="197">
        <f>IF(ISERROR((CG807/CE807-1)*100),"NA",IF(((CG807/CE807-1)*100)&gt;100,"NM",IF(((CG807/CE807-1)*100)&lt;-50,"NM",(CG807/CE807-1)*100)))</f>
        <v>-6.4710983978211729</v>
      </c>
      <c r="CI807" s="196">
        <f>BL807+BJ807+BH807+BF807</f>
        <v>68.4255</v>
      </c>
      <c r="CJ807" s="197">
        <f>IF(ISERROR((CI807/CG807-1)*100),"NA",IF(((CI807/CG807-1)*100)&gt;100,"NM",IF(((CI807/CG807-1)*100)&lt;-50,"NM",(CI807/CG807-1)*100)))</f>
        <v>-0.36115178135674997</v>
      </c>
      <c r="CK807" s="196">
        <f>0.055*CK806*0.65</f>
        <v>68.4255</v>
      </c>
      <c r="CL807" s="197">
        <f>IF(ISERROR((CK807/CI807-1)*100),"NA",IF(((CK807/CI807-1)*100)&gt;100,"NM",IF(((CK807/CI807-1)*100)&lt;-50,"NM",(CK807/CI807-1)*100)))</f>
        <v>0</v>
      </c>
      <c r="CM807" s="196">
        <f>0.055*CM806*0.65</f>
        <v>68.4255</v>
      </c>
      <c r="CN807" s="197">
        <f>IF(ISERROR((CM807/CK807-1)*100),"NA",IF(((CM807/CK807-1)*100)&gt;100,"NM",IF(((CM807/CK807-1)*100)&lt;-50,"NM",(CM807/CK807-1)*100)))</f>
        <v>0</v>
      </c>
      <c r="CO807" s="196">
        <f>0.055*CO806*0.65</f>
        <v>68.4255</v>
      </c>
      <c r="CP807" s="197">
        <f>IF(ISERROR((CO807/CM807-1)*100),"NA",IF(((CO807/CM807-1)*100)&gt;100,"NM",IF(((CO807/CM807-1)*100)&lt;-50,"NM",(CO807/CM807-1)*100)))</f>
        <v>0</v>
      </c>
      <c r="CQ807" s="196">
        <f>0.055*CQ806*0.65</f>
        <v>68.4255</v>
      </c>
      <c r="CR807" s="197">
        <f>IF(ISERROR((CQ807/CO807-1)*100),"NA",IF(((CQ807/CO807-1)*100)&gt;100,"NM",IF(((CQ807/CO807-1)*100)&lt;-50,"NM",(CQ807/CO807-1)*100)))</f>
        <v>0</v>
      </c>
      <c r="CS807" s="197"/>
      <c r="CT807" s="192"/>
      <c r="CV807"/>
      <c r="CW807"/>
      <c r="CX807"/>
      <c r="CY807"/>
      <c r="CZ807"/>
      <c r="DA807"/>
    </row>
    <row r="808" spans="1:105" s="193" customFormat="1" ht="12.75" hidden="1" customHeight="1" outlineLevel="1" x14ac:dyDescent="0.2">
      <c r="A808" s="195" t="s">
        <v>356</v>
      </c>
      <c r="B808" s="196"/>
      <c r="C808" s="189"/>
      <c r="D808" s="196"/>
      <c r="E808" s="189"/>
      <c r="F808" s="196"/>
      <c r="G808" s="189"/>
      <c r="H808" s="196"/>
      <c r="I808" s="189"/>
      <c r="J808" s="196"/>
      <c r="K808" s="197"/>
      <c r="L808" s="196"/>
      <c r="M808" s="197"/>
      <c r="N808" s="196"/>
      <c r="O808" s="197"/>
      <c r="P808" s="196"/>
      <c r="Q808" s="197"/>
      <c r="R808" s="196">
        <f>R803-R807</f>
        <v>159.6577734375</v>
      </c>
      <c r="S808" s="197" t="str">
        <f>IF(ISERROR((R808/J808-1)*100),"NA",IF(((R808/J808-1)*100)&gt;100,"NM",IF(((R808/J808-1)*100)&lt;-50,"NM",(R808/J808-1)*100)))</f>
        <v>NA</v>
      </c>
      <c r="T808" s="196">
        <f>T803-T807</f>
        <v>176.74495312499999</v>
      </c>
      <c r="U808" s="197" t="str">
        <f>IF(ISERROR((T808/L808-1)*100),"NA",IF(((T808/L808-1)*100)&gt;100,"NM",IF(((T808/L808-1)*100)&lt;-50,"NM",(T808/L808-1)*100)))</f>
        <v>NA</v>
      </c>
      <c r="V808" s="196">
        <f>V803-V807</f>
        <v>229.20025781249993</v>
      </c>
      <c r="W808" s="197" t="str">
        <f>IF(ISERROR((V808/N808-1)*100),"NA",IF(((V808/N808-1)*100)&gt;100,"NM",IF(((V808/N808-1)*100)&lt;-50,"NM",(V808/N808-1)*100)))</f>
        <v>NA</v>
      </c>
      <c r="X808" s="196">
        <f>X803-X807</f>
        <v>193.16121093749996</v>
      </c>
      <c r="Y808" s="197" t="str">
        <f>IF(ISERROR((X808/P808-1)*100),"NA",IF(((X808/P808-1)*100)&gt;100,"NM",IF(((X808/P808-1)*100)&lt;-50,"NM",(X808/P808-1)*100)))</f>
        <v>NA</v>
      </c>
      <c r="Z808" s="196">
        <f>Z803-Z807</f>
        <v>166.25689843750013</v>
      </c>
      <c r="AA808" s="197">
        <f>IF(ISERROR((Z808/R808-1)*100),"NA",IF(((Z808/R808-1)*100)&gt;100,"NM",IF(((Z808/R808-1)*100)&lt;-50,"NM",(Z808/R808-1)*100)))</f>
        <v>4.1332938935061847</v>
      </c>
      <c r="AB808" s="196">
        <f>AB803-AB807</f>
        <v>204.38782812500006</v>
      </c>
      <c r="AC808" s="197">
        <f>IF(ISERROR((AB808/T808-1)*100),"NA",IF(((AB808/T808-1)*100)&gt;100,"NM",IF(((AB808/T808-1)*100)&lt;-50,"NM",(AB808/T808-1)*100)))</f>
        <v>15.639979819084338</v>
      </c>
      <c r="AD808" s="196">
        <f>AD803-AD807</f>
        <v>210.10000000000002</v>
      </c>
      <c r="AE808" s="197">
        <f>IF(ISERROR((AD808/V808-1)*100),"NA",IF(((AD808/V808-1)*100)&gt;100,"NM",IF(((AD808/V808-1)*100)&lt;-50,"NM",(AD808/V808-1)*100)))</f>
        <v>-8.3334364432194992</v>
      </c>
      <c r="AF808" s="196">
        <f>AF803-AF807</f>
        <v>236.62000000000003</v>
      </c>
      <c r="AG808" s="197">
        <f>IF(ISERROR((AF808/X808-1)*100),"NA",IF(((AF808/X808-1)*100)&gt;100,"NM",IF(((AF808/X808-1)*100)&lt;-50,"NM",(AF808/X808-1)*100)))</f>
        <v>22.498714338957939</v>
      </c>
      <c r="AH808" s="196">
        <f>AH803-AH807</f>
        <v>195.99960000000002</v>
      </c>
      <c r="AI808" s="197">
        <f>IF(ISERROR((AH808/Z808-1)*100),"NA",IF(((AH808/Z808-1)*100)&gt;100,"NM",IF(((AH808/Z808-1)*100)&lt;-50,"NM",(AH808/Z808-1)*100)))</f>
        <v>17.889604486806231</v>
      </c>
      <c r="AJ808" s="196">
        <f>AJ803-AJ807</f>
        <v>195.88399999999999</v>
      </c>
      <c r="AK808" s="197">
        <f>IF(ISERROR((AJ808/AB808-1)*100),"NA",IF(((AJ808/AB808-1)*100)&gt;100,"NM",IF(((AJ808/AB808-1)*100)&lt;-50,"NM",(AJ808/AB808-1)*100)))</f>
        <v>-4.1606333425096453</v>
      </c>
      <c r="AL808" s="196">
        <f>AL803-AL807</f>
        <v>185.57599999999994</v>
      </c>
      <c r="AM808" s="197">
        <f>IF(ISERROR((AL808/AD808-1)*100),"NA",IF(((AL808/AD808-1)*100)&gt;100,"NM",IF(((AL808/AD808-1)*100)&lt;-50,"NM",(AL808/AD808-1)*100)))</f>
        <v>-11.672536887196616</v>
      </c>
      <c r="AN808" s="478">
        <f t="shared" ref="AN808:AP808" si="5433">AN803-AN807</f>
        <v>215.99346875000001</v>
      </c>
      <c r="AO808" s="197">
        <f>IF(ISERROR((AN808/AF808-1)*100),"NA",IF(((AN808/AF808-1)*100)&gt;100,"NM",IF(((AN808/AF808-1)*100)&lt;-50,"NM",(AN808/AF808-1)*100)))</f>
        <v>-8.7171546149945165</v>
      </c>
      <c r="AP808" s="478">
        <f t="shared" si="5433"/>
        <v>119.19446093749988</v>
      </c>
      <c r="AQ808" s="197">
        <f t="shared" si="5397"/>
        <v>-39.186375412245802</v>
      </c>
      <c r="AR808" s="478">
        <f t="shared" ref="AR808:AT808" si="5434">AR803-AR807</f>
        <v>190.79764062499999</v>
      </c>
      <c r="AS808" s="197">
        <f t="shared" si="5399"/>
        <v>-2.5966180877458056</v>
      </c>
      <c r="AT808" s="478">
        <f t="shared" si="5434"/>
        <v>206.25434375</v>
      </c>
      <c r="AU808" s="197">
        <f t="shared" si="5400"/>
        <v>11.142789881234672</v>
      </c>
      <c r="AV808" s="478">
        <f t="shared" ref="AV808:AX808" si="5435">AV803-AV807</f>
        <v>173.01664062499995</v>
      </c>
      <c r="AW808" s="197">
        <f t="shared" si="5402"/>
        <v>-19.897281326938298</v>
      </c>
      <c r="AX808" s="478">
        <f t="shared" si="5435"/>
        <v>137.68560937499987</v>
      </c>
      <c r="AY808" s="197">
        <f t="shared" si="5403"/>
        <v>15.513429308762849</v>
      </c>
      <c r="AZ808" s="478">
        <f t="shared" ref="AZ808" si="5436">AZ803-AZ807</f>
        <v>174.99362499999989</v>
      </c>
      <c r="BA808" s="197">
        <f t="shared" si="5405"/>
        <v>-8.2831294837978788</v>
      </c>
      <c r="BB808" s="478">
        <f t="shared" ref="BB808:BD808" si="5437">BB803-BB807</f>
        <v>176.14962500000001</v>
      </c>
      <c r="BC808" s="197">
        <f t="shared" si="5407"/>
        <v>-14.595919873808716</v>
      </c>
      <c r="BD808" s="478">
        <f t="shared" si="5437"/>
        <v>189.06962499999992</v>
      </c>
      <c r="BE808" s="197">
        <f t="shared" si="5408"/>
        <v>9.2782892541495734</v>
      </c>
      <c r="BF808" s="196">
        <f t="shared" ref="BF808" si="5438">BF803-BF807</f>
        <v>160.31645646755373</v>
      </c>
      <c r="BG808" s="197">
        <f t="shared" si="5410"/>
        <v>16.436610329345736</v>
      </c>
      <c r="BH808" s="196">
        <f t="shared" ref="BH808" si="5439">BH803-BH807</f>
        <v>183.08584445493324</v>
      </c>
      <c r="BI808" s="197">
        <f t="shared" si="5412"/>
        <v>4.6242938592382155</v>
      </c>
      <c r="BJ808" s="196">
        <f t="shared" ref="BJ808" si="5440">BJ803-BJ807</f>
        <v>184.37124638997409</v>
      </c>
      <c r="BK808" s="197">
        <f t="shared" si="5414"/>
        <v>4.6674078301183197</v>
      </c>
      <c r="BL808" s="196">
        <f t="shared" ref="BL808" si="5441">BL803-BL807</f>
        <v>187.78035751891133</v>
      </c>
      <c r="BM808" s="197">
        <f t="shared" si="5416"/>
        <v>-0.68190090348387855</v>
      </c>
      <c r="BO808" s="137"/>
      <c r="BR808" s="192"/>
      <c r="BS808" s="192"/>
      <c r="BT808" s="192"/>
      <c r="BU808" s="196"/>
      <c r="BV808" s="197"/>
      <c r="BW808" s="196">
        <f>BW803-BW807</f>
        <v>554.97162500000024</v>
      </c>
      <c r="BX808" s="197" t="str">
        <f>IF(ISERROR((BW808/BU808-1)*100),"NA",IF(((BW808/BU808-1)*100)&gt;100,"NM",IF(((BW808/BU808-1)*100)&lt;-50,"NM",(BW808/BU808-1)*100)))</f>
        <v>NA</v>
      </c>
      <c r="BY808" s="196">
        <f>BY803-BY807</f>
        <v>758.76419531249996</v>
      </c>
      <c r="BZ808" s="197">
        <f>IF(ISERROR((BY808/BW808-1)*100),"NA",IF(((BY808/BW808-1)*100)&gt;100,"NM",IF(((BY808/BW808-1)*100)&lt;-50,"NM",(BY808/BW808-1)*100)))</f>
        <v>36.721259454030573</v>
      </c>
      <c r="CA808" s="196">
        <f>CA803-CA807</f>
        <v>817.36472656250021</v>
      </c>
      <c r="CB808" s="197">
        <f>IF(ISERROR((CA808/BY808-1)*100),"NA",IF(((CA808/BY808-1)*100)&gt;100,"NM",IF(((CA808/BY808-1)*100)&lt;-50,"NM",(CA808/BY808-1)*100)))</f>
        <v>7.7231545204719865</v>
      </c>
      <c r="CC808" s="196">
        <f>CC803-CC807</f>
        <v>793.45306875000006</v>
      </c>
      <c r="CD808" s="197">
        <f>IF(ISERROR((CC808/CA808-1)*100),"NA",IF(((CC808/CA808-1)*100)&gt;100,"NM",IF(((CC808/CA808-1)*100)&lt;-50,"NM",(CC808/CA808-1)*100)))</f>
        <v>-2.9254575143048744</v>
      </c>
      <c r="CE808" s="196">
        <f>CE803-CE807</f>
        <v>689.2630859374998</v>
      </c>
      <c r="CF808" s="197">
        <f>IF(ISERROR((CE808/CC808-1)*100),"NA",IF(((CE808/CC808-1)*100)&gt;100,"NM",IF(((CE808/CC808-1)*100)&lt;-50,"NM",(CE808/CC808-1)*100)))</f>
        <v>-13.131209256855026</v>
      </c>
      <c r="CG808" s="196">
        <f>CG803-CG807</f>
        <v>677.89848437499973</v>
      </c>
      <c r="CH808" s="197">
        <f>IF(ISERROR((CG808/CE808-1)*100),"NA",IF(((CG808/CE808-1)*100)&gt;100,"NM",IF(((CG808/CE808-1)*100)&lt;-50,"NM",(CG808/CE808-1)*100)))</f>
        <v>-1.6488046138496637</v>
      </c>
      <c r="CI808" s="196">
        <f>CI803-CI807</f>
        <v>715.55390483137239</v>
      </c>
      <c r="CJ808" s="197">
        <f>IF(ISERROR((CI808/CG808-1)*100),"NA",IF(((CI808/CG808-1)*100)&gt;100,"NM",IF(((CI808/CG808-1)*100)&lt;-50,"NM",(CI808/CG808-1)*100)))</f>
        <v>5.5547285212017794</v>
      </c>
      <c r="CK808" s="196">
        <f>CK803-CK807</f>
        <v>748.37568058051511</v>
      </c>
      <c r="CL808" s="197">
        <f>IF(ISERROR((CK808/CI808-1)*100),"NA",IF(((CK808/CI808-1)*100)&gt;100,"NM",IF(((CK808/CI808-1)*100)&lt;-50,"NM",(CK808/CI808-1)*100)))</f>
        <v>4.5869047080216108</v>
      </c>
      <c r="CM808" s="196">
        <f>CM803-CM807</f>
        <v>779.65687912770136</v>
      </c>
      <c r="CN808" s="197">
        <f>IF(ISERROR((CM808/CK808-1)*100),"NA",IF(((CM808/CK808-1)*100)&gt;100,"NM",IF(((CM808/CK808-1)*100)&lt;-50,"NM",(CM808/CK808-1)*100)))</f>
        <v>4.1798790846492295</v>
      </c>
      <c r="CO808" s="196">
        <f>CO803-CO807</f>
        <v>810.21655216548334</v>
      </c>
      <c r="CP808" s="197">
        <f>IF(ISERROR((CO808/CM808-1)*100),"NA",IF(((CO808/CM808-1)*100)&gt;100,"NM",IF(((CO808/CM808-1)*100)&lt;-50,"NM",(CO808/CM808-1)*100)))</f>
        <v>3.9196310397431322</v>
      </c>
      <c r="CQ808" s="196">
        <f>CQ803-CQ807</f>
        <v>840.4802603290857</v>
      </c>
      <c r="CR808" s="197">
        <f>IF(ISERROR((CQ808/CO808-1)*100),"NA",IF(((CQ808/CO808-1)*100)&gt;100,"NM",IF(((CQ808/CO808-1)*100)&lt;-50,"NM",(CQ808/CO808-1)*100)))</f>
        <v>3.7352616510630154</v>
      </c>
      <c r="CS808" s="197"/>
      <c r="CT808" s="192"/>
      <c r="CV808"/>
      <c r="CW808"/>
      <c r="CX808"/>
      <c r="CY808"/>
      <c r="CZ808"/>
      <c r="DA808"/>
    </row>
    <row r="809" spans="1:105" s="193" customFormat="1" ht="12.75" hidden="1" customHeight="1" outlineLevel="1" x14ac:dyDescent="0.2">
      <c r="A809" s="195"/>
      <c r="B809" s="196"/>
      <c r="C809" s="189"/>
      <c r="D809" s="196"/>
      <c r="E809" s="189"/>
      <c r="F809" s="196"/>
      <c r="G809" s="189"/>
      <c r="H809" s="196"/>
      <c r="I809" s="189"/>
      <c r="J809" s="196"/>
      <c r="K809" s="197"/>
      <c r="L809" s="196"/>
      <c r="M809" s="197"/>
      <c r="N809" s="196"/>
      <c r="O809" s="197"/>
      <c r="P809" s="196"/>
      <c r="Q809" s="197"/>
      <c r="R809" s="196"/>
      <c r="S809" s="197"/>
      <c r="T809" s="196"/>
      <c r="U809" s="197"/>
      <c r="V809" s="196"/>
      <c r="W809" s="197"/>
      <c r="X809" s="196"/>
      <c r="Y809" s="197"/>
      <c r="Z809" s="196"/>
      <c r="AA809" s="197"/>
      <c r="AB809" s="196"/>
      <c r="AC809" s="197"/>
      <c r="AD809" s="196"/>
      <c r="AE809" s="197"/>
      <c r="AF809" s="196"/>
      <c r="AG809" s="197"/>
      <c r="AH809" s="196"/>
      <c r="AI809" s="197"/>
      <c r="AJ809" s="196"/>
      <c r="AK809" s="197"/>
      <c r="AL809" s="196"/>
      <c r="AM809" s="197"/>
      <c r="AN809" s="478"/>
      <c r="AO809" s="197"/>
      <c r="AP809" s="478"/>
      <c r="AQ809" s="197"/>
      <c r="AR809" s="478"/>
      <c r="AS809" s="197"/>
      <c r="AT809" s="478"/>
      <c r="AU809" s="197"/>
      <c r="AV809" s="478"/>
      <c r="AW809" s="197"/>
      <c r="AX809" s="478"/>
      <c r="AY809" s="197"/>
      <c r="AZ809" s="478"/>
      <c r="BA809" s="197"/>
      <c r="BB809" s="478"/>
      <c r="BC809" s="197"/>
      <c r="BD809" s="478"/>
      <c r="BE809" s="197"/>
      <c r="BF809" s="196"/>
      <c r="BG809" s="197"/>
      <c r="BH809" s="196"/>
      <c r="BI809" s="197"/>
      <c r="BJ809" s="196"/>
      <c r="BK809" s="197"/>
      <c r="BL809" s="196"/>
      <c r="BM809" s="197"/>
      <c r="BO809" s="137"/>
      <c r="BR809" s="192"/>
      <c r="BS809" s="192"/>
      <c r="BT809" s="192"/>
      <c r="BU809" s="196"/>
      <c r="BV809" s="197"/>
      <c r="BW809" s="196"/>
      <c r="BX809" s="197"/>
      <c r="BY809" s="196"/>
      <c r="BZ809" s="197"/>
      <c r="CA809" s="196"/>
      <c r="CB809" s="197"/>
      <c r="CC809" s="196"/>
      <c r="CD809" s="197"/>
      <c r="CE809" s="196"/>
      <c r="CF809" s="197"/>
      <c r="CG809" s="196"/>
      <c r="CH809" s="197"/>
      <c r="CI809" s="196"/>
      <c r="CJ809" s="197"/>
      <c r="CK809" s="196"/>
      <c r="CL809" s="197"/>
      <c r="CM809" s="196"/>
      <c r="CN809" s="197"/>
      <c r="CO809" s="196"/>
      <c r="CP809" s="197"/>
      <c r="CQ809" s="196"/>
      <c r="CR809" s="197"/>
      <c r="CS809" s="197"/>
      <c r="CT809" s="192"/>
      <c r="CV809"/>
      <c r="CW809"/>
      <c r="CX809"/>
      <c r="CY809"/>
      <c r="CZ809"/>
      <c r="DA809"/>
    </row>
    <row r="810" spans="1:105" s="193" customFormat="1" ht="12.75" hidden="1" customHeight="1" outlineLevel="1" x14ac:dyDescent="0.2">
      <c r="A810" s="195" t="s">
        <v>381</v>
      </c>
      <c r="B810" s="188"/>
      <c r="C810" s="189"/>
      <c r="D810" s="188"/>
      <c r="E810" s="189"/>
      <c r="F810" s="188"/>
      <c r="G810" s="189"/>
      <c r="H810" s="196">
        <f>H792*0.75</f>
        <v>7527.75</v>
      </c>
      <c r="I810" s="189"/>
      <c r="K810" s="197"/>
      <c r="L810" s="192"/>
      <c r="M810" s="197"/>
      <c r="N810" s="192"/>
      <c r="O810" s="197"/>
      <c r="P810" s="196">
        <f>P792*0.75</f>
        <v>7367.25</v>
      </c>
      <c r="Q810" s="197"/>
      <c r="R810" s="196">
        <f>R792*0.75</f>
        <v>6759</v>
      </c>
      <c r="S810" s="197" t="str">
        <f>IF(ISERROR((R810/J810-1)*100),"NA",IF(((R810/J810-1)*100)&gt;100,"NM",IF(((R810/J810-1)*100)&lt;-50,"NM",(R810/J810-1)*100)))</f>
        <v>NA</v>
      </c>
      <c r="T810" s="196">
        <f>T792*0.75</f>
        <v>6892.5</v>
      </c>
      <c r="U810" s="197" t="str">
        <f>IF(ISERROR((T810/L810-1)*100),"NA",IF(((T810/L810-1)*100)&gt;100,"NM",IF(((T810/L810-1)*100)&lt;-50,"NM",(T810/L810-1)*100)))</f>
        <v>NA</v>
      </c>
      <c r="V810" s="196">
        <f>V792*0.75</f>
        <v>7064.25</v>
      </c>
      <c r="W810" s="197" t="str">
        <f>IF(ISERROR((V810/N810-1)*100),"NA",IF(((V810/N810-1)*100)&gt;100,"NM",IF(((V810/N810-1)*100)&lt;-50,"NM",(V810/N810-1)*100)))</f>
        <v>NA</v>
      </c>
      <c r="X810" s="196">
        <f>X792*0.75</f>
        <v>6912</v>
      </c>
      <c r="Y810" s="197">
        <f>IF(ISERROR((X810/P810-1)*100),"NA",IF(((X810/P810-1)*100)&gt;100,"NM",IF(((X810/P810-1)*100)&lt;-50,"NM",(X810/P810-1)*100)))</f>
        <v>-6.179374936373816</v>
      </c>
      <c r="Z810" s="196">
        <f>Z792*0.75</f>
        <v>6842.25</v>
      </c>
      <c r="AA810" s="197">
        <f>IF(ISERROR((Z810/R810-1)*100),"NA",IF(((Z810/R810-1)*100)&gt;100,"NM",IF(((Z810/R810-1)*100)&lt;-50,"NM",(Z810/R810-1)*100)))</f>
        <v>1.231691078561914</v>
      </c>
      <c r="AB810" s="196">
        <f>AB792*0.75</f>
        <v>6797.25</v>
      </c>
      <c r="AC810" s="197">
        <f>IF(ISERROR((AB810/T810-1)*100),"NA",IF(((AB810/T810-1)*100)&gt;100,"NM",IF(((AB810/T810-1)*100)&lt;-50,"NM",(AB810/T810-1)*100)))</f>
        <v>-1.3819368879216531</v>
      </c>
      <c r="AD810" s="196">
        <f>AD792*0.75</f>
        <v>6836.25</v>
      </c>
      <c r="AE810" s="197">
        <f>IF(ISERROR((AD810/V810-1)*100),"NA",IF(((AD810/V810-1)*100)&gt;100,"NM",IF(((AD810/V810-1)*100)&lt;-50,"NM",(AD810/V810-1)*100)))</f>
        <v>-3.2275188448879888</v>
      </c>
      <c r="AF810" s="196">
        <f>AF792*0.75</f>
        <v>6582.75</v>
      </c>
      <c r="AG810" s="197">
        <f>IF(ISERROR((AF810/X810-1)*100),"NA",IF(((AF810/X810-1)*100)&gt;100,"NM",IF(((AF810/X810-1)*100)&lt;-50,"NM",(AF810/X810-1)*100)))</f>
        <v>-4.763454861111116</v>
      </c>
      <c r="AH810" s="196">
        <f>AH792*0.75</f>
        <v>6648</v>
      </c>
      <c r="AI810" s="197">
        <f>IF(ISERROR((AH810/Z810-1)*100),"NA",IF(((AH810/Z810-1)*100)&gt;100,"NM",IF(((AH810/Z810-1)*100)&lt;-50,"NM",(AH810/Z810-1)*100)))</f>
        <v>-2.8389784062260226</v>
      </c>
      <c r="AJ810" s="196">
        <f>AJ792*0.75</f>
        <v>6630.75</v>
      </c>
      <c r="AK810" s="197">
        <f>IF(ISERROR((AJ810/AB810-1)*100),"NA",IF(((AJ810/AB810-1)*100)&gt;100,"NM",IF(((AJ810/AB810-1)*100)&lt;-50,"NM",(AJ810/AB810-1)*100)))</f>
        <v>-2.4495200264813</v>
      </c>
      <c r="AL810" s="196">
        <f>AL792*0.75</f>
        <v>6482.25</v>
      </c>
      <c r="AM810" s="197">
        <f>IF(ISERROR((AL810/AD810-1)*100),"NA",IF(((AL810/AD810-1)*100)&gt;100,"NM",IF(((AL810/AD810-1)*100)&lt;-50,"NM",(AL810/AD810-1)*100)))</f>
        <v>-5.1782775644541923</v>
      </c>
      <c r="AN810" s="478">
        <f t="shared" ref="AN810:AP810" si="5442">AN792*0.75</f>
        <v>6282.75</v>
      </c>
      <c r="AO810" s="197">
        <f>IF(ISERROR((AN810/AF810-1)*100),"NA",IF(((AN810/AF810-1)*100)&gt;100,"NM",IF(((AN810/AF810-1)*100)&lt;-50,"NM",(AN810/AF810-1)*100)))</f>
        <v>-4.5573658425430157</v>
      </c>
      <c r="AP810" s="478">
        <f t="shared" si="5442"/>
        <v>6277.5</v>
      </c>
      <c r="AQ810" s="197">
        <f t="shared" ref="AQ810:AQ813" si="5443">IF(ISERROR((AP810/AH810-1)*100),"NA",IF(((AP810/AH810-1)*100)&gt;100,"NM",IF(((AP810/AH810-1)*100)&lt;-50,"NM",(AP810/AH810-1)*100)))</f>
        <v>-5.5731046931407953</v>
      </c>
      <c r="AR810" s="478">
        <f t="shared" ref="AR810:AT810" si="5444">AR792*0.75</f>
        <v>6192</v>
      </c>
      <c r="AS810" s="197">
        <f t="shared" ref="AS810:AS813" si="5445">IF(ISERROR((AR810/AJ810-1)*100),"NA",IF(((AR810/AJ810-1)*100)&gt;100,"NM",IF(((AR810/AJ810-1)*100)&lt;-50,"NM",(AR810/AJ810-1)*100)))</f>
        <v>-6.6168985408890375</v>
      </c>
      <c r="AT810" s="478">
        <f t="shared" si="5444"/>
        <v>6081</v>
      </c>
      <c r="AU810" s="197">
        <f t="shared" ref="AU810:AU813" si="5446">IF(ISERROR((AT810/AL810-1)*100),"NA",IF(((AT810/AL810-1)*100)&gt;100,"NM",IF(((AT810/AL810-1)*100)&lt;-50,"NM",(AT810/AL810-1)*100)))</f>
        <v>-6.1899803309036212</v>
      </c>
      <c r="AV810" s="478">
        <f t="shared" ref="AV810:AX810" si="5447">AV792*0.75</f>
        <v>5908.5</v>
      </c>
      <c r="AW810" s="197">
        <f t="shared" ref="AW810:AW813" si="5448">IF(ISERROR((AV810/AN810-1)*100),"NA",IF(((AV810/AN810-1)*100)&gt;100,"NM",IF(((AV810/AN810-1)*100)&lt;-50,"NM",(AV810/AN810-1)*100)))</f>
        <v>-5.956786439059325</v>
      </c>
      <c r="AX810" s="478">
        <f t="shared" si="5447"/>
        <v>5742</v>
      </c>
      <c r="AY810" s="197">
        <f t="shared" ref="AY810:AY813" si="5449">IF(ISERROR((AX810/AP810-1)*100),"NA",IF(((AX810/AP810-1)*100)&gt;100,"NM",IF(((AX810/AP810-1)*100)&lt;-50,"NM",(AX810/AP810-1)*100)))</f>
        <v>-8.5304659498207869</v>
      </c>
      <c r="AZ810" s="478">
        <f t="shared" ref="AZ810" si="5450">AZ792*0.75</f>
        <v>5742</v>
      </c>
      <c r="BA810" s="197">
        <f t="shared" ref="BA810:BA813" si="5451">IF(ISERROR((AZ810/AR810-1)*100),"NA",IF(((AZ810/AR810-1)*100)&gt;100,"NM",IF(((AZ810/AR810-1)*100)&lt;-50,"NM",(AZ810/AR810-1)*100)))</f>
        <v>-7.2674418604651176</v>
      </c>
      <c r="BB810" s="478">
        <f t="shared" ref="BB810:BD810" si="5452">BB792*0.75</f>
        <v>5742</v>
      </c>
      <c r="BC810" s="197">
        <f t="shared" ref="BC810:BC813" si="5453">IF(ISERROR((BB810/AT810-1)*100),"NA",IF(((BB810/AT810-1)*100)&gt;100,"NM",IF(((BB810/AT810-1)*100)&lt;-50,"NM",(BB810/AT810-1)*100)))</f>
        <v>-5.5747409965466233</v>
      </c>
      <c r="BD810" s="478">
        <f t="shared" si="5452"/>
        <v>5742</v>
      </c>
      <c r="BE810" s="197">
        <f t="shared" ref="BE810:BE813" si="5454">IF(ISERROR((BD810/AV810-1)*100),"NA",IF(((BD810/AV810-1)*100)&gt;100,"NM",IF(((BD810/AV810-1)*100)&lt;-50,"NM",(BD810/AV810-1)*100)))</f>
        <v>-2.8179741051028162</v>
      </c>
      <c r="BF810" s="196">
        <f t="shared" ref="BF810" si="5455">BF792*0.75</f>
        <v>5742</v>
      </c>
      <c r="BG810" s="197">
        <f t="shared" ref="BG810:BG813" si="5456">IF(ISERROR((BF810/AX810-1)*100),"NA",IF(((BF810/AX810-1)*100)&gt;100,"NM",IF(((BF810/AX810-1)*100)&lt;-50,"NM",(BF810/AX810-1)*100)))</f>
        <v>0</v>
      </c>
      <c r="BH810" s="196">
        <f t="shared" ref="BH810" si="5457">BH792*0.75</f>
        <v>5742</v>
      </c>
      <c r="BI810" s="197">
        <f t="shared" ref="BI810:BI813" si="5458">IF(ISERROR((BH810/AZ810-1)*100),"NA",IF(((BH810/AZ810-1)*100)&gt;100,"NM",IF(((BH810/AZ810-1)*100)&lt;-50,"NM",(BH810/AZ810-1)*100)))</f>
        <v>0</v>
      </c>
      <c r="BJ810" s="196">
        <f t="shared" ref="BJ810" si="5459">BJ792*0.75</f>
        <v>5742</v>
      </c>
      <c r="BK810" s="197">
        <f t="shared" ref="BK810:BK813" si="5460">IF(ISERROR((BJ810/BB810-1)*100),"NA",IF(((BJ810/BB810-1)*100)&gt;100,"NM",IF(((BJ810/BB810-1)*100)&lt;-50,"NM",(BJ810/BB810-1)*100)))</f>
        <v>0</v>
      </c>
      <c r="BL810" s="196">
        <f t="shared" ref="BL810" si="5461">BL792*0.75</f>
        <v>5742</v>
      </c>
      <c r="BM810" s="197">
        <f t="shared" ref="BM810:BM813" si="5462">IF(ISERROR((BL810/BD810-1)*100),"NA",IF(((BL810/BD810-1)*100)&gt;100,"NM",IF(((BL810/BD810-1)*100)&lt;-50,"NM",(BL810/BD810-1)*100)))</f>
        <v>0</v>
      </c>
      <c r="BO810" s="137"/>
      <c r="BR810" s="192"/>
      <c r="BS810" s="192"/>
      <c r="BT810" s="192"/>
      <c r="BU810" s="196"/>
      <c r="BV810" s="197"/>
      <c r="BW810" s="196">
        <f>BW792*0.75</f>
        <v>7367.25</v>
      </c>
      <c r="BX810" s="197" t="str">
        <f>IF(ISERROR((BW810/BU810-1)*100),"NA",IF(((BW810/BU810-1)*100)&gt;100,"NM",IF(((BW810/BU810-1)*100)&lt;-50,"NM",(BW810/BU810-1)*100)))</f>
        <v>NA</v>
      </c>
      <c r="BY810" s="196">
        <f>BY792*0.75</f>
        <v>6912</v>
      </c>
      <c r="BZ810" s="197">
        <f>IF(ISERROR((BY810/BW810-1)*100),"NA",IF(((BY810/BW810-1)*100)&gt;100,"NM",IF(((BY810/BW810-1)*100)&lt;-50,"NM",(BY810/BW810-1)*100)))</f>
        <v>-6.179374936373816</v>
      </c>
      <c r="CA810" s="196">
        <f>CA792*0.75</f>
        <v>6582.75</v>
      </c>
      <c r="CB810" s="197">
        <f>IF(ISERROR((CA810/BY810-1)*100),"NA",IF(((CA810/BY810-1)*100)&gt;100,"NM",IF(((CA810/BY810-1)*100)&lt;-50,"NM",(CA810/BY810-1)*100)))</f>
        <v>-4.763454861111116</v>
      </c>
      <c r="CC810" s="196">
        <f>CC792*0.75</f>
        <v>6282.75</v>
      </c>
      <c r="CD810" s="197">
        <f>IF(ISERROR((CC810/CA810-1)*100),"NA",IF(((CC810/CA810-1)*100)&gt;100,"NM",IF(((CC810/CA810-1)*100)&lt;-50,"NM",(CC810/CA810-1)*100)))</f>
        <v>-4.5573658425430157</v>
      </c>
      <c r="CE810" s="196">
        <f>CE792*0.75</f>
        <v>5908.5</v>
      </c>
      <c r="CF810" s="197">
        <f>IF(ISERROR((CE810/CC810-1)*100),"NA",IF(((CE810/CC810-1)*100)&gt;100,"NM",IF(((CE810/CC810-1)*100)&lt;-50,"NM",(CE810/CC810-1)*100)))</f>
        <v>-5.956786439059325</v>
      </c>
      <c r="CG810" s="196">
        <f>CG792*0.75</f>
        <v>5742</v>
      </c>
      <c r="CH810" s="197">
        <f>IF(ISERROR((CG810/CE810-1)*100),"NA",IF(((CG810/CE810-1)*100)&gt;100,"NM",IF(((CG810/CE810-1)*100)&lt;-50,"NM",(CG810/CE810-1)*100)))</f>
        <v>-2.8179741051028162</v>
      </c>
      <c r="CI810" s="196">
        <f>CI792*0.75</f>
        <v>5742</v>
      </c>
      <c r="CJ810" s="197">
        <f>IF(ISERROR((CI810/CG810-1)*100),"NA",IF(((CI810/CG810-1)*100)&gt;100,"NM",IF(((CI810/CG810-1)*100)&lt;-50,"NM",(CI810/CG810-1)*100)))</f>
        <v>0</v>
      </c>
      <c r="CK810" s="196">
        <f>CK792*0.75</f>
        <v>5742</v>
      </c>
      <c r="CL810" s="197">
        <f>IF(ISERROR((CK810/CI810-1)*100),"NA",IF(((CK810/CI810-1)*100)&gt;100,"NM",IF(((CK810/CI810-1)*100)&lt;-50,"NM",(CK810/CI810-1)*100)))</f>
        <v>0</v>
      </c>
      <c r="CM810" s="196">
        <f>CM792*0.75</f>
        <v>5742</v>
      </c>
      <c r="CN810" s="197">
        <f>IF(ISERROR((CM810/CK810-1)*100),"NA",IF(((CM810/CK810-1)*100)&gt;100,"NM",IF(((CM810/CK810-1)*100)&lt;-50,"NM",(CM810/CK810-1)*100)))</f>
        <v>0</v>
      </c>
      <c r="CO810" s="196">
        <f>CO792*0.75</f>
        <v>5742</v>
      </c>
      <c r="CP810" s="197">
        <f>IF(ISERROR((CO810/CM810-1)*100),"NA",IF(((CO810/CM810-1)*100)&gt;100,"NM",IF(((CO810/CM810-1)*100)&lt;-50,"NM",(CO810/CM810-1)*100)))</f>
        <v>0</v>
      </c>
      <c r="CQ810" s="196">
        <f>CQ792*0.75</f>
        <v>5742</v>
      </c>
      <c r="CR810" s="197">
        <f>IF(ISERROR((CQ810/CO810-1)*100),"NA",IF(((CQ810/CO810-1)*100)&gt;100,"NM",IF(((CQ810/CO810-1)*100)&lt;-50,"NM",(CQ810/CO810-1)*100)))</f>
        <v>0</v>
      </c>
      <c r="CS810" s="197"/>
      <c r="CT810" s="192"/>
      <c r="CV810"/>
      <c r="CW810"/>
      <c r="CX810"/>
      <c r="CY810"/>
      <c r="CZ810"/>
      <c r="DA810"/>
    </row>
    <row r="811" spans="1:105" s="193" customFormat="1" ht="12.75" hidden="1" customHeight="1" outlineLevel="1" x14ac:dyDescent="0.2">
      <c r="A811" s="195" t="s">
        <v>351</v>
      </c>
      <c r="B811" s="196"/>
      <c r="C811" s="189"/>
      <c r="D811" s="196"/>
      <c r="E811" s="189"/>
      <c r="F811" s="196"/>
      <c r="G811" s="189"/>
      <c r="H811" s="196"/>
      <c r="I811" s="189"/>
      <c r="J811" s="196"/>
      <c r="K811" s="197"/>
      <c r="L811" s="196"/>
      <c r="M811" s="197"/>
      <c r="N811" s="196"/>
      <c r="O811" s="197"/>
      <c r="P811" s="196"/>
      <c r="Q811" s="197"/>
      <c r="R811" s="196">
        <f>AVERAGE(R810,P810)</f>
        <v>7063.125</v>
      </c>
      <c r="S811" s="197" t="str">
        <f>IF(ISERROR((R811/J811-1)*100),"NA",IF(((R811/J811-1)*100)&gt;100,"NM",IF(((R811/J811-1)*100)&lt;-50,"NM",(R811/J811-1)*100)))</f>
        <v>NA</v>
      </c>
      <c r="T811" s="196">
        <f>AVERAGE(T810,R810)</f>
        <v>6825.75</v>
      </c>
      <c r="U811" s="197" t="str">
        <f>IF(ISERROR((T811/L811-1)*100),"NA",IF(((T811/L811-1)*100)&gt;100,"NM",IF(((T811/L811-1)*100)&lt;-50,"NM",(T811/L811-1)*100)))</f>
        <v>NA</v>
      </c>
      <c r="V811" s="196">
        <f>AVERAGE(V810,T810)</f>
        <v>6978.375</v>
      </c>
      <c r="W811" s="197" t="str">
        <f>IF(ISERROR((V811/N811-1)*100),"NA",IF(((V811/N811-1)*100)&gt;100,"NM",IF(((V811/N811-1)*100)&lt;-50,"NM",(V811/N811-1)*100)))</f>
        <v>NA</v>
      </c>
      <c r="X811" s="196">
        <f>AVERAGE(X810,V810)</f>
        <v>6988.125</v>
      </c>
      <c r="Y811" s="197" t="str">
        <f>IF(ISERROR((X811/P811-1)*100),"NA",IF(((X811/P811-1)*100)&gt;100,"NM",IF(((X811/P811-1)*100)&lt;-50,"NM",(X811/P811-1)*100)))</f>
        <v>NA</v>
      </c>
      <c r="Z811" s="196">
        <f>AVERAGE(Z810,X810)</f>
        <v>6877.125</v>
      </c>
      <c r="AA811" s="197">
        <f>IF(ISERROR((Z811/R811-1)*100),"NA",IF(((Z811/R811-1)*100)&gt;100,"NM",IF(((Z811/R811-1)*100)&lt;-50,"NM",(Z811/R811-1)*100)))</f>
        <v>-2.6333952747544465</v>
      </c>
      <c r="AB811" s="196">
        <f>AVERAGE(AB810,Z810)</f>
        <v>6819.75</v>
      </c>
      <c r="AC811" s="197">
        <f>IF(ISERROR((AB811/T811-1)*100),"NA",IF(((AB811/T811-1)*100)&gt;100,"NM",IF(((AB811/T811-1)*100)&lt;-50,"NM",(AB811/T811-1)*100)))</f>
        <v>-8.7902428304587055E-2</v>
      </c>
      <c r="AD811" s="196">
        <f>AVERAGE(AD810,AB810)</f>
        <v>6816.75</v>
      </c>
      <c r="AE811" s="197">
        <f>IF(ISERROR((AD811/V811-1)*100),"NA",IF(((AD811/V811-1)*100)&gt;100,"NM",IF(((AD811/V811-1)*100)&lt;-50,"NM",(AD811/V811-1)*100)))</f>
        <v>-2.3160836154548892</v>
      </c>
      <c r="AF811" s="494">
        <v>6572</v>
      </c>
      <c r="AG811" s="197">
        <f>IF(ISERROR((AF811/X811-1)*100),"NA",IF(((AF811/X811-1)*100)&gt;100,"NM",IF(((AF811/X811-1)*100)&lt;-50,"NM",(AF811/X811-1)*100)))</f>
        <v>-5.9547446561130535</v>
      </c>
      <c r="AH811" s="196">
        <f>AVERAGE(AH810,AF810)</f>
        <v>6615.375</v>
      </c>
      <c r="AI811" s="197">
        <f>IF(ISERROR((AH811/Z811-1)*100),"NA",IF(((AH811/Z811-1)*100)&gt;100,"NM",IF(((AH811/Z811-1)*100)&lt;-50,"NM",(AH811/Z811-1)*100)))</f>
        <v>-3.8060962975080437</v>
      </c>
      <c r="AJ811" s="196">
        <f>AVERAGE(AJ810,AH810)</f>
        <v>6639.375</v>
      </c>
      <c r="AK811" s="197">
        <f>IF(ISERROR((AJ811/AB811-1)*100),"NA",IF(((AJ811/AB811-1)*100)&gt;100,"NM",IF(((AJ811/AB811-1)*100)&lt;-50,"NM",(AJ811/AB811-1)*100)))</f>
        <v>-2.6448916749147733</v>
      </c>
      <c r="AL811" s="196">
        <f>AVERAGE(AL810,AJ810)</f>
        <v>6556.5</v>
      </c>
      <c r="AM811" s="197">
        <f>IF(ISERROR((AL811/AD811-1)*100),"NA",IF(((AL811/AD811-1)*100)&gt;100,"NM",IF(((AL811/AD811-1)*100)&lt;-50,"NM",(AL811/AD811-1)*100)))</f>
        <v>-3.8178017383650564</v>
      </c>
      <c r="AN811" s="478">
        <f t="shared" ref="AN811:AP811" si="5463">AVERAGE(AN810,AL810)</f>
        <v>6382.5</v>
      </c>
      <c r="AO811" s="197">
        <f>IF(ISERROR((AN811/AF811-1)*100),"NA",IF(((AN811/AF811-1)*100)&gt;100,"NM",IF(((AN811/AF811-1)*100)&lt;-50,"NM",(AN811/AF811-1)*100)))</f>
        <v>-2.8834449178332333</v>
      </c>
      <c r="AP811" s="478">
        <f t="shared" si="5463"/>
        <v>6280.125</v>
      </c>
      <c r="AQ811" s="197">
        <f t="shared" si="5443"/>
        <v>-5.0677399240405823</v>
      </c>
      <c r="AR811" s="478">
        <f t="shared" ref="AR811:AT811" si="5464">AVERAGE(AR810,AP810)</f>
        <v>6234.75</v>
      </c>
      <c r="AS811" s="197">
        <f t="shared" si="5445"/>
        <v>-6.0943236373905645</v>
      </c>
      <c r="AT811" s="478">
        <f t="shared" si="5464"/>
        <v>6136.5</v>
      </c>
      <c r="AU811" s="197">
        <f t="shared" si="5446"/>
        <v>-6.4058567833447766</v>
      </c>
      <c r="AV811" s="478">
        <f t="shared" ref="AV811:AX811" si="5465">AVERAGE(AV810,AT810)</f>
        <v>5994.75</v>
      </c>
      <c r="AW811" s="197">
        <f t="shared" si="5448"/>
        <v>-6.0752056404230315</v>
      </c>
      <c r="AX811" s="478">
        <f t="shared" si="5465"/>
        <v>5825.25</v>
      </c>
      <c r="AY811" s="197">
        <f t="shared" si="5449"/>
        <v>-7.243088314324952</v>
      </c>
      <c r="AZ811" s="478">
        <f t="shared" ref="AZ811" si="5466">AVERAGE(AZ810,AX810)</f>
        <v>5742</v>
      </c>
      <c r="BA811" s="197">
        <f t="shared" si="5451"/>
        <v>-7.9032840129916959</v>
      </c>
      <c r="BB811" s="478">
        <f t="shared" ref="BB811:BD811" si="5467">AVERAGE(BB810,AZ810)</f>
        <v>5742</v>
      </c>
      <c r="BC811" s="197">
        <f t="shared" si="5453"/>
        <v>-6.4287460278660502</v>
      </c>
      <c r="BD811" s="478">
        <f t="shared" si="5467"/>
        <v>5742</v>
      </c>
      <c r="BE811" s="197">
        <f t="shared" si="5454"/>
        <v>-4.2161891655198342</v>
      </c>
      <c r="BF811" s="196">
        <f t="shared" ref="BF811:BJ811" si="5468">AVERAGE(BF810,BD810)</f>
        <v>5742</v>
      </c>
      <c r="BG811" s="197">
        <f t="shared" si="5456"/>
        <v>-1.4291232135959842</v>
      </c>
      <c r="BH811" s="196">
        <f t="shared" si="5468"/>
        <v>5742</v>
      </c>
      <c r="BI811" s="197">
        <f t="shared" si="5458"/>
        <v>0</v>
      </c>
      <c r="BJ811" s="196">
        <f t="shared" si="5468"/>
        <v>5742</v>
      </c>
      <c r="BK811" s="197">
        <f t="shared" si="5460"/>
        <v>0</v>
      </c>
      <c r="BL811" s="196">
        <f t="shared" ref="BL811" si="5469">AVERAGE(BL810,BJ810)</f>
        <v>5742</v>
      </c>
      <c r="BM811" s="197">
        <f t="shared" si="5462"/>
        <v>0</v>
      </c>
      <c r="BO811" s="137"/>
      <c r="BR811" s="192"/>
      <c r="BS811" s="192"/>
      <c r="BT811" s="192"/>
      <c r="BU811" s="196"/>
      <c r="BV811" s="197"/>
      <c r="BW811" s="196">
        <f>0.75*AVERAGE(BW792,BU792)</f>
        <v>7447.5</v>
      </c>
      <c r="BX811" s="197" t="str">
        <f>IF(ISERROR((BW811/BU811-1)*100),"NA",IF(((BW811/BU811-1)*100)&gt;100,"NM",IF(((BW811/BU811-1)*100)&lt;-50,"NM",(BW811/BU811-1)*100)))</f>
        <v>NA</v>
      </c>
      <c r="BY811" s="196">
        <f>AVERAGE(X811,V811,T811,R811)</f>
        <v>6963.84375</v>
      </c>
      <c r="BZ811" s="197">
        <f>IF(ISERROR((BY811/BW811-1)*100),"NA",IF(((BY811/BW811-1)*100)&gt;100,"NM",IF(((BY811/BW811-1)*100)&lt;-50,"NM",(BY811/BW811-1)*100)))</f>
        <v>-6.494209466263845</v>
      </c>
      <c r="CA811" s="196">
        <f>AVERAGE(AF811,AD811,AB811,Z811)</f>
        <v>6771.40625</v>
      </c>
      <c r="CB811" s="197">
        <f>IF(ISERROR((CA811/BY811-1)*100),"NA",IF(((CA811/BY811-1)*100)&gt;100,"NM",IF(((CA811/BY811-1)*100)&lt;-50,"NM",(CA811/BY811-1)*100)))</f>
        <v>-2.7633804965828013</v>
      </c>
      <c r="CC811" s="196">
        <f>AVERAGE(AN811,AL811,AJ811,AH811)</f>
        <v>6548.4375</v>
      </c>
      <c r="CD811" s="197">
        <f>IF(ISERROR((CC811/CA811-1)*100),"NA",IF(((CC811/CA811-1)*100)&gt;100,"NM",IF(((CC811/CA811-1)*100)&lt;-50,"NM",(CC811/CA811-1)*100)))</f>
        <v>-3.2927983016821649</v>
      </c>
      <c r="CE811" s="196">
        <f>AVERAGE(AV811,AT811,AR811,AP811)</f>
        <v>6161.53125</v>
      </c>
      <c r="CF811" s="197">
        <f>IF(ISERROR((CE811/CC811-1)*100),"NA",IF(((CE811/CC811-1)*100)&gt;100,"NM",IF(((CE811/CC811-1)*100)&lt;-50,"NM",(CE811/CC811-1)*100)))</f>
        <v>-5.9083750894774472</v>
      </c>
      <c r="CG811" s="196">
        <f>AVERAGE(BD811,BB811,AZ811,AX811)</f>
        <v>5762.8125</v>
      </c>
      <c r="CH811" s="197">
        <f>IF(ISERROR((CG811/CE811-1)*100),"NA",IF(((CG811/CE811-1)*100)&gt;100,"NM",IF(((CG811/CE811-1)*100)&lt;-50,"NM",(CG811/CE811-1)*100)))</f>
        <v>-6.4710983978211623</v>
      </c>
      <c r="CI811" s="196">
        <f>AVERAGE(BL811,BJ811,BH811,BF811)</f>
        <v>5742</v>
      </c>
      <c r="CJ811" s="197">
        <f>IF(ISERROR((CI811/CG811-1)*100),"NA",IF(((CI811/CG811-1)*100)&gt;100,"NM",IF(((CI811/CG811-1)*100)&lt;-50,"NM",(CI811/CG811-1)*100)))</f>
        <v>-0.36115178135676107</v>
      </c>
      <c r="CK811" s="196">
        <f>0.75*AVERAGE(CK792,CI792)</f>
        <v>5742</v>
      </c>
      <c r="CL811" s="197">
        <f>IF(ISERROR((CK811/CI811-1)*100),"NA",IF(((CK811/CI811-1)*100)&gt;100,"NM",IF(((CK811/CI811-1)*100)&lt;-50,"NM",(CK811/CI811-1)*100)))</f>
        <v>0</v>
      </c>
      <c r="CM811" s="196">
        <f>0.75*AVERAGE(CM792,CK792)</f>
        <v>5742</v>
      </c>
      <c r="CN811" s="197">
        <f>IF(ISERROR((CM811/CK811-1)*100),"NA",IF(((CM811/CK811-1)*100)&gt;100,"NM",IF(((CM811/CK811-1)*100)&lt;-50,"NM",(CM811/CK811-1)*100)))</f>
        <v>0</v>
      </c>
      <c r="CO811" s="196">
        <f>0.75*AVERAGE(CO792,CM792)</f>
        <v>5742</v>
      </c>
      <c r="CP811" s="197">
        <f>IF(ISERROR((CO811/CM811-1)*100),"NA",IF(((CO811/CM811-1)*100)&gt;100,"NM",IF(((CO811/CM811-1)*100)&lt;-50,"NM",(CO811/CM811-1)*100)))</f>
        <v>0</v>
      </c>
      <c r="CQ811" s="196">
        <f>0.75*AVERAGE(CQ792,CO792)</f>
        <v>5742</v>
      </c>
      <c r="CR811" s="197">
        <f>IF(ISERROR((CQ811/CO811-1)*100),"NA",IF(((CQ811/CO811-1)*100)&gt;100,"NM",IF(((CQ811/CO811-1)*100)&lt;-50,"NM",(CQ811/CO811-1)*100)))</f>
        <v>0</v>
      </c>
      <c r="CS811" s="197"/>
      <c r="CT811" s="192"/>
      <c r="CV811"/>
      <c r="CW811"/>
      <c r="CX811"/>
      <c r="CY811"/>
      <c r="CZ811"/>
      <c r="DA811"/>
    </row>
    <row r="812" spans="1:105" s="199" customFormat="1" ht="12.75" hidden="1" customHeight="1" outlineLevel="1" x14ac:dyDescent="0.2">
      <c r="A812" s="195" t="s">
        <v>386</v>
      </c>
      <c r="C812" s="200"/>
      <c r="E812" s="200"/>
      <c r="G812" s="200"/>
      <c r="H812" s="201">
        <f>H810/$T$753</f>
        <v>28.864072085889568</v>
      </c>
      <c r="I812" s="200"/>
      <c r="K812" s="197"/>
      <c r="M812" s="197"/>
      <c r="N812" s="201"/>
      <c r="O812" s="197"/>
      <c r="P812" s="201">
        <f>P810/$T$753</f>
        <v>28.248657975460123</v>
      </c>
      <c r="Q812" s="197"/>
      <c r="R812" s="201">
        <f>R810/$T$753</f>
        <v>25.916411042944784</v>
      </c>
      <c r="S812" s="197" t="str">
        <f t="shared" ref="S812:Y813" si="5470">IF(ISERROR((R812/J812-1)*100),"NA",IF(((R812/J812-1)*100)&gt;100,"NM",IF(((R812/J812-1)*100)&lt;-50,"NM",(R812/J812-1)*100)))</f>
        <v>NA</v>
      </c>
      <c r="T812" s="199">
        <f>T810/T753</f>
        <v>26.428297546012267</v>
      </c>
      <c r="U812" s="197" t="str">
        <f t="shared" si="5470"/>
        <v>NA</v>
      </c>
      <c r="V812" s="199">
        <f>V810/V753</f>
        <v>27.086848159509202</v>
      </c>
      <c r="W812" s="197" t="str">
        <f t="shared" si="5470"/>
        <v>NA</v>
      </c>
      <c r="X812" s="199">
        <f>X810/X753</f>
        <v>26.411922048146735</v>
      </c>
      <c r="Y812" s="197">
        <f t="shared" si="5470"/>
        <v>-6.5020289774791351</v>
      </c>
      <c r="Z812" s="199">
        <f>Z810/Z753</f>
        <v>26.863957597173147</v>
      </c>
      <c r="AA812" s="197">
        <f>IF(ISERROR((Z812/R812-1)*100),"NA",IF(((Z812/R812-1)*100)&gt;100,"NM",IF(((Z812/R812-1)*100)&lt;-50,"NM",(Z812/R812-1)*100)))</f>
        <v>3.6561642453433629</v>
      </c>
      <c r="AB812" s="199">
        <f>AB810/AB753</f>
        <v>26.697761194029852</v>
      </c>
      <c r="AC812" s="197">
        <f>IF(ISERROR((AB812/T812-1)*100),"NA",IF(((AB812/T812-1)*100)&gt;100,"NM",IF(((AB812/T812-1)*100)&lt;-50,"NM",(AB812/T812-1)*100)))</f>
        <v>1.0196027479577152</v>
      </c>
      <c r="AD812" s="199">
        <f>AD810/AD753</f>
        <v>27.744521103896105</v>
      </c>
      <c r="AE812" s="197">
        <f>IF(ISERROR((AD812/V812-1)*100),"NA",IF(((AD812/V812-1)*100)&gt;100,"NM",IF(((AD812/V812-1)*100)&lt;-50,"NM",(AD812/V812-1)*100)))</f>
        <v>2.4280157680730996</v>
      </c>
      <c r="AF812" s="199">
        <f>AF810/AF753</f>
        <v>27.212691194708558</v>
      </c>
      <c r="AG812" s="197">
        <f>IF(ISERROR((AF812/X812-1)*100),"NA",IF(((AF812/X812-1)*100)&gt;100,"NM",IF(((AF812/X812-1)*100)&lt;-50,"NM",(AF812/X812-1)*100)))</f>
        <v>3.0318473040397809</v>
      </c>
      <c r="AH812" s="199">
        <f>AH810/AH753</f>
        <v>29.030567685589521</v>
      </c>
      <c r="AI812" s="197">
        <f>IF(ISERROR((AH812/Z812-1)*100),"NA",IF(((AH812/Z812-1)*100)&gt;100,"NM",IF(((AH812/Z812-1)*100)&lt;-50,"NM",(AH812/Z812-1)*100)))</f>
        <v>8.0651187770053756</v>
      </c>
      <c r="AJ812" s="199">
        <f>AJ810/AJ753</f>
        <v>29.300707026071585</v>
      </c>
      <c r="AK812" s="197">
        <f>IF(ISERROR((AJ812/AB812-1)*100),"NA",IF(((AJ812/AB812-1)*100)&gt;100,"NM",IF(((AJ812/AB812-1)*100)&lt;-50,"NM",(AJ812/AB812-1)*100)))</f>
        <v>9.7496783086957972</v>
      </c>
      <c r="AL812" s="199">
        <f>AL810/AL753</f>
        <v>30.107988852763583</v>
      </c>
      <c r="AM812" s="197">
        <f>IF(ISERROR((AL812/AD812-1)*100),"NA",IF(((AL812/AD812-1)*100)&gt;100,"NM",IF(((AL812/AD812-1)*100)&lt;-50,"NM",(AL812/AD812-1)*100)))</f>
        <v>8.5186828059381483</v>
      </c>
      <c r="AN812" s="479">
        <f t="shared" ref="AN812:AP812" si="5471">AN810/AN753</f>
        <v>30.046628407460545</v>
      </c>
      <c r="AO812" s="197">
        <f>IF(ISERROR((AN812/AF812-1)*100),"NA",IF(((AN812/AF812-1)*100)&gt;100,"NM",IF(((AN812/AF812-1)*100)&lt;-50,"NM",(AN812/AF812-1)*100)))</f>
        <v>10.414027750783571</v>
      </c>
      <c r="AP812" s="479">
        <f t="shared" si="5471"/>
        <v>30.772058823529413</v>
      </c>
      <c r="AQ812" s="197">
        <f t="shared" si="5443"/>
        <v>5.9988187513272395</v>
      </c>
      <c r="AR812" s="479">
        <f t="shared" ref="AR812:AT812" si="5472">AR810/AR753</f>
        <v>30.929070929070932</v>
      </c>
      <c r="AS812" s="197">
        <f t="shared" si="5445"/>
        <v>5.5574218791049512</v>
      </c>
      <c r="AT812" s="479">
        <f t="shared" si="5472"/>
        <v>31.248715313463517</v>
      </c>
      <c r="AU812" s="197">
        <f t="shared" si="5446"/>
        <v>3.7887833235172419</v>
      </c>
      <c r="AV812" s="479">
        <f t="shared" ref="AV812:AX812" si="5473">AV810/AV753</f>
        <v>30.3622816032888</v>
      </c>
      <c r="AW812" s="197">
        <f t="shared" si="5448"/>
        <v>1.0505444788936114</v>
      </c>
      <c r="AX812" s="479">
        <f t="shared" si="5473"/>
        <v>30.236966824644547</v>
      </c>
      <c r="AY812" s="197">
        <f t="shared" si="5449"/>
        <v>-1.7388891720033883</v>
      </c>
      <c r="AZ812" s="479">
        <f t="shared" ref="AZ812" si="5474">AZ810/AZ753</f>
        <v>31.953255425709518</v>
      </c>
      <c r="BA812" s="197">
        <f t="shared" si="5451"/>
        <v>3.3113975488863856</v>
      </c>
      <c r="BB812" s="479">
        <f t="shared" ref="BB812:BD812" si="5475">BB810/BB753</f>
        <v>31.953255425709518</v>
      </c>
      <c r="BC812" s="197">
        <f t="shared" si="5453"/>
        <v>2.2546210465889116</v>
      </c>
      <c r="BD812" s="479">
        <f t="shared" si="5475"/>
        <v>33.383720930232556</v>
      </c>
      <c r="BE812" s="197">
        <f t="shared" si="5454"/>
        <v>9.9512920880638909</v>
      </c>
      <c r="BF812" s="199">
        <f t="shared" ref="BF812" si="5476">BF810/BF753</f>
        <v>34.74888241414407</v>
      </c>
      <c r="BG812" s="197">
        <f t="shared" si="5456"/>
        <v>14.92185249818807</v>
      </c>
      <c r="BH812" s="199">
        <f t="shared" ref="BH812" si="5477">BH810/BH753</f>
        <v>35.77136897124938</v>
      </c>
      <c r="BI812" s="197">
        <f t="shared" si="5458"/>
        <v>11.949059633115876</v>
      </c>
      <c r="BJ812" s="199">
        <f t="shared" ref="BJ812" si="5478">BJ810/BJ753</f>
        <v>36.828821249101964</v>
      </c>
      <c r="BK812" s="197">
        <f t="shared" si="5460"/>
        <v>15.258432226813357</v>
      </c>
      <c r="BL812" s="199">
        <f t="shared" ref="BL812" si="5479">BL810/BL753</f>
        <v>37.928248075880958</v>
      </c>
      <c r="BM812" s="197">
        <f t="shared" si="5462"/>
        <v>13.613003640744093</v>
      </c>
      <c r="BO812" s="145"/>
      <c r="BV812" s="197"/>
      <c r="BW812" s="201">
        <f>BW810/$T$753</f>
        <v>28.248657975460123</v>
      </c>
      <c r="BX812" s="197" t="str">
        <f t="shared" ref="BX812:CR813" si="5480">IF(ISERROR((BW812/BU812-1)*100),"NA",IF(((BW812/BU812-1)*100)&gt;100,"NM",IF(((BW812/BU812-1)*100)&lt;-50,"NM",(BW812/BU812-1)*100)))</f>
        <v>NA</v>
      </c>
      <c r="BY812" s="199">
        <f>BY810/BY753</f>
        <v>26.411922048146735</v>
      </c>
      <c r="BZ812" s="197">
        <f t="shared" si="5480"/>
        <v>-6.5020289774791351</v>
      </c>
      <c r="CA812" s="199">
        <f>CA810/CA753</f>
        <v>27.212691194708558</v>
      </c>
      <c r="CB812" s="197">
        <f t="shared" si="5480"/>
        <v>3.0318473040397809</v>
      </c>
      <c r="CC812" s="199">
        <f>CC810/CC753</f>
        <v>30.046628407460545</v>
      </c>
      <c r="CD812" s="197">
        <f t="shared" si="5480"/>
        <v>10.414027750783571</v>
      </c>
      <c r="CE812" s="199">
        <f>CE810/CE753</f>
        <v>30.3622816032888</v>
      </c>
      <c r="CF812" s="197">
        <f t="shared" si="5480"/>
        <v>1.0505444788936114</v>
      </c>
      <c r="CG812" s="199">
        <f>CG810/CG753</f>
        <v>33.383720930232556</v>
      </c>
      <c r="CH812" s="197">
        <f t="shared" si="5480"/>
        <v>9.9512920880638909</v>
      </c>
      <c r="CI812" s="199">
        <f>CI810/CI753</f>
        <v>37.928248075880958</v>
      </c>
      <c r="CJ812" s="197">
        <f t="shared" si="5480"/>
        <v>13.613003640744093</v>
      </c>
      <c r="CK812" s="199">
        <f>CK810/CK753</f>
        <v>40.721773191159784</v>
      </c>
      <c r="CL812" s="197">
        <f t="shared" si="5480"/>
        <v>7.3652890839829288</v>
      </c>
      <c r="CM812" s="199">
        <f>CM810/CM753</f>
        <v>43.70461598892738</v>
      </c>
      <c r="CN812" s="197">
        <f t="shared" si="5480"/>
        <v>7.3249334791126719</v>
      </c>
      <c r="CO812" s="199">
        <f>CO810/CO753</f>
        <v>46.887183306255103</v>
      </c>
      <c r="CP812" s="197">
        <f t="shared" si="5480"/>
        <v>7.2819935499125021</v>
      </c>
      <c r="CQ812" s="199">
        <f>CQ810/CQ753</f>
        <v>50.28009695907312</v>
      </c>
      <c r="CR812" s="197">
        <f t="shared" si="5480"/>
        <v>7.2363349929902343</v>
      </c>
      <c r="CS812" s="197"/>
      <c r="CV812"/>
      <c r="CW812"/>
      <c r="CX812"/>
      <c r="CY812"/>
      <c r="CZ812"/>
      <c r="DA812"/>
    </row>
    <row r="813" spans="1:105" s="199" customFormat="1" ht="12.75" hidden="1" customHeight="1" outlineLevel="1" x14ac:dyDescent="0.2">
      <c r="A813" s="195" t="s">
        <v>385</v>
      </c>
      <c r="C813" s="200"/>
      <c r="E813" s="200"/>
      <c r="G813" s="200"/>
      <c r="H813" s="201"/>
      <c r="I813" s="200"/>
      <c r="K813" s="197"/>
      <c r="M813" s="197"/>
      <c r="N813" s="201"/>
      <c r="O813" s="197"/>
      <c r="P813" s="201">
        <f>(P774-P793*0.75)/$T$753</f>
        <v>31.89302147239264</v>
      </c>
      <c r="Q813" s="197"/>
      <c r="R813" s="201">
        <f>(R774-R793*0.75)/$T$753</f>
        <v>27.210697852760745</v>
      </c>
      <c r="S813" s="197" t="str">
        <f t="shared" si="5470"/>
        <v>NA</v>
      </c>
      <c r="T813" s="199">
        <f>(T774-T793*0.75)/T753</f>
        <v>28.361004601226991</v>
      </c>
      <c r="U813" s="197" t="str">
        <f t="shared" si="5470"/>
        <v>NA</v>
      </c>
      <c r="V813" s="199">
        <f>(V774-V793*0.75)/V753</f>
        <v>31.583588957055213</v>
      </c>
      <c r="W813" s="197" t="str">
        <f t="shared" si="5470"/>
        <v>NA</v>
      </c>
      <c r="X813" s="199">
        <f>(X774-X793*0.75)/X753</f>
        <v>34.710928544134504</v>
      </c>
      <c r="Y813" s="197">
        <f t="shared" si="5470"/>
        <v>8.8354973647796662</v>
      </c>
      <c r="Z813" s="199">
        <f>(Z774-Z793*0.75)/Z753</f>
        <v>35.606595995288579</v>
      </c>
      <c r="AA813" s="197">
        <f>IF(ISERROR((Z813/R813-1)*100),"NA",IF(((Z813/R813-1)*100)&gt;100,"NM",IF(((Z813/R813-1)*100)&lt;-50,"NM",(Z813/R813-1)*100)))</f>
        <v>30.855137152155045</v>
      </c>
      <c r="AB813" s="199">
        <f>(AB774-AB793*0.75)/AB753</f>
        <v>36.310487038491758</v>
      </c>
      <c r="AC813" s="197">
        <f>IF(ISERROR((AB813/T813-1)*100),"NA",IF(((AB813/T813-1)*100)&gt;100,"NM",IF(((AB813/T813-1)*100)&lt;-50,"NM",(AB813/T813-1)*100)))</f>
        <v>28.029622183837756</v>
      </c>
      <c r="AD813" s="199">
        <f>(AD774-AD793*0.75)/AD753</f>
        <v>37.39204545454546</v>
      </c>
      <c r="AE813" s="197">
        <f>IF(ISERROR((AD813/V813-1)*100),"NA",IF(((AD813/V813-1)*100)&gt;100,"NM",IF(((AD813/V813-1)*100)&lt;-50,"NM",(AD813/V813-1)*100)))</f>
        <v>18.390742437118579</v>
      </c>
      <c r="AF813" s="199">
        <f>(AF774-AF793*0.75)/AF753</f>
        <v>45.911533691608085</v>
      </c>
      <c r="AG813" s="197">
        <f>IF(ISERROR((AF813/X813-1)*100),"NA",IF(((AF813/X813-1)*100)&gt;100,"NM",IF(((AF813/X813-1)*100)&lt;-50,"NM",(AF813/X813-1)*100)))</f>
        <v>32.268238325091623</v>
      </c>
      <c r="AH813" s="199">
        <f>(AH774-AH793*0.75)/AH753</f>
        <v>46.511790393013101</v>
      </c>
      <c r="AI813" s="197">
        <f>IF(ISERROR((AH813/Z813-1)*100),"NA",IF(((AH813/Z813-1)*100)&gt;100,"NM",IF(((AH813/Z813-1)*100)&lt;-50,"NM",(AH813/Z813-1)*100)))</f>
        <v>30.626893958544876</v>
      </c>
      <c r="AJ813" s="199">
        <f>(AJ774-AJ793*0.75)/AJ753</f>
        <v>47.543526292532029</v>
      </c>
      <c r="AK813" s="197">
        <f>IF(ISERROR((AJ813/AB813-1)*100),"NA",IF(((AJ813/AB813-1)*100)&gt;100,"NM",IF(((AJ813/AB813-1)*100)&lt;-50,"NM",(AJ813/AB813-1)*100)))</f>
        <v>30.936074314102235</v>
      </c>
      <c r="AL813" s="199">
        <f>(AL774-AL793*0.75)/AL753</f>
        <v>47.62145843009754</v>
      </c>
      <c r="AM813" s="197">
        <f>IF(ISERROR((AL813/AD813-1)*100),"NA",IF(((AL813/AD813-1)*100)&gt;100,"NM",IF(((AL813/AD813-1)*100)&lt;-50,"NM",(AL813/AD813-1)*100)))</f>
        <v>27.35719014887048</v>
      </c>
      <c r="AN813" s="479">
        <f t="shared" ref="AN813:AP813" si="5481">(AN774-AN793*0.75)/AN753</f>
        <v>47.268770923003338</v>
      </c>
      <c r="AO813" s="197">
        <f>IF(ISERROR((AN813/AF813-1)*100),"NA",IF(((AN813/AF813-1)*100)&gt;100,"NM",IF(((AN813/AF813-1)*100)&lt;-50,"NM",(AN813/AF813-1)*100)))</f>
        <v>2.9562010289439167</v>
      </c>
      <c r="AP813" s="479">
        <f t="shared" si="5481"/>
        <v>46.504166666666663</v>
      </c>
      <c r="AQ813" s="197">
        <f t="shared" si="5443"/>
        <v>-1.639095438386029E-2</v>
      </c>
      <c r="AR813" s="479">
        <f t="shared" ref="AR813:AT813" si="5482">(AR774-AR793*0.75)/AR753</f>
        <v>47.178821178821188</v>
      </c>
      <c r="AS813" s="197">
        <f t="shared" si="5445"/>
        <v>-0.76709731513567858</v>
      </c>
      <c r="AT813" s="479">
        <f t="shared" si="5482"/>
        <v>48.966598150051375</v>
      </c>
      <c r="AU813" s="197">
        <f t="shared" si="5446"/>
        <v>2.8246504082363177</v>
      </c>
      <c r="AV813" s="479">
        <f t="shared" ref="AV813:AX813" si="5483">(AV774-AV793*0.75)/AV753</f>
        <v>48.247687564234326</v>
      </c>
      <c r="AW813" s="197">
        <f t="shared" si="5448"/>
        <v>2.0709585252926432</v>
      </c>
      <c r="AX813" s="479">
        <f t="shared" si="5483"/>
        <v>49.523433385992625</v>
      </c>
      <c r="AY813" s="197">
        <f t="shared" si="5449"/>
        <v>6.4924649461359341</v>
      </c>
      <c r="AZ813" s="479">
        <f t="shared" ref="AZ813" si="5484">(AZ774-AZ793*0.75)/AZ753</f>
        <v>52.156371730662215</v>
      </c>
      <c r="BA813" s="197">
        <f t="shared" si="5451"/>
        <v>10.550391950181815</v>
      </c>
      <c r="BB813" s="479">
        <f t="shared" ref="BB813:BD813" si="5485">(BB774-BB793*0.75)/BB753</f>
        <v>53.130773511407916</v>
      </c>
      <c r="BC813" s="197">
        <f t="shared" si="5453"/>
        <v>8.5041140668910664</v>
      </c>
      <c r="BD813" s="479">
        <f t="shared" si="5485"/>
        <v>34.325581395348834</v>
      </c>
      <c r="BE813" s="197">
        <f t="shared" si="5454"/>
        <v>-28.855488981415668</v>
      </c>
      <c r="BF813" s="199">
        <f t="shared" ref="BF813" si="5486">(BF774-BF793*0.75)/BF753</f>
        <v>34.88686031192762</v>
      </c>
      <c r="BG813" s="197">
        <f t="shared" si="5456"/>
        <v>-29.55484317895629</v>
      </c>
      <c r="BH813" s="199">
        <f t="shared" ref="BH813" si="5487">(BH774-BH793*0.75)/BH753</f>
        <v>35.780994024715774</v>
      </c>
      <c r="BI813" s="197">
        <f t="shared" si="5458"/>
        <v>-31.396696439141913</v>
      </c>
      <c r="BJ813" s="199">
        <f t="shared" ref="BJ813" si="5488">(BJ774-BJ793*0.75)/BJ753</f>
        <v>36.45235659156193</v>
      </c>
      <c r="BK813" s="197">
        <f t="shared" si="5460"/>
        <v>-31.391255608700853</v>
      </c>
      <c r="BL813" s="199">
        <f t="shared" ref="BL813" si="5489">(BL774-BL793*0.75)/BL753</f>
        <v>37.202429156372965</v>
      </c>
      <c r="BM813" s="197">
        <f t="shared" si="5462"/>
        <v>8.3810605504090585</v>
      </c>
      <c r="BO813" s="145"/>
      <c r="BV813" s="197"/>
      <c r="BW813" s="201">
        <f>(BW774-BW793*0.75)/$T$753</f>
        <v>31.89302147239264</v>
      </c>
      <c r="BX813" s="197" t="str">
        <f t="shared" si="5480"/>
        <v>NA</v>
      </c>
      <c r="BY813" s="199">
        <f>(BY774-BY793*0.75)/BY753</f>
        <v>34.710928544134504</v>
      </c>
      <c r="BZ813" s="197">
        <f t="shared" si="5480"/>
        <v>8.8354973647796662</v>
      </c>
      <c r="CA813" s="199">
        <f>(CA774-CA793*0.75)/CA753</f>
        <v>45.911533691608085</v>
      </c>
      <c r="CB813" s="197">
        <f t="shared" si="5480"/>
        <v>32.268238325091623</v>
      </c>
      <c r="CC813" s="199">
        <f>(CC774-CC793*0.75)/CC753</f>
        <v>47.268770923003338</v>
      </c>
      <c r="CD813" s="197">
        <f t="shared" si="5480"/>
        <v>2.9562010289439167</v>
      </c>
      <c r="CE813" s="199">
        <f>(CE774-CE793*0.75)/CE753</f>
        <v>48.247687564234326</v>
      </c>
      <c r="CF813" s="197">
        <f t="shared" si="5480"/>
        <v>2.0709585252926432</v>
      </c>
      <c r="CG813" s="199">
        <f>(CG774-CG793*0.75)/CG753</f>
        <v>34.325581395348834</v>
      </c>
      <c r="CH813" s="197">
        <f t="shared" si="5480"/>
        <v>-28.855488981415668</v>
      </c>
      <c r="CI813" s="199">
        <f>(CI774-CI793*0.75)/CI753</f>
        <v>37.202429156372965</v>
      </c>
      <c r="CJ813" s="197">
        <f t="shared" si="5480"/>
        <v>8.3810605504090585</v>
      </c>
      <c r="CK813" s="199">
        <f>(CK774-CK793*0.75)/CK753</f>
        <v>42.098056758168283</v>
      </c>
      <c r="CL813" s="197">
        <f t="shared" si="5480"/>
        <v>13.159429942645762</v>
      </c>
      <c r="CM813" s="199">
        <f>(CM774-CM793*0.75)/CM753</f>
        <v>47.718628597153007</v>
      </c>
      <c r="CN813" s="197">
        <f t="shared" si="5480"/>
        <v>13.351143192361636</v>
      </c>
      <c r="CO813" s="199">
        <f>(CO774-CO793*0.75)/CO753</f>
        <v>54.151875038361851</v>
      </c>
      <c r="CP813" s="197">
        <f t="shared" si="5480"/>
        <v>13.48162474558765</v>
      </c>
      <c r="CQ813" s="199">
        <f>(CQ774-CQ793*0.75)/CQ753</f>
        <v>61.497863820823049</v>
      </c>
      <c r="CR813" s="197">
        <f t="shared" si="5480"/>
        <v>13.565529868092675</v>
      </c>
      <c r="CS813" s="197"/>
      <c r="CV813"/>
      <c r="CW813"/>
      <c r="CX813"/>
      <c r="CY813"/>
      <c r="CZ813"/>
      <c r="DA813"/>
    </row>
    <row r="814" spans="1:105" s="193" customFormat="1" ht="12.75" hidden="1" customHeight="1" outlineLevel="1" x14ac:dyDescent="0.2">
      <c r="A814" s="195"/>
      <c r="B814" s="188"/>
      <c r="C814" s="189"/>
      <c r="D814" s="188"/>
      <c r="E814" s="189"/>
      <c r="F814" s="188"/>
      <c r="G814" s="189"/>
      <c r="H814" s="196"/>
      <c r="I814" s="189"/>
      <c r="K814" s="197"/>
      <c r="L814" s="192"/>
      <c r="M814" s="197"/>
      <c r="N814" s="192"/>
      <c r="O814" s="197"/>
      <c r="P814" s="196"/>
      <c r="Q814" s="197"/>
      <c r="R814" s="196"/>
      <c r="S814" s="197"/>
      <c r="T814" s="196"/>
      <c r="U814" s="197"/>
      <c r="V814" s="196"/>
      <c r="W814" s="197"/>
      <c r="X814" s="196"/>
      <c r="Y814" s="197"/>
      <c r="Z814" s="196"/>
      <c r="AA814" s="197"/>
      <c r="AB814" s="196"/>
      <c r="AC814" s="197"/>
      <c r="AD814" s="196"/>
      <c r="AE814" s="197"/>
      <c r="AF814" s="196"/>
      <c r="AG814" s="197"/>
      <c r="AH814" s="196"/>
      <c r="AI814" s="197"/>
      <c r="AJ814" s="196"/>
      <c r="AK814" s="197"/>
      <c r="AL814" s="196"/>
      <c r="AM814" s="197"/>
      <c r="AN814" s="478"/>
      <c r="AO814" s="197"/>
      <c r="AP814" s="478"/>
      <c r="AQ814" s="197"/>
      <c r="AR814" s="478"/>
      <c r="AS814" s="197"/>
      <c r="AT814" s="478"/>
      <c r="AU814" s="197"/>
      <c r="AV814" s="478"/>
      <c r="AW814" s="197"/>
      <c r="AX814" s="478"/>
      <c r="AY814" s="197"/>
      <c r="AZ814" s="478"/>
      <c r="BA814" s="197"/>
      <c r="BB814" s="478"/>
      <c r="BC814" s="197"/>
      <c r="BD814" s="478"/>
      <c r="BE814" s="197"/>
      <c r="BF814" s="196"/>
      <c r="BG814" s="197"/>
      <c r="BH814" s="196"/>
      <c r="BI814" s="197"/>
      <c r="BJ814" s="196"/>
      <c r="BK814" s="197"/>
      <c r="BL814" s="196"/>
      <c r="BM814" s="197"/>
      <c r="BO814" s="137"/>
      <c r="BR814" s="192"/>
      <c r="BS814" s="192"/>
      <c r="BT814" s="192"/>
      <c r="BU814" s="196"/>
      <c r="BV814" s="197"/>
      <c r="BW814" s="196"/>
      <c r="BX814" s="197"/>
      <c r="BY814" s="196"/>
      <c r="BZ814" s="197"/>
      <c r="CA814" s="196"/>
      <c r="CB814" s="197"/>
      <c r="CC814" s="196"/>
      <c r="CD814" s="197"/>
      <c r="CE814" s="196"/>
      <c r="CF814" s="197"/>
      <c r="CG814" s="196"/>
      <c r="CH814" s="197"/>
      <c r="CI814" s="196"/>
      <c r="CJ814" s="197"/>
      <c r="CK814" s="196"/>
      <c r="CL814" s="197"/>
      <c r="CM814" s="196"/>
      <c r="CN814" s="197"/>
      <c r="CO814" s="196"/>
      <c r="CP814" s="197"/>
      <c r="CQ814" s="196"/>
      <c r="CR814" s="197"/>
      <c r="CS814" s="197"/>
      <c r="CT814" s="192"/>
      <c r="CV814"/>
      <c r="CW814"/>
      <c r="CX814"/>
      <c r="CY814"/>
      <c r="CZ814"/>
      <c r="DA814"/>
    </row>
    <row r="815" spans="1:105" s="204" customFormat="1" ht="12.75" hidden="1" customHeight="1" outlineLevel="1" x14ac:dyDescent="0.2">
      <c r="A815" s="194" t="s">
        <v>354</v>
      </c>
      <c r="B815" s="202"/>
      <c r="C815" s="203"/>
      <c r="D815" s="202"/>
      <c r="E815" s="203"/>
      <c r="F815" s="202"/>
      <c r="G815" s="203"/>
      <c r="H815" s="202"/>
      <c r="I815" s="203"/>
      <c r="K815" s="197"/>
      <c r="L815" s="205"/>
      <c r="M815" s="197"/>
      <c r="N815" s="205"/>
      <c r="O815" s="197"/>
      <c r="P815" s="205"/>
      <c r="Q815" s="197"/>
      <c r="R815" s="206">
        <f>R808/R811*400</f>
        <v>9.0417640031855573</v>
      </c>
      <c r="S815" s="197" t="str">
        <f t="shared" ref="S815:Y815" si="5490">IF(ISERROR((R815/J815-1)*100),"NA",IF(((R815/J815-1)*100)&gt;100,"NM",IF(((R815/J815-1)*100)&lt;-50,"NM",(R815/J815-1)*100)))</f>
        <v>NA</v>
      </c>
      <c r="T815" s="206">
        <f>T808/T811*400</f>
        <v>10.357540380178003</v>
      </c>
      <c r="U815" s="197" t="str">
        <f t="shared" si="5490"/>
        <v>NA</v>
      </c>
      <c r="V815" s="206">
        <f>V808/V811*400</f>
        <v>13.137743833628884</v>
      </c>
      <c r="W815" s="197" t="str">
        <f t="shared" si="5490"/>
        <v>NA</v>
      </c>
      <c r="X815" s="206">
        <f>X808/X811*400</f>
        <v>11.05654011269117</v>
      </c>
      <c r="Y815" s="197" t="str">
        <f t="shared" si="5490"/>
        <v>NA</v>
      </c>
      <c r="Z815" s="206">
        <f>Z808/Z811*400</f>
        <v>9.6701396840976503</v>
      </c>
      <c r="AA815" s="197">
        <f>IF(ISERROR((Z815/R815-1)*100),"NA",IF(((Z815/R815-1)*100)&gt;100,"NM",IF(((Z815/R815-1)*100)&lt;-50,"NM",(Z815/R815-1)*100)))</f>
        <v>6.9497023002448088</v>
      </c>
      <c r="AB815" s="206">
        <f>AB808/AB811*400</f>
        <v>11.987995344404123</v>
      </c>
      <c r="AC815" s="197">
        <f>IF(ISERROR((AB815/T815-1)*100),"NA",IF(((AB815/T815-1)*100)&gt;100,"NM",IF(((AB815/T815-1)*100)&lt;-50,"NM",(AB815/T815-1)*100)))</f>
        <v>15.74171960117523</v>
      </c>
      <c r="AD815" s="206">
        <f>AD808/AD811*400</f>
        <v>12.328455642351562</v>
      </c>
      <c r="AE815" s="197">
        <f>IF(ISERROR((AD815/V815-1)*100),"NA",IF(((AD815/V815-1)*100)&gt;100,"NM",IF(((AD815/V815-1)*100)&lt;-50,"NM",(AD815/V815-1)*100)))</f>
        <v>-6.1600241375218019</v>
      </c>
      <c r="AF815" s="206">
        <f>AF808/AF811*400</f>
        <v>14.401704199634816</v>
      </c>
      <c r="AG815" s="197">
        <f>IF(ISERROR((AF815/X815-1)*100),"NA",IF(((AF815/X815-1)*100)&gt;100,"NM",IF(((AF815/X815-1)*100)&lt;-50,"NM",(AF815/X815-1)*100)))</f>
        <v>30.255071232490916</v>
      </c>
      <c r="AH815" s="206">
        <f>AH808/AH811*400</f>
        <v>11.851155830168359</v>
      </c>
      <c r="AI815" s="197">
        <f>IF(ISERROR((AH815/Z815-1)*100),"NA",IF(((AH815/Z815-1)*100)&gt;100,"NM",IF(((AH815/Z815-1)*100)&lt;-50,"NM",(AH815/Z815-1)*100)))</f>
        <v>22.554132797661097</v>
      </c>
      <c r="AJ815" s="206">
        <f>AJ808/AJ811*400</f>
        <v>11.801351783865197</v>
      </c>
      <c r="AK815" s="197">
        <f>IF(ISERROR((AJ815/AB815-1)*100),"NA",IF(((AJ815/AB815-1)*100)&gt;100,"NM",IF(((AJ815/AB815-1)*100)&lt;-50,"NM",(AJ815/AB815-1)*100)))</f>
        <v>-1.5569205290528298</v>
      </c>
      <c r="AL815" s="206">
        <f>AL808/AL811*400</f>
        <v>11.321650270723707</v>
      </c>
      <c r="AM815" s="197">
        <f>IF(ISERROR((AL815/AD815-1)*100),"NA",IF(((AL815/AD815-1)*100)&gt;100,"NM",IF(((AL815/AD815-1)*100)&lt;-50,"NM",(AL815/AD815-1)*100)))</f>
        <v>-8.1665165600240179</v>
      </c>
      <c r="AN815" s="206">
        <f t="shared" ref="AN815:AP815" si="5491">AN808/AN811*400</f>
        <v>13.536605953779867</v>
      </c>
      <c r="AO815" s="197">
        <f>IF(ISERROR((AN815/AF815-1)*100),"NA",IF(((AN815/AF815-1)*100)&gt;100,"NM",IF(((AN815/AF815-1)*100)&lt;-50,"NM",(AN815/AF815-1)*100)))</f>
        <v>-6.0069158056786476</v>
      </c>
      <c r="AP815" s="206">
        <f t="shared" si="5491"/>
        <v>7.5918527696502789</v>
      </c>
      <c r="AQ815" s="197">
        <f t="shared" ref="AQ815" si="5492">IF(ISERROR((AP815/AH815-1)*100),"NA",IF(((AP815/AH815-1)*100)&gt;100,"NM",IF(((AP815/AH815-1)*100)&lt;-50,"NM",(AP815/AH815-1)*100)))</f>
        <v>-35.939980214213186</v>
      </c>
      <c r="AR815" s="206">
        <f t="shared" ref="AR815:AT815" si="5493">AR808/AR811*400</f>
        <v>12.24091683708248</v>
      </c>
      <c r="AS815" s="197">
        <f t="shared" ref="AS815" si="5494">IF(ISERROR((AR815/AJ815-1)*100),"NA",IF(((AR815/AJ815-1)*100)&gt;100,"NM",IF(((AR815/AJ815-1)*100)&lt;-50,"NM",(AR815/AJ815-1)*100)))</f>
        <v>3.7247008755239008</v>
      </c>
      <c r="AT815" s="206">
        <f t="shared" si="5493"/>
        <v>13.444428827507537</v>
      </c>
      <c r="AU815" s="197">
        <f t="shared" ref="AU815" si="5495">IF(ISERROR((AT815/AL815-1)*100),"NA",IF(((AT815/AL815-1)*100)&gt;100,"NM",IF(((AT815/AL815-1)*100)&lt;-50,"NM",(AT815/AL815-1)*100)))</f>
        <v>18.749727345606626</v>
      </c>
      <c r="AV815" s="206">
        <f t="shared" ref="AV815:AX815" si="5496">AV808/AV811*400</f>
        <v>11.544544184494763</v>
      </c>
      <c r="AW815" s="197">
        <f t="shared" ref="AW815" si="5497">IF(ISERROR((AV815/AN815-1)*100),"NA",IF(((AV815/AN815-1)*100)&gt;100,"NM",IF(((AV815/AN815-1)*100)&lt;-50,"NM",(AV815/AN815-1)*100)))</f>
        <v>-14.716109607437122</v>
      </c>
      <c r="AX815" s="206">
        <f t="shared" si="5496"/>
        <v>9.4544000257499601</v>
      </c>
      <c r="AY815" s="197">
        <f t="shared" ref="AY815" si="5498">IF(ISERROR((AX815/AP815-1)*100),"NA",IF(((AX815/AP815-1)*100)&gt;100,"NM",IF(((AX815/AP815-1)*100)&lt;-50,"NM",(AX815/AP815-1)*100)))</f>
        <v>24.53350074892824</v>
      </c>
      <c r="AZ815" s="206">
        <f t="shared" ref="AZ815" si="5499">AZ808/AZ811*400</f>
        <v>12.190430163706019</v>
      </c>
      <c r="BA815" s="197">
        <f t="shared" ref="BA815" si="5500">IF(ISERROR((AZ815/AR815-1)*100),"NA",IF(((AZ815/AR815-1)*100)&gt;100,"NM",IF(((AZ815/AR815-1)*100)&lt;-50,"NM",(AZ815/AR815-1)*100)))</f>
        <v>-0.41244192774447797</v>
      </c>
      <c r="BB815" s="206">
        <f t="shared" ref="BB815:BD815" si="5501">BB808/BB811*400</f>
        <v>12.270959595959596</v>
      </c>
      <c r="BC815" s="197">
        <f t="shared" ref="BC815" si="5502">IF(ISERROR((BB815/AT815-1)*100),"NA",IF(((BB815/AT815-1)*100)&gt;100,"NM",IF(((BB815/AT815-1)*100)&lt;-50,"NM",(BB815/AT815-1)*100)))</f>
        <v>-8.7282936791409309</v>
      </c>
      <c r="BD815" s="206">
        <f t="shared" si="5501"/>
        <v>13.170994427028903</v>
      </c>
      <c r="BE815" s="197">
        <f t="shared" ref="BE815" si="5503">IF(ISERROR((BD815/AV815-1)*100),"NA",IF(((BD815/AV815-1)*100)&gt;100,"NM",IF(((BD815/AV815-1)*100)&lt;-50,"NM",(BD815/AV815-1)*100)))</f>
        <v>14.08847518396259</v>
      </c>
      <c r="BF815" s="206">
        <f t="shared" ref="BF815" si="5504">BF808/BF811*400</f>
        <v>11.167987214737284</v>
      </c>
      <c r="BG815" s="197">
        <f t="shared" ref="BG815" si="5505">IF(ISERROR((BF815/AX815-1)*100),"NA",IF(((BF815/AX815-1)*100)&gt;100,"NM",IF(((BF815/AX815-1)*100)&lt;-50,"NM",(BF815/AX815-1)*100)))</f>
        <v>18.124758676597196</v>
      </c>
      <c r="BH815" s="206">
        <f t="shared" ref="BH815" si="5506">BH808/BH811*400</f>
        <v>12.754151477181001</v>
      </c>
      <c r="BI815" s="197">
        <f t="shared" ref="BI815" si="5507">IF(ISERROR((BH815/AZ815-1)*100),"NA",IF(((BH815/AZ815-1)*100)&gt;100,"NM",IF(((BH815/AZ815-1)*100)&lt;-50,"NM",(BH815/AZ815-1)*100)))</f>
        <v>4.6242938592382377</v>
      </c>
      <c r="BJ815" s="206">
        <f t="shared" ref="BJ815" si="5508">BJ808/BJ811*400</f>
        <v>12.843695324972071</v>
      </c>
      <c r="BK815" s="197">
        <f t="shared" ref="BK815" si="5509">IF(ISERROR((BJ815/BB815-1)*100),"NA",IF(((BJ815/BB815-1)*100)&gt;100,"NM",IF(((BJ815/BB815-1)*100)&lt;-50,"NM",(BJ815/BB815-1)*100)))</f>
        <v>4.6674078301183419</v>
      </c>
      <c r="BL815" s="206">
        <f t="shared" ref="BL815" si="5510">BL808/BL811*400</f>
        <v>13.081181297033181</v>
      </c>
      <c r="BM815" s="197">
        <f t="shared" ref="BM815" si="5511">IF(ISERROR((BL815/BD815-1)*100),"NA",IF(((BL815/BD815-1)*100)&gt;100,"NM",IF(((BL815/BD815-1)*100)&lt;-50,"NM",(BL815/BD815-1)*100)))</f>
        <v>-0.68190090348387855</v>
      </c>
      <c r="BN815" s="206"/>
      <c r="BO815" s="144"/>
      <c r="BP815" s="206"/>
      <c r="BQ815" s="206"/>
      <c r="BR815" s="206"/>
      <c r="BS815" s="206"/>
      <c r="BT815" s="206"/>
      <c r="BU815" s="206"/>
      <c r="BV815" s="197"/>
      <c r="BW815" s="206">
        <f>BW808/BW811*100</f>
        <v>7.4517841557569682</v>
      </c>
      <c r="BX815" s="197" t="str">
        <f t="shared" ref="BX815:CR815" si="5512">IF(ISERROR((BW815/BU815-1)*100),"NA",IF(((BW815/BU815-1)*100)&gt;100,"NM",IF(((BW815/BU815-1)*100)&lt;-50,"NM",(BW815/BU815-1)*100)))</f>
        <v>NA</v>
      </c>
      <c r="BY815" s="206">
        <f>BY808/BY811*100</f>
        <v>10.895767087142067</v>
      </c>
      <c r="BZ815" s="197">
        <f t="shared" si="5512"/>
        <v>46.216890604975561</v>
      </c>
      <c r="CA815" s="206">
        <f>CA808/CA811*100</f>
        <v>12.070826891570716</v>
      </c>
      <c r="CB815" s="197">
        <f t="shared" si="5512"/>
        <v>10.784553258442164</v>
      </c>
      <c r="CC815" s="206">
        <f>CC808/CC811*100</f>
        <v>12.116677738010022</v>
      </c>
      <c r="CD815" s="197">
        <f t="shared" si="5512"/>
        <v>0.379848430030294</v>
      </c>
      <c r="CE815" s="206">
        <f>CE808/CE811*100</f>
        <v>11.186555061901208</v>
      </c>
      <c r="CF815" s="197">
        <f t="shared" si="5512"/>
        <v>-7.6763837102889916</v>
      </c>
      <c r="CG815" s="206">
        <f>CG808/CG811*100</f>
        <v>11.763327097228995</v>
      </c>
      <c r="CH815" s="197">
        <f t="shared" si="5512"/>
        <v>5.1559397163487564</v>
      </c>
      <c r="CI815" s="206">
        <f>CI808/CI811*100</f>
        <v>12.461753828480884</v>
      </c>
      <c r="CJ815" s="197">
        <f t="shared" si="5512"/>
        <v>5.9373230505203933</v>
      </c>
      <c r="CK815" s="206">
        <f>CK808/CK811*100</f>
        <v>13.033362601541537</v>
      </c>
      <c r="CL815" s="197">
        <f t="shared" si="5512"/>
        <v>4.5869047080216108</v>
      </c>
      <c r="CM815" s="206">
        <f>CM808/CM811*100</f>
        <v>13.578141398949867</v>
      </c>
      <c r="CN815" s="197">
        <f t="shared" si="5512"/>
        <v>4.1798790846492295</v>
      </c>
      <c r="CO815" s="206">
        <f>CO808/CO811*100</f>
        <v>14.110354443843317</v>
      </c>
      <c r="CP815" s="197">
        <f t="shared" si="5512"/>
        <v>3.91963103974311</v>
      </c>
      <c r="CQ815" s="206">
        <f>CQ808/CQ811*100</f>
        <v>14.637413102213264</v>
      </c>
      <c r="CR815" s="197">
        <f t="shared" si="5512"/>
        <v>3.7352616510630376</v>
      </c>
      <c r="CS815" s="197"/>
      <c r="CT815" s="205"/>
      <c r="CV815"/>
      <c r="CW815"/>
      <c r="CX815"/>
      <c r="CY815"/>
      <c r="CZ815"/>
      <c r="DA815"/>
    </row>
    <row r="816" spans="1:105" ht="12.75" hidden="1" customHeight="1" outlineLevel="1" x14ac:dyDescent="0.2">
      <c r="A816" s="46"/>
      <c r="C816" s="82"/>
      <c r="E816" s="82"/>
      <c r="G816" s="82"/>
      <c r="I816" s="82"/>
      <c r="K816" s="184"/>
      <c r="L816" s="6"/>
      <c r="M816" s="184"/>
      <c r="N816" s="6"/>
      <c r="O816" s="184"/>
      <c r="P816" s="6"/>
      <c r="Q816" s="184"/>
      <c r="R816" s="6"/>
      <c r="S816" s="184"/>
      <c r="T816" s="43"/>
      <c r="U816" s="184"/>
      <c r="V816" s="43"/>
      <c r="W816" s="184"/>
      <c r="X816" s="43"/>
      <c r="Y816" s="184"/>
      <c r="Z816" s="43"/>
      <c r="AA816" s="184"/>
      <c r="AB816" s="43"/>
      <c r="AC816" s="184"/>
      <c r="AD816" s="43"/>
      <c r="AE816" s="184"/>
      <c r="AF816" s="43"/>
      <c r="AG816" s="184"/>
      <c r="AH816" s="43"/>
      <c r="AI816" s="184"/>
      <c r="AJ816" s="43"/>
      <c r="AK816" s="184"/>
      <c r="AL816" s="43"/>
      <c r="AM816" s="184"/>
      <c r="AN816" s="450"/>
      <c r="AO816" s="184"/>
      <c r="AP816" s="450"/>
      <c r="AQ816" s="184"/>
      <c r="AR816" s="473"/>
      <c r="AS816" s="184"/>
      <c r="AT816" s="473"/>
      <c r="AU816" s="184"/>
      <c r="AV816" s="473"/>
      <c r="AW816" s="184"/>
      <c r="AX816" s="473"/>
      <c r="AY816" s="184"/>
      <c r="AZ816" s="473"/>
      <c r="BA816" s="184"/>
      <c r="BB816" s="473"/>
      <c r="BC816" s="184"/>
      <c r="BD816" s="473"/>
      <c r="BE816" s="184"/>
      <c r="BF816" s="6"/>
      <c r="BG816" s="184"/>
      <c r="BH816" s="6"/>
      <c r="BI816" s="184"/>
      <c r="BJ816" s="6"/>
      <c r="BK816" s="184"/>
      <c r="BL816" s="6"/>
      <c r="BM816" s="184"/>
      <c r="BR816" s="6"/>
      <c r="BS816" s="6"/>
      <c r="BT816" s="6"/>
      <c r="BU816" s="6"/>
      <c r="BV816" s="184"/>
      <c r="BW816" s="6"/>
      <c r="BX816" s="184"/>
      <c r="BY816" s="6"/>
      <c r="BZ816" s="184"/>
      <c r="CA816" s="6"/>
      <c r="CB816" s="184"/>
      <c r="CC816" s="6"/>
      <c r="CD816" s="184"/>
      <c r="CE816" s="6"/>
      <c r="CF816" s="184"/>
      <c r="CG816" s="6"/>
      <c r="CH816" s="184"/>
      <c r="CI816" s="6"/>
      <c r="CJ816" s="184"/>
      <c r="CK816" s="6"/>
      <c r="CL816" s="184"/>
      <c r="CM816" s="6"/>
      <c r="CN816" s="184"/>
      <c r="CO816" s="6"/>
      <c r="CP816" s="184"/>
      <c r="CQ816" s="6"/>
      <c r="CR816" s="184"/>
      <c r="CS816" s="184"/>
      <c r="CT816" s="28"/>
    </row>
    <row r="817" spans="1:105" ht="12.75" hidden="1" customHeight="1" outlineLevel="1" x14ac:dyDescent="0.2">
      <c r="A817" s="186" t="s">
        <v>389</v>
      </c>
      <c r="C817" s="82"/>
      <c r="E817" s="82"/>
      <c r="G817" s="82"/>
      <c r="I817" s="82"/>
      <c r="K817" s="184"/>
      <c r="L817" s="6"/>
      <c r="M817" s="184"/>
      <c r="N817" s="6"/>
      <c r="O817" s="184"/>
      <c r="P817" s="6"/>
      <c r="Q817" s="184"/>
      <c r="R817" s="6"/>
      <c r="S817" s="184"/>
      <c r="T817" s="6"/>
      <c r="U817" s="184"/>
      <c r="V817" s="6"/>
      <c r="W817" s="184"/>
      <c r="X817" s="6"/>
      <c r="Y817" s="184"/>
      <c r="Z817" s="6"/>
      <c r="AA817" s="184"/>
      <c r="AB817" s="6"/>
      <c r="AC817" s="184"/>
      <c r="AD817" s="6"/>
      <c r="AE817" s="184"/>
      <c r="AF817" s="6"/>
      <c r="AG817" s="184"/>
      <c r="AH817" s="6"/>
      <c r="AI817" s="184"/>
      <c r="AJ817" s="6"/>
      <c r="AK817" s="184"/>
      <c r="AL817" s="6"/>
      <c r="AM817" s="184"/>
      <c r="AN817" s="473"/>
      <c r="AO817" s="184"/>
      <c r="AP817" s="473"/>
      <c r="AQ817" s="184"/>
      <c r="AR817" s="473"/>
      <c r="AS817" s="184"/>
      <c r="AT817" s="473"/>
      <c r="AU817" s="184"/>
      <c r="AV817" s="473"/>
      <c r="AW817" s="184"/>
      <c r="AX817" s="473"/>
      <c r="AY817" s="184"/>
      <c r="AZ817" s="473"/>
      <c r="BA817" s="184"/>
      <c r="BB817" s="473"/>
      <c r="BC817" s="184"/>
      <c r="BD817" s="473"/>
      <c r="BE817" s="184"/>
      <c r="BF817" s="6"/>
      <c r="BG817" s="184"/>
      <c r="BH817" s="6"/>
      <c r="BI817" s="184"/>
      <c r="BJ817" s="6"/>
      <c r="BK817" s="184"/>
      <c r="BL817" s="6"/>
      <c r="BM817" s="184"/>
      <c r="BR817" s="6"/>
      <c r="BS817" s="6"/>
      <c r="BT817" s="6"/>
      <c r="BU817" s="6"/>
      <c r="BV817" s="184"/>
      <c r="BW817" s="6"/>
      <c r="BX817" s="184"/>
      <c r="BY817" s="6"/>
      <c r="BZ817" s="184"/>
      <c r="CA817" s="6"/>
      <c r="CB817" s="184"/>
      <c r="CC817" s="6"/>
      <c r="CD817" s="184"/>
      <c r="CE817" s="6"/>
      <c r="CF817" s="184"/>
      <c r="CG817" s="6"/>
      <c r="CH817" s="184"/>
      <c r="CI817" s="6"/>
      <c r="CJ817" s="184"/>
      <c r="CK817" s="43"/>
      <c r="CL817" s="184"/>
      <c r="CM817" s="6"/>
      <c r="CN817" s="184"/>
      <c r="CO817" s="6"/>
      <c r="CP817" s="184"/>
      <c r="CQ817" s="6"/>
      <c r="CR817" s="184"/>
      <c r="CS817" s="184"/>
      <c r="CT817" s="28"/>
    </row>
    <row r="818" spans="1:105" ht="12.75" hidden="1" customHeight="1" outlineLevel="1" x14ac:dyDescent="0.2">
      <c r="A818" s="46" t="s">
        <v>379</v>
      </c>
      <c r="C818" s="82"/>
      <c r="E818" s="82"/>
      <c r="G818" s="82"/>
      <c r="I818" s="82"/>
      <c r="K818" s="184"/>
      <c r="L818" s="6"/>
      <c r="M818" s="184"/>
      <c r="N818" s="6"/>
      <c r="O818" s="184"/>
      <c r="P818" s="6"/>
      <c r="Q818" s="184"/>
      <c r="R818" s="6"/>
      <c r="S818" s="184"/>
      <c r="T818" s="6"/>
      <c r="U818" s="184"/>
      <c r="V818" s="6"/>
      <c r="W818" s="184"/>
      <c r="X818" s="6"/>
      <c r="Y818" s="184"/>
      <c r="Z818" s="6"/>
      <c r="AA818" s="184"/>
      <c r="AB818" s="6"/>
      <c r="AC818" s="184"/>
      <c r="AD818" s="6"/>
      <c r="AE818" s="184"/>
      <c r="AF818" s="6"/>
      <c r="AG818" s="184"/>
      <c r="AH818" s="6"/>
      <c r="AI818" s="184"/>
      <c r="AJ818" s="6"/>
      <c r="AK818" s="184"/>
      <c r="AL818" s="6"/>
      <c r="AM818" s="184"/>
      <c r="AN818" s="473"/>
      <c r="AO818" s="184"/>
      <c r="AP818" s="473"/>
      <c r="AQ818" s="184"/>
      <c r="AR818" s="473"/>
      <c r="AS818" s="184"/>
      <c r="AT818" s="473"/>
      <c r="AU818" s="184"/>
      <c r="AV818" s="473"/>
      <c r="AW818" s="184"/>
      <c r="AX818" s="473"/>
      <c r="AY818" s="184"/>
      <c r="AZ818" s="473"/>
      <c r="BA818" s="184"/>
      <c r="BB818" s="473"/>
      <c r="BC818" s="184"/>
      <c r="BD818" s="473"/>
      <c r="BE818" s="184"/>
      <c r="BF818" s="6"/>
      <c r="BG818" s="184"/>
      <c r="BH818" s="6"/>
      <c r="BI818" s="184"/>
      <c r="BJ818" s="6"/>
      <c r="BK818" s="184"/>
      <c r="BL818" s="6"/>
      <c r="BM818" s="184"/>
      <c r="BR818" s="6"/>
      <c r="BS818" s="6"/>
      <c r="BT818" s="6"/>
      <c r="BU818" s="6"/>
      <c r="BV818" s="184"/>
      <c r="BW818" s="6"/>
      <c r="BX818" s="184"/>
      <c r="BY818" s="6"/>
      <c r="BZ818" s="184"/>
      <c r="CA818" s="6"/>
      <c r="CB818" s="184"/>
      <c r="CC818" s="6"/>
      <c r="CD818" s="184"/>
      <c r="CE818" s="6"/>
      <c r="CF818" s="184"/>
      <c r="CG818" s="6"/>
      <c r="CH818" s="184"/>
      <c r="CI818" s="6"/>
      <c r="CJ818" s="184"/>
      <c r="CK818" s="6"/>
      <c r="CL818" s="184"/>
      <c r="CM818" s="6"/>
      <c r="CN818" s="184"/>
      <c r="CO818" s="6"/>
      <c r="CP818" s="184"/>
      <c r="CQ818" s="6"/>
      <c r="CR818" s="184"/>
      <c r="CS818" s="184"/>
      <c r="CT818" s="28"/>
    </row>
    <row r="819" spans="1:105" ht="12.75" hidden="1" customHeight="1" outlineLevel="1" x14ac:dyDescent="0.2">
      <c r="A819" s="165" t="s">
        <v>355</v>
      </c>
      <c r="B819" s="36">
        <f>B659</f>
        <v>162.80695524000001</v>
      </c>
      <c r="C819" s="82"/>
      <c r="D819" s="36">
        <f>D659</f>
        <v>195.4058668000001</v>
      </c>
      <c r="E819" s="82"/>
      <c r="F819" s="36">
        <f>F659</f>
        <v>199.44419100999994</v>
      </c>
      <c r="G819" s="82"/>
      <c r="H819" s="36">
        <f>H659</f>
        <v>170.28743746000001</v>
      </c>
      <c r="I819" s="82"/>
      <c r="J819" s="36">
        <f>J659</f>
        <v>156.0059999999998</v>
      </c>
      <c r="K819" s="23">
        <f>IF(ISERROR((J819/B819-1)*100),"NA",IF(((J819/B819-1)*100)&gt;100,"NM",IF(((J819/B819-1)*100)&lt;-50,"NM",(J819/B819-1)*100)))</f>
        <v>-4.1773124679929445</v>
      </c>
      <c r="L819" s="36">
        <f>L659</f>
        <v>129.37900000000002</v>
      </c>
      <c r="M819" s="23">
        <f>IF(ISERROR((L819/D819-1)*100),"NA",IF(((L819/D819-1)*100)&gt;100,"NM",IF(((L819/D819-1)*100)&lt;-50,"NM",(L819/D819-1)*100)))</f>
        <v>-33.789603086778996</v>
      </c>
      <c r="N819" s="36">
        <f>N659</f>
        <v>175.54400000000001</v>
      </c>
      <c r="O819" s="23">
        <f>IF(ISERROR((N819/F819-1)*100),"NA",IF(((N819/F819-1)*100)&gt;100,"NM",IF(((N819/F819-1)*100)&lt;-50,"NM",(N819/F819-1)*100)))</f>
        <v>-11.983397906435689</v>
      </c>
      <c r="P819" s="36">
        <f>P659</f>
        <v>135.55400000000014</v>
      </c>
      <c r="Q819" s="23">
        <f>IF(ISERROR((P819/H819-1)*100),"NA",IF(((P819/H819-1)*100)&gt;100,"NM",IF(((P819/H819-1)*100)&lt;-50,"NM",(P819/H819-1)*100)))</f>
        <v>-20.396946467738488</v>
      </c>
      <c r="R819" s="36">
        <f>R659</f>
        <v>166.70000000000002</v>
      </c>
      <c r="S819" s="23">
        <f t="shared" ref="S819:Y822" si="5513">IF(ISERROR((R819/J819-1)*100),"NA",IF(((R819/J819-1)*100)&gt;100,"NM",IF(((R819/J819-1)*100)&lt;-50,"NM",(R819/J819-1)*100)))</f>
        <v>6.8548645564915578</v>
      </c>
      <c r="T819" s="36">
        <f>T659</f>
        <v>176.79999999999993</v>
      </c>
      <c r="U819" s="23">
        <f t="shared" si="5513"/>
        <v>36.652779817435508</v>
      </c>
      <c r="V819" s="36">
        <f>V659</f>
        <v>282.87999999999977</v>
      </c>
      <c r="W819" s="23">
        <f t="shared" si="5513"/>
        <v>61.144784213644307</v>
      </c>
      <c r="X819" s="36">
        <f>X659</f>
        <v>198.18499999999989</v>
      </c>
      <c r="Y819" s="23">
        <f t="shared" si="5513"/>
        <v>46.203726928013687</v>
      </c>
      <c r="Z819" s="36">
        <f>Z659</f>
        <v>150.21500000000012</v>
      </c>
      <c r="AA819" s="23">
        <f>IF(ISERROR((Z819/R819-1)*100),"NA",IF(((Z819/R819-1)*100)&gt;100,"NM",IF(((Z819/R819-1)*100)&lt;-50,"NM",(Z819/R819-1)*100)))</f>
        <v>-9.8890221955608268</v>
      </c>
      <c r="AB819" s="36">
        <f>AB659</f>
        <v>213.32999999999996</v>
      </c>
      <c r="AC819" s="23">
        <f>IF(ISERROR((AB819/T819-1)*100),"NA",IF(((AB819/T819-1)*100)&gt;100,"NM",IF(((AB819/T819-1)*100)&lt;-50,"NM",(AB819/T819-1)*100)))</f>
        <v>20.661764705882369</v>
      </c>
      <c r="AD819" s="36">
        <f>AD659</f>
        <v>191.36</v>
      </c>
      <c r="AE819" s="23">
        <f>IF(ISERROR((AD819/V819-1)*100),"NA",IF(((AD819/V819-1)*100)&gt;100,"NM",IF(((AD819/V819-1)*100)&lt;-50,"NM",(AD819/V819-1)*100)))</f>
        <v>-32.35294117647053</v>
      </c>
      <c r="AF819" s="36">
        <f>AF659</f>
        <v>245.0499999999999</v>
      </c>
      <c r="AG819" s="23">
        <f>IF(ISERROR((AF819/X819-1)*100),"NA",IF(((AF819/X819-1)*100)&gt;100,"NM",IF(((AF819/X819-1)*100)&lt;-50,"NM",(AF819/X819-1)*100)))</f>
        <v>23.647097408986561</v>
      </c>
      <c r="AH819" s="36">
        <f>AH659</f>
        <v>196.99600000000004</v>
      </c>
      <c r="AI819" s="23">
        <f>IF(ISERROR((AH819/Z819-1)*100),"NA",IF(((AH819/Z819-1)*100)&gt;100,"NM",IF(((AH819/Z819-1)*100)&lt;-50,"NM",(AH819/Z819-1)*100)))</f>
        <v>31.14269546982651</v>
      </c>
      <c r="AJ819" s="36">
        <f>AJ659</f>
        <v>178.50000000000006</v>
      </c>
      <c r="AK819" s="23">
        <f>IF(ISERROR((AJ819/AB819-1)*100),"NA",IF(((AJ819/AB819-1)*100)&gt;100,"NM",IF(((AJ819/AB819-1)*100)&lt;-50,"NM",(AJ819/AB819-1)*100)))</f>
        <v>-16.326817606525058</v>
      </c>
      <c r="AL819" s="36">
        <f>AL659</f>
        <v>93.227999999999767</v>
      </c>
      <c r="AM819" s="23" t="str">
        <f>IF(ISERROR((AL819/AD819-1)*100),"NA",IF(((AL819/AD819-1)*100)&gt;100,"NM",IF(((AL819/AD819-1)*100)&lt;-50,"NM",(AL819/AD819-1)*100)))</f>
        <v>NM</v>
      </c>
      <c r="AN819" s="410">
        <f>AN659</f>
        <v>196.04400000000001</v>
      </c>
      <c r="AO819" s="23">
        <f>IF(ISERROR((AN819/AF819-1)*100),"NA",IF(((AN819/AF819-1)*100)&gt;100,"NM",IF(((AN819/AF819-1)*100)&lt;-50,"NM",(AN819/AF819-1)*100)))</f>
        <v>-19.998367680065254</v>
      </c>
      <c r="AP819" s="410">
        <f>AP659</f>
        <v>59.295999999999836</v>
      </c>
      <c r="AQ819" s="23" t="str">
        <f t="shared" ref="AQ819:AQ823" si="5514">IF(ISERROR((AP819/AH819-1)*100),"NA",IF(((AP819/AH819-1)*100)&gt;100,"NM",IF(((AP819/AH819-1)*100)&lt;-50,"NM",(AP819/AH819-1)*100)))</f>
        <v>NM</v>
      </c>
      <c r="AR819" s="410">
        <f>AR659</f>
        <v>88.740000000000038</v>
      </c>
      <c r="AS819" s="23" t="str">
        <f t="shared" ref="AS819:AS823" si="5515">IF(ISERROR((AR819/AJ819-1)*100),"NA",IF(((AR819/AJ819-1)*100)&gt;100,"NM",IF(((AR819/AJ819-1)*100)&lt;-50,"NM",(AR819/AJ819-1)*100)))</f>
        <v>NM</v>
      </c>
      <c r="AT819" s="410">
        <f>AT659</f>
        <v>-25.092000000000056</v>
      </c>
      <c r="AU819" s="23" t="str">
        <f t="shared" ref="AU819:AU823" si="5516">IF(ISERROR((AT819/AL819-1)*100),"NA",IF(((AT819/AL819-1)*100)&gt;100,"NM",IF(((AT819/AL819-1)*100)&lt;-50,"NM",(AT819/AL819-1)*100)))</f>
        <v>NM</v>
      </c>
      <c r="AV819" s="410">
        <f>AV659</f>
        <v>101.72799999999987</v>
      </c>
      <c r="AW819" s="23">
        <f t="shared" ref="AW819:AW823" si="5517">IF(ISERROR((AV819/AN819-1)*100),"NA",IF(((AV819/AN819-1)*100)&gt;100,"NM",IF(((AV819/AN819-1)*100)&lt;-50,"NM",(AV819/AN819-1)*100)))</f>
        <v>-48.109608047173161</v>
      </c>
      <c r="AX819" s="410">
        <f>AX659</f>
        <v>98.871999999999815</v>
      </c>
      <c r="AY819" s="23">
        <f t="shared" ref="AY819:AY823" si="5518">IF(ISERROR((AX819/AP819-1)*100),"NA",IF(((AX819/AP819-1)*100)&gt;100,"NM",IF(((AX819/AP819-1)*100)&lt;-50,"NM",(AX819/AP819-1)*100)))</f>
        <v>66.743119266055203</v>
      </c>
      <c r="AZ819" s="410">
        <f t="shared" ref="AZ819" si="5519">AZ659</f>
        <v>72.759999999999934</v>
      </c>
      <c r="BA819" s="23">
        <f t="shared" ref="BA819:BA823" si="5520">IF(ISERROR((AZ819/AR819-1)*100),"NA",IF(((AZ819/AR819-1)*100)&gt;100,"NM",IF(((AZ819/AR819-1)*100)&lt;-50,"NM",(AZ819/AR819-1)*100)))</f>
        <v>-18.00766283524915</v>
      </c>
      <c r="BB819" s="410">
        <f t="shared" ref="BB819:BD819" si="5521">BB659</f>
        <v>28.696000000000033</v>
      </c>
      <c r="BC819" s="23" t="str">
        <f t="shared" ref="BC819:BC823" si="5522">IF(ISERROR((BB819/AT819-1)*100),"NA",IF(((BB819/AT819-1)*100)&gt;100,"NM",IF(((BB819/AT819-1)*100)&lt;-50,"NM",(BB819/AT819-1)*100)))</f>
        <v>NM</v>
      </c>
      <c r="BD819" s="410">
        <f t="shared" si="5521"/>
        <v>158.77999999999994</v>
      </c>
      <c r="BE819" s="23">
        <f t="shared" ref="BE819:BE823" si="5523">IF(ISERROR((BD819/AV819-1)*100),"NA",IF(((BD819/AV819-1)*100)&gt;100,"NM",IF(((BD819/AV819-1)*100)&lt;-50,"NM",(BD819/AV819-1)*100)))</f>
        <v>56.082887700534911</v>
      </c>
      <c r="BF819" s="36">
        <f t="shared" ref="BF819" si="5524">BF659</f>
        <v>148.66898183243578</v>
      </c>
      <c r="BG819" s="23">
        <f t="shared" ref="BG819:BG823" si="5525">IF(ISERROR((BF819/AX819-1)*100),"NA",IF(((BF819/AX819-1)*100)&gt;100,"NM",IF(((BF819/AX819-1)*100)&lt;-50,"NM",(BF819/AX819-1)*100)))</f>
        <v>50.36510016226643</v>
      </c>
      <c r="BH819" s="36">
        <f t="shared" ref="BH819" si="5526">BH659</f>
        <v>173.51376302319207</v>
      </c>
      <c r="BI819" s="23" t="str">
        <f t="shared" ref="BI819:BI823" si="5527">IF(ISERROR((BH819/AZ819-1)*100),"NA",IF(((BH819/AZ819-1)*100)&gt;100,"NM",IF(((BH819/AZ819-1)*100)&lt;-50,"NM",(BH819/AZ819-1)*100)))</f>
        <v>NM</v>
      </c>
      <c r="BJ819" s="36">
        <f t="shared" ref="BJ819" si="5528">BJ659</f>
        <v>184.1395675482778</v>
      </c>
      <c r="BK819" s="23" t="str">
        <f t="shared" ref="BK819:BK823" si="5529">IF(ISERROR((BJ819/BB819-1)*100),"NA",IF(((BJ819/BB819-1)*100)&gt;100,"NM",IF(((BJ819/BB819-1)*100)&lt;-50,"NM",(BJ819/BB819-1)*100)))</f>
        <v>NM</v>
      </c>
      <c r="BL819" s="36">
        <f t="shared" ref="BL819" si="5530">BL659</f>
        <v>192.30048750428344</v>
      </c>
      <c r="BM819" s="23">
        <f t="shared" ref="BM819:BM823" si="5531">IF(ISERROR((BL819/BD819-1)*100),"NA",IF(((BL819/BD819-1)*100)&gt;100,"NM",IF(((BL819/BD819-1)*100)&lt;-50,"NM",(BL819/BD819-1)*100)))</f>
        <v>21.111278186348102</v>
      </c>
      <c r="BO819" s="137"/>
      <c r="BR819" s="6"/>
      <c r="BS819" s="6"/>
      <c r="BT819" s="6"/>
      <c r="BU819" s="36">
        <f>BU659</f>
        <v>727.94445050999923</v>
      </c>
      <c r="BV819" s="23"/>
      <c r="BW819" s="36">
        <f>BW659</f>
        <v>596.48300000000052</v>
      </c>
      <c r="BX819" s="23">
        <f t="shared" ref="BX819:CR822" si="5532">IF(ISERROR((BW819/BU819-1)*100),"NA",IF(((BW819/BU819-1)*100)&gt;100,"NM",IF(((BW819/BU819-1)*100)&lt;-50,"NM",(BW819/BU819-1)*100)))</f>
        <v>-18.059269552490797</v>
      </c>
      <c r="BY819" s="36">
        <f>BY659</f>
        <v>824.56500000000005</v>
      </c>
      <c r="BZ819" s="23">
        <f t="shared" si="5532"/>
        <v>38.237803927354072</v>
      </c>
      <c r="CA819" s="36">
        <f>CA659</f>
        <v>799.95500000000015</v>
      </c>
      <c r="CB819" s="23">
        <f t="shared" si="5532"/>
        <v>-2.9846040033229548</v>
      </c>
      <c r="CC819" s="36">
        <f>CC659</f>
        <v>664.76799999999969</v>
      </c>
      <c r="CD819" s="23">
        <f t="shared" si="5532"/>
        <v>-16.899325587064329</v>
      </c>
      <c r="CE819" s="36">
        <f>CE659</f>
        <v>224.67199999999985</v>
      </c>
      <c r="CF819" s="23" t="str">
        <f t="shared" si="5532"/>
        <v>NM</v>
      </c>
      <c r="CG819" s="36">
        <f>CG659</f>
        <v>359.10800000000017</v>
      </c>
      <c r="CH819" s="23">
        <f t="shared" si="5532"/>
        <v>59.836561743341576</v>
      </c>
      <c r="CI819" s="36">
        <f>CI659</f>
        <v>698.62279990818888</v>
      </c>
      <c r="CJ819" s="23">
        <f t="shared" si="5532"/>
        <v>94.543925478738572</v>
      </c>
      <c r="CK819" s="36">
        <f>CK659</f>
        <v>789.54608848988232</v>
      </c>
      <c r="CL819" s="23">
        <f t="shared" si="5532"/>
        <v>13.014646615261105</v>
      </c>
      <c r="CM819" s="36">
        <f>CM659</f>
        <v>826.77672498393611</v>
      </c>
      <c r="CN819" s="23">
        <f t="shared" si="5532"/>
        <v>4.7154481589874786</v>
      </c>
      <c r="CO819" s="36">
        <f>CO659</f>
        <v>863.13998393363056</v>
      </c>
      <c r="CP819" s="23">
        <f t="shared" si="5532"/>
        <v>4.3981957704966712</v>
      </c>
      <c r="CQ819" s="36">
        <f>CQ659</f>
        <v>899.14588619677193</v>
      </c>
      <c r="CR819" s="23">
        <f t="shared" si="5532"/>
        <v>4.1715020661017066</v>
      </c>
      <c r="CS819" s="23"/>
      <c r="CT819" s="28"/>
    </row>
    <row r="820" spans="1:105" ht="12.75" hidden="1" customHeight="1" outlineLevel="1" x14ac:dyDescent="0.2">
      <c r="A820" s="165" t="s">
        <v>384</v>
      </c>
      <c r="B820" s="36">
        <f>B774</f>
        <v>6701.6</v>
      </c>
      <c r="C820" s="82"/>
      <c r="D820" s="36">
        <f>D774</f>
        <v>9726.0999999999985</v>
      </c>
      <c r="E820" s="82"/>
      <c r="F820" s="36">
        <f>F774</f>
        <v>10701.100000000002</v>
      </c>
      <c r="G820" s="82"/>
      <c r="H820" s="36">
        <f>H774</f>
        <v>10358.9</v>
      </c>
      <c r="I820" s="168"/>
      <c r="J820" s="36">
        <f>J774</f>
        <v>9842.9000000000015</v>
      </c>
      <c r="K820" s="23">
        <f>IF(ISERROR((J820/B820-1)*100),"NA",IF(((J820/B820-1)*100)&gt;100,"NM",IF(((J820/B820-1)*100)&lt;-50,"NM",(J820/B820-1)*100)))</f>
        <v>46.873880864271221</v>
      </c>
      <c r="L820" s="36">
        <f>L774</f>
        <v>10420.299999999999</v>
      </c>
      <c r="M820" s="23">
        <f>IF(ISERROR((L820/D820-1)*100),"NA",IF(((L820/D820-1)*100)&gt;100,"NM",IF(((L820/D820-1)*100)&lt;-50,"NM",(L820/D820-1)*100)))</f>
        <v>7.1374960158748113</v>
      </c>
      <c r="N820" s="36">
        <f>N774</f>
        <v>10809</v>
      </c>
      <c r="O820" s="23">
        <f>IF(ISERROR((N820/F820-1)*100),"NA",IF(((N820/F820-1)*100)&gt;100,"NM",IF(((N820/F820-1)*100)&lt;-50,"NM",(N820/F820-1)*100)))</f>
        <v>1.0083075571670097</v>
      </c>
      <c r="P820" s="36">
        <f>P774</f>
        <v>10764.2</v>
      </c>
      <c r="Q820" s="23">
        <f>IF(ISERROR((P820/H820-1)*100),"NA",IF(((P820/H820-1)*100)&gt;100,"NM",IF(((P820/H820-1)*100)&lt;-50,"NM",(P820/H820-1)*100)))</f>
        <v>3.9125775902846938</v>
      </c>
      <c r="R820" s="36">
        <f>R774</f>
        <v>10538.300000000003</v>
      </c>
      <c r="S820" s="23">
        <f t="shared" si="5513"/>
        <v>7.0649910087474455</v>
      </c>
      <c r="T820" s="36">
        <f>T774</f>
        <v>10383.799999999999</v>
      </c>
      <c r="U820" s="23">
        <f t="shared" si="5513"/>
        <v>-0.35027782309530187</v>
      </c>
      <c r="V820" s="36">
        <f>V774</f>
        <v>10820</v>
      </c>
      <c r="W820" s="23">
        <f t="shared" si="5513"/>
        <v>0.10176704598019448</v>
      </c>
      <c r="X820" s="36">
        <f>X774</f>
        <v>11423.099999999999</v>
      </c>
      <c r="Y820" s="23">
        <f t="shared" si="5513"/>
        <v>6.1212166254807299</v>
      </c>
      <c r="Z820" s="36">
        <f>Z774</f>
        <v>11424</v>
      </c>
      <c r="AA820" s="23">
        <f>IF(ISERROR((Z820/R820-1)*100),"NA",IF(((Z820/R820-1)*100)&gt;100,"NM",IF(((Z820/R820-1)*100)&lt;-50,"NM",(Z820/R820-1)*100)))</f>
        <v>8.4045813840941896</v>
      </c>
      <c r="AB820" s="36">
        <f>AB774</f>
        <v>11714.400000000001</v>
      </c>
      <c r="AC820" s="23">
        <f>IF(ISERROR((AB820/T820-1)*100),"NA",IF(((AB820/T820-1)*100)&gt;100,"NM",IF(((AB820/T820-1)*100)&lt;-50,"NM",(AB820/T820-1)*100)))</f>
        <v>12.814191336504965</v>
      </c>
      <c r="AD820" s="36">
        <f>AD774</f>
        <v>11818.900000000001</v>
      </c>
      <c r="AE820" s="23">
        <f>IF(ISERROR((AD820/V820-1)*100),"NA",IF(((AD820/V820-1)*100)&gt;100,"NM",IF(((AD820/V820-1)*100)&lt;-50,"NM",(AD820/V820-1)*100)))</f>
        <v>9.2319778188539878</v>
      </c>
      <c r="AF820" s="36">
        <f>AF774</f>
        <v>13042.499999999996</v>
      </c>
      <c r="AG820" s="23">
        <f>IF(ISERROR((AF820/X820-1)*100),"NA",IF(((AF820/X820-1)*100)&gt;100,"NM",IF(((AF820/X820-1)*100)&lt;-50,"NM",(AF820/X820-1)*100)))</f>
        <v>14.176537017096912</v>
      </c>
      <c r="AH820" s="36">
        <f>AH774</f>
        <v>12613.2</v>
      </c>
      <c r="AI820" s="23">
        <f>IF(ISERROR((AH820/Z820-1)*100),"NA",IF(((AH820/Z820-1)*100)&gt;100,"NM",IF(((AH820/Z820-1)*100)&lt;-50,"NM",(AH820/Z820-1)*100)))</f>
        <v>10.409663865546225</v>
      </c>
      <c r="AJ820" s="36">
        <f>AJ774</f>
        <v>12746.599999999999</v>
      </c>
      <c r="AK820" s="23">
        <f>IF(ISERROR((AJ820/AB820-1)*100),"NA",IF(((AJ820/AB820-1)*100)&gt;100,"NM",IF(((AJ820/AB820-1)*100)&lt;-50,"NM",(AJ820/AB820-1)*100)))</f>
        <v>8.8113774499760655</v>
      </c>
      <c r="AL820" s="36">
        <f>AL774</f>
        <v>12240.400000000001</v>
      </c>
      <c r="AM820" s="23">
        <f>IF(ISERROR((AL820/AD820-1)*100),"NA",IF(((AL820/AD820-1)*100)&gt;100,"NM",IF(((AL820/AD820-1)*100)&lt;-50,"NM",(AL820/AD820-1)*100)))</f>
        <v>3.5663217389097168</v>
      </c>
      <c r="AN820" s="410">
        <f t="shared" ref="AN820:AP820" si="5533">AN774</f>
        <v>12010.899999999998</v>
      </c>
      <c r="AO820" s="23">
        <f>IF(ISERROR((AN820/AF820-1)*100),"NA",IF(((AN820/AF820-1)*100)&gt;100,"NM",IF(((AN820/AF820-1)*100)&lt;-50,"NM",(AN820/AF820-1)*100)))</f>
        <v>-7.9095265478244077</v>
      </c>
      <c r="AP820" s="410">
        <f t="shared" si="5533"/>
        <v>11985.099999999999</v>
      </c>
      <c r="AQ820" s="23">
        <f t="shared" si="5514"/>
        <v>-4.9797038023657976</v>
      </c>
      <c r="AR820" s="410">
        <f t="shared" ref="AR820:AT820" si="5534">AR774</f>
        <v>11899.2</v>
      </c>
      <c r="AS820" s="23">
        <f t="shared" si="5515"/>
        <v>-6.6480473224232224</v>
      </c>
      <c r="AT820" s="410">
        <f t="shared" si="5534"/>
        <v>11688.899999999998</v>
      </c>
      <c r="AU820" s="23">
        <f t="shared" si="5516"/>
        <v>-4.5055717133427269</v>
      </c>
      <c r="AV820" s="410">
        <f t="shared" ref="AV820:AX820" si="5535">AV774</f>
        <v>11073.5</v>
      </c>
      <c r="AW820" s="23">
        <f t="shared" si="5517"/>
        <v>-7.8045775087628559</v>
      </c>
      <c r="AX820" s="410">
        <f t="shared" si="5535"/>
        <v>10778.5</v>
      </c>
      <c r="AY820" s="23">
        <f t="shared" si="5518"/>
        <v>-10.067500479762359</v>
      </c>
      <c r="AZ820" s="410">
        <f t="shared" ref="AZ820" si="5536">AZ774</f>
        <v>10746.5</v>
      </c>
      <c r="BA820" s="23">
        <f t="shared" si="5520"/>
        <v>-9.6872058625790061</v>
      </c>
      <c r="BB820" s="410">
        <f t="shared" ref="BB820:BD820" si="5537">BB774</f>
        <v>10921.600000000002</v>
      </c>
      <c r="BC820" s="23">
        <f t="shared" si="5522"/>
        <v>-6.5643473722933336</v>
      </c>
      <c r="BD820" s="410">
        <f t="shared" si="5537"/>
        <v>7278</v>
      </c>
      <c r="BE820" s="23">
        <f t="shared" si="5523"/>
        <v>-34.275522644150449</v>
      </c>
      <c r="BF820" s="36">
        <f t="shared" ref="BF820" si="5538">BF774</f>
        <v>7138.7998437368642</v>
      </c>
      <c r="BG820" s="23">
        <f t="shared" si="5525"/>
        <v>-33.768151006755446</v>
      </c>
      <c r="BH820" s="36">
        <f t="shared" ref="BH820" si="5539">BH774</f>
        <v>7117.5450081613726</v>
      </c>
      <c r="BI820" s="23">
        <f t="shared" si="5527"/>
        <v>-33.768715319765761</v>
      </c>
      <c r="BJ820" s="36">
        <f t="shared" ref="BJ820" si="5540">BJ774</f>
        <v>7057.3052063498344</v>
      </c>
      <c r="BK820" s="23">
        <f t="shared" si="5529"/>
        <v>-35.382130765182453</v>
      </c>
      <c r="BL820" s="36">
        <f t="shared" ref="BL820" si="5541">BL774</f>
        <v>7006.1174600135255</v>
      </c>
      <c r="BM820" s="23">
        <f t="shared" si="5531"/>
        <v>-3.7356765593085206</v>
      </c>
      <c r="BO820" s="137"/>
      <c r="BR820" s="6"/>
      <c r="BS820" s="6"/>
      <c r="BT820" s="6"/>
      <c r="BU820" s="36">
        <f>BU774</f>
        <v>10358.9</v>
      </c>
      <c r="BV820" s="23"/>
      <c r="BW820" s="36">
        <f>BW774</f>
        <v>10764.2</v>
      </c>
      <c r="BX820" s="23">
        <f t="shared" si="5532"/>
        <v>3.9125775902846938</v>
      </c>
      <c r="BY820" s="36">
        <f>BY774</f>
        <v>11423.099999999999</v>
      </c>
      <c r="BZ820" s="23">
        <f t="shared" si="5532"/>
        <v>6.1212166254807299</v>
      </c>
      <c r="CA820" s="36">
        <f>CA774</f>
        <v>13042.499999999996</v>
      </c>
      <c r="CB820" s="23">
        <f t="shared" si="5532"/>
        <v>14.176537017096912</v>
      </c>
      <c r="CC820" s="36">
        <f>CC774</f>
        <v>12010.899999999998</v>
      </c>
      <c r="CD820" s="23">
        <f t="shared" si="5532"/>
        <v>-7.9095265478244077</v>
      </c>
      <c r="CE820" s="36">
        <f>CE774</f>
        <v>11073.5</v>
      </c>
      <c r="CF820" s="23">
        <f t="shared" si="5532"/>
        <v>-7.8045775087628559</v>
      </c>
      <c r="CG820" s="36">
        <f>CG774</f>
        <v>7278</v>
      </c>
      <c r="CH820" s="23">
        <f t="shared" si="5532"/>
        <v>-34.275522644150449</v>
      </c>
      <c r="CI820" s="36">
        <f>CI774</f>
        <v>7006.1174600135255</v>
      </c>
      <c r="CJ820" s="23">
        <f t="shared" si="5532"/>
        <v>-3.7356765593085206</v>
      </c>
      <c r="CK820" s="36">
        <f>CK774</f>
        <v>7213.8837556391663</v>
      </c>
      <c r="CL820" s="23">
        <f t="shared" si="5532"/>
        <v>2.9654983207381136</v>
      </c>
      <c r="CM820" s="36">
        <f>CM774</f>
        <v>7457.7416175488779</v>
      </c>
      <c r="CN820" s="23">
        <f t="shared" si="5532"/>
        <v>3.3803963325453656</v>
      </c>
      <c r="CO820" s="36">
        <f>CO774</f>
        <v>7736.8509632555979</v>
      </c>
      <c r="CP820" s="23">
        <f t="shared" si="5532"/>
        <v>3.7425451298814805</v>
      </c>
      <c r="CQ820" s="36">
        <f>CQ774</f>
        <v>8050.8953214979156</v>
      </c>
      <c r="CR820" s="23">
        <f t="shared" si="5532"/>
        <v>4.0590720919118084</v>
      </c>
      <c r="CS820" s="23"/>
      <c r="CT820" s="28"/>
    </row>
    <row r="821" spans="1:105" ht="12.75" hidden="1" customHeight="1" outlineLevel="1" x14ac:dyDescent="0.2">
      <c r="A821" s="165" t="s">
        <v>383</v>
      </c>
      <c r="B821" s="36">
        <f>B793</f>
        <v>3010</v>
      </c>
      <c r="C821" s="82"/>
      <c r="D821" s="36">
        <f>D793</f>
        <v>3010</v>
      </c>
      <c r="E821" s="82"/>
      <c r="F821" s="36">
        <f>F793</f>
        <v>3010</v>
      </c>
      <c r="G821" s="82"/>
      <c r="H821" s="36">
        <f>H793</f>
        <v>3452</v>
      </c>
      <c r="I821" s="168"/>
      <c r="J821" s="36">
        <f>J793</f>
        <v>3452</v>
      </c>
      <c r="K821" s="23">
        <f>IF(ISERROR((J821/B821-1)*100),"NA",IF(((J821/B821-1)*100)&gt;100,"NM",IF(((J821/B821-1)*100)&lt;-50,"NM",(J821/B821-1)*100)))</f>
        <v>14.684385382059805</v>
      </c>
      <c r="L821" s="36">
        <f>L793</f>
        <v>3452</v>
      </c>
      <c r="M821" s="23">
        <f>IF(ISERROR((L821/D821-1)*100),"NA",IF(((L821/D821-1)*100)&gt;100,"NM",IF(((L821/D821-1)*100)&lt;-50,"NM",(L821/D821-1)*100)))</f>
        <v>14.684385382059805</v>
      </c>
      <c r="N821" s="36">
        <f>N793</f>
        <v>3452</v>
      </c>
      <c r="O821" s="23">
        <f>IF(ISERROR((N821/F821-1)*100),"NA",IF(((N821/F821-1)*100)&gt;100,"NM",IF(((N821/F821-1)*100)&lt;-50,"NM",(N821/F821-1)*100)))</f>
        <v>14.684385382059805</v>
      </c>
      <c r="P821" s="36">
        <f>P793</f>
        <v>3262</v>
      </c>
      <c r="Q821" s="23">
        <f>IF(ISERROR((P821/H821-1)*100),"NA",IF(((P821/H821-1)*100)&gt;100,"NM",IF(((P821/H821-1)*100)&lt;-50,"NM",(P821/H821-1)*100)))</f>
        <v>-5.5040556199304707</v>
      </c>
      <c r="R821" s="36">
        <f>R793</f>
        <v>4589</v>
      </c>
      <c r="S821" s="23">
        <f t="shared" si="5513"/>
        <v>32.937427578215519</v>
      </c>
      <c r="T821" s="36">
        <f>T793</f>
        <v>3983</v>
      </c>
      <c r="U821" s="23">
        <f t="shared" si="5513"/>
        <v>15.38238702201622</v>
      </c>
      <c r="V821" s="36">
        <f>V793</f>
        <v>3444</v>
      </c>
      <c r="W821" s="23">
        <f t="shared" si="5513"/>
        <v>-0.2317497103128674</v>
      </c>
      <c r="X821" s="36">
        <f>X793</f>
        <v>3119</v>
      </c>
      <c r="Y821" s="23">
        <f t="shared" si="5513"/>
        <v>-4.3838136112814174</v>
      </c>
      <c r="Z821" s="36">
        <f>Z793</f>
        <v>3140</v>
      </c>
      <c r="AA821" s="23">
        <f>IF(ISERROR((Z821/R821-1)*100),"NA",IF(((Z821/R821-1)*100)&gt;100,"NM",IF(((Z821/R821-1)*100)&lt;-50,"NM",(Z821/R821-1)*100)))</f>
        <v>-31.575506646328179</v>
      </c>
      <c r="AB821" s="36">
        <f>AB793</f>
        <v>3293</v>
      </c>
      <c r="AC821" s="23">
        <f>IF(ISERROR((AB821/T821-1)*100),"NA",IF(((AB821/T821-1)*100)&gt;100,"NM",IF(((AB821/T821-1)*100)&lt;-50,"NM",(AB821/T821-1)*100)))</f>
        <v>-17.323625407983933</v>
      </c>
      <c r="AD821" s="36">
        <f>AD793</f>
        <v>3474</v>
      </c>
      <c r="AE821" s="23">
        <f>IF(ISERROR((AD821/V821-1)*100),"NA",IF(((AD821/V821-1)*100)&gt;100,"NM",IF(((AD821/V821-1)*100)&lt;-50,"NM",(AD821/V821-1)*100)))</f>
        <v>0.87108013937282625</v>
      </c>
      <c r="AF821" s="36">
        <f>AF793</f>
        <v>2582</v>
      </c>
      <c r="AG821" s="23">
        <f>IF(ISERROR((AF821/X821-1)*100),"NA",IF(((AF821/X821-1)*100)&gt;100,"NM",IF(((AF821/X821-1)*100)&lt;-50,"NM",(AF821/X821-1)*100)))</f>
        <v>-17.217056748958004</v>
      </c>
      <c r="AH821" s="36">
        <f>AH793</f>
        <v>2616</v>
      </c>
      <c r="AI821" s="23">
        <f>IF(ISERROR((AH821/Z821-1)*100),"NA",IF(((AH821/Z821-1)*100)&gt;100,"NM",IF(((AH821/Z821-1)*100)&lt;-50,"NM",(AH821/Z821-1)*100)))</f>
        <v>-16.68789808917197</v>
      </c>
      <c r="AJ821" s="36">
        <f>AJ793</f>
        <v>2650</v>
      </c>
      <c r="AK821" s="23">
        <f>IF(ISERROR((AJ821/AB821-1)*100),"NA",IF(((AJ821/AB821-1)*100)&gt;100,"NM",IF(((AJ821/AB821-1)*100)&lt;-50,"NM",(AJ821/AB821-1)*100)))</f>
        <v>-19.526267840874578</v>
      </c>
      <c r="AL821" s="36">
        <f>AL793</f>
        <v>2650</v>
      </c>
      <c r="AM821" s="23">
        <f>IF(ISERROR((AL821/AD821-1)*100),"NA",IF(((AL821/AD821-1)*100)&gt;100,"NM",IF(((AL821/AD821-1)*100)&lt;-50,"NM",(AL821/AD821-1)*100)))</f>
        <v>-23.719055843408178</v>
      </c>
      <c r="AN821" s="410">
        <f t="shared" ref="AN821:AP821" si="5542">AN793</f>
        <v>2836</v>
      </c>
      <c r="AO821" s="23">
        <f>IF(ISERROR((AN821/AF821-1)*100),"NA",IF(((AN821/AF821-1)*100)&gt;100,"NM",IF(((AN821/AF821-1)*100)&lt;-50,"NM",(AN821/AF821-1)*100)))</f>
        <v>9.8373353989155596</v>
      </c>
      <c r="AP821" s="410">
        <f t="shared" si="5542"/>
        <v>3331</v>
      </c>
      <c r="AQ821" s="23">
        <f t="shared" si="5514"/>
        <v>27.331804281345562</v>
      </c>
      <c r="AR821" s="410">
        <f t="shared" ref="AR821:AT821" si="5543">AR793</f>
        <v>3272</v>
      </c>
      <c r="AS821" s="23">
        <f t="shared" si="5515"/>
        <v>23.471698113207552</v>
      </c>
      <c r="AT821" s="410">
        <f t="shared" si="5543"/>
        <v>2880</v>
      </c>
      <c r="AU821" s="23">
        <f t="shared" si="5516"/>
        <v>8.6792452830188651</v>
      </c>
      <c r="AV821" s="410">
        <f t="shared" ref="AV821:AX821" si="5544">AV793</f>
        <v>2246</v>
      </c>
      <c r="AW821" s="23">
        <f t="shared" si="5517"/>
        <v>-20.803949224259522</v>
      </c>
      <c r="AX821" s="410">
        <f t="shared" si="5544"/>
        <v>1832</v>
      </c>
      <c r="AY821" s="23">
        <f t="shared" si="5518"/>
        <v>-45.001501050735513</v>
      </c>
      <c r="AZ821" s="410">
        <f t="shared" ref="AZ821" si="5545">AZ793</f>
        <v>1832</v>
      </c>
      <c r="BA821" s="23">
        <f t="shared" si="5520"/>
        <v>-44.009779951100249</v>
      </c>
      <c r="BB821" s="410">
        <f t="shared" ref="BB821:BD821" si="5546">BB793</f>
        <v>1832</v>
      </c>
      <c r="BC821" s="23">
        <f t="shared" si="5522"/>
        <v>-36.388888888888893</v>
      </c>
      <c r="BD821" s="410">
        <f t="shared" si="5546"/>
        <v>1832</v>
      </c>
      <c r="BE821" s="23">
        <f t="shared" si="5523"/>
        <v>-18.432769367764912</v>
      </c>
      <c r="BF821" s="36">
        <f t="shared" ref="BF821" si="5547">BF793</f>
        <v>1832</v>
      </c>
      <c r="BG821" s="23">
        <f t="shared" si="5525"/>
        <v>0</v>
      </c>
      <c r="BH821" s="36">
        <f t="shared" ref="BH821" si="5548">BH793</f>
        <v>1832</v>
      </c>
      <c r="BI821" s="23">
        <f t="shared" si="5527"/>
        <v>0</v>
      </c>
      <c r="BJ821" s="36">
        <f t="shared" ref="BJ821" si="5549">BJ793</f>
        <v>1832</v>
      </c>
      <c r="BK821" s="23">
        <f t="shared" si="5529"/>
        <v>0</v>
      </c>
      <c r="BL821" s="36">
        <f t="shared" ref="BL821" si="5550">BL793</f>
        <v>1832</v>
      </c>
      <c r="BM821" s="23">
        <f t="shared" si="5531"/>
        <v>0</v>
      </c>
      <c r="BO821" s="137"/>
      <c r="BR821" s="6"/>
      <c r="BS821" s="6"/>
      <c r="BT821" s="6"/>
      <c r="BU821" s="36">
        <f>BU793</f>
        <v>3452</v>
      </c>
      <c r="BV821" s="23"/>
      <c r="BW821" s="36">
        <f>BW793</f>
        <v>3262</v>
      </c>
      <c r="BX821" s="23">
        <f t="shared" si="5532"/>
        <v>-5.5040556199304707</v>
      </c>
      <c r="BY821" s="36">
        <f>BY793</f>
        <v>3119</v>
      </c>
      <c r="BZ821" s="23">
        <f t="shared" si="5532"/>
        <v>-4.3838136112814174</v>
      </c>
      <c r="CA821" s="36">
        <f>CA793</f>
        <v>2582</v>
      </c>
      <c r="CB821" s="23">
        <f t="shared" si="5532"/>
        <v>-17.217056748958004</v>
      </c>
      <c r="CC821" s="36">
        <f>CC793</f>
        <v>2836</v>
      </c>
      <c r="CD821" s="23">
        <f t="shared" si="5532"/>
        <v>9.8373353989155596</v>
      </c>
      <c r="CE821" s="36">
        <f>CE793</f>
        <v>2246</v>
      </c>
      <c r="CF821" s="23">
        <f t="shared" si="5532"/>
        <v>-20.803949224259522</v>
      </c>
      <c r="CG821" s="36">
        <f>CG793</f>
        <v>1832</v>
      </c>
      <c r="CH821" s="23">
        <f t="shared" si="5532"/>
        <v>-18.432769367764912</v>
      </c>
      <c r="CI821" s="36">
        <f>CI793</f>
        <v>1832</v>
      </c>
      <c r="CJ821" s="23">
        <f t="shared" si="5532"/>
        <v>0</v>
      </c>
      <c r="CK821" s="36">
        <f>CK793</f>
        <v>1703.76</v>
      </c>
      <c r="CL821" s="23">
        <f t="shared" si="5532"/>
        <v>-6.9999999999999947</v>
      </c>
      <c r="CM821" s="36">
        <f>CM793</f>
        <v>1584.4968000000001</v>
      </c>
      <c r="CN821" s="23">
        <f t="shared" si="5532"/>
        <v>-6.9999999999999947</v>
      </c>
      <c r="CO821" s="36">
        <f>CO793</f>
        <v>1473.5820240000003</v>
      </c>
      <c r="CP821" s="23">
        <f t="shared" si="5532"/>
        <v>-6.9999999999999947</v>
      </c>
      <c r="CQ821" s="36">
        <f>CQ793</f>
        <v>1370.4312823200003</v>
      </c>
      <c r="CR821" s="23">
        <f t="shared" si="5532"/>
        <v>-6.9999999999999947</v>
      </c>
      <c r="CS821" s="23"/>
      <c r="CT821" s="28"/>
    </row>
    <row r="822" spans="1:105" ht="12.75" hidden="1" customHeight="1" outlineLevel="1" x14ac:dyDescent="0.2">
      <c r="A822" s="46" t="s">
        <v>363</v>
      </c>
      <c r="B822" s="36">
        <f>B820-B821</f>
        <v>3691.6000000000004</v>
      </c>
      <c r="C822" s="82"/>
      <c r="D822" s="36">
        <f>D820-D821</f>
        <v>6716.0999999999985</v>
      </c>
      <c r="E822" s="82"/>
      <c r="F822" s="36">
        <f>F820-F821</f>
        <v>7691.1000000000022</v>
      </c>
      <c r="G822" s="82"/>
      <c r="H822" s="36">
        <f>H820-H821</f>
        <v>6906.9</v>
      </c>
      <c r="I822" s="168"/>
      <c r="J822" s="36">
        <f>J820-J821</f>
        <v>6390.9000000000015</v>
      </c>
      <c r="K822" s="23">
        <f>IF(ISERROR((J822/B822-1)*100),"NA",IF(((J822/B822-1)*100)&gt;100,"NM",IF(((J822/B822-1)*100)&lt;-50,"NM",(J822/B822-1)*100)))</f>
        <v>73.120056344132649</v>
      </c>
      <c r="L822" s="36">
        <f>L820-L821</f>
        <v>6968.2999999999993</v>
      </c>
      <c r="M822" s="23">
        <f>IF(ISERROR((L822/D822-1)*100),"NA",IF(((L822/D822-1)*100)&gt;100,"NM",IF(((L822/D822-1)*100)&lt;-50,"NM",(L822/D822-1)*100)))</f>
        <v>3.7551555218058308</v>
      </c>
      <c r="N822" s="36">
        <f>N820-N821</f>
        <v>7357</v>
      </c>
      <c r="O822" s="23">
        <f>IF(ISERROR((N822/F822-1)*100),"NA",IF(((N822/F822-1)*100)&gt;100,"NM",IF(((N822/F822-1)*100)&lt;-50,"NM",(N822/F822-1)*100)))</f>
        <v>-4.3439820051748406</v>
      </c>
      <c r="P822" s="36">
        <f>P820-P821</f>
        <v>7502.2000000000007</v>
      </c>
      <c r="Q822" s="23">
        <f>IF(ISERROR((P822/H822-1)*100),"NA",IF(((P822/H822-1)*100)&gt;100,"NM",IF(((P822/H822-1)*100)&lt;-50,"NM",(P822/H822-1)*100)))</f>
        <v>8.6189173145694973</v>
      </c>
      <c r="R822" s="36">
        <f>R820-R821</f>
        <v>5949.3000000000029</v>
      </c>
      <c r="S822" s="23">
        <f t="shared" si="5513"/>
        <v>-6.9098249072900302</v>
      </c>
      <c r="T822" s="36">
        <f>T820-T821</f>
        <v>6400.7999999999993</v>
      </c>
      <c r="U822" s="23">
        <f t="shared" si="5513"/>
        <v>-8.1440236499576653</v>
      </c>
      <c r="V822" s="36">
        <f>V820-V821</f>
        <v>7376</v>
      </c>
      <c r="W822" s="23">
        <f t="shared" si="5513"/>
        <v>0.25825744189207356</v>
      </c>
      <c r="X822" s="36">
        <f>X820-X821</f>
        <v>8304.0999999999985</v>
      </c>
      <c r="Y822" s="23">
        <f t="shared" si="5513"/>
        <v>10.688864599717384</v>
      </c>
      <c r="Z822" s="36">
        <f>Z820-Z821</f>
        <v>8284</v>
      </c>
      <c r="AA822" s="23">
        <f>IF(ISERROR((Z822/R822-1)*100),"NA",IF(((Z822/R822-1)*100)&gt;100,"NM",IF(((Z822/R822-1)*100)&lt;-50,"NM",(Z822/R822-1)*100)))</f>
        <v>39.243272317751597</v>
      </c>
      <c r="AB822" s="36">
        <f>AB820-AB821</f>
        <v>8421.4000000000015</v>
      </c>
      <c r="AC822" s="23">
        <f>IF(ISERROR((AB822/T822-1)*100),"NA",IF(((AB822/T822-1)*100)&gt;100,"NM",IF(((AB822/T822-1)*100)&lt;-50,"NM",(AB822/T822-1)*100)))</f>
        <v>31.567929008873929</v>
      </c>
      <c r="AD822" s="36">
        <f>AD820-AD821</f>
        <v>8344.9000000000015</v>
      </c>
      <c r="AE822" s="23">
        <f>IF(ISERROR((AD822/V822-1)*100),"NA",IF(((AD822/V822-1)*100)&gt;100,"NM",IF(((AD822/V822-1)*100)&lt;-50,"NM",(AD822/V822-1)*100)))</f>
        <v>13.13584598698483</v>
      </c>
      <c r="AF822" s="36">
        <f>AF820-AF821</f>
        <v>10460.499999999996</v>
      </c>
      <c r="AG822" s="23">
        <f>IF(ISERROR((AF822/X822-1)*100),"NA",IF(((AF822/X822-1)*100)&gt;100,"NM",IF(((AF822/X822-1)*100)&lt;-50,"NM",(AF822/X822-1)*100)))</f>
        <v>25.96789537698243</v>
      </c>
      <c r="AH822" s="36">
        <f>AH820-AH821</f>
        <v>9997.2000000000007</v>
      </c>
      <c r="AI822" s="23">
        <f>IF(ISERROR((AH822/Z822-1)*100),"NA",IF(((AH822/Z822-1)*100)&gt;100,"NM",IF(((AH822/Z822-1)*100)&lt;-50,"NM",(AH822/Z822-1)*100)))</f>
        <v>20.680830516658631</v>
      </c>
      <c r="AJ822" s="36">
        <f>AJ820-AJ821</f>
        <v>10096.599999999999</v>
      </c>
      <c r="AK822" s="23">
        <f>IF(ISERROR((AJ822/AB822-1)*100),"NA",IF(((AJ822/AB822-1)*100)&gt;100,"NM",IF(((AJ822/AB822-1)*100)&lt;-50,"NM",(AJ822/AB822-1)*100)))</f>
        <v>19.892179447597758</v>
      </c>
      <c r="AL822" s="36">
        <f>AL820-AL821</f>
        <v>9590.4000000000015</v>
      </c>
      <c r="AM822" s="23">
        <f>IF(ISERROR((AL822/AD822-1)*100),"NA",IF(((AL822/AD822-1)*100)&gt;100,"NM",IF(((AL822/AD822-1)*100)&lt;-50,"NM",(AL822/AD822-1)*100)))</f>
        <v>14.925283706215776</v>
      </c>
      <c r="AN822" s="410">
        <f t="shared" ref="AN822:AP822" si="5551">AN820-AN821</f>
        <v>9174.8999999999978</v>
      </c>
      <c r="AO822" s="23">
        <f>IF(ISERROR((AN822/AF822-1)*100),"NA",IF(((AN822/AF822-1)*100)&gt;100,"NM",IF(((AN822/AF822-1)*100)&lt;-50,"NM",(AN822/AF822-1)*100)))</f>
        <v>-12.290043496964763</v>
      </c>
      <c r="AP822" s="410">
        <f t="shared" si="5551"/>
        <v>8654.0999999999985</v>
      </c>
      <c r="AQ822" s="23">
        <f t="shared" si="5514"/>
        <v>-13.434761733285338</v>
      </c>
      <c r="AR822" s="410">
        <f t="shared" ref="AR822:AT822" si="5552">AR820-AR821</f>
        <v>8627.2000000000007</v>
      </c>
      <c r="AS822" s="23">
        <f t="shared" si="5515"/>
        <v>-14.553414020561362</v>
      </c>
      <c r="AT822" s="410">
        <f t="shared" si="5552"/>
        <v>8808.8999999999978</v>
      </c>
      <c r="AU822" s="23">
        <f t="shared" si="5516"/>
        <v>-8.1487737737738097</v>
      </c>
      <c r="AV822" s="410">
        <f t="shared" ref="AV822:AX822" si="5553">AV820-AV821</f>
        <v>8827.5</v>
      </c>
      <c r="AW822" s="23">
        <f t="shared" si="5517"/>
        <v>-3.7864172906516447</v>
      </c>
      <c r="AX822" s="410">
        <f t="shared" si="5553"/>
        <v>8946.5</v>
      </c>
      <c r="AY822" s="23">
        <f t="shared" si="5518"/>
        <v>3.3787453345813123</v>
      </c>
      <c r="AZ822" s="410">
        <f t="shared" ref="AZ822" si="5554">AZ820-AZ821</f>
        <v>8914.5</v>
      </c>
      <c r="BA822" s="23">
        <f t="shared" si="5520"/>
        <v>3.3301650593471788</v>
      </c>
      <c r="BB822" s="410">
        <f t="shared" ref="BB822:BD822" si="5555">BB820-BB821</f>
        <v>9089.6000000000022</v>
      </c>
      <c r="BC822" s="23">
        <f t="shared" si="5522"/>
        <v>3.1865499665111985</v>
      </c>
      <c r="BD822" s="410">
        <f t="shared" si="5555"/>
        <v>5446</v>
      </c>
      <c r="BE822" s="23">
        <f t="shared" si="5523"/>
        <v>-38.306428773718494</v>
      </c>
      <c r="BF822" s="36">
        <f t="shared" ref="BF822" si="5556">BF820-BF821</f>
        <v>5306.7998437368642</v>
      </c>
      <c r="BG822" s="23">
        <f t="shared" si="5525"/>
        <v>-40.682950385772486</v>
      </c>
      <c r="BH822" s="36">
        <f t="shared" ref="BH822" si="5557">BH820-BH821</f>
        <v>5285.5450081613726</v>
      </c>
      <c r="BI822" s="23">
        <f t="shared" si="5527"/>
        <v>-40.708452429621708</v>
      </c>
      <c r="BJ822" s="36">
        <f t="shared" ref="BJ822" si="5558">BJ820-BJ821</f>
        <v>5225.3052063498344</v>
      </c>
      <c r="BK822" s="23">
        <f t="shared" si="5529"/>
        <v>-42.513364654662112</v>
      </c>
      <c r="BL822" s="36">
        <f t="shared" ref="BL822" si="5559">BL820-BL821</f>
        <v>5174.1174600135255</v>
      </c>
      <c r="BM822" s="23">
        <f t="shared" si="5531"/>
        <v>-4.9923345572250195</v>
      </c>
      <c r="BO822" s="137"/>
      <c r="BR822" s="6"/>
      <c r="BS822" s="6"/>
      <c r="BT822" s="6"/>
      <c r="BU822" s="36">
        <f>BU820-BU821</f>
        <v>6906.9</v>
      </c>
      <c r="BV822" s="23"/>
      <c r="BW822" s="36">
        <f>BW820-BW821</f>
        <v>7502.2000000000007</v>
      </c>
      <c r="BX822" s="23">
        <f t="shared" si="5532"/>
        <v>8.6189173145694973</v>
      </c>
      <c r="BY822" s="36">
        <f>BY820-BY821</f>
        <v>8304.0999999999985</v>
      </c>
      <c r="BZ822" s="23">
        <f t="shared" si="5532"/>
        <v>10.688864599717384</v>
      </c>
      <c r="CA822" s="36">
        <f>CA820-CA821</f>
        <v>10460.499999999996</v>
      </c>
      <c r="CB822" s="23">
        <f t="shared" si="5532"/>
        <v>25.96789537698243</v>
      </c>
      <c r="CC822" s="36">
        <f>CC820-CC821</f>
        <v>9174.8999999999978</v>
      </c>
      <c r="CD822" s="23">
        <f t="shared" si="5532"/>
        <v>-12.290043496964763</v>
      </c>
      <c r="CE822" s="36">
        <f>CE820-CE821</f>
        <v>8827.5</v>
      </c>
      <c r="CF822" s="23">
        <f t="shared" si="5532"/>
        <v>-3.7864172906516447</v>
      </c>
      <c r="CG822" s="36">
        <f>CG820-CG821</f>
        <v>5446</v>
      </c>
      <c r="CH822" s="23">
        <f t="shared" si="5532"/>
        <v>-38.306428773718494</v>
      </c>
      <c r="CI822" s="36">
        <f>CI820-CI821</f>
        <v>5174.1174600135255</v>
      </c>
      <c r="CJ822" s="23">
        <f t="shared" si="5532"/>
        <v>-4.9923345572250195</v>
      </c>
      <c r="CK822" s="36">
        <f>CK820-CK821</f>
        <v>5510.1237556391661</v>
      </c>
      <c r="CL822" s="23">
        <f t="shared" si="5532"/>
        <v>6.4939827559454377</v>
      </c>
      <c r="CM822" s="36">
        <f>CM820-CM821</f>
        <v>5873.244817548878</v>
      </c>
      <c r="CN822" s="23">
        <f t="shared" si="5532"/>
        <v>6.5900708951969866</v>
      </c>
      <c r="CO822" s="36">
        <f>CO820-CO821</f>
        <v>6263.2689392555976</v>
      </c>
      <c r="CP822" s="23">
        <f t="shared" si="5532"/>
        <v>6.6406923910502069</v>
      </c>
      <c r="CQ822" s="36">
        <f>CQ820-CQ821</f>
        <v>6680.4640391779158</v>
      </c>
      <c r="CR822" s="23">
        <f t="shared" si="5532"/>
        <v>6.6609801362274457</v>
      </c>
      <c r="CS822" s="23"/>
      <c r="CT822" s="28"/>
    </row>
    <row r="823" spans="1:105" s="116" customFormat="1" ht="12.75" hidden="1" customHeight="1" outlineLevel="1" x14ac:dyDescent="0.2">
      <c r="A823" s="165" t="s">
        <v>385</v>
      </c>
      <c r="B823" s="174">
        <f>(B822)/$T753</f>
        <v>14.154907975460123</v>
      </c>
      <c r="C823" s="172"/>
      <c r="D823" s="174">
        <f>(D822)/$T753</f>
        <v>25.751917177914105</v>
      </c>
      <c r="E823" s="172"/>
      <c r="F823" s="174">
        <f>(F822)/$T753</f>
        <v>29.490414110429455</v>
      </c>
      <c r="G823" s="172"/>
      <c r="H823" s="174">
        <f>(H822)/$T753</f>
        <v>26.483512269938647</v>
      </c>
      <c r="I823" s="172"/>
      <c r="J823" s="174">
        <f>(J822)/$T753</f>
        <v>24.504984662576693</v>
      </c>
      <c r="K823" s="23">
        <f t="shared" ref="K823:Y823" si="5560">IF(ISERROR((J823/B823-1)*100),"NA",IF(((J823/B823-1)*100)&gt;100,"NM",IF(((J823/B823-1)*100)&lt;-50,"NM",(J823/B823-1)*100)))</f>
        <v>73.120056344132649</v>
      </c>
      <c r="L823" s="174">
        <f>(L822)/$T753</f>
        <v>26.718941717791406</v>
      </c>
      <c r="M823" s="23">
        <f t="shared" si="5560"/>
        <v>3.7551555218058086</v>
      </c>
      <c r="N823" s="174">
        <f>(N822)/$T753</f>
        <v>28.209355828220858</v>
      </c>
      <c r="O823" s="23">
        <f t="shared" si="5560"/>
        <v>-4.3439820051748406</v>
      </c>
      <c r="P823" s="174">
        <f>(P822)/$T753</f>
        <v>28.766104294478531</v>
      </c>
      <c r="Q823" s="23">
        <f t="shared" si="5560"/>
        <v>8.6189173145695186</v>
      </c>
      <c r="R823" s="174">
        <f>(R822)/$T753</f>
        <v>22.811733128834366</v>
      </c>
      <c r="S823" s="23">
        <f t="shared" si="5560"/>
        <v>-6.9098249072900302</v>
      </c>
      <c r="T823" s="115">
        <f>(T822)/T753</f>
        <v>24.54294478527607</v>
      </c>
      <c r="U823" s="23">
        <f t="shared" si="5560"/>
        <v>-8.1440236499576653</v>
      </c>
      <c r="V823" s="115">
        <f>(V822)/V753</f>
        <v>28.282208588957054</v>
      </c>
      <c r="W823" s="23">
        <f t="shared" si="5560"/>
        <v>0.25825744189207356</v>
      </c>
      <c r="X823" s="115">
        <f>(X822)/X753</f>
        <v>31.731371799770727</v>
      </c>
      <c r="Y823" s="23">
        <f t="shared" si="5560"/>
        <v>10.308199799794782</v>
      </c>
      <c r="Z823" s="115">
        <f>(Z822)/Z753</f>
        <v>32.524538672948566</v>
      </c>
      <c r="AA823" s="23">
        <f>IF(ISERROR((Z823/R823-1)*100),"NA",IF(((Z823/R823-1)*100)&gt;100,"NM",IF(((Z823/R823-1)*100)&lt;-50,"NM",(Z823/R823-1)*100)))</f>
        <v>42.57811315457252</v>
      </c>
      <c r="AB823" s="115">
        <f>(AB822)/AB753</f>
        <v>33.076983503534962</v>
      </c>
      <c r="AC823" s="23">
        <f>IF(ISERROR((AB823/T823-1)*100),"NA",IF(((AB823/T823-1)*100)&gt;100,"NM",IF(((AB823/T823-1)*100)&lt;-50,"NM",(AB823/T823-1)*100)))</f>
        <v>34.771861294243209</v>
      </c>
      <c r="AD823" s="115">
        <f>(AD822)/AD753</f>
        <v>33.867288961038966</v>
      </c>
      <c r="AE823" s="23">
        <f>IF(ISERROR((AD823/V823-1)*100),"NA",IF(((AD823/V823-1)*100)&gt;100,"NM",IF(((AD823/V823-1)*100)&lt;-50,"NM",(AD823/V823-1)*100)))</f>
        <v>19.747681142068373</v>
      </c>
      <c r="AF823" s="115">
        <f>(AF822)/AF753</f>
        <v>43.243075651095481</v>
      </c>
      <c r="AG823" s="23">
        <f>IF(ISERROR((AF823/X823-1)*100),"NA",IF(((AF823/X823-1)*100)&gt;100,"NM",IF(((AF823/X823-1)*100)&lt;-50,"NM",(AF823/X823-1)*100)))</f>
        <v>36.278620174271616</v>
      </c>
      <c r="AH823" s="115">
        <f>(AH822)/AH753</f>
        <v>43.655895196506556</v>
      </c>
      <c r="AI823" s="23">
        <f>IF(ISERROR((AH823/Z823-1)*100),"NA",IF(((AH823/Z823-1)*100)&gt;100,"NM",IF(((AH823/Z823-1)*100)&lt;-50,"NM",(AH823/Z823-1)*100)))</f>
        <v>34.224487041890626</v>
      </c>
      <c r="AJ823" s="115">
        <f>(AJ822)/AJ753</f>
        <v>44.615996464869632</v>
      </c>
      <c r="AK823" s="23">
        <f>IF(ISERROR((AJ823/AB823-1)*100),"NA",IF(((AJ823/AB823-1)*100)&gt;100,"NM",IF(((AJ823/AB823-1)*100)&lt;-50,"NM",(AJ823/AB823-1)*100)))</f>
        <v>34.885324292348145</v>
      </c>
      <c r="AL823" s="115">
        <f>(AL822)/AL753</f>
        <v>44.544356711565264</v>
      </c>
      <c r="AM823" s="23">
        <f>IF(ISERROR((AL823/AD823-1)*100),"NA",IF(((AL823/AD823-1)*100)&gt;100,"NM",IF(((AL823/AD823-1)*100)&lt;-50,"NM",(AL823/AD823-1)*100)))</f>
        <v>31.526195565311511</v>
      </c>
      <c r="AN823" s="457">
        <f t="shared" ref="AN823:AP823" si="5561">(AN822)/AN753</f>
        <v>43.878048780487795</v>
      </c>
      <c r="AO823" s="23">
        <f>IF(ISERROR((AN823/AF823-1)*100),"NA",IF(((AN823/AF823-1)*100)&gt;100,"NM",IF(((AN823/AF823-1)*100)&lt;-50,"NM",(AN823/AF823-1)*100)))</f>
        <v>1.4683810525309537</v>
      </c>
      <c r="AP823" s="457">
        <f t="shared" si="5561"/>
        <v>42.422058823529404</v>
      </c>
      <c r="AQ823" s="23">
        <f t="shared" si="5514"/>
        <v>-2.8262766515801174</v>
      </c>
      <c r="AR823" s="457">
        <f t="shared" ref="AR823:AT823" si="5562">(AR822)/AR753</f>
        <v>43.092907092907097</v>
      </c>
      <c r="AS823" s="23">
        <f t="shared" si="5515"/>
        <v>-3.4137741900750918</v>
      </c>
      <c r="AT823" s="457">
        <f t="shared" si="5562"/>
        <v>45.266700924974295</v>
      </c>
      <c r="AU823" s="23">
        <f t="shared" si="5516"/>
        <v>1.6216290159634994</v>
      </c>
      <c r="AV823" s="457">
        <f t="shared" ref="AV823:AX823" si="5563">(AV822)/AV753</f>
        <v>45.3622816032888</v>
      </c>
      <c r="AW823" s="23">
        <f t="shared" si="5517"/>
        <v>3.3826317807026829</v>
      </c>
      <c r="AX823" s="457">
        <f t="shared" si="5563"/>
        <v>47.111637704054765</v>
      </c>
      <c r="AY823" s="23">
        <f t="shared" si="5518"/>
        <v>11.054576346785616</v>
      </c>
      <c r="AZ823" s="457">
        <f t="shared" ref="AZ823" si="5564">(AZ822)/AZ753</f>
        <v>49.6076794657763</v>
      </c>
      <c r="BA823" s="23">
        <f t="shared" si="5520"/>
        <v>15.117969086707328</v>
      </c>
      <c r="BB823" s="457">
        <f t="shared" ref="BB823:BD823" si="5565">(BB822)/BB753</f>
        <v>50.582081246521994</v>
      </c>
      <c r="BC823" s="23">
        <f t="shared" si="5522"/>
        <v>11.742362957613128</v>
      </c>
      <c r="BD823" s="457">
        <f t="shared" si="5565"/>
        <v>31.662790697674417</v>
      </c>
      <c r="BE823" s="23">
        <f t="shared" si="5523"/>
        <v>-30.200180461428026</v>
      </c>
      <c r="BF823" s="115">
        <f t="shared" ref="BF823" si="5566">(BF822)/BF753</f>
        <v>32.115180035773321</v>
      </c>
      <c r="BG823" s="23">
        <f t="shared" si="5525"/>
        <v>-31.831747736060436</v>
      </c>
      <c r="BH823" s="115">
        <f t="shared" ref="BH823" si="5567">(BH822)/BH753</f>
        <v>32.927757001234021</v>
      </c>
      <c r="BI823" s="23">
        <f t="shared" si="5527"/>
        <v>-33.623670053039959</v>
      </c>
      <c r="BJ823" s="115">
        <f t="shared" ref="BJ823" si="5568">(BJ822)/BJ753</f>
        <v>33.514773844768357</v>
      </c>
      <c r="BK823" s="23">
        <f t="shared" si="5529"/>
        <v>-33.741805361018393</v>
      </c>
      <c r="BL823" s="115">
        <f t="shared" ref="BL823" si="5569">(BL822)/BL753</f>
        <v>34.177152664078733</v>
      </c>
      <c r="BM823" s="23">
        <f t="shared" si="5531"/>
        <v>7.9410623984859097</v>
      </c>
      <c r="BN823" s="115"/>
      <c r="BO823" s="139"/>
      <c r="BP823" s="115"/>
      <c r="BQ823" s="115"/>
      <c r="BR823" s="115"/>
      <c r="BS823" s="115"/>
      <c r="BT823" s="115"/>
      <c r="BU823" s="174">
        <f>BU822/$T$753</f>
        <v>26.483512269938647</v>
      </c>
      <c r="BV823" s="23"/>
      <c r="BW823" s="174">
        <f>BW822/$T$753</f>
        <v>28.766104294478531</v>
      </c>
      <c r="BX823" s="23">
        <f t="shared" ref="BX823:CR823" si="5570">IF(ISERROR((BW823/BU823-1)*100),"NA",IF(((BW823/BU823-1)*100)&gt;100,"NM",IF(((BW823/BU823-1)*100)&lt;-50,"NM",(BW823/BU823-1)*100)))</f>
        <v>8.6189173145695186</v>
      </c>
      <c r="BY823" s="115">
        <f>BY822/BY753</f>
        <v>31.731371799770727</v>
      </c>
      <c r="BZ823" s="23">
        <f t="shared" si="5570"/>
        <v>10.308199799794782</v>
      </c>
      <c r="CA823" s="115">
        <f>CA822/CA753</f>
        <v>43.243075651095481</v>
      </c>
      <c r="CB823" s="23">
        <f t="shared" si="5570"/>
        <v>36.278620174271616</v>
      </c>
      <c r="CC823" s="115">
        <f>CC822/CC753</f>
        <v>43.878048780487795</v>
      </c>
      <c r="CD823" s="23">
        <f t="shared" si="5570"/>
        <v>1.4683810525309537</v>
      </c>
      <c r="CE823" s="115">
        <f>CE822/CE753</f>
        <v>45.3622816032888</v>
      </c>
      <c r="CF823" s="23">
        <f t="shared" si="5570"/>
        <v>3.3826317807026829</v>
      </c>
      <c r="CG823" s="115">
        <f>CG822/CG753</f>
        <v>31.662790697674417</v>
      </c>
      <c r="CH823" s="23">
        <f t="shared" si="5570"/>
        <v>-30.200180461428026</v>
      </c>
      <c r="CI823" s="115">
        <f>CI822/CI753</f>
        <v>34.177152664078733</v>
      </c>
      <c r="CJ823" s="23">
        <f t="shared" si="5570"/>
        <v>7.9410623984859097</v>
      </c>
      <c r="CK823" s="115">
        <f>CK822/CK753</f>
        <v>39.077326686234699</v>
      </c>
      <c r="CL823" s="23">
        <f t="shared" si="5570"/>
        <v>14.337572442967739</v>
      </c>
      <c r="CM823" s="115">
        <f>CM822/CM753</f>
        <v>44.703571814686789</v>
      </c>
      <c r="CN823" s="23">
        <f t="shared" si="5570"/>
        <v>14.397722683609215</v>
      </c>
      <c r="CO823" s="115">
        <f>CO822/CO753</f>
        <v>51.143684927072655</v>
      </c>
      <c r="CP823" s="23">
        <f t="shared" si="5570"/>
        <v>14.40626073254856</v>
      </c>
      <c r="CQ823" s="115">
        <f>CQ822/CQ753</f>
        <v>58.497802093602722</v>
      </c>
      <c r="CR823" s="23">
        <f t="shared" si="5570"/>
        <v>14.379325965691624</v>
      </c>
      <c r="CS823" s="23"/>
      <c r="CV823"/>
      <c r="CW823"/>
      <c r="CX823"/>
      <c r="CY823"/>
      <c r="CZ823"/>
      <c r="DA823"/>
    </row>
    <row r="824" spans="1:105" ht="12.75" hidden="1" customHeight="1" outlineLevel="1" x14ac:dyDescent="0.2">
      <c r="A824" s="46"/>
      <c r="C824" s="82"/>
      <c r="E824" s="82"/>
      <c r="G824" s="82"/>
      <c r="I824" s="82"/>
      <c r="K824" s="184"/>
      <c r="L824" s="6"/>
      <c r="M824" s="184"/>
      <c r="N824" s="6"/>
      <c r="O824" s="184"/>
      <c r="P824" s="6"/>
      <c r="Q824" s="184"/>
      <c r="R824" s="6"/>
      <c r="S824" s="184"/>
      <c r="T824" s="43"/>
      <c r="U824" s="184"/>
      <c r="V824" s="43"/>
      <c r="W824" s="184"/>
      <c r="X824" s="43"/>
      <c r="Y824" s="184"/>
      <c r="Z824" s="43"/>
      <c r="AA824" s="184"/>
      <c r="AB824" s="43"/>
      <c r="AC824" s="184"/>
      <c r="AD824" s="43"/>
      <c r="AE824" s="184"/>
      <c r="AF824" s="43"/>
      <c r="AG824" s="184"/>
      <c r="AH824" s="43"/>
      <c r="AI824" s="184"/>
      <c r="AJ824" s="43"/>
      <c r="AK824" s="184"/>
      <c r="AL824" s="43"/>
      <c r="AM824" s="184"/>
      <c r="AN824" s="450"/>
      <c r="AO824" s="184"/>
      <c r="AP824" s="450"/>
      <c r="AQ824" s="184"/>
      <c r="AR824" s="473"/>
      <c r="AS824" s="184"/>
      <c r="AT824" s="473"/>
      <c r="AU824" s="184"/>
      <c r="AV824" s="473"/>
      <c r="AW824" s="184"/>
      <c r="AX824" s="473"/>
      <c r="AY824" s="184"/>
      <c r="AZ824" s="473"/>
      <c r="BA824" s="184"/>
      <c r="BB824" s="473"/>
      <c r="BC824" s="184"/>
      <c r="BD824" s="473"/>
      <c r="BE824" s="184"/>
      <c r="BF824" s="6"/>
      <c r="BG824" s="184"/>
      <c r="BH824" s="6"/>
      <c r="BI824" s="184"/>
      <c r="BJ824" s="6"/>
      <c r="BK824" s="184"/>
      <c r="BL824" s="6"/>
      <c r="BM824" s="184"/>
      <c r="BR824" s="6"/>
      <c r="BS824" s="6"/>
      <c r="BT824" s="6"/>
      <c r="BU824" s="6"/>
      <c r="BV824" s="184"/>
      <c r="BW824" s="6"/>
      <c r="BX824" s="184"/>
      <c r="BY824" s="6"/>
      <c r="BZ824" s="184"/>
      <c r="CA824" s="6"/>
      <c r="CB824" s="184"/>
      <c r="CC824" s="6"/>
      <c r="CD824" s="184"/>
      <c r="CE824" s="6"/>
      <c r="CF824" s="184"/>
      <c r="CG824" s="6"/>
      <c r="CH824" s="184"/>
      <c r="CI824" s="6"/>
      <c r="CJ824" s="184"/>
      <c r="CK824" s="6"/>
      <c r="CL824" s="184"/>
      <c r="CM824" s="6"/>
      <c r="CN824" s="184"/>
      <c r="CO824" s="6"/>
      <c r="CP824" s="184"/>
      <c r="CQ824" s="6"/>
      <c r="CR824" s="184"/>
      <c r="CS824" s="184"/>
      <c r="CT824" s="28"/>
    </row>
    <row r="825" spans="1:105" ht="12.75" hidden="1" customHeight="1" outlineLevel="1" x14ac:dyDescent="0.2">
      <c r="A825" s="46" t="s">
        <v>361</v>
      </c>
      <c r="C825" s="82"/>
      <c r="E825" s="82"/>
      <c r="G825" s="82"/>
      <c r="I825" s="82"/>
      <c r="K825" s="184"/>
      <c r="L825" s="6"/>
      <c r="M825" s="184"/>
      <c r="N825" s="6"/>
      <c r="O825" s="184"/>
      <c r="P825" s="6"/>
      <c r="Q825" s="184"/>
      <c r="R825" s="6"/>
      <c r="S825" s="184"/>
      <c r="T825" s="6"/>
      <c r="U825" s="184"/>
      <c r="V825" s="6"/>
      <c r="W825" s="184"/>
      <c r="X825" s="6"/>
      <c r="Y825" s="184"/>
      <c r="Z825" s="6"/>
      <c r="AA825" s="184"/>
      <c r="AB825" s="6"/>
      <c r="AC825" s="184"/>
      <c r="AD825" s="6"/>
      <c r="AE825" s="184"/>
      <c r="AF825" s="6"/>
      <c r="AG825" s="184"/>
      <c r="AH825" s="6"/>
      <c r="AI825" s="184"/>
      <c r="AJ825" s="6"/>
      <c r="AK825" s="184"/>
      <c r="AL825" s="6"/>
      <c r="AM825" s="184"/>
      <c r="AN825" s="473"/>
      <c r="AO825" s="184"/>
      <c r="AP825" s="473"/>
      <c r="AQ825" s="184"/>
      <c r="AR825" s="473"/>
      <c r="AS825" s="184"/>
      <c r="AT825" s="473"/>
      <c r="AU825" s="184"/>
      <c r="AV825" s="473"/>
      <c r="AW825" s="184"/>
      <c r="AX825" s="473"/>
      <c r="AY825" s="184"/>
      <c r="AZ825" s="473"/>
      <c r="BA825" s="184"/>
      <c r="BB825" s="473"/>
      <c r="BC825" s="184"/>
      <c r="BD825" s="473"/>
      <c r="BE825" s="184"/>
      <c r="BF825" s="6"/>
      <c r="BG825" s="184"/>
      <c r="BH825" s="6"/>
      <c r="BI825" s="184"/>
      <c r="BJ825" s="6"/>
      <c r="BK825" s="184"/>
      <c r="BL825" s="6"/>
      <c r="BM825" s="184"/>
      <c r="BR825" s="6"/>
      <c r="BS825" s="6"/>
      <c r="BT825" s="6"/>
      <c r="BU825" s="6"/>
      <c r="BV825" s="184"/>
      <c r="BW825" s="6"/>
      <c r="BX825" s="184"/>
      <c r="BY825" s="6"/>
      <c r="BZ825" s="184"/>
      <c r="CA825" s="6"/>
      <c r="CB825" s="184"/>
      <c r="CC825" s="6"/>
      <c r="CD825" s="184"/>
      <c r="CE825" s="6"/>
      <c r="CF825" s="184"/>
      <c r="CG825" s="6"/>
      <c r="CH825" s="184"/>
      <c r="CI825" s="6"/>
      <c r="CJ825" s="184"/>
      <c r="CK825" s="6"/>
      <c r="CL825" s="184"/>
      <c r="CM825" s="6"/>
      <c r="CN825" s="184"/>
      <c r="CO825" s="6"/>
      <c r="CP825" s="184"/>
      <c r="CQ825" s="6"/>
      <c r="CR825" s="184"/>
      <c r="CS825" s="184"/>
      <c r="CT825" s="28"/>
    </row>
    <row r="826" spans="1:105" ht="12.75" hidden="1" customHeight="1" outlineLevel="1" x14ac:dyDescent="0.2">
      <c r="A826" s="165" t="s">
        <v>362</v>
      </c>
      <c r="B826" s="5">
        <f>AVERAGE(B820)</f>
        <v>6701.6</v>
      </c>
      <c r="C826" s="82"/>
      <c r="D826" s="5">
        <f>AVERAGE(D820,B820)</f>
        <v>8213.8499999999985</v>
      </c>
      <c r="E826" s="82"/>
      <c r="F826" s="5">
        <f>AVERAGE(F820,D820)</f>
        <v>10213.6</v>
      </c>
      <c r="G826" s="82"/>
      <c r="H826" s="5">
        <f>AVERAGE(H820,F820)</f>
        <v>10530</v>
      </c>
      <c r="I826" s="82"/>
      <c r="J826" s="5">
        <f>AVERAGE(J820,H820)</f>
        <v>10100.900000000001</v>
      </c>
      <c r="K826" s="23"/>
      <c r="L826" s="5">
        <f>AVERAGE(L820,J820)</f>
        <v>10131.6</v>
      </c>
      <c r="M826" s="23"/>
      <c r="N826" s="5">
        <f>AVERAGE(N820,L820)</f>
        <v>10614.65</v>
      </c>
      <c r="O826" s="23"/>
      <c r="P826" s="5">
        <f>AVERAGE(P820,N820)</f>
        <v>10786.6</v>
      </c>
      <c r="Q826" s="23"/>
      <c r="R826" s="5">
        <f>AVERAGE(R820,P820)</f>
        <v>10651.250000000002</v>
      </c>
      <c r="S826" s="23">
        <f t="shared" ref="S826:Y828" si="5571">IF(ISERROR((R826/J826-1)*100),"NA",IF(((R826/J826-1)*100)&gt;100,"NM",IF(((R826/J826-1)*100)&lt;-50,"NM",(R826/J826-1)*100)))</f>
        <v>5.4485243889158319</v>
      </c>
      <c r="T826" s="5">
        <f>AVERAGE(T820,R820)</f>
        <v>10461.050000000001</v>
      </c>
      <c r="U826" s="23">
        <f t="shared" si="5571"/>
        <v>3.2517075289194342</v>
      </c>
      <c r="V826" s="5">
        <f>AVERAGE(V820,T820)</f>
        <v>10601.9</v>
      </c>
      <c r="W826" s="23">
        <f t="shared" si="5571"/>
        <v>-0.12011700809729797</v>
      </c>
      <c r="X826" s="5">
        <f>AVERAGE(X820,V820)</f>
        <v>11121.55</v>
      </c>
      <c r="Y826" s="23">
        <f t="shared" si="5571"/>
        <v>3.1052416887619616</v>
      </c>
      <c r="Z826" s="5">
        <f>AVERAGE(Z820,X820)</f>
        <v>11423.55</v>
      </c>
      <c r="AA826" s="23">
        <f>IF(ISERROR((Z826/R826-1)*100),"NA",IF(((Z826/R826-1)*100)&gt;100,"NM",IF(((Z826/R826-1)*100)&lt;-50,"NM",(Z826/R826-1)*100)))</f>
        <v>7.2507921605445169</v>
      </c>
      <c r="AB826" s="5">
        <f>AVERAGE(AB820,Z820)</f>
        <v>11569.2</v>
      </c>
      <c r="AC826" s="23">
        <f>IF(ISERROR((AB826/T826-1)*100),"NA",IF(((AB826/T826-1)*100)&gt;100,"NM",IF(((AB826/T826-1)*100)&lt;-50,"NM",(AB826/T826-1)*100)))</f>
        <v>10.593104898647843</v>
      </c>
      <c r="AD826" s="5">
        <f>AVERAGE(AD820,AB820)</f>
        <v>11766.650000000001</v>
      </c>
      <c r="AE826" s="23">
        <f>IF(ISERROR((AD826/V826-1)*100),"NA",IF(((AD826/V826-1)*100)&gt;100,"NM",IF(((AD826/V826-1)*100)&lt;-50,"NM",(AD826/V826-1)*100)))</f>
        <v>10.986238315773612</v>
      </c>
      <c r="AF826" s="5">
        <f>AVERAGE(AF820,AD820)</f>
        <v>12430.699999999999</v>
      </c>
      <c r="AG826" s="23">
        <f>IF(ISERROR((AF826/X826-1)*100),"NA",IF(((AF826/X826-1)*100)&gt;100,"NM",IF(((AF826/X826-1)*100)&lt;-50,"NM",(AF826/X826-1)*100)))</f>
        <v>11.771290872225549</v>
      </c>
      <c r="AH826" s="5">
        <f>AVERAGE(AH820,AF820)</f>
        <v>12827.849999999999</v>
      </c>
      <c r="AI826" s="23">
        <f>IF(ISERROR((AH826/Z826-1)*100),"NA",IF(((AH826/Z826-1)*100)&gt;100,"NM",IF(((AH826/Z826-1)*100)&lt;-50,"NM",(AH826/Z826-1)*100)))</f>
        <v>12.293026248407891</v>
      </c>
      <c r="AJ826" s="5">
        <f>AVERAGE(AJ820,AH820)</f>
        <v>12679.9</v>
      </c>
      <c r="AK826" s="23">
        <f>IF(ISERROR((AJ826/AB826-1)*100),"NA",IF(((AJ826/AB826-1)*100)&gt;100,"NM",IF(((AJ826/AB826-1)*100)&lt;-50,"NM",(AJ826/AB826-1)*100)))</f>
        <v>9.60049095875255</v>
      </c>
      <c r="AL826" s="5">
        <f>AVERAGE(AL820,AJ820)</f>
        <v>12493.5</v>
      </c>
      <c r="AM826" s="23">
        <f>IF(ISERROR((AL826/AD826-1)*100),"NA",IF(((AL826/AD826-1)*100)&gt;100,"NM",IF(((AL826/AD826-1)*100)&lt;-50,"NM",(AL826/AD826-1)*100)))</f>
        <v>6.1772042170031183</v>
      </c>
      <c r="AN826" s="475">
        <f t="shared" ref="AN826:AP828" si="5572">AVERAGE(AN820,AL820)</f>
        <v>12125.65</v>
      </c>
      <c r="AO826" s="23">
        <f>IF(ISERROR((AN826/AF826-1)*100),"NA",IF(((AN826/AF826-1)*100)&gt;100,"NM",IF(((AN826/AF826-1)*100)&lt;-50,"NM",(AN826/AF826-1)*100)))</f>
        <v>-2.4540050037407335</v>
      </c>
      <c r="AP826" s="475">
        <f t="shared" si="5572"/>
        <v>11997.999999999998</v>
      </c>
      <c r="AQ826" s="23">
        <f t="shared" ref="AQ826:AQ828" si="5573">IF(ISERROR((AP826/AH826-1)*100),"NA",IF(((AP826/AH826-1)*100)&gt;100,"NM",IF(((AP826/AH826-1)*100)&lt;-50,"NM",(AP826/AH826-1)*100)))</f>
        <v>-6.4691277182068685</v>
      </c>
      <c r="AR826" s="475">
        <f t="shared" ref="AR826:AT828" si="5574">AVERAGE(AR820,AP820)</f>
        <v>11942.15</v>
      </c>
      <c r="AS826" s="23">
        <f t="shared" ref="AS826:AS828" si="5575">IF(ISERROR((AR826/AJ826-1)*100),"NA",IF(((AR826/AJ826-1)*100)&gt;100,"NM",IF(((AR826/AJ826-1)*100)&lt;-50,"NM",(AR826/AJ826-1)*100)))</f>
        <v>-5.818263550974379</v>
      </c>
      <c r="AT826" s="475">
        <f t="shared" si="5574"/>
        <v>11794.05</v>
      </c>
      <c r="AU826" s="23">
        <f t="shared" ref="AU826:AU828" si="5576">IF(ISERROR((AT826/AL826-1)*100),"NA",IF(((AT826/AL826-1)*100)&gt;100,"NM",IF(((AT826/AL826-1)*100)&lt;-50,"NM",(AT826/AL826-1)*100)))</f>
        <v>-5.5985112258374432</v>
      </c>
      <c r="AV826" s="475">
        <f t="shared" ref="AV826:AX828" si="5577">AVERAGE(AV820,AT820)</f>
        <v>11381.199999999999</v>
      </c>
      <c r="AW826" s="23">
        <f t="shared" ref="AW826:AW828" si="5578">IF(ISERROR((AV826/AN826-1)*100),"NA",IF(((AV826/AN826-1)*100)&gt;100,"NM",IF(((AV826/AN826-1)*100)&lt;-50,"NM",(AV826/AN826-1)*100)))</f>
        <v>-6.1394646884909365</v>
      </c>
      <c r="AX826" s="475">
        <f t="shared" si="5577"/>
        <v>10926</v>
      </c>
      <c r="AY826" s="23">
        <f t="shared" ref="AY826:AY828" si="5579">IF(ISERROR((AX826/AP826-1)*100),"NA",IF(((AX826/AP826-1)*100)&gt;100,"NM",IF(((AX826/AP826-1)*100)&lt;-50,"NM",(AX826/AP826-1)*100)))</f>
        <v>-8.934822470411719</v>
      </c>
      <c r="AZ826" s="475">
        <f t="shared" ref="AZ826:AZ828" si="5580">AVERAGE(AZ820,AX820)</f>
        <v>10762.5</v>
      </c>
      <c r="BA826" s="23">
        <f t="shared" ref="BA826:BA828" si="5581">IF(ISERROR((AZ826/AR826-1)*100),"NA",IF(((AZ826/AR826-1)*100)&gt;100,"NM",IF(((AZ826/AR826-1)*100)&lt;-50,"NM",(AZ826/AR826-1)*100)))</f>
        <v>-9.8780370368819703</v>
      </c>
      <c r="BB826" s="475">
        <f t="shared" ref="BB826:BD828" si="5582">AVERAGE(BB820,AZ820)</f>
        <v>10834.050000000001</v>
      </c>
      <c r="BC826" s="23">
        <f t="shared" ref="BC826:BC828" si="5583">IF(ISERROR((BB826/AT826-1)*100),"NA",IF(((BB826/AT826-1)*100)&gt;100,"NM",IF(((BB826/AT826-1)*100)&lt;-50,"NM",(BB826/AT826-1)*100)))</f>
        <v>-8.1396975593625456</v>
      </c>
      <c r="BD826" s="475">
        <f t="shared" si="5582"/>
        <v>9099.8000000000011</v>
      </c>
      <c r="BE826" s="23">
        <f t="shared" ref="BE826:BE828" si="5584">IF(ISERROR((BD826/AV826-1)*100),"NA",IF(((BD826/AV826-1)*100)&gt;100,"NM",IF(((BD826/AV826-1)*100)&lt;-50,"NM",(BD826/AV826-1)*100)))</f>
        <v>-20.045337925702022</v>
      </c>
      <c r="BF826" s="5">
        <f t="shared" ref="BF826:BJ828" si="5585">AVERAGE(BF820,BD820)</f>
        <v>7208.3999218684321</v>
      </c>
      <c r="BG826" s="23">
        <f t="shared" ref="BG826:BG828" si="5586">IF(ISERROR((BF826/AX826-1)*100),"NA",IF(((BF826/AX826-1)*100)&gt;100,"NM",IF(((BF826/AX826-1)*100)&lt;-50,"NM",(BF826/AX826-1)*100)))</f>
        <v>-34.025261560786824</v>
      </c>
      <c r="BH826" s="5">
        <f t="shared" si="5585"/>
        <v>7128.1724259491184</v>
      </c>
      <c r="BI826" s="23">
        <f t="shared" ref="BI826:BI828" si="5587">IF(ISERROR((BH826/AZ826-1)*100),"NA",IF(((BH826/AZ826-1)*100)&gt;100,"NM",IF(((BH826/AZ826-1)*100)&lt;-50,"NM",(BH826/AZ826-1)*100)))</f>
        <v>-33.768432743794484</v>
      </c>
      <c r="BJ826" s="5">
        <f t="shared" si="5585"/>
        <v>7087.4251072556035</v>
      </c>
      <c r="BK826" s="23">
        <f t="shared" ref="BK826:BK828" si="5588">IF(ISERROR((BJ826/BB826-1)*100),"NA",IF(((BJ826/BB826-1)*100)&gt;100,"NM",IF(((BJ826/BB826-1)*100)&lt;-50,"NM",(BJ826/BB826-1)*100)))</f>
        <v>-34.581942050704924</v>
      </c>
      <c r="BL826" s="5">
        <f t="shared" ref="BL826:BL828" si="5589">AVERAGE(BL820,BJ820)</f>
        <v>7031.7113331816799</v>
      </c>
      <c r="BM826" s="23">
        <f t="shared" ref="BM826:BM828" si="5590">IF(ISERROR((BL826/BD826-1)*100),"NA",IF(((BL826/BD826-1)*100)&gt;100,"NM",IF(((BL826/BD826-1)*100)&lt;-50,"NM",(BL826/BD826-1)*100)))</f>
        <v>-22.726748574895282</v>
      </c>
      <c r="BR826" s="6"/>
      <c r="BS826" s="6"/>
      <c r="BT826" s="6"/>
      <c r="BU826" s="6"/>
      <c r="BV826" s="23"/>
      <c r="BW826" s="5">
        <f>AVERAGE(BW820,BU820)</f>
        <v>10561.55</v>
      </c>
      <c r="BX826" s="23" t="str">
        <f t="shared" ref="BX826:CR828" si="5591">IF(ISERROR((BW826/BU826-1)*100),"NA",IF(((BW826/BU826-1)*100)&gt;100,"NM",IF(((BW826/BU826-1)*100)&lt;-50,"NM",(BW826/BU826-1)*100)))</f>
        <v>NA</v>
      </c>
      <c r="BY826" s="5">
        <f>AVERAGE(X826,V826,T826,R826)</f>
        <v>10708.9375</v>
      </c>
      <c r="BZ826" s="23">
        <f t="shared" si="5591"/>
        <v>1.3955101287216332</v>
      </c>
      <c r="CA826" s="5">
        <f>AVERAGE(AF826,AD826,AB826,Z826)</f>
        <v>11797.525000000001</v>
      </c>
      <c r="CB826" s="23">
        <f t="shared" si="5591"/>
        <v>10.165224141050411</v>
      </c>
      <c r="CC826" s="5">
        <f>AVERAGE(AN826,AL826,AJ826,AH826)</f>
        <v>12531.725</v>
      </c>
      <c r="CD826" s="23">
        <f t="shared" si="5591"/>
        <v>6.2233392173358215</v>
      </c>
      <c r="CE826" s="5">
        <f>AVERAGE(AV826,AT826,AR826,AP826)</f>
        <v>11778.85</v>
      </c>
      <c r="CF826" s="23">
        <f t="shared" si="5591"/>
        <v>-6.0077523246001689</v>
      </c>
      <c r="CG826" s="5">
        <f>AVERAGE(BD826,BB826,AZ826,AX826)</f>
        <v>10405.587500000001</v>
      </c>
      <c r="CH826" s="23">
        <f t="shared" si="5591"/>
        <v>-11.658714560419725</v>
      </c>
      <c r="CI826" s="5">
        <f>AVERAGE(BL826,BJ826,BH826,BF826)</f>
        <v>7113.9271970637092</v>
      </c>
      <c r="CJ826" s="23">
        <f t="shared" si="5591"/>
        <v>-31.633584388544055</v>
      </c>
      <c r="CK826" s="5">
        <f>AVERAGE(CK820,CI820)</f>
        <v>7110.0006078263459</v>
      </c>
      <c r="CL826" s="23">
        <f t="shared" si="5591"/>
        <v>-5.5195802945295913E-2</v>
      </c>
      <c r="CM826" s="5">
        <f>AVERAGE(CM820,CK820)</f>
        <v>7335.8126865940221</v>
      </c>
      <c r="CN826" s="23">
        <f t="shared" si="5591"/>
        <v>3.1759783328163538</v>
      </c>
      <c r="CO826" s="5">
        <f>AVERAGE(CO820,CM820)</f>
        <v>7597.2962904022379</v>
      </c>
      <c r="CP826" s="23">
        <f t="shared" si="5591"/>
        <v>3.5644803783781098</v>
      </c>
      <c r="CQ826" s="5">
        <f>AVERAGE(CQ820,CO820)</f>
        <v>7893.8731423767567</v>
      </c>
      <c r="CR826" s="23">
        <f t="shared" si="5591"/>
        <v>3.9037157514731691</v>
      </c>
      <c r="CS826" s="23"/>
      <c r="CT826" s="28"/>
    </row>
    <row r="827" spans="1:105" ht="12.75" hidden="1" customHeight="1" outlineLevel="1" x14ac:dyDescent="0.2">
      <c r="A827" s="165" t="s">
        <v>267</v>
      </c>
      <c r="B827" s="5">
        <f>AVERAGE(B821)</f>
        <v>3010</v>
      </c>
      <c r="C827" s="82"/>
      <c r="D827" s="5">
        <f>AVERAGE(D821,B821)</f>
        <v>3010</v>
      </c>
      <c r="E827" s="82"/>
      <c r="F827" s="5">
        <f>AVERAGE(F821,D821)</f>
        <v>3010</v>
      </c>
      <c r="G827" s="82"/>
      <c r="H827" s="5">
        <f>AVERAGE(H821,F821)</f>
        <v>3231</v>
      </c>
      <c r="I827" s="82"/>
      <c r="J827" s="5">
        <f>AVERAGE(J821,H821)</f>
        <v>3452</v>
      </c>
      <c r="K827" s="23"/>
      <c r="L827" s="5">
        <f>AVERAGE(L821,J821)</f>
        <v>3452</v>
      </c>
      <c r="M827" s="23"/>
      <c r="N827" s="5">
        <f>AVERAGE(N821,L821)</f>
        <v>3452</v>
      </c>
      <c r="O827" s="23"/>
      <c r="P827" s="5">
        <f>AVERAGE(P821,N821)</f>
        <v>3357</v>
      </c>
      <c r="Q827" s="23"/>
      <c r="R827" s="175">
        <f>R821</f>
        <v>4589</v>
      </c>
      <c r="S827" s="23">
        <f t="shared" si="5571"/>
        <v>32.937427578215519</v>
      </c>
      <c r="T827" s="5">
        <f>AVERAGE(T821,R821)</f>
        <v>4286</v>
      </c>
      <c r="U827" s="23">
        <f t="shared" si="5571"/>
        <v>24.159907300115879</v>
      </c>
      <c r="V827" s="5">
        <f>AVERAGE(V821,T821)</f>
        <v>3713.5</v>
      </c>
      <c r="W827" s="23">
        <f t="shared" si="5571"/>
        <v>7.5753186558516816</v>
      </c>
      <c r="X827" s="5">
        <f>AVERAGE(X821,V821)</f>
        <v>3281.5</v>
      </c>
      <c r="Y827" s="23">
        <f t="shared" si="5571"/>
        <v>-2.2490318736967496</v>
      </c>
      <c r="Z827" s="5">
        <f>AVERAGE(Z821,X821)</f>
        <v>3129.5</v>
      </c>
      <c r="AA827" s="23">
        <f>IF(ISERROR((Z827/R827-1)*100),"NA",IF(((Z827/R827-1)*100)&gt;100,"NM",IF(((Z827/R827-1)*100)&lt;-50,"NM",(Z827/R827-1)*100)))</f>
        <v>-31.804314665504464</v>
      </c>
      <c r="AB827" s="5">
        <f>AVERAGE(AB821,Z821)</f>
        <v>3216.5</v>
      </c>
      <c r="AC827" s="23">
        <f>IF(ISERROR((AB827/T827-1)*100),"NA",IF(((AB827/T827-1)*100)&gt;100,"NM",IF(((AB827/T827-1)*100)&lt;-50,"NM",(AB827/T827-1)*100)))</f>
        <v>-24.953336444237053</v>
      </c>
      <c r="AD827" s="5">
        <f>AVERAGE(AD821,AB821)</f>
        <v>3383.5</v>
      </c>
      <c r="AE827" s="23">
        <f>IF(ISERROR((AD827/V827-1)*100),"NA",IF(((AD827/V827-1)*100)&gt;100,"NM",IF(((AD827/V827-1)*100)&lt;-50,"NM",(AD827/V827-1)*100)))</f>
        <v>-8.8864952201427201</v>
      </c>
      <c r="AF827" s="5">
        <f>AVERAGE(AF821,AD821)</f>
        <v>3028</v>
      </c>
      <c r="AG827" s="23">
        <f>IF(ISERROR((AF827/X827-1)*100),"NA",IF(((AF827/X827-1)*100)&gt;100,"NM",IF(((AF827/X827-1)*100)&lt;-50,"NM",(AF827/X827-1)*100)))</f>
        <v>-7.7251257047082138</v>
      </c>
      <c r="AH827" s="5">
        <f>AVERAGE(AH821,AF821)</f>
        <v>2599</v>
      </c>
      <c r="AI827" s="23">
        <f>IF(ISERROR((AH827/Z827-1)*100),"NA",IF(((AH827/Z827-1)*100)&gt;100,"NM",IF(((AH827/Z827-1)*100)&lt;-50,"NM",(AH827/Z827-1)*100)))</f>
        <v>-16.951589710816428</v>
      </c>
      <c r="AJ827" s="5">
        <f>AVERAGE(AJ821,AH821)</f>
        <v>2633</v>
      </c>
      <c r="AK827" s="23">
        <f>IF(ISERROR((AJ827/AB827-1)*100),"NA",IF(((AJ827/AB827-1)*100)&gt;100,"NM",IF(((AJ827/AB827-1)*100)&lt;-50,"NM",(AJ827/AB827-1)*100)))</f>
        <v>-18.140836312762321</v>
      </c>
      <c r="AL827" s="5">
        <f>AVERAGE(AL821,AJ821)</f>
        <v>2650</v>
      </c>
      <c r="AM827" s="23">
        <f>IF(ISERROR((AL827/AD827-1)*100),"NA",IF(((AL827/AD827-1)*100)&gt;100,"NM",IF(((AL827/AD827-1)*100)&lt;-50,"NM",(AL827/AD827-1)*100)))</f>
        <v>-21.678735037682873</v>
      </c>
      <c r="AN827" s="475">
        <f t="shared" si="5572"/>
        <v>2743</v>
      </c>
      <c r="AO827" s="23">
        <f>IF(ISERROR((AN827/AF827-1)*100),"NA",IF(((AN827/AF827-1)*100)&gt;100,"NM",IF(((AN827/AF827-1)*100)&lt;-50,"NM",(AN827/AF827-1)*100)))</f>
        <v>-9.4121532364597087</v>
      </c>
      <c r="AP827" s="475">
        <f t="shared" si="5572"/>
        <v>3083.5</v>
      </c>
      <c r="AQ827" s="23">
        <f t="shared" si="5573"/>
        <v>18.641785302039239</v>
      </c>
      <c r="AR827" s="475">
        <f t="shared" si="5574"/>
        <v>3301.5</v>
      </c>
      <c r="AS827" s="23">
        <f t="shared" si="5575"/>
        <v>25.389289783516912</v>
      </c>
      <c r="AT827" s="475">
        <f t="shared" si="5574"/>
        <v>3076</v>
      </c>
      <c r="AU827" s="23">
        <f t="shared" si="5576"/>
        <v>16.075471698113208</v>
      </c>
      <c r="AV827" s="475">
        <f t="shared" si="5577"/>
        <v>2563</v>
      </c>
      <c r="AW827" s="23">
        <f t="shared" si="5578"/>
        <v>-6.5621582209259959</v>
      </c>
      <c r="AX827" s="475">
        <f t="shared" si="5577"/>
        <v>2039</v>
      </c>
      <c r="AY827" s="23">
        <f t="shared" si="5579"/>
        <v>-33.873844657045559</v>
      </c>
      <c r="AZ827" s="475">
        <f t="shared" si="5580"/>
        <v>1832</v>
      </c>
      <c r="BA827" s="23">
        <f t="shared" si="5581"/>
        <v>-44.510071179766776</v>
      </c>
      <c r="BB827" s="475">
        <f t="shared" si="5582"/>
        <v>1832</v>
      </c>
      <c r="BC827" s="23">
        <f t="shared" si="5583"/>
        <v>-40.442132639791936</v>
      </c>
      <c r="BD827" s="475">
        <f t="shared" si="5582"/>
        <v>1832</v>
      </c>
      <c r="BE827" s="23">
        <f t="shared" si="5584"/>
        <v>-28.521264143581739</v>
      </c>
      <c r="BF827" s="5">
        <f t="shared" si="5585"/>
        <v>1832</v>
      </c>
      <c r="BG827" s="23">
        <f t="shared" si="5586"/>
        <v>-10.152035311427166</v>
      </c>
      <c r="BH827" s="5">
        <f t="shared" si="5585"/>
        <v>1832</v>
      </c>
      <c r="BI827" s="23">
        <f t="shared" si="5587"/>
        <v>0</v>
      </c>
      <c r="BJ827" s="5">
        <f t="shared" si="5585"/>
        <v>1832</v>
      </c>
      <c r="BK827" s="23">
        <f t="shared" si="5588"/>
        <v>0</v>
      </c>
      <c r="BL827" s="5">
        <f t="shared" si="5589"/>
        <v>1832</v>
      </c>
      <c r="BM827" s="23">
        <f t="shared" si="5590"/>
        <v>0</v>
      </c>
      <c r="BR827" s="6"/>
      <c r="BS827" s="6"/>
      <c r="BT827" s="6"/>
      <c r="BU827" s="6"/>
      <c r="BV827" s="23"/>
      <c r="BW827" s="5">
        <f>AVERAGE(BW821,BU821)</f>
        <v>3357</v>
      </c>
      <c r="BX827" s="23" t="str">
        <f t="shared" si="5591"/>
        <v>NA</v>
      </c>
      <c r="BY827" s="5">
        <f>AVERAGE(X827,V827,T827,R827)</f>
        <v>3967.5</v>
      </c>
      <c r="BZ827" s="23">
        <f t="shared" si="5591"/>
        <v>18.185880250223406</v>
      </c>
      <c r="CA827" s="5">
        <f>AVERAGE(AF827,AD827,AB827,Z827)</f>
        <v>3189.375</v>
      </c>
      <c r="CB827" s="23">
        <f t="shared" si="5591"/>
        <v>-19.6124763705104</v>
      </c>
      <c r="CC827" s="5">
        <f>AVERAGE(AN827,AL827,AJ827,AH827)</f>
        <v>2656.25</v>
      </c>
      <c r="CD827" s="23">
        <f t="shared" si="5591"/>
        <v>-16.715657456398191</v>
      </c>
      <c r="CE827" s="5">
        <f>AVERAGE(AV827,AT827,AR827,AP827)</f>
        <v>3006</v>
      </c>
      <c r="CF827" s="23">
        <f t="shared" si="5591"/>
        <v>13.16705882352942</v>
      </c>
      <c r="CG827" s="5">
        <f>AVERAGE(BD827,BB827,AZ827,AX827)</f>
        <v>1883.75</v>
      </c>
      <c r="CH827" s="23">
        <f t="shared" si="5591"/>
        <v>-37.33366600133067</v>
      </c>
      <c r="CI827" s="5">
        <f>AVERAGE(BL827,BJ827,BH827,BF827)</f>
        <v>1832</v>
      </c>
      <c r="CJ827" s="23">
        <f t="shared" si="5591"/>
        <v>-2.7471798274718018</v>
      </c>
      <c r="CK827" s="5">
        <f>AVERAGE(CK821,CI821)</f>
        <v>1767.88</v>
      </c>
      <c r="CL827" s="23">
        <f t="shared" si="5591"/>
        <v>-3.499999999999992</v>
      </c>
      <c r="CM827" s="5">
        <f>AVERAGE(CM821,CK821)</f>
        <v>1644.1284000000001</v>
      </c>
      <c r="CN827" s="23">
        <f t="shared" si="5591"/>
        <v>-7.0000000000000062</v>
      </c>
      <c r="CO827" s="5">
        <f>AVERAGE(CO821,CM821)</f>
        <v>1529.0394120000001</v>
      </c>
      <c r="CP827" s="23">
        <f t="shared" si="5591"/>
        <v>-6.9999999999999947</v>
      </c>
      <c r="CQ827" s="5">
        <f>AVERAGE(CQ821,CO821)</f>
        <v>1422.0066531600003</v>
      </c>
      <c r="CR827" s="23">
        <f t="shared" si="5591"/>
        <v>-6.999999999999984</v>
      </c>
      <c r="CS827" s="23"/>
      <c r="CT827" s="28"/>
    </row>
    <row r="828" spans="1:105" ht="12.75" hidden="1" customHeight="1" outlineLevel="1" x14ac:dyDescent="0.2">
      <c r="A828" s="165" t="s">
        <v>363</v>
      </c>
      <c r="B828" s="5">
        <f>AVERAGE(B822)</f>
        <v>3691.6000000000004</v>
      </c>
      <c r="C828" s="82"/>
      <c r="D828" s="5">
        <f>AVERAGE(D822,B822)</f>
        <v>5203.8499999999995</v>
      </c>
      <c r="E828" s="82"/>
      <c r="F828" s="5">
        <f>AVERAGE(F822,D822)</f>
        <v>7203.6</v>
      </c>
      <c r="G828" s="82"/>
      <c r="H828" s="5">
        <f>AVERAGE(H822,F822)</f>
        <v>7299.0000000000009</v>
      </c>
      <c r="I828" s="82"/>
      <c r="J828" s="5">
        <f>AVERAGE(J822,H822)</f>
        <v>6648.9000000000005</v>
      </c>
      <c r="K828" s="23"/>
      <c r="L828" s="5">
        <f>AVERAGE(L822,J822)</f>
        <v>6679.6</v>
      </c>
      <c r="M828" s="23"/>
      <c r="N828" s="5">
        <f>AVERAGE(N822,L822)</f>
        <v>7162.65</v>
      </c>
      <c r="O828" s="23"/>
      <c r="P828" s="5">
        <f>AVERAGE(P822,N822)</f>
        <v>7429.6</v>
      </c>
      <c r="Q828" s="23"/>
      <c r="R828" s="175">
        <f>R826-R827</f>
        <v>6062.2500000000018</v>
      </c>
      <c r="S828" s="23">
        <f t="shared" si="5571"/>
        <v>-8.8232639985561292</v>
      </c>
      <c r="T828" s="5">
        <f>AVERAGE(T822,R822)</f>
        <v>6175.0500000000011</v>
      </c>
      <c r="U828" s="23">
        <f t="shared" si="5571"/>
        <v>-7.5535960237139825</v>
      </c>
      <c r="V828" s="5">
        <f>AVERAGE(V822,T822)</f>
        <v>6888.4</v>
      </c>
      <c r="W828" s="23">
        <f t="shared" si="5571"/>
        <v>-3.8288901454070823</v>
      </c>
      <c r="X828" s="5">
        <f>AVERAGE(X822,V822)</f>
        <v>7840.0499999999993</v>
      </c>
      <c r="Y828" s="23">
        <f t="shared" si="5571"/>
        <v>5.5245235275115601</v>
      </c>
      <c r="Z828" s="5">
        <f>AVERAGE(Z822,X822)</f>
        <v>8294.0499999999993</v>
      </c>
      <c r="AA828" s="23">
        <f>IF(ISERROR((Z828/R828-1)*100),"NA",IF(((Z828/R828-1)*100)&gt;100,"NM",IF(((Z828/R828-1)*100)&lt;-50,"NM",(Z828/R828-1)*100)))</f>
        <v>36.814714008825057</v>
      </c>
      <c r="AB828" s="5">
        <f>AVERAGE(AB822,Z822)</f>
        <v>8352.7000000000007</v>
      </c>
      <c r="AC828" s="23">
        <f>IF(ISERROR((AB828/T828-1)*100),"NA",IF(((AB828/T828-1)*100)&gt;100,"NM",IF(((AB828/T828-1)*100)&lt;-50,"NM",(AB828/T828-1)*100)))</f>
        <v>35.265301495534437</v>
      </c>
      <c r="AD828" s="5">
        <f>AVERAGE(AD822,AB822)</f>
        <v>8383.1500000000015</v>
      </c>
      <c r="AE828" s="23">
        <f>IF(ISERROR((AD828/V828-1)*100),"NA",IF(((AD828/V828-1)*100)&gt;100,"NM",IF(((AD828/V828-1)*100)&lt;-50,"NM",(AD828/V828-1)*100)))</f>
        <v>21.699523837175573</v>
      </c>
      <c r="AF828" s="5">
        <f>AVERAGE(AF822,AD822)</f>
        <v>9402.6999999999989</v>
      </c>
      <c r="AG828" s="23">
        <f>IF(ISERROR((AF828/X828-1)*100),"NA",IF(((AF828/X828-1)*100)&gt;100,"NM",IF(((AF828/X828-1)*100)&lt;-50,"NM",(AF828/X828-1)*100)))</f>
        <v>19.931633089074687</v>
      </c>
      <c r="AH828" s="5">
        <f>AVERAGE(AH822,AF822)</f>
        <v>10228.849999999999</v>
      </c>
      <c r="AI828" s="23">
        <f>IF(ISERROR((AH828/Z828-1)*100),"NA",IF(((AH828/Z828-1)*100)&gt;100,"NM",IF(((AH828/Z828-1)*100)&lt;-50,"NM",(AH828/Z828-1)*100)))</f>
        <v>23.327566146816082</v>
      </c>
      <c r="AJ828" s="5">
        <f>AVERAGE(AJ822,AH822)</f>
        <v>10046.9</v>
      </c>
      <c r="AK828" s="23">
        <f>IF(ISERROR((AJ828/AB828-1)*100),"NA",IF(((AJ828/AB828-1)*100)&gt;100,"NM",IF(((AJ828/AB828-1)*100)&lt;-50,"NM",(AJ828/AB828-1)*100)))</f>
        <v>20.283261699809628</v>
      </c>
      <c r="AL828" s="5">
        <f>AVERAGE(AL822,AJ822)</f>
        <v>9843.5</v>
      </c>
      <c r="AM828" s="23">
        <f>IF(ISERROR((AL828/AD828-1)*100),"NA",IF(((AL828/AD828-1)*100)&gt;100,"NM",IF(((AL828/AD828-1)*100)&lt;-50,"NM",(AL828/AD828-1)*100)))</f>
        <v>17.420062864197796</v>
      </c>
      <c r="AN828" s="475">
        <f t="shared" si="5572"/>
        <v>9382.65</v>
      </c>
      <c r="AO828" s="23">
        <f>IF(ISERROR((AN828/AF828-1)*100),"NA",IF(((AN828/AF828-1)*100)&gt;100,"NM",IF(((AN828/AF828-1)*100)&lt;-50,"NM",(AN828/AF828-1)*100)))</f>
        <v>-0.21323662352302764</v>
      </c>
      <c r="AP828" s="475">
        <f t="shared" si="5572"/>
        <v>8914.4999999999982</v>
      </c>
      <c r="AQ828" s="23">
        <f t="shared" si="5573"/>
        <v>-12.849440552945834</v>
      </c>
      <c r="AR828" s="475">
        <f t="shared" si="5574"/>
        <v>8640.65</v>
      </c>
      <c r="AS828" s="23">
        <f t="shared" si="5575"/>
        <v>-13.996854751216791</v>
      </c>
      <c r="AT828" s="475">
        <f t="shared" si="5574"/>
        <v>8718.0499999999993</v>
      </c>
      <c r="AU828" s="23">
        <f t="shared" si="5576"/>
        <v>-11.433433230050294</v>
      </c>
      <c r="AV828" s="475">
        <f t="shared" si="5577"/>
        <v>8818.1999999999989</v>
      </c>
      <c r="AW828" s="23">
        <f t="shared" si="5578"/>
        <v>-6.0158910329171427</v>
      </c>
      <c r="AX828" s="475">
        <f t="shared" si="5577"/>
        <v>8887</v>
      </c>
      <c r="AY828" s="23">
        <f t="shared" si="5579"/>
        <v>-0.30848617421053159</v>
      </c>
      <c r="AZ828" s="475">
        <f t="shared" si="5580"/>
        <v>8930.5</v>
      </c>
      <c r="BA828" s="23">
        <f t="shared" si="5581"/>
        <v>3.3544930068918566</v>
      </c>
      <c r="BB828" s="475">
        <f t="shared" si="5582"/>
        <v>9002.0500000000011</v>
      </c>
      <c r="BC828" s="23">
        <f t="shared" si="5583"/>
        <v>3.2576092130694567</v>
      </c>
      <c r="BD828" s="475">
        <f t="shared" si="5582"/>
        <v>7267.8000000000011</v>
      </c>
      <c r="BE828" s="23">
        <f t="shared" si="5584"/>
        <v>-17.581819418929012</v>
      </c>
      <c r="BF828" s="5">
        <f t="shared" si="5585"/>
        <v>5376.3999218684321</v>
      </c>
      <c r="BG828" s="23">
        <f t="shared" si="5586"/>
        <v>-39.502645191083239</v>
      </c>
      <c r="BH828" s="5">
        <f t="shared" si="5585"/>
        <v>5296.1724259491184</v>
      </c>
      <c r="BI828" s="23">
        <f t="shared" si="5587"/>
        <v>-40.69567856280031</v>
      </c>
      <c r="BJ828" s="5">
        <f t="shared" si="5585"/>
        <v>5255.4251072556035</v>
      </c>
      <c r="BK828" s="23">
        <f t="shared" si="5588"/>
        <v>-41.619685435477436</v>
      </c>
      <c r="BL828" s="5">
        <f t="shared" si="5589"/>
        <v>5199.7113331816799</v>
      </c>
      <c r="BM828" s="23">
        <f t="shared" si="5590"/>
        <v>-28.455497768490069</v>
      </c>
      <c r="BR828" s="6"/>
      <c r="BS828" s="6"/>
      <c r="BT828" s="6"/>
      <c r="BU828" s="5">
        <f>AVERAGE(BU822)</f>
        <v>6906.9</v>
      </c>
      <c r="BV828" s="23"/>
      <c r="BW828" s="5">
        <f>AVERAGE(BW822,BU822)</f>
        <v>7204.55</v>
      </c>
      <c r="BX828" s="23">
        <f t="shared" si="5591"/>
        <v>4.3094586572847593</v>
      </c>
      <c r="BY828" s="5">
        <f>AVERAGE(X828,V828,T828,R828)</f>
        <v>6741.4375</v>
      </c>
      <c r="BZ828" s="23">
        <f t="shared" si="5591"/>
        <v>-6.4280558813527566</v>
      </c>
      <c r="CA828" s="5">
        <f>AVERAGE(AF828,AD828,AB828,Z828)</f>
        <v>8608.15</v>
      </c>
      <c r="CB828" s="23">
        <f t="shared" si="5591"/>
        <v>27.690125436896796</v>
      </c>
      <c r="CC828" s="5">
        <f>AVERAGE(AN828,AL828,AJ828,AH828)</f>
        <v>9875.4750000000004</v>
      </c>
      <c r="CD828" s="23">
        <f t="shared" si="5591"/>
        <v>14.722385181484988</v>
      </c>
      <c r="CE828" s="5">
        <f>AVERAGE(AV828,AT828,AR828,AP828)</f>
        <v>8772.85</v>
      </c>
      <c r="CF828" s="23">
        <f t="shared" si="5591"/>
        <v>-11.165285720433705</v>
      </c>
      <c r="CG828" s="5">
        <f>AVERAGE(BD828,BB828,AZ828,AX828)</f>
        <v>8521.8375000000015</v>
      </c>
      <c r="CH828" s="23">
        <f t="shared" si="5591"/>
        <v>-2.861242355676874</v>
      </c>
      <c r="CI828" s="5">
        <f>AVERAGE(BL828,BJ828,BH828,BF828)</f>
        <v>5281.9271970637083</v>
      </c>
      <c r="CJ828" s="23">
        <f t="shared" si="5591"/>
        <v>-38.018916729359042</v>
      </c>
      <c r="CK828" s="5">
        <f>AVERAGE(CK822,CI822)</f>
        <v>5342.1206078263458</v>
      </c>
      <c r="CL828" s="23">
        <f t="shared" si="5591"/>
        <v>1.1396107616950868</v>
      </c>
      <c r="CM828" s="5">
        <f>AVERAGE(CM822,CK822)</f>
        <v>5691.6842865940216</v>
      </c>
      <c r="CN828" s="23">
        <f t="shared" si="5591"/>
        <v>6.5435377526961158</v>
      </c>
      <c r="CO828" s="5">
        <f>AVERAGE(CO822,CM822)</f>
        <v>6068.2568784022378</v>
      </c>
      <c r="CP828" s="23">
        <f t="shared" si="5591"/>
        <v>6.6161890373150456</v>
      </c>
      <c r="CQ828" s="5">
        <f>AVERAGE(CQ822,CO822)</f>
        <v>6471.8664892167562</v>
      </c>
      <c r="CR828" s="23">
        <f t="shared" si="5591"/>
        <v>6.6511622514040303</v>
      </c>
      <c r="CS828" s="23"/>
      <c r="CT828" s="28"/>
    </row>
    <row r="829" spans="1:105" ht="12.75" hidden="1" customHeight="1" outlineLevel="1" x14ac:dyDescent="0.2">
      <c r="A829" s="165"/>
      <c r="B829" s="5"/>
      <c r="C829" s="82"/>
      <c r="D829" s="5"/>
      <c r="E829" s="82"/>
      <c r="F829" s="5"/>
      <c r="G829" s="82"/>
      <c r="H829" s="5"/>
      <c r="I829" s="82"/>
      <c r="J829" s="5"/>
      <c r="K829" s="23"/>
      <c r="L829" s="5"/>
      <c r="M829" s="23"/>
      <c r="N829" s="5"/>
      <c r="O829" s="23"/>
      <c r="P829" s="5"/>
      <c r="Q829" s="23"/>
      <c r="R829" s="175"/>
      <c r="S829" s="23"/>
      <c r="T829" s="175"/>
      <c r="U829" s="23"/>
      <c r="V829" s="175"/>
      <c r="W829" s="23"/>
      <c r="X829" s="175"/>
      <c r="Y829" s="23"/>
      <c r="Z829" s="175"/>
      <c r="AA829" s="23"/>
      <c r="AB829" s="175"/>
      <c r="AC829" s="23"/>
      <c r="AD829" s="175"/>
      <c r="AE829" s="23"/>
      <c r="AF829" s="175"/>
      <c r="AG829" s="23"/>
      <c r="AH829" s="175"/>
      <c r="AI829" s="23"/>
      <c r="AJ829" s="175"/>
      <c r="AK829" s="23"/>
      <c r="AL829" s="175"/>
      <c r="AM829" s="23"/>
      <c r="AN829" s="175"/>
      <c r="AO829" s="23"/>
      <c r="AP829" s="175"/>
      <c r="AQ829" s="23"/>
      <c r="AR829" s="475"/>
      <c r="AS829" s="23"/>
      <c r="AT829" s="475"/>
      <c r="AU829" s="23"/>
      <c r="AV829" s="475"/>
      <c r="AW829" s="23"/>
      <c r="AX829" s="475"/>
      <c r="AY829" s="23"/>
      <c r="AZ829" s="475"/>
      <c r="BA829" s="23"/>
      <c r="BB829" s="475"/>
      <c r="BC829" s="23"/>
      <c r="BD829" s="475"/>
      <c r="BE829" s="23"/>
      <c r="BF829" s="5"/>
      <c r="BG829" s="23"/>
      <c r="BH829" s="5"/>
      <c r="BI829" s="23"/>
      <c r="BJ829" s="5"/>
      <c r="BK829" s="23"/>
      <c r="BL829" s="5"/>
      <c r="BM829" s="23"/>
      <c r="BR829" s="6"/>
      <c r="BS829" s="6"/>
      <c r="BT829" s="6"/>
      <c r="BU829" s="6"/>
      <c r="BV829" s="23"/>
      <c r="BW829" s="5"/>
      <c r="BX829" s="23"/>
      <c r="BY829" s="5"/>
      <c r="BZ829" s="23"/>
      <c r="CA829" s="5"/>
      <c r="CB829" s="23"/>
      <c r="CC829" s="5"/>
      <c r="CD829" s="23"/>
      <c r="CE829" s="5"/>
      <c r="CF829" s="23"/>
      <c r="CG829" s="5"/>
      <c r="CH829" s="23"/>
      <c r="CI829" s="5"/>
      <c r="CJ829" s="23"/>
      <c r="CK829" s="5"/>
      <c r="CL829" s="23"/>
      <c r="CM829" s="5"/>
      <c r="CN829" s="23"/>
      <c r="CO829" s="5"/>
      <c r="CP829" s="23"/>
      <c r="CQ829" s="5"/>
      <c r="CR829" s="23"/>
      <c r="CS829" s="23"/>
      <c r="CT829" s="28"/>
    </row>
    <row r="830" spans="1:105" s="42" customFormat="1" ht="12.75" hidden="1" customHeight="1" outlineLevel="1" x14ac:dyDescent="0.2">
      <c r="A830" s="46" t="s">
        <v>364</v>
      </c>
      <c r="B830" s="33">
        <f>B819/B828*400</f>
        <v>17.640801304583377</v>
      </c>
      <c r="C830" s="170"/>
      <c r="D830" s="33">
        <f>D819/D828*400</f>
        <v>15.020099872210007</v>
      </c>
      <c r="E830" s="170"/>
      <c r="F830" s="33">
        <f>F819/F828*400</f>
        <v>11.074695486145812</v>
      </c>
      <c r="G830" s="170"/>
      <c r="H830" s="33">
        <f>H819/H828*400</f>
        <v>9.3320968603918342</v>
      </c>
      <c r="I830" s="170"/>
      <c r="J830" s="33">
        <f>J819/J828*400</f>
        <v>9.3853720164237568</v>
      </c>
      <c r="K830" s="23">
        <f>IF(ISERROR((J830/B830-1)*100),"NA",IF(((J830/B830-1)*100)&gt;100,"NM",IF(((J830/B830-1)*100)&lt;-50,"NM",(J830/B830-1)*100)))</f>
        <v>-46.797359970347387</v>
      </c>
      <c r="L830" s="33">
        <f>L819/L828*400</f>
        <v>7.7477094436792626</v>
      </c>
      <c r="M830" s="23">
        <f>IF(ISERROR((L830/D830-1)*100),"NA",IF(((L830/D830-1)*100)&gt;100,"NM",IF(((L830/D830-1)*100)&lt;-50,"NM",(L830/D830-1)*100)))</f>
        <v>-48.417723519841751</v>
      </c>
      <c r="N830" s="33">
        <f>N819/N828*400</f>
        <v>9.8032990583094257</v>
      </c>
      <c r="O830" s="23">
        <f>IF(ISERROR((N830/F830-1)*100),"NA",IF(((N830/F830-1)*100)&gt;100,"NM",IF(((N830/F830-1)*100)&lt;-50,"NM",(N830/F830-1)*100)))</f>
        <v>-11.480193107132141</v>
      </c>
      <c r="P830" s="33">
        <f>P819/P828*400</f>
        <v>7.2980510390869027</v>
      </c>
      <c r="Q830" s="23">
        <f>IF(ISERROR((P830/H830-1)*100),"NA",IF(((P830/H830-1)*100)&gt;100,"NM",IF(((P830/H830-1)*100)&lt;-50,"NM",(P830/H830-1)*100)))</f>
        <v>-21.796235634223006</v>
      </c>
      <c r="R830" s="33">
        <f>R819/R828*400</f>
        <v>10.999216462534536</v>
      </c>
      <c r="S830" s="23">
        <f>IF(ISERROR((R830/J830-1)*100),"NA",IF(((R830/J830-1)*100)&gt;100,"NM",IF(((R830/J830-1)*100)&lt;-50,"NM",(R830/J830-1)*100)))</f>
        <v>17.1953167470257</v>
      </c>
      <c r="T830" s="33">
        <f>T819/T828*400</f>
        <v>11.452538845839298</v>
      </c>
      <c r="U830" s="23">
        <f>IF(ISERROR((T830/L830-1)*100),"NA",IF(((T830/L830-1)*100)&gt;100,"NM",IF(((T830/L830-1)*100)&lt;-50,"NM",(T830/L830-1)*100)))</f>
        <v>47.818383344028348</v>
      </c>
      <c r="V830" s="33">
        <f>V819/V828*400</f>
        <v>16.426456071075997</v>
      </c>
      <c r="W830" s="23">
        <f>IF(ISERROR((V830/N830-1)*100),"NA",IF(((V830/N830-1)*100)&gt;100,"NM",IF(((V830/N830-1)*100)&lt;-50,"NM",(V830/N830-1)*100)))</f>
        <v>67.560491354720867</v>
      </c>
      <c r="X830" s="33">
        <f>X819/X828*400</f>
        <v>10.111415105771005</v>
      </c>
      <c r="Y830" s="23">
        <f>IF(ISERROR((X830/P830-1)*100),"NA",IF(((X830/P830-1)*100)&gt;100,"NM",IF(((X830/P830-1)*100)&lt;-50,"NM",(X830/P830-1)*100)))</f>
        <v>38.549525779092079</v>
      </c>
      <c r="Z830" s="33">
        <f>Z819/Z828*400</f>
        <v>7.2444704336241106</v>
      </c>
      <c r="AA830" s="23">
        <f>IF(ISERROR((Z830/R830-1)*100),"NA",IF(((Z830/R830-1)*100)&gt;100,"NM",IF(((Z830/R830-1)*100)&lt;-50,"NM",(Z830/R830-1)*100)))</f>
        <v>-34.136486373368669</v>
      </c>
      <c r="AB830" s="33">
        <f>AB819/AB828*400</f>
        <v>10.216097788738967</v>
      </c>
      <c r="AC830" s="23">
        <f>IF(ISERROR((AB830/T830-1)*100),"NA",IF(((AB830/T830-1)*100)&gt;100,"NM",IF(((AB830/T830-1)*100)&lt;-50,"NM",(AB830/T830-1)*100)))</f>
        <v>-10.796217971786481</v>
      </c>
      <c r="AD830" s="33">
        <f>AD819/AD828*400</f>
        <v>9.1306966951563542</v>
      </c>
      <c r="AE830" s="23">
        <f>IF(ISERROR((AD830/V830-1)*100),"NA",IF(((AD830/V830-1)*100)&gt;100,"NM",IF(((AD830/V830-1)*100)&lt;-50,"NM",(AD830/V830-1)*100)))</f>
        <v>-44.414688989222384</v>
      </c>
      <c r="AF830" s="33">
        <f>AF819/AF828*400</f>
        <v>10.424665255724417</v>
      </c>
      <c r="AG830" s="23">
        <f>IF(ISERROR((AF830/X830-1)*100),"NA",IF(((AF830/X830-1)*100)&gt;100,"NM",IF(((AF830/X830-1)*100)&lt;-50,"NM",(AF830/X830-1)*100)))</f>
        <v>3.0979852639481331</v>
      </c>
      <c r="AH830" s="33">
        <f>AH819/AH828*400</f>
        <v>7.7035443867101412</v>
      </c>
      <c r="AI830" s="23">
        <f>IF(ISERROR((AH830/Z830-1)*100),"NA",IF(((AH830/Z830-1)*100)&gt;100,"NM",IF(((AH830/Z830-1)*100)&lt;-50,"NM",(AH830/Z830-1)*100)))</f>
        <v>6.3368876620064407</v>
      </c>
      <c r="AJ830" s="33">
        <f>AJ819/AJ828*400</f>
        <v>7.106669719017809</v>
      </c>
      <c r="AK830" s="23">
        <f>IF(ISERROR((AJ830/AB830-1)*100),"NA",IF(((AJ830/AB830-1)*100)&gt;100,"NM",IF(((AJ830/AB830-1)*100)&lt;-50,"NM",(AJ830/AB830-1)*100)))</f>
        <v>-30.436553506257823</v>
      </c>
      <c r="AL830" s="33">
        <f>AL819/AL828*400</f>
        <v>3.788408594503978</v>
      </c>
      <c r="AM830" s="23" t="str">
        <f>IF(ISERROR((AL830/AD830-1)*100),"NA",IF(((AL830/AD830-1)*100)&gt;100,"NM",IF(((AL830/AD830-1)*100)&lt;-50,"NM",(AL830/AD830-1)*100)))</f>
        <v>NM</v>
      </c>
      <c r="AN830" s="33">
        <f t="shared" ref="AN830:AP830" si="5592">AN819/AN828*400</f>
        <v>8.357724097136737</v>
      </c>
      <c r="AO830" s="23">
        <f>IF(ISERROR((AN830/AF830-1)*100),"NA",IF(((AN830/AF830-1)*100)&gt;100,"NM",IF(((AN830/AF830-1)*100)&lt;-50,"NM",(AN830/AF830-1)*100)))</f>
        <v>-19.827410356919383</v>
      </c>
      <c r="AP830" s="33">
        <f t="shared" si="5592"/>
        <v>2.6606539906893194</v>
      </c>
      <c r="AQ830" s="23" t="str">
        <f t="shared" ref="AQ830:AQ831" si="5593">IF(ISERROR((AP830/AH830-1)*100),"NA",IF(((AP830/AH830-1)*100)&gt;100,"NM",IF(((AP830/AH830-1)*100)&lt;-50,"NM",(AP830/AH830-1)*100)))</f>
        <v>NM</v>
      </c>
      <c r="AR830" s="33">
        <f t="shared" ref="AR830:AT830" si="5594">AR819/AR828*400</f>
        <v>4.1080242805807448</v>
      </c>
      <c r="AS830" s="23">
        <f t="shared" ref="AS830:AS831" si="5595">IF(ISERROR((AR830/AJ830-1)*100),"NA",IF(((AR830/AJ830-1)*100)&gt;100,"NM",IF(((AR830/AJ830-1)*100)&lt;-50,"NM",(AR830/AJ830-1)*100)))</f>
        <v>-42.194805119654518</v>
      </c>
      <c r="AT830" s="33">
        <f t="shared" si="5594"/>
        <v>-1.1512666249906829</v>
      </c>
      <c r="AU830" s="23" t="str">
        <f t="shared" ref="AU830:AU831" si="5596">IF(ISERROR((AT830/AL830-1)*100),"NA",IF(((AT830/AL830-1)*100)&gt;100,"NM",IF(((AT830/AL830-1)*100)&lt;-50,"NM",(AT830/AL830-1)*100)))</f>
        <v>NM</v>
      </c>
      <c r="AV830" s="33">
        <f t="shared" ref="AV830:AX830" si="5597">AV819/AV828*400</f>
        <v>4.6144564650382112</v>
      </c>
      <c r="AW830" s="23">
        <f t="shared" ref="AW830:AW831" si="5598">IF(ISERROR((AV830/AN830-1)*100),"NA",IF(((AV830/AN830-1)*100)&gt;100,"NM",IF(((AV830/AN830-1)*100)&lt;-50,"NM",(AV830/AN830-1)*100)))</f>
        <v>-44.788121605748245</v>
      </c>
      <c r="AX830" s="33">
        <f t="shared" si="5597"/>
        <v>4.4501856644536879</v>
      </c>
      <c r="AY830" s="23">
        <f t="shared" ref="AY830:AY831" si="5599">IF(ISERROR((AX830/AP830-1)*100),"NA",IF(((AX830/AP830-1)*100)&gt;100,"NM",IF(((AX830/AP830-1)*100)&lt;-50,"NM",(AX830/AP830-1)*100)))</f>
        <v>67.259090435157958</v>
      </c>
      <c r="AZ830" s="33">
        <f t="shared" ref="AZ830" si="5600">AZ819/AZ828*400</f>
        <v>3.2589440680812918</v>
      </c>
      <c r="BA830" s="23">
        <f t="shared" ref="BA830:BA831" si="5601">IF(ISERROR((AZ830/AR830-1)*100),"NA",IF(((AZ830/AR830-1)*100)&gt;100,"NM",IF(((AZ830/AR830-1)*100)&lt;-50,"NM",(AZ830/AR830-1)*100)))</f>
        <v>-20.668821664788695</v>
      </c>
      <c r="BB830" s="33">
        <f t="shared" ref="BB830:BD830" si="5602">BB819/BB828*400</f>
        <v>1.2750873412167243</v>
      </c>
      <c r="BC830" s="23" t="str">
        <f t="shared" ref="BC830:BC831" si="5603">IF(ISERROR((BB830/AT830-1)*100),"NA",IF(((BB830/AT830-1)*100)&gt;100,"NM",IF(((BB830/AT830-1)*100)&lt;-50,"NM",(BB830/AT830-1)*100)))</f>
        <v>NM</v>
      </c>
      <c r="BD830" s="33">
        <f t="shared" si="5602"/>
        <v>8.7388205509232453</v>
      </c>
      <c r="BE830" s="23">
        <f t="shared" ref="BE830:BE831" si="5604">IF(ISERROR((BD830/AV830-1)*100),"NA",IF(((BD830/AV830-1)*100)&gt;100,"NM",IF(((BD830/AV830-1)*100)&lt;-50,"NM",(BD830/AV830-1)*100)))</f>
        <v>89.37919594937344</v>
      </c>
      <c r="BF830" s="33">
        <f t="shared" ref="BF830" si="5605">BF819/BF828*400</f>
        <v>11.060857376158106</v>
      </c>
      <c r="BG830" s="23" t="str">
        <f t="shared" ref="BG830:BG831" si="5606">IF(ISERROR((BF830/AX830-1)*100),"NA",IF(((BF830/AX830-1)*100)&gt;100,"NM",IF(((BF830/AX830-1)*100)&lt;-50,"NM",(BF830/AX830-1)*100)))</f>
        <v>NM</v>
      </c>
      <c r="BH830" s="33">
        <f t="shared" ref="BH830" si="5607">BH819/BH828*400</f>
        <v>13.104842446068735</v>
      </c>
      <c r="BI830" s="23" t="str">
        <f t="shared" ref="BI830:BI831" si="5608">IF(ISERROR((BH830/AZ830-1)*100),"NA",IF(((BH830/AZ830-1)*100)&gt;100,"NM",IF(((BH830/AZ830-1)*100)&lt;-50,"NM",(BH830/AZ830-1)*100)))</f>
        <v>NM</v>
      </c>
      <c r="BJ830" s="33">
        <f t="shared" ref="BJ830" si="5609">BJ819/BJ828*400</f>
        <v>14.015198678718185</v>
      </c>
      <c r="BK830" s="23" t="str">
        <f t="shared" ref="BK830:BK831" si="5610">IF(ISERROR((BJ830/BB830-1)*100),"NA",IF(((BJ830/BB830-1)*100)&gt;100,"NM",IF(((BJ830/BB830-1)*100)&lt;-50,"NM",(BJ830/BB830-1)*100)))</f>
        <v>NM</v>
      </c>
      <c r="BL830" s="33">
        <f t="shared" ref="BL830" si="5611">BL819/BL828*400</f>
        <v>14.79316640345999</v>
      </c>
      <c r="BM830" s="23">
        <f t="shared" ref="BM830:BM831" si="5612">IF(ISERROR((BL830/BD830-1)*100),"NA",IF(((BL830/BD830-1)*100)&gt;100,"NM",IF(((BL830/BD830-1)*100)&lt;-50,"NM",(BL830/BD830-1)*100)))</f>
        <v>69.281041042742444</v>
      </c>
      <c r="BN830" s="33"/>
      <c r="BO830" s="144"/>
      <c r="BP830" s="33"/>
      <c r="BQ830" s="33"/>
      <c r="BR830" s="33"/>
      <c r="BS830" s="33"/>
      <c r="BT830" s="33"/>
      <c r="BU830" s="33">
        <f>BU819/BU828*100</f>
        <v>10.539380192416269</v>
      </c>
      <c r="BV830" s="23"/>
      <c r="BW830" s="33">
        <f>BW819/BW828*100</f>
        <v>8.279254082489544</v>
      </c>
      <c r="BX830" s="23">
        <f>IF(ISERROR((BW830/BU830-1)*100),"NA",IF(((BW830/BU830-1)*100)&gt;100,"NM",IF(((BW830/BU830-1)*100)&lt;-50,"NM",(BW830/BU830-1)*100)))</f>
        <v>-21.444582780617637</v>
      </c>
      <c r="BY830" s="33">
        <f>BY819/BY828*100</f>
        <v>12.231293399961062</v>
      </c>
      <c r="BZ830" s="23">
        <f>IF(ISERROR((BY830/BW830-1)*100),"NA",IF(((BY830/BW830-1)*100)&gt;100,"NM",IF(((BY830/BW830-1)*100)&lt;-50,"NM",(BY830/BW830-1)*100)))</f>
        <v>47.734243666105172</v>
      </c>
      <c r="CA830" s="33">
        <f>CA819/CA828*100</f>
        <v>9.2929955913872355</v>
      </c>
      <c r="CB830" s="23">
        <f>IF(ISERROR((CA830/BY830-1)*100),"NA",IF(((CA830/BY830-1)*100)&gt;100,"NM",IF(((CA830/BY830-1)*100)&lt;-50,"NM",(CA830/BY830-1)*100)))</f>
        <v>-24.022789025592182</v>
      </c>
      <c r="CC830" s="33">
        <f>CC819/CC828*100</f>
        <v>6.731504054235363</v>
      </c>
      <c r="CD830" s="23">
        <f>IF(ISERROR((CC830/CA830-1)*100),"NA",IF(((CC830/CA830-1)*100)&gt;100,"NM",IF(((CC830/CA830-1)*100)&lt;-50,"NM",(CC830/CA830-1)*100)))</f>
        <v>-27.563679676399154</v>
      </c>
      <c r="CE830" s="33">
        <f>CE819/CE828*100</f>
        <v>2.5609921519232617</v>
      </c>
      <c r="CF830" s="23" t="str">
        <f>IF(ISERROR((CE830/CC830-1)*100),"NA",IF(((CE830/CC830-1)*100)&gt;100,"NM",IF(((CE830/CC830-1)*100)&lt;-50,"NM",(CE830/CC830-1)*100)))</f>
        <v>NM</v>
      </c>
      <c r="CG830" s="33">
        <f>CG819/CG828*100</f>
        <v>4.2139738055319658</v>
      </c>
      <c r="CH830" s="23">
        <f>IF(ISERROR((CG830/CE830-1)*100),"NA",IF(((CG830/CE830-1)*100)&gt;100,"NM",IF(((CG830/CE830-1)*100)&lt;-50,"NM",(CG830/CE830-1)*100)))</f>
        <v>64.544580988557215</v>
      </c>
      <c r="CI830" s="33">
        <f>CI819/CI828*100</f>
        <v>13.226664697244642</v>
      </c>
      <c r="CJ830" s="23" t="str">
        <f>IF(ISERROR((CI830/CG830-1)*100),"NA",IF(((CI830/CG830-1)*100)&gt;100,"NM",IF(((CI830/CG830-1)*100)&lt;-50,"NM",(CI830/CG830-1)*100)))</f>
        <v>NM</v>
      </c>
      <c r="CK830" s="33">
        <f>CK819/AVERAGE(CK822,CI822)*100</f>
        <v>14.779638021147946</v>
      </c>
      <c r="CL830" s="23">
        <f>IF(ISERROR((CK830/CI830-1)*100),"NA",IF(((CK830/CI830-1)*100)&gt;100,"NM",IF(((CK830/CI830-1)*100)&lt;-50,"NM",(CK830/CI830-1)*100)))</f>
        <v>11.741231515658047</v>
      </c>
      <c r="CM830" s="33">
        <f>CM819/AVERAGE(CM822,CK822)*100</f>
        <v>14.526046831713677</v>
      </c>
      <c r="CN830" s="23">
        <f>IF(ISERROR((CM830/CK830-1)*100),"NA",IF(((CM830/CK830-1)*100)&gt;100,"NM",IF(((CM830/CK830-1)*100)&lt;-50,"NM",(CM830/CK830-1)*100)))</f>
        <v>-1.7158146165109689</v>
      </c>
      <c r="CO830" s="33">
        <f>CO819/AVERAGE(CO822,CM822)*100</f>
        <v>14.223853756185974</v>
      </c>
      <c r="CP830" s="23">
        <f>IF(ISERROR((CO830/CM830-1)*100),"NA",IF(((CO830/CM830-1)*100)&gt;100,"NM",IF(((CO830/CM830-1)*100)&lt;-50,"NM",(CO830/CM830-1)*100)))</f>
        <v>-2.080353168543736</v>
      </c>
      <c r="CQ830" s="33">
        <f>CQ819/AVERAGE(CQ822,CO822)*100</f>
        <v>13.893146400577077</v>
      </c>
      <c r="CR830" s="23">
        <f>IF(ISERROR((CQ830/CO830-1)*100),"NA",IF(((CQ830/CO830-1)*100)&gt;100,"NM",IF(((CQ830/CO830-1)*100)&lt;-50,"NM",(CQ830/CO830-1)*100)))</f>
        <v>-2.3250193743384884</v>
      </c>
      <c r="CS830" s="23"/>
      <c r="CV830"/>
      <c r="CW830"/>
      <c r="CX830"/>
      <c r="CY830"/>
      <c r="CZ830"/>
      <c r="DA830"/>
    </row>
    <row r="831" spans="1:105" s="37" customFormat="1" ht="12.75" hidden="1" customHeight="1" outlineLevel="1" x14ac:dyDescent="0.2">
      <c r="A831" s="165" t="s">
        <v>365</v>
      </c>
      <c r="B831" s="35">
        <f>B675/B828*400</f>
        <v>15.674818433009621</v>
      </c>
      <c r="C831" s="173"/>
      <c r="D831" s="35">
        <f>D675/D828*400</f>
        <v>13.333754887967784</v>
      </c>
      <c r="E831" s="173"/>
      <c r="F831" s="35">
        <f>F675/F828*400</f>
        <v>9.0971318054331149</v>
      </c>
      <c r="G831" s="173"/>
      <c r="H831" s="35">
        <f>H675/H828*400</f>
        <v>5.1092948283931943</v>
      </c>
      <c r="I831" s="173"/>
      <c r="J831" s="35">
        <f>J675/J828*400</f>
        <v>8.5047771291630117</v>
      </c>
      <c r="K831" s="23">
        <f>IF(ISERROR((J831/B831-1)*100),"NA",IF(((J831/B831-1)*100)&gt;100,"NM",IF(((J831/B831-1)*100)&lt;-50,"NM",(J831/B831-1)*100)))</f>
        <v>-45.742420140237229</v>
      </c>
      <c r="L831" s="35">
        <f>L675/L828*400</f>
        <v>11.140573841075385</v>
      </c>
      <c r="M831" s="23">
        <f>IF(ISERROR((L831/D831-1)*100),"NA",IF(((L831/D831-1)*100)&gt;100,"NM",IF(((L831/D831-1)*100)&lt;-50,"NM",(L831/D831-1)*100)))</f>
        <v>-16.448337811215485</v>
      </c>
      <c r="N831" s="35">
        <f>N675/N828*400</f>
        <v>9.4060685546568763</v>
      </c>
      <c r="O831" s="23">
        <f>IF(ISERROR((N831/F831-1)*100),"NA",IF(((N831/F831-1)*100)&gt;100,"NM",IF(((N831/F831-1)*100)&lt;-50,"NM",(N831/F831-1)*100)))</f>
        <v>3.3959796981203993</v>
      </c>
      <c r="P831" s="35">
        <f>P675/P828*400</f>
        <v>9.0014975003262805</v>
      </c>
      <c r="Q831" s="23">
        <f>IF(ISERROR((P831/H831-1)*100),"NA",IF(((P831/H831-1)*100)&gt;100,"NM",IF(((P831/H831-1)*100)&lt;-50,"NM",(P831/H831-1)*100)))</f>
        <v>76.178862302161022</v>
      </c>
      <c r="R831" s="35">
        <f>R675/R828*400</f>
        <v>10.129052416589676</v>
      </c>
      <c r="S831" s="23">
        <f>IF(ISERROR((R831/J831-1)*100),"NA",IF(((R831/J831-1)*100)&gt;100,"NM",IF(((R831/J831-1)*100)&lt;-50,"NM",(R831/J831-1)*100)))</f>
        <v>19.098387444592756</v>
      </c>
      <c r="T831" s="35">
        <f>T675/T828*400</f>
        <v>10.81178613938348</v>
      </c>
      <c r="U831" s="23">
        <f>IF(ISERROR((T831/L831-1)*100),"NA",IF(((T831/L831-1)*100)&gt;100,"NM",IF(((T831/L831-1)*100)&lt;-50,"NM",(T831/L831-1)*100)))</f>
        <v>-2.9512636097762002</v>
      </c>
      <c r="V831" s="35">
        <f>V675/V828*400</f>
        <v>9.7192381394808596</v>
      </c>
      <c r="W831" s="23">
        <f>IF(ISERROR((V831/N831-1)*100),"NA",IF(((V831/N831-1)*100)&gt;100,"NM",IF(((V831/N831-1)*100)&lt;-50,"NM",(V831/N831-1)*100)))</f>
        <v>3.329441870471328</v>
      </c>
      <c r="X831" s="35">
        <f>X675/X828*400</f>
        <v>9.0568299947066642</v>
      </c>
      <c r="Y831" s="23">
        <f>IF(ISERROR((X831/P831-1)*100),"NA",IF(((X831/P831-1)*100)&gt;100,"NM",IF(((X831/P831-1)*100)&lt;-50,"NM",(X831/P831-1)*100)))</f>
        <v>0.61470321330843181</v>
      </c>
      <c r="Z831" s="35">
        <f>Z675/Z828*400</f>
        <v>7.9215823391467435</v>
      </c>
      <c r="AA831" s="23">
        <f>IF(ISERROR((Z831/R831-1)*100),"NA",IF(((Z831/R831-1)*100)&gt;100,"NM",IF(((Z831/R831-1)*100)&lt;-50,"NM",(Z831/R831-1)*100)))</f>
        <v>-21.793451022402355</v>
      </c>
      <c r="AB831" s="35">
        <f>AB675/AB828*400</f>
        <v>9.7180552396231157</v>
      </c>
      <c r="AC831" s="23">
        <f>IF(ISERROR((AB831/T831-1)*100),"NA",IF(((AB831/T831-1)*100)&gt;100,"NM",IF(((AB831/T831-1)*100)&lt;-50,"NM",(AB831/T831-1)*100)))</f>
        <v>-10.116098169721399</v>
      </c>
      <c r="AD831" s="35">
        <f>AD675/AD828*400</f>
        <v>8.9039800075150755</v>
      </c>
      <c r="AE831" s="23">
        <f>IF(ISERROR((AD831/V831-1)*100),"NA",IF(((AD831/V831-1)*100)&gt;100,"NM",IF(((AD831/V831-1)*100)&lt;-50,"NM",(AD831/V831-1)*100)))</f>
        <v>-8.3880868054266084</v>
      </c>
      <c r="AF831" s="35">
        <f>AF675/AF828*400</f>
        <v>9.6614802131302682</v>
      </c>
      <c r="AG831" s="23">
        <f>IF(ISERROR((AF831/X831-1)*100),"NA",IF(((AF831/X831-1)*100)&gt;100,"NM",IF(((AF831/X831-1)*100)&lt;-50,"NM",(AF831/X831-1)*100)))</f>
        <v>6.6761794002647257</v>
      </c>
      <c r="AH831" s="35">
        <f>AH675/AH828*400</f>
        <v>7.5724485157178014</v>
      </c>
      <c r="AI831" s="23">
        <f>IF(ISERROR((AH831/Z831-1)*100),"NA",IF(((AH831/Z831-1)*100)&gt;100,"NM",IF(((AH831/Z831-1)*100)&lt;-50,"NM",(AH831/Z831-1)*100)))</f>
        <v>-4.4073747956086766</v>
      </c>
      <c r="AJ831" s="35">
        <f>AJ675/AJ828*400</f>
        <v>7.3340831500263812</v>
      </c>
      <c r="AK831" s="23">
        <f>IF(ISERROR((AJ831/AB831-1)*100),"NA",IF(((AJ831/AB831-1)*100)&gt;100,"NM",IF(((AJ831/AB831-1)*100)&lt;-50,"NM",(AJ831/AB831-1)*100)))</f>
        <v>-24.531370020172773</v>
      </c>
      <c r="AL831" s="35">
        <f>AL675/AL828*400</f>
        <v>6.3665159750088769</v>
      </c>
      <c r="AM831" s="23">
        <f>IF(ISERROR((AL831/AD831-1)*100),"NA",IF(((AL831/AD831-1)*100)&gt;100,"NM",IF(((AL831/AD831-1)*100)&lt;-50,"NM",(AL831/AD831-1)*100)))</f>
        <v>-28.498087713186081</v>
      </c>
      <c r="AN831" s="409">
        <f>AN675/AN828*400</f>
        <v>7.001007178142638</v>
      </c>
      <c r="AO831" s="23">
        <f>IF(ISERROR((AN831/AF831-1)*100),"NA",IF(((AN831/AF831-1)*100)&gt;100,"NM",IF(((AN831/AF831-1)*100)&lt;-50,"NM",(AN831/AF831-1)*100)))</f>
        <v>-27.536909213683014</v>
      </c>
      <c r="AP831" s="409">
        <f>AP675/AP828*400</f>
        <v>2.9901845308205655</v>
      </c>
      <c r="AQ831" s="23" t="str">
        <f t="shared" si="5593"/>
        <v>NM</v>
      </c>
      <c r="AR831" s="409">
        <f>AR675/AR828*400</f>
        <v>4.8877804331850054</v>
      </c>
      <c r="AS831" s="23">
        <f t="shared" si="5595"/>
        <v>-33.35526291152803</v>
      </c>
      <c r="AT831" s="409">
        <f>AT675/AT828*400</f>
        <v>4.1401919007117396</v>
      </c>
      <c r="AU831" s="23">
        <f t="shared" si="5596"/>
        <v>-34.969268639807872</v>
      </c>
      <c r="AV831" s="409">
        <f>AV675/AV828*400</f>
        <v>4.5897802272572585</v>
      </c>
      <c r="AW831" s="23">
        <f t="shared" si="5598"/>
        <v>-34.441143817325383</v>
      </c>
      <c r="AX831" s="409">
        <f>AX675/AX828*400</f>
        <v>4.0676043659277514</v>
      </c>
      <c r="AY831" s="23">
        <f t="shared" si="5599"/>
        <v>36.031884454017991</v>
      </c>
      <c r="AZ831" s="409">
        <f t="shared" ref="AZ831" si="5613">AZ675/AZ828*400</f>
        <v>5.5432506578579011</v>
      </c>
      <c r="BA831" s="23">
        <f t="shared" si="5601"/>
        <v>13.410386035809996</v>
      </c>
      <c r="BB831" s="409">
        <f t="shared" ref="BB831:BD831" si="5614">BB675/BB828*400</f>
        <v>5.2635121999988899</v>
      </c>
      <c r="BC831" s="23">
        <f t="shared" si="5603"/>
        <v>27.132082913693935</v>
      </c>
      <c r="BD831" s="409">
        <f t="shared" si="5614"/>
        <v>8.0277387930322757</v>
      </c>
      <c r="BE831" s="23">
        <f t="shared" si="5604"/>
        <v>74.904644570083434</v>
      </c>
      <c r="BF831" s="35">
        <f t="shared" ref="BF831" si="5615">BF675/BF828*400</f>
        <v>11.060857376158104</v>
      </c>
      <c r="BG831" s="23" t="str">
        <f t="shared" si="5606"/>
        <v>NM</v>
      </c>
      <c r="BH831" s="35">
        <f t="shared" ref="BH831" si="5616">BH675/BH828*400</f>
        <v>13.104842446068735</v>
      </c>
      <c r="BI831" s="23" t="str">
        <f t="shared" si="5608"/>
        <v>NM</v>
      </c>
      <c r="BJ831" s="35">
        <f t="shared" ref="BJ831" si="5617">BJ675/BJ828*400</f>
        <v>14.015198678718185</v>
      </c>
      <c r="BK831" s="23" t="str">
        <f t="shared" si="5610"/>
        <v>NM</v>
      </c>
      <c r="BL831" s="35">
        <f t="shared" ref="BL831" si="5618">BL675/BL828*400</f>
        <v>14.79316640345999</v>
      </c>
      <c r="BM831" s="23">
        <f t="shared" si="5612"/>
        <v>84.275632090817496</v>
      </c>
      <c r="BN831" s="35"/>
      <c r="BO831" s="138"/>
      <c r="BP831" s="35"/>
      <c r="BQ831" s="35"/>
      <c r="BR831" s="35"/>
      <c r="BS831" s="35"/>
      <c r="BT831" s="35"/>
      <c r="BU831" s="35"/>
      <c r="BV831" s="23"/>
      <c r="BW831" s="35">
        <f>BW675/BW828*100</f>
        <v>9.2027606978385226</v>
      </c>
      <c r="BX831" s="23" t="str">
        <f>IF(ISERROR((BW831/BU831-1)*100),"NA",IF(((BW831/BU831-1)*100)&gt;100,"NM",IF(((BW831/BU831-1)*100)&lt;-50,"NM",(BW831/BU831-1)*100)))</f>
        <v>NA</v>
      </c>
      <c r="BY831" s="35">
        <f>BY675/BY828*100</f>
        <v>9.8691218493410116</v>
      </c>
      <c r="BZ831" s="23">
        <f>IF(ISERROR((BY831/BW831-1)*100),"NA",IF(((BY831/BW831-1)*100)&gt;100,"NM",IF(((BY831/BW831-1)*100)&lt;-50,"NM",(BY831/BW831-1)*100)))</f>
        <v>7.2408831804025908</v>
      </c>
      <c r="CA831" s="35">
        <f>CA675/CA828*100</f>
        <v>9.0716762602882177</v>
      </c>
      <c r="CB831" s="23">
        <f>IF(ISERROR((CA831/BY831-1)*100),"NA",IF(((CA831/BY831-1)*100)&gt;100,"NM",IF(((CA831/BY831-1)*100)&lt;-50,"NM",(CA831/BY831-1)*100)))</f>
        <v>-8.0802081606282101</v>
      </c>
      <c r="CC831" s="35">
        <f>CC675/CC828*100</f>
        <v>7.0755847187097318</v>
      </c>
      <c r="CD831" s="23">
        <f>IF(ISERROR((CC831/CA831-1)*100),"NA",IF(((CC831/CA831-1)*100)&gt;100,"NM",IF(((CC831/CA831-1)*100)&lt;-50,"NM",(CC831/CA831-1)*100)))</f>
        <v>-22.003557934672902</v>
      </c>
      <c r="CE831" s="35">
        <f>CE675/CE828*100</f>
        <v>4.1451067782989552</v>
      </c>
      <c r="CF831" s="23">
        <f>IF(ISERROR((CE831/CC831-1)*100),"NA",IF(((CE831/CC831-1)*100)&gt;100,"NM",IF(((CE831/CC831-1)*100)&lt;-50,"NM",(CE831/CC831-1)*100)))</f>
        <v>-41.416759983974352</v>
      </c>
      <c r="CG831" s="35">
        <f>CG675/CG828*100</f>
        <v>5.6143760075218534</v>
      </c>
      <c r="CH831" s="23">
        <f>IF(ISERROR((CG831/CE831-1)*100),"NA",IF(((CG831/CE831-1)*100)&gt;100,"NM",IF(((CG831/CE831-1)*100)&lt;-50,"NM",(CG831/CE831-1)*100)))</f>
        <v>35.445871670062211</v>
      </c>
      <c r="CI831" s="35">
        <f>CI675/CI828*100</f>
        <v>13.226664697244642</v>
      </c>
      <c r="CJ831" s="23" t="str">
        <f>IF(ISERROR((CI831/CG831-1)*100),"NA",IF(((CI831/CG831-1)*100)&gt;100,"NM",IF(((CI831/CG831-1)*100)&lt;-50,"NM",(CI831/CG831-1)*100)))</f>
        <v>NM</v>
      </c>
      <c r="CK831" s="35">
        <f>CK675/CK828*100</f>
        <v>14.779638021147946</v>
      </c>
      <c r="CL831" s="23">
        <f>IF(ISERROR((CK831/CI831-1)*100),"NA",IF(((CK831/CI831-1)*100)&gt;100,"NM",IF(((CK831/CI831-1)*100)&lt;-50,"NM",(CK831/CI831-1)*100)))</f>
        <v>11.741231515658047</v>
      </c>
      <c r="CM831" s="35">
        <f>CM675/CM828*100</f>
        <v>14.526046831713677</v>
      </c>
      <c r="CN831" s="23">
        <f>IF(ISERROR((CM831/CK831-1)*100),"NA",IF(((CM831/CK831-1)*100)&gt;100,"NM",IF(((CM831/CK831-1)*100)&lt;-50,"NM",(CM831/CK831-1)*100)))</f>
        <v>-1.7158146165109689</v>
      </c>
      <c r="CO831" s="35">
        <f>CO675/CO828*100</f>
        <v>14.223853756185974</v>
      </c>
      <c r="CP831" s="23">
        <f>IF(ISERROR((CO831/CM831-1)*100),"NA",IF(((CO831/CM831-1)*100)&gt;100,"NM",IF(((CO831/CM831-1)*100)&lt;-50,"NM",(CO831/CM831-1)*100)))</f>
        <v>-2.080353168543736</v>
      </c>
      <c r="CQ831" s="35">
        <f>CQ675/CQ828*100</f>
        <v>13.893146400577077</v>
      </c>
      <c r="CR831" s="23">
        <f>IF(ISERROR((CQ831/CO831-1)*100),"NA",IF(((CQ831/CO831-1)*100)&gt;100,"NM",IF(((CQ831/CO831-1)*100)&lt;-50,"NM",(CQ831/CO831-1)*100)))</f>
        <v>-2.3250193743384884</v>
      </c>
      <c r="CS831" s="23"/>
      <c r="CV831"/>
      <c r="CW831"/>
      <c r="CX831"/>
      <c r="CY831"/>
      <c r="CZ831"/>
      <c r="DA831"/>
    </row>
    <row r="832" spans="1:105" ht="12.75" hidden="1" customHeight="1" outlineLevel="1" x14ac:dyDescent="0.2">
      <c r="A832" s="46"/>
      <c r="C832" s="82"/>
      <c r="E832" s="82"/>
      <c r="G832" s="82"/>
      <c r="I832" s="82"/>
      <c r="K832" s="184"/>
      <c r="L832" s="6"/>
      <c r="M832" s="184"/>
      <c r="N832" s="6"/>
      <c r="O832" s="184"/>
      <c r="P832" s="6"/>
      <c r="Q832" s="184"/>
      <c r="R832" s="6"/>
      <c r="S832" s="184"/>
      <c r="T832" s="6"/>
      <c r="U832" s="184"/>
      <c r="V832" s="6"/>
      <c r="W832" s="184"/>
      <c r="X832" s="6"/>
      <c r="Y832" s="184"/>
      <c r="Z832" s="6"/>
      <c r="AA832" s="184"/>
      <c r="AB832" s="6"/>
      <c r="AC832" s="184"/>
      <c r="AD832" s="6"/>
      <c r="AE832" s="184"/>
      <c r="AF832" s="6"/>
      <c r="AG832" s="184"/>
      <c r="AH832" s="6"/>
      <c r="AI832" s="184"/>
      <c r="AJ832" s="6"/>
      <c r="AK832" s="184"/>
      <c r="AL832" s="6"/>
      <c r="AM832" s="184"/>
      <c r="AN832" s="473"/>
      <c r="AO832" s="184"/>
      <c r="AP832" s="473"/>
      <c r="AQ832" s="184"/>
      <c r="AR832" s="473"/>
      <c r="AS832" s="184"/>
      <c r="AT832" s="473"/>
      <c r="AU832" s="184"/>
      <c r="AV832" s="473"/>
      <c r="AW832" s="184"/>
      <c r="AX832" s="473"/>
      <c r="AY832" s="184"/>
      <c r="AZ832" s="473"/>
      <c r="BA832" s="184"/>
      <c r="BB832" s="473"/>
      <c r="BC832" s="184"/>
      <c r="BD832" s="473"/>
      <c r="BE832" s="184"/>
      <c r="BF832" s="6"/>
      <c r="BG832" s="184"/>
      <c r="BH832" s="6"/>
      <c r="BI832" s="184"/>
      <c r="BJ832" s="6"/>
      <c r="BK832" s="184"/>
      <c r="BL832" s="6"/>
      <c r="BM832" s="184"/>
      <c r="BR832" s="6"/>
      <c r="BS832" s="6"/>
      <c r="BT832" s="6"/>
      <c r="BU832" s="6"/>
      <c r="BV832" s="184"/>
      <c r="BW832" s="6"/>
      <c r="BX832" s="184"/>
      <c r="BY832" s="6"/>
      <c r="BZ832" s="184"/>
      <c r="CA832" s="6"/>
      <c r="CB832" s="184"/>
      <c r="CC832" s="6"/>
      <c r="CD832" s="184"/>
      <c r="CE832" s="6"/>
      <c r="CF832" s="184"/>
      <c r="CG832" s="6"/>
      <c r="CH832" s="184"/>
      <c r="CI832" s="6"/>
      <c r="CJ832" s="184"/>
      <c r="CK832" s="6"/>
      <c r="CL832" s="184"/>
      <c r="CM832" s="6"/>
      <c r="CN832" s="184"/>
      <c r="CO832" s="6"/>
      <c r="CP832" s="184"/>
      <c r="CQ832" s="6"/>
      <c r="CR832" s="184"/>
      <c r="CS832" s="184"/>
      <c r="CT832" s="28"/>
    </row>
    <row r="833" spans="1:105" s="129" customFormat="1" ht="12.75" customHeight="1" collapsed="1" x14ac:dyDescent="0.2">
      <c r="A833" s="126" t="s">
        <v>359</v>
      </c>
      <c r="B833" s="127"/>
      <c r="C833" s="128"/>
      <c r="D833" s="127"/>
      <c r="E833" s="128"/>
      <c r="F833" s="127"/>
      <c r="G833" s="128"/>
      <c r="H833" s="127"/>
      <c r="I833" s="128"/>
      <c r="K833" s="130"/>
      <c r="M833" s="130"/>
      <c r="O833" s="130"/>
      <c r="Q833" s="130"/>
      <c r="S833" s="130"/>
      <c r="U833" s="130"/>
      <c r="W833" s="130"/>
      <c r="Y833" s="130"/>
      <c r="AA833" s="130"/>
      <c r="AC833" s="130"/>
      <c r="AE833" s="130"/>
      <c r="AG833" s="130"/>
      <c r="AI833" s="130"/>
      <c r="AK833" s="130"/>
      <c r="AM833" s="130"/>
      <c r="AO833" s="130"/>
      <c r="AQ833" s="130"/>
      <c r="AS833" s="130"/>
      <c r="AU833" s="130"/>
      <c r="AW833" s="130"/>
      <c r="AY833" s="130"/>
      <c r="BA833" s="130"/>
      <c r="BC833" s="130"/>
      <c r="BE833" s="130"/>
      <c r="BG833" s="130"/>
      <c r="BI833" s="130"/>
      <c r="BK833" s="130"/>
      <c r="BM833" s="130"/>
      <c r="BO833" s="135"/>
      <c r="BV833" s="130"/>
      <c r="BX833" s="130"/>
      <c r="BZ833" s="130"/>
      <c r="CB833" s="130"/>
      <c r="CD833" s="130"/>
      <c r="CF833" s="130"/>
      <c r="CH833" s="130"/>
      <c r="CJ833" s="130"/>
      <c r="CL833" s="130"/>
      <c r="CN833" s="130"/>
      <c r="CP833" s="130"/>
      <c r="CR833" s="130"/>
      <c r="CS833" s="130"/>
      <c r="CV833"/>
      <c r="CW833"/>
      <c r="CX833"/>
      <c r="CY833"/>
      <c r="CZ833"/>
      <c r="DA833"/>
    </row>
    <row r="834" spans="1:105" ht="12.75" customHeight="1" x14ac:dyDescent="0.2">
      <c r="N834" s="13"/>
      <c r="P834" s="13"/>
    </row>
    <row r="835" spans="1:105" ht="12.75" customHeight="1" x14ac:dyDescent="0.2">
      <c r="A835" s="20" t="s">
        <v>48</v>
      </c>
      <c r="L835" s="5"/>
      <c r="N835" s="8"/>
      <c r="P835" s="8"/>
      <c r="R835" s="7"/>
      <c r="T835" s="7"/>
      <c r="V835" s="7"/>
      <c r="X835" s="7"/>
      <c r="Z835" s="7"/>
      <c r="AB835" s="7"/>
      <c r="AD835" s="7"/>
      <c r="AF835" s="7"/>
      <c r="AH835" s="7"/>
      <c r="AJ835" s="7"/>
      <c r="AL835" s="7"/>
      <c r="AN835" s="7"/>
      <c r="AP835" s="7"/>
      <c r="AR835" s="7"/>
      <c r="AT835" s="7"/>
      <c r="AV835" s="7"/>
      <c r="AX835" s="7"/>
      <c r="AZ835" s="7"/>
      <c r="BB835" s="7"/>
      <c r="BD835" s="7"/>
      <c r="BF835" s="7"/>
      <c r="BH835" s="7"/>
      <c r="BJ835" s="7"/>
      <c r="BL835" s="7"/>
    </row>
    <row r="836" spans="1:105" ht="12.75" customHeight="1" x14ac:dyDescent="0.2">
      <c r="A836" s="19" t="s">
        <v>49</v>
      </c>
      <c r="B836" s="48">
        <v>86872.4</v>
      </c>
      <c r="C836" s="125"/>
      <c r="D836" s="48">
        <v>86977</v>
      </c>
      <c r="E836" s="125"/>
      <c r="F836" s="48">
        <v>91863.9</v>
      </c>
      <c r="G836" s="125"/>
      <c r="H836" s="48">
        <v>92819.199999999997</v>
      </c>
      <c r="I836" s="125"/>
      <c r="J836" s="48">
        <v>90067.5</v>
      </c>
      <c r="K836" s="23">
        <f t="shared" ref="K836:K849" si="5619">IF(ISERROR((J836/B836-1)*100),"NA",IF(((J836/B836-1)*100)&gt;100,"NM",IF(((J836/B836-1)*100)&lt;-50,"NM",(J836/B836-1)*100)))</f>
        <v>3.6779230227321991</v>
      </c>
      <c r="L836" s="48">
        <v>95316.1</v>
      </c>
      <c r="M836" s="23">
        <f>IF(ISERROR((L836/D836-1)*100),"NA",IF(((L836/D836-1)*100)&gt;100,"NM",IF(((L836/D836-1)*100)&lt;-50,"NM",(L836/D836-1)*100)))</f>
        <v>9.5877070949791374</v>
      </c>
      <c r="N836" s="49">
        <v>95194.7</v>
      </c>
      <c r="O836" s="23">
        <f>IF(ISERROR((N836/F836-1)*100),"NA",IF(((N836/F836-1)*100)&gt;100,"NM",IF(((N836/F836-1)*100)&lt;-50,"NM",(N836/F836-1)*100)))</f>
        <v>3.6257985998852771</v>
      </c>
      <c r="P836" s="49">
        <v>95487.6</v>
      </c>
      <c r="Q836" s="23">
        <f>IF(ISERROR((P836/H836-1)*100),"NA",IF(((P836/H836-1)*100)&gt;100,"NM",IF(((P836/H836-1)*100)&lt;-50,"NM",(P836/H836-1)*100)))</f>
        <v>2.8748362407777783</v>
      </c>
      <c r="R836" s="49">
        <v>92213.8</v>
      </c>
      <c r="S836" s="23">
        <f>IF(ISERROR((R836/J836-1)*100),"NA",IF(((R836/J836-1)*100)&gt;100,"NM",IF(((R836/J836-1)*100)&lt;-50,"NM",(R836/J836-1)*100)))</f>
        <v>2.3829905348766278</v>
      </c>
      <c r="T836" s="49">
        <v>89504.8</v>
      </c>
      <c r="U836" s="23">
        <f>IF(ISERROR((T836/L836-1)*100),"NA",IF(((T836/L836-1)*100)&gt;100,"NM",IF(((T836/L836-1)*100)&lt;-50,"NM",(T836/L836-1)*100)))</f>
        <v>-6.0968713575146332</v>
      </c>
      <c r="V836" s="49">
        <v>89007.3</v>
      </c>
      <c r="W836" s="23">
        <f>IF(ISERROR((V836/N836-1)*100),"NA",IF(((V836/N836-1)*100)&gt;100,"NM",IF(((V836/N836-1)*100)&lt;-50,"NM",(V836/N836-1)*100)))</f>
        <v>-6.4997316027047614</v>
      </c>
      <c r="X836" s="49">
        <v>87050.8</v>
      </c>
      <c r="Y836" s="23">
        <f>IF(ISERROR((X836/P836-1)*100),"NA",IF(((X836/P836-1)*100)&gt;100,"NM",IF(((X836/P836-1)*100)&lt;-50,"NM",(X836/P836-1)*100)))</f>
        <v>-8.835492776025367</v>
      </c>
      <c r="Z836" s="49">
        <v>88891.4</v>
      </c>
      <c r="AA836" s="23">
        <f t="shared" ref="AA836:AA849" si="5620">IF(ISERROR((Z836/R836-1)*100),"NA",IF(((Z836/R836-1)*100)&gt;100,"NM",IF(((Z836/R836-1)*100)&lt;-50,"NM",(Z836/R836-1)*100)))</f>
        <v>-3.6029314484383179</v>
      </c>
      <c r="AB836" s="49">
        <v>89821.3</v>
      </c>
      <c r="AC836" s="23">
        <f t="shared" ref="AC836:AC849" si="5621">IF(ISERROR((AB836/T836-1)*100),"NA",IF(((AB836/T836-1)*100)&gt;100,"NM",IF(((AB836/T836-1)*100)&lt;-50,"NM",(AB836/T836-1)*100)))</f>
        <v>0.35361232023309874</v>
      </c>
      <c r="AD836" s="158">
        <v>89824.4</v>
      </c>
      <c r="AE836" s="23">
        <f t="shared" ref="AE836:AE849" si="5622">IF(ISERROR((AD836/V836-1)*100),"NA",IF(((AD836/V836-1)*100)&gt;100,"NM",IF(((AD836/V836-1)*100)&lt;-50,"NM",(AD836/V836-1)*100)))</f>
        <v>0.91801458981453088</v>
      </c>
      <c r="AF836" s="49">
        <v>90833.8</v>
      </c>
      <c r="AG836" s="23">
        <f t="shared" ref="AG836:AG849" si="5623">IF(ISERROR((AF836/X836-1)*100),"NA",IF(((AF836/X836-1)*100)&gt;100,"NM",IF(((AF836/X836-1)*100)&lt;-50,"NM",(AF836/X836-1)*100)))</f>
        <v>4.3457383504803992</v>
      </c>
      <c r="AH836" s="49">
        <v>93069.6</v>
      </c>
      <c r="AI836" s="23">
        <f t="shared" ref="AI836:AI849" si="5624">IF(ISERROR((AH836/Z836-1)*100),"NA",IF(((AH836/Z836-1)*100)&gt;100,"NM",IF(((AH836/Z836-1)*100)&lt;-50,"NM",(AH836/Z836-1)*100)))</f>
        <v>4.7003422153324204</v>
      </c>
      <c r="AJ836" s="49">
        <v>88446.399999999994</v>
      </c>
      <c r="AK836" s="23">
        <f t="shared" ref="AK836:AK849" si="5625">IF(ISERROR((AJ836/AB836-1)*100),"NA",IF(((AJ836/AB836-1)*100)&gt;100,"NM",IF(((AJ836/AB836-1)*100)&lt;-50,"NM",(AJ836/AB836-1)*100)))</f>
        <v>-1.5307059684061652</v>
      </c>
      <c r="AL836" s="49">
        <v>91050</v>
      </c>
      <c r="AM836" s="23">
        <f t="shared" ref="AM836:AM849" si="5626">IF(ISERROR((AL836/AD836-1)*100),"NA",IF(((AL836/AD836-1)*100)&gt;100,"NM",IF(((AL836/AD836-1)*100)&lt;-50,"NM",(AL836/AD836-1)*100)))</f>
        <v>1.3644399517280359</v>
      </c>
      <c r="AN836" s="158">
        <v>88491.9</v>
      </c>
      <c r="AO836" s="23">
        <f t="shared" ref="AO836:AO849" si="5627">IF(ISERROR((AN836/AF836-1)*100),"NA",IF(((AN836/AF836-1)*100)&gt;100,"NM",IF(((AN836/AF836-1)*100)&lt;-50,"NM",(AN836/AF836-1)*100)))</f>
        <v>-2.5782252861820232</v>
      </c>
      <c r="AP836" s="158">
        <v>92987.7</v>
      </c>
      <c r="AQ836" s="23">
        <f t="shared" ref="AQ836:AQ849" si="5628">IF(ISERROR((AP836/AH836-1)*100),"NA",IF(((AP836/AH836-1)*100)&gt;100,"NM",IF(((AP836/AH836-1)*100)&lt;-50,"NM",(AP836/AH836-1)*100)))</f>
        <v>-8.7998659068067031E-2</v>
      </c>
      <c r="AR836" s="158">
        <v>95639.2</v>
      </c>
      <c r="AS836" s="23">
        <f t="shared" ref="AS836:AS849" si="5629">IF(ISERROR((AR836/AJ836-1)*100),"NA",IF(((AR836/AJ836-1)*100)&gt;100,"NM",IF(((AR836/AJ836-1)*100)&lt;-50,"NM",(AR836/AJ836-1)*100)))</f>
        <v>8.1323830025868737</v>
      </c>
      <c r="AT836" s="510">
        <v>97352.4</v>
      </c>
      <c r="AU836" s="576">
        <f t="shared" ref="AU836:AU849" si="5630">IF(ISERROR((AT836/AL836-1)*100),"NA",IF(((AT836/AL836-1)*100)&gt;100,"NM",IF(((AT836/AL836-1)*100)&lt;-50,"NM",(AT836/AL836-1)*100)))</f>
        <v>6.9219110378912596</v>
      </c>
      <c r="AV836" s="510">
        <v>63783</v>
      </c>
      <c r="AW836" s="576">
        <f t="shared" ref="AW836:AW849" si="5631">IF(ISERROR((AV836/AN836-1)*100),"NA",IF(((AV836/AN836-1)*100)&gt;100,"NM",IF(((AV836/AN836-1)*100)&lt;-50,"NM",(AV836/AN836-1)*100)))</f>
        <v>-27.922216609655791</v>
      </c>
      <c r="AX836" s="510">
        <v>63987</v>
      </c>
      <c r="AY836" s="576">
        <f t="shared" ref="AY836:AY849" si="5632">IF(ISERROR((AX836/AP836-1)*100),"NA",IF(((AX836/AP836-1)*100)&gt;100,"NM",IF(((AX836/AP836-1)*100)&lt;-50,"NM",(AX836/AP836-1)*100)))</f>
        <v>-31.187673208392074</v>
      </c>
      <c r="AZ836" s="510">
        <v>64976</v>
      </c>
      <c r="BA836" s="576">
        <f t="shared" ref="BA836:BA849" si="5633">IF(ISERROR((AZ836/AR836-1)*100),"NA",IF(((AZ836/AR836-1)*100)&gt;100,"NM",IF(((AZ836/AR836-1)*100)&lt;-50,"NM",(AZ836/AR836-1)*100)))</f>
        <v>-32.061330500464244</v>
      </c>
      <c r="BB836" s="510">
        <v>65918</v>
      </c>
      <c r="BC836" s="23">
        <f t="shared" ref="BC836:BC849" si="5634">IF(ISERROR((BB836/AT836-1)*100),"NA",IF(((BB836/AT836-1)*100)&gt;100,"NM",IF(((BB836/AT836-1)*100)&lt;-50,"NM",(BB836/AT836-1)*100)))</f>
        <v>-32.289291275818563</v>
      </c>
      <c r="BD836" s="158">
        <v>66087</v>
      </c>
      <c r="BE836" s="23">
        <f t="shared" ref="BE836:BE849" si="5635">IF(ISERROR((BD836/AV836-1)*100),"NA",IF(((BD836/AV836-1)*100)&gt;100,"NM",IF(((BD836/AV836-1)*100)&lt;-50,"NM",(BD836/AV836-1)*100)))</f>
        <v>3.6122477776209916</v>
      </c>
      <c r="BF836" s="49">
        <f t="shared" ref="BF836:BJ837" si="5636">BD836*1.015</f>
        <v>67078.304999999993</v>
      </c>
      <c r="BG836" s="23">
        <f t="shared" ref="BG836:BG849" si="5637">IF(ISERROR((BF836/AX836-1)*100),"NA",IF(((BF836/AX836-1)*100)&gt;100,"NM",IF(((BF836/AX836-1)*100)&lt;-50,"NM",(BF836/AX836-1)*100)))</f>
        <v>4.831145388907121</v>
      </c>
      <c r="BH836" s="49">
        <f t="shared" si="5636"/>
        <v>68084.47957499999</v>
      </c>
      <c r="BI836" s="23">
        <f t="shared" ref="BI836:BI849" si="5638">IF(ISERROR((BH836/AZ836-1)*100),"NA",IF(((BH836/AZ836-1)*100)&gt;100,"NM",IF(((BH836/AZ836-1)*100)&lt;-50,"NM",(BH836/AZ836-1)*100)))</f>
        <v>4.7840426849913742</v>
      </c>
      <c r="BJ836" s="49">
        <f t="shared" si="5636"/>
        <v>69105.746768624987</v>
      </c>
      <c r="BK836" s="23">
        <f t="shared" ref="BK836:BK849" si="5639">IF(ISERROR((BJ836/BB836-1)*100),"NA",IF(((BJ836/BB836-1)*100)&gt;100,"NM",IF(((BJ836/BB836-1)*100)&lt;-50,"NM",(BJ836/BB836-1)*100)))</f>
        <v>4.8359276201113355</v>
      </c>
      <c r="BL836" s="49">
        <f t="shared" ref="BL836:BL837" si="5640">BJ836*1.015</f>
        <v>70142.332970154355</v>
      </c>
      <c r="BM836" s="23">
        <f t="shared" ref="BM836:BM849" si="5641">IF(ISERROR((BL836/BD836-1)*100),"NA",IF(((BL836/BD836-1)*100)&gt;100,"NM",IF(((BL836/BD836-1)*100)&lt;-50,"NM",(BL836/BD836-1)*100)))</f>
        <v>6.1363550624999652</v>
      </c>
      <c r="BO836" s="137"/>
      <c r="BQ836" s="5"/>
      <c r="BR836" s="5"/>
      <c r="BS836" s="5"/>
      <c r="BT836" s="5"/>
      <c r="BU836" s="36">
        <f t="shared" ref="BU836:BU844" si="5642">H836</f>
        <v>92819.199999999997</v>
      </c>
      <c r="BV836" s="23" t="str">
        <f>IF(ISERROR((BU836/BS836-1)*100),"NA",IF(((BU836/BS836-1)*100)&gt;100,"NM",IF(((BU836/BS836-1)*100)&lt;-50,"NM",(BU836/BS836-1)*100)))</f>
        <v>NA</v>
      </c>
      <c r="BW836" s="36">
        <f t="shared" ref="BW836:BW844" si="5643">P836</f>
        <v>95487.6</v>
      </c>
      <c r="BX836" s="23">
        <f>IF(ISERROR((BW836/BU836-1)*100),"NA",IF(((BW836/BU836-1)*100)&gt;100,"NM",IF(((BW836/BU836-1)*100)&lt;-50,"NM",(BW836/BU836-1)*100)))</f>
        <v>2.8748362407777783</v>
      </c>
      <c r="BY836" s="36">
        <f t="shared" ref="BY836:BY844" si="5644">X836</f>
        <v>87050.8</v>
      </c>
      <c r="BZ836" s="23">
        <f>IF(ISERROR((BY836/BW836-1)*100),"NA",IF(((BY836/BW836-1)*100)&gt;100,"NM",IF(((BY836/BW836-1)*100)&lt;-50,"NM",(BY836/BW836-1)*100)))</f>
        <v>-8.835492776025367</v>
      </c>
      <c r="CA836" s="36">
        <f t="shared" ref="CA836:CA844" si="5645">AF836</f>
        <v>90833.8</v>
      </c>
      <c r="CB836" s="23">
        <f>IF(ISERROR((CA836/BY836-1)*100),"NA",IF(((CA836/BY836-1)*100)&gt;100,"NM",IF(((CA836/BY836-1)*100)&lt;-50,"NM",(CA836/BY836-1)*100)))</f>
        <v>4.3457383504803992</v>
      </c>
      <c r="CC836" s="36">
        <f t="shared" ref="CC836:CC844" si="5646">AN836</f>
        <v>88491.9</v>
      </c>
      <c r="CD836" s="23">
        <f>IF(ISERROR((CC836/CA836-1)*100),"NA",IF(((CC836/CA836-1)*100)&gt;100,"NM",IF(((CC836/CA836-1)*100)&lt;-50,"NM",(CC836/CA836-1)*100)))</f>
        <v>-2.5782252861820232</v>
      </c>
      <c r="CE836" s="36">
        <f t="shared" ref="CE836:CE845" si="5647">AV836</f>
        <v>63783</v>
      </c>
      <c r="CF836" s="23">
        <f>IF(ISERROR((CE836/CC836-1)*100),"NA",IF(((CE836/CC836-1)*100)&gt;100,"NM",IF(((CE836/CC836-1)*100)&lt;-50,"NM",(CE836/CC836-1)*100)))</f>
        <v>-27.922216609655791</v>
      </c>
      <c r="CG836" s="36">
        <f t="shared" ref="CG836:CG845" si="5648">BD836</f>
        <v>66087</v>
      </c>
      <c r="CH836" s="23">
        <f>IF(ISERROR((CG836/CE836-1)*100),"NA",IF(((CG836/CE836-1)*100)&gt;100,"NM",IF(((CG836/CE836-1)*100)&lt;-50,"NM",(CG836/CE836-1)*100)))</f>
        <v>3.6122477776209916</v>
      </c>
      <c r="CI836" s="36">
        <f t="shared" ref="CI836:CI845" si="5649">BL836</f>
        <v>70142.332970154355</v>
      </c>
      <c r="CJ836" s="23">
        <f>IF(ISERROR((CI836/CG836-1)*100),"NA",IF(((CI836/CG836-1)*100)&gt;100,"NM",IF(((CI836/CG836-1)*100)&lt;-50,"NM",(CI836/CG836-1)*100)))</f>
        <v>6.1363550624999652</v>
      </c>
      <c r="CK836" s="49">
        <f>CI836*1.015</f>
        <v>71194.467964706666</v>
      </c>
      <c r="CL836" s="23">
        <f>IF(ISERROR((CK836/CI836-1)*100),"NA",IF(((CK836/CI836-1)*100)&gt;100,"NM",IF(((CK836/CI836-1)*100)&lt;-50,"NM",(CK836/CI836-1)*100)))</f>
        <v>1.4999999999999902</v>
      </c>
      <c r="CM836" s="49">
        <f>CK836*1.015</f>
        <v>72262.384984177261</v>
      </c>
      <c r="CN836" s="23">
        <f>IF(ISERROR((CM836/CK836-1)*100),"NA",IF(((CM836/CK836-1)*100)&gt;100,"NM",IF(((CM836/CK836-1)*100)&lt;-50,"NM",(CM836/CK836-1)*100)))</f>
        <v>1.4999999999999902</v>
      </c>
      <c r="CO836" s="49">
        <f>CM836*1.015</f>
        <v>73346.32075893991</v>
      </c>
      <c r="CP836" s="23">
        <f>IF(ISERROR((CO836/CM836-1)*100),"NA",IF(((CO836/CM836-1)*100)&gt;100,"NM",IF(((CO836/CM836-1)*100)&lt;-50,"NM",(CO836/CM836-1)*100)))</f>
        <v>1.4999999999999902</v>
      </c>
      <c r="CQ836" s="49">
        <f>CO836*1.015</f>
        <v>74446.515570324002</v>
      </c>
      <c r="CR836" s="23">
        <f>IF(ISERROR((CQ836/CO836-1)*100),"NA",IF(((CQ836/CO836-1)*100)&gt;100,"NM",IF(((CQ836/CO836-1)*100)&lt;-50,"NM",(CQ836/CO836-1)*100)))</f>
        <v>1.4999999999999902</v>
      </c>
      <c r="CS836" s="23">
        <f t="shared" ref="CS836:CS849" si="5650">IF(ISERROR(((CQ836/CG836)^0.2-1)*100),"NA",IF((((CQ836/CG836)^0.2-1)*100)&gt;100,"NM",IF((((CQ836/CG836)^0.2-1)*100)&lt;-50,"NM",((CQ836/CG836)^0.2-1)*100)))</f>
        <v>2.4107785125903725</v>
      </c>
    </row>
    <row r="837" spans="1:105" ht="12.75" customHeight="1" x14ac:dyDescent="0.2">
      <c r="A837" s="19" t="s">
        <v>297</v>
      </c>
      <c r="B837" s="48">
        <v>764.2</v>
      </c>
      <c r="C837" s="125"/>
      <c r="D837" s="48">
        <v>1293</v>
      </c>
      <c r="E837" s="125"/>
      <c r="F837" s="48">
        <v>1260.3</v>
      </c>
      <c r="G837" s="125"/>
      <c r="H837" s="48">
        <v>638</v>
      </c>
      <c r="I837" s="125"/>
      <c r="J837" s="48">
        <v>1277</v>
      </c>
      <c r="K837" s="23">
        <f t="shared" si="5619"/>
        <v>67.102852656372661</v>
      </c>
      <c r="L837" s="48">
        <v>1815.3</v>
      </c>
      <c r="M837" s="23">
        <f t="shared" ref="M837:M849" si="5651">IF(ISERROR((L837/D837-1)*100),"NA",IF(((L837/D837-1)*100)&gt;100,"NM",IF(((L837/D837-1)*100)&lt;-50,"NM",(L837/D837-1)*100)))</f>
        <v>40.39443155452436</v>
      </c>
      <c r="N837" s="49">
        <v>2078.6999999999998</v>
      </c>
      <c r="O837" s="23">
        <f t="shared" ref="O837:O848" si="5652">IF(ISERROR((N837/F837-1)*100),"NA",IF(((N837/F837-1)*100)&gt;100,"NM",IF(((N837/F837-1)*100)&lt;-50,"NM",(N837/F837-1)*100)))</f>
        <v>64.936919781004505</v>
      </c>
      <c r="P837" s="49">
        <v>1786.8</v>
      </c>
      <c r="Q837" s="23" t="str">
        <f t="shared" ref="Q837:Q849" si="5653">IF(ISERROR((P837/H837-1)*100),"NA",IF(((P837/H837-1)*100)&gt;100,"NM",IF(((P837/H837-1)*100)&lt;-50,"NM",(P837/H837-1)*100)))</f>
        <v>NM</v>
      </c>
      <c r="R837" s="49">
        <v>2787.7</v>
      </c>
      <c r="S837" s="23" t="str">
        <f t="shared" ref="S837:S849" si="5654">IF(ISERROR((R837/J837-1)*100),"NA",IF(((R837/J837-1)*100)&gt;100,"NM",IF(((R837/J837-1)*100)&lt;-50,"NM",(R837/J837-1)*100)))</f>
        <v>NM</v>
      </c>
      <c r="T837" s="49">
        <v>1549.8</v>
      </c>
      <c r="U837" s="23">
        <f t="shared" ref="U837:U849" si="5655">IF(ISERROR((T837/L837-1)*100),"NA",IF(((T837/L837-1)*100)&gt;100,"NM",IF(((T837/L837-1)*100)&lt;-50,"NM",(T837/L837-1)*100)))</f>
        <v>-14.625681705503224</v>
      </c>
      <c r="V837" s="49">
        <v>1716.6</v>
      </c>
      <c r="W837" s="23">
        <f t="shared" ref="W837:W849" si="5656">IF(ISERROR((V837/N837-1)*100),"NA",IF(((V837/N837-1)*100)&gt;100,"NM",IF(((V837/N837-1)*100)&lt;-50,"NM",(V837/N837-1)*100)))</f>
        <v>-17.419541059315911</v>
      </c>
      <c r="X837" s="49">
        <v>2840.8</v>
      </c>
      <c r="Y837" s="23">
        <f t="shared" ref="Y837:Y853" si="5657">IF(ISERROR((X837/P837-1)*100),"NA",IF(((X837/P837-1)*100)&gt;100,"NM",IF(((X837/P837-1)*100)&lt;-50,"NM",(X837/P837-1)*100)))</f>
        <v>58.988135213790031</v>
      </c>
      <c r="Z837" s="49">
        <v>2499.8000000000002</v>
      </c>
      <c r="AA837" s="23">
        <f t="shared" si="5620"/>
        <v>-10.327510133802043</v>
      </c>
      <c r="AB837" s="49">
        <v>3142</v>
      </c>
      <c r="AC837" s="23" t="str">
        <f t="shared" si="5621"/>
        <v>NM</v>
      </c>
      <c r="AD837" s="158">
        <v>1908.5</v>
      </c>
      <c r="AE837" s="23">
        <f t="shared" si="5622"/>
        <v>11.179074915530695</v>
      </c>
      <c r="AF837" s="49">
        <v>2530.9</v>
      </c>
      <c r="AG837" s="23">
        <f t="shared" si="5623"/>
        <v>-10.908898901717833</v>
      </c>
      <c r="AH837" s="49">
        <v>1875.4</v>
      </c>
      <c r="AI837" s="23">
        <f t="shared" si="5624"/>
        <v>-24.97799823985919</v>
      </c>
      <c r="AJ837" s="49">
        <v>2495.5</v>
      </c>
      <c r="AK837" s="23">
        <f t="shared" si="5625"/>
        <v>-20.576066199872688</v>
      </c>
      <c r="AL837" s="49">
        <v>2511.1</v>
      </c>
      <c r="AM837" s="23">
        <f t="shared" si="5626"/>
        <v>31.574534975111334</v>
      </c>
      <c r="AN837" s="158">
        <v>2512.6999999999998</v>
      </c>
      <c r="AO837" s="23">
        <f t="shared" si="5627"/>
        <v>-0.71911177841875729</v>
      </c>
      <c r="AP837" s="158">
        <v>2526.4</v>
      </c>
      <c r="AQ837" s="23">
        <f t="shared" si="5628"/>
        <v>34.712594646475424</v>
      </c>
      <c r="AR837" s="158">
        <v>3799.7</v>
      </c>
      <c r="AS837" s="23">
        <f t="shared" si="5629"/>
        <v>52.262071729112392</v>
      </c>
      <c r="AT837" s="510">
        <v>2766.7</v>
      </c>
      <c r="AU837" s="576">
        <f t="shared" si="5630"/>
        <v>10.178806100911952</v>
      </c>
      <c r="AV837" s="510">
        <v>2096</v>
      </c>
      <c r="AW837" s="576">
        <f t="shared" si="5631"/>
        <v>-16.583754527002814</v>
      </c>
      <c r="AX837" s="510">
        <v>1366</v>
      </c>
      <c r="AY837" s="576">
        <f t="shared" si="5632"/>
        <v>-45.930968967701077</v>
      </c>
      <c r="AZ837" s="510">
        <v>1528</v>
      </c>
      <c r="BA837" s="576" t="str">
        <f t="shared" si="5633"/>
        <v>NM</v>
      </c>
      <c r="BB837" s="510">
        <v>1470</v>
      </c>
      <c r="BC837" s="23">
        <f t="shared" si="5634"/>
        <v>-46.868110022770807</v>
      </c>
      <c r="BD837" s="158">
        <v>1218</v>
      </c>
      <c r="BE837" s="23">
        <f t="shared" si="5635"/>
        <v>-41.889312977099237</v>
      </c>
      <c r="BF837" s="49">
        <f t="shared" si="5636"/>
        <v>1236.27</v>
      </c>
      <c r="BG837" s="23">
        <f t="shared" si="5637"/>
        <v>-9.4970717423133237</v>
      </c>
      <c r="BH837" s="49">
        <f t="shared" si="5636"/>
        <v>1254.81405</v>
      </c>
      <c r="BI837" s="23">
        <f t="shared" si="5638"/>
        <v>-17.878661649214667</v>
      </c>
      <c r="BJ837" s="49">
        <f t="shared" si="5636"/>
        <v>1273.6362607499998</v>
      </c>
      <c r="BK837" s="23">
        <f t="shared" si="5639"/>
        <v>-13.358077500000009</v>
      </c>
      <c r="BL837" s="49">
        <f t="shared" si="5640"/>
        <v>1292.7408046612497</v>
      </c>
      <c r="BM837" s="23">
        <f t="shared" si="5641"/>
        <v>6.1363550624999874</v>
      </c>
      <c r="BO837" s="137"/>
      <c r="BQ837" s="5"/>
      <c r="BR837" s="5"/>
      <c r="BS837" s="5"/>
      <c r="BT837" s="5"/>
      <c r="BU837" s="36">
        <f t="shared" si="5642"/>
        <v>638</v>
      </c>
      <c r="BV837" s="23" t="str">
        <f t="shared" ref="BV837:CR849" si="5658">IF(ISERROR((BU837/BS837-1)*100),"NA",IF(((BU837/BS837-1)*100)&gt;100,"NM",IF(((BU837/BS837-1)*100)&lt;-50,"NM",(BU837/BS837-1)*100)))</f>
        <v>NA</v>
      </c>
      <c r="BW837" s="36">
        <f t="shared" si="5643"/>
        <v>1786.8</v>
      </c>
      <c r="BX837" s="23" t="str">
        <f t="shared" si="5658"/>
        <v>NM</v>
      </c>
      <c r="BY837" s="36">
        <f t="shared" si="5644"/>
        <v>2840.8</v>
      </c>
      <c r="BZ837" s="23">
        <f t="shared" si="5658"/>
        <v>58.988135213790031</v>
      </c>
      <c r="CA837" s="36">
        <f t="shared" si="5645"/>
        <v>2530.9</v>
      </c>
      <c r="CB837" s="23">
        <f t="shared" si="5658"/>
        <v>-10.908898901717833</v>
      </c>
      <c r="CC837" s="36">
        <f t="shared" si="5646"/>
        <v>2512.6999999999998</v>
      </c>
      <c r="CD837" s="23">
        <f t="shared" si="5658"/>
        <v>-0.71911177841875729</v>
      </c>
      <c r="CE837" s="36">
        <f t="shared" si="5647"/>
        <v>2096</v>
      </c>
      <c r="CF837" s="23">
        <f t="shared" si="5658"/>
        <v>-16.583754527002814</v>
      </c>
      <c r="CG837" s="36">
        <f t="shared" si="5648"/>
        <v>1218</v>
      </c>
      <c r="CH837" s="23">
        <f t="shared" si="5658"/>
        <v>-41.889312977099237</v>
      </c>
      <c r="CI837" s="36">
        <f t="shared" si="5649"/>
        <v>1292.7408046612497</v>
      </c>
      <c r="CJ837" s="23">
        <f t="shared" si="5658"/>
        <v>6.1363550624999874</v>
      </c>
      <c r="CK837" s="49">
        <f>CI837*1.015</f>
        <v>1312.1319167311683</v>
      </c>
      <c r="CL837" s="23">
        <f t="shared" si="5658"/>
        <v>1.4999999999999902</v>
      </c>
      <c r="CM837" s="49">
        <f>CK837*1.015</f>
        <v>1331.8138954821356</v>
      </c>
      <c r="CN837" s="23">
        <f t="shared" si="5658"/>
        <v>1.4999999999999902</v>
      </c>
      <c r="CO837" s="49">
        <f>CM837*1.015</f>
        <v>1351.7911039143676</v>
      </c>
      <c r="CP837" s="23">
        <f t="shared" si="5658"/>
        <v>1.4999999999999902</v>
      </c>
      <c r="CQ837" s="49">
        <f>CO837*1.015</f>
        <v>1372.0679704730831</v>
      </c>
      <c r="CR837" s="23">
        <f t="shared" si="5658"/>
        <v>1.4999999999999902</v>
      </c>
      <c r="CS837" s="23">
        <f t="shared" si="5650"/>
        <v>2.4107785125903947</v>
      </c>
    </row>
    <row r="838" spans="1:105" ht="12.75" customHeight="1" x14ac:dyDescent="0.2">
      <c r="A838" s="19" t="s">
        <v>51</v>
      </c>
      <c r="B838" s="48">
        <v>98749.2</v>
      </c>
      <c r="C838" s="125"/>
      <c r="D838" s="48">
        <v>97145</v>
      </c>
      <c r="E838" s="125"/>
      <c r="F838" s="48">
        <v>84633.1</v>
      </c>
      <c r="G838" s="125"/>
      <c r="H838" s="48">
        <v>88714.5</v>
      </c>
      <c r="I838" s="125"/>
      <c r="J838" s="48">
        <v>97050.1</v>
      </c>
      <c r="K838" s="23">
        <f t="shared" si="5619"/>
        <v>-1.7206215341491249</v>
      </c>
      <c r="L838" s="48">
        <v>92965.6</v>
      </c>
      <c r="M838" s="23">
        <f t="shared" si="5651"/>
        <v>-4.3022286273096899</v>
      </c>
      <c r="N838" s="49">
        <v>96312.2</v>
      </c>
      <c r="O838" s="23">
        <f t="shared" si="5652"/>
        <v>13.799683575338717</v>
      </c>
      <c r="P838" s="49">
        <v>97667.4</v>
      </c>
      <c r="Q838" s="23">
        <f t="shared" si="5653"/>
        <v>10.091811372436288</v>
      </c>
      <c r="R838" s="49">
        <v>103098.3</v>
      </c>
      <c r="S838" s="23">
        <f t="shared" si="5654"/>
        <v>6.2320389159825629</v>
      </c>
      <c r="T838" s="49">
        <v>102228.9</v>
      </c>
      <c r="U838" s="23">
        <f t="shared" si="5655"/>
        <v>9.9642233256171941</v>
      </c>
      <c r="V838" s="49">
        <v>103853.6</v>
      </c>
      <c r="W838" s="23">
        <f t="shared" si="5656"/>
        <v>7.8301606650040378</v>
      </c>
      <c r="X838" s="49">
        <v>106827.1</v>
      </c>
      <c r="Y838" s="23">
        <f t="shared" si="5657"/>
        <v>9.3784620047221665</v>
      </c>
      <c r="Z838" s="49">
        <v>107840</v>
      </c>
      <c r="AA838" s="23">
        <f t="shared" si="5620"/>
        <v>4.5992028966529874</v>
      </c>
      <c r="AB838" s="49">
        <v>110648.2</v>
      </c>
      <c r="AC838" s="23">
        <f t="shared" si="5621"/>
        <v>8.2357337308725853</v>
      </c>
      <c r="AD838" s="158">
        <v>107059.3</v>
      </c>
      <c r="AE838" s="23">
        <f t="shared" si="5622"/>
        <v>3.0867490390318553</v>
      </c>
      <c r="AF838" s="49">
        <v>106007.8</v>
      </c>
      <c r="AG838" s="23">
        <f t="shared" si="5623"/>
        <v>-0.76694022396939232</v>
      </c>
      <c r="AH838" s="49">
        <v>107039.4</v>
      </c>
      <c r="AI838" s="23">
        <f t="shared" si="5624"/>
        <v>-0.7423961424332437</v>
      </c>
      <c r="AJ838" s="49">
        <v>106330.5</v>
      </c>
      <c r="AK838" s="23">
        <f t="shared" si="5625"/>
        <v>-3.9021872926988443</v>
      </c>
      <c r="AL838" s="49">
        <v>94721.5</v>
      </c>
      <c r="AM838" s="23">
        <f t="shared" si="5626"/>
        <v>-11.524267391996778</v>
      </c>
      <c r="AN838" s="158">
        <v>96514.8</v>
      </c>
      <c r="AO838" s="23">
        <f t="shared" si="5627"/>
        <v>-8.9550014244234806</v>
      </c>
      <c r="AP838" s="158">
        <v>95774.8</v>
      </c>
      <c r="AQ838" s="23">
        <f t="shared" si="5628"/>
        <v>-10.523788436781212</v>
      </c>
      <c r="AR838" s="158">
        <v>96307.32</v>
      </c>
      <c r="AS838" s="23">
        <f t="shared" si="5629"/>
        <v>-9.4264392624881843</v>
      </c>
      <c r="AT838" s="510">
        <v>97975.7</v>
      </c>
      <c r="AU838" s="576">
        <f t="shared" si="5630"/>
        <v>3.4355452563567868</v>
      </c>
      <c r="AV838" s="510">
        <v>66185</v>
      </c>
      <c r="AW838" s="576">
        <f t="shared" si="5631"/>
        <v>-31.425024970263628</v>
      </c>
      <c r="AX838" s="510">
        <v>70444</v>
      </c>
      <c r="AY838" s="576">
        <f t="shared" si="5632"/>
        <v>-26.448293288004777</v>
      </c>
      <c r="AZ838" s="510">
        <v>72747</v>
      </c>
      <c r="BA838" s="576">
        <f t="shared" si="5633"/>
        <v>-24.463685626388532</v>
      </c>
      <c r="BB838" s="510">
        <v>77613</v>
      </c>
      <c r="BC838" s="23">
        <f t="shared" si="5634"/>
        <v>-20.78341874566857</v>
      </c>
      <c r="BD838" s="158">
        <v>77605</v>
      </c>
      <c r="BE838" s="23">
        <f t="shared" si="5635"/>
        <v>17.254664954294775</v>
      </c>
      <c r="BF838" s="49">
        <f t="shared" ref="BF838:BJ838" si="5659">BD838*1.01</f>
        <v>78381.05</v>
      </c>
      <c r="BG838" s="23">
        <f t="shared" si="5637"/>
        <v>11.26717676452218</v>
      </c>
      <c r="BH838" s="49">
        <f t="shared" si="5659"/>
        <v>79164.86050000001</v>
      </c>
      <c r="BI838" s="23">
        <f t="shared" si="5638"/>
        <v>8.8221651751962504</v>
      </c>
      <c r="BJ838" s="49">
        <f t="shared" si="5659"/>
        <v>79956.509105000005</v>
      </c>
      <c r="BK838" s="23">
        <f t="shared" si="5639"/>
        <v>3.0194801193099252</v>
      </c>
      <c r="BL838" s="49">
        <f t="shared" ref="BL838" si="5660">BJ838*1.01</f>
        <v>80756.074196050002</v>
      </c>
      <c r="BM838" s="23">
        <f t="shared" si="5641"/>
        <v>4.0604010000000024</v>
      </c>
      <c r="BO838" s="137"/>
      <c r="BQ838" s="5"/>
      <c r="BR838" s="5"/>
      <c r="BS838" s="5"/>
      <c r="BT838" s="5"/>
      <c r="BU838" s="36">
        <f t="shared" si="5642"/>
        <v>88714.5</v>
      </c>
      <c r="BV838" s="23" t="str">
        <f t="shared" si="5658"/>
        <v>NA</v>
      </c>
      <c r="BW838" s="36">
        <f t="shared" si="5643"/>
        <v>97667.4</v>
      </c>
      <c r="BX838" s="23">
        <f t="shared" si="5658"/>
        <v>10.091811372436288</v>
      </c>
      <c r="BY838" s="36">
        <f t="shared" si="5644"/>
        <v>106827.1</v>
      </c>
      <c r="BZ838" s="23">
        <f t="shared" si="5658"/>
        <v>9.3784620047221665</v>
      </c>
      <c r="CA838" s="36">
        <f t="shared" si="5645"/>
        <v>106007.8</v>
      </c>
      <c r="CB838" s="23">
        <f t="shared" si="5658"/>
        <v>-0.76694022396939232</v>
      </c>
      <c r="CC838" s="36">
        <f t="shared" si="5646"/>
        <v>96514.8</v>
      </c>
      <c r="CD838" s="23">
        <f t="shared" si="5658"/>
        <v>-8.9550014244234806</v>
      </c>
      <c r="CE838" s="36">
        <f t="shared" si="5647"/>
        <v>66185</v>
      </c>
      <c r="CF838" s="23">
        <f t="shared" si="5658"/>
        <v>-31.425024970263628</v>
      </c>
      <c r="CG838" s="36">
        <f t="shared" si="5648"/>
        <v>77605</v>
      </c>
      <c r="CH838" s="23">
        <f t="shared" si="5658"/>
        <v>17.254664954294775</v>
      </c>
      <c r="CI838" s="36">
        <f t="shared" si="5649"/>
        <v>80756.074196050002</v>
      </c>
      <c r="CJ838" s="23">
        <f t="shared" si="5658"/>
        <v>4.0604010000000024</v>
      </c>
      <c r="CK838" s="49">
        <f>CI838*1.01</f>
        <v>81563.634938010509</v>
      </c>
      <c r="CL838" s="23">
        <f t="shared" si="5658"/>
        <v>1.0000000000000009</v>
      </c>
      <c r="CM838" s="49">
        <f>CK838*1.01</f>
        <v>82379.271287390613</v>
      </c>
      <c r="CN838" s="23">
        <f t="shared" si="5658"/>
        <v>1.0000000000000009</v>
      </c>
      <c r="CO838" s="49">
        <f>CM838*1.01</f>
        <v>83203.064000264523</v>
      </c>
      <c r="CP838" s="23">
        <f t="shared" si="5658"/>
        <v>1.0000000000000009</v>
      </c>
      <c r="CQ838" s="49">
        <f>CO838*1.01</f>
        <v>84035.094640267169</v>
      </c>
      <c r="CR838" s="23">
        <f t="shared" si="5658"/>
        <v>1.0000000000000009</v>
      </c>
      <c r="CS838" s="23">
        <f t="shared" si="5650"/>
        <v>1.6047936222930881</v>
      </c>
    </row>
    <row r="839" spans="1:105" ht="12.75" customHeight="1" x14ac:dyDescent="0.2">
      <c r="A839" s="19" t="s">
        <v>299</v>
      </c>
      <c r="B839" s="48">
        <v>7717.9</v>
      </c>
      <c r="C839" s="125"/>
      <c r="D839" s="48">
        <v>7657.8</v>
      </c>
      <c r="E839" s="125"/>
      <c r="F839" s="48">
        <v>7608.2</v>
      </c>
      <c r="G839" s="125"/>
      <c r="H839" s="48">
        <v>7723.4</v>
      </c>
      <c r="I839" s="125"/>
      <c r="J839" s="48">
        <v>7724.8</v>
      </c>
      <c r="K839" s="23">
        <f t="shared" si="5619"/>
        <v>8.9402557690565487E-2</v>
      </c>
      <c r="L839" s="48">
        <v>7602.7</v>
      </c>
      <c r="M839" s="23">
        <f t="shared" si="5651"/>
        <v>-0.71952780171851138</v>
      </c>
      <c r="N839" s="49">
        <v>7565.9</v>
      </c>
      <c r="O839" s="23">
        <f t="shared" si="5652"/>
        <v>-0.55597907520833489</v>
      </c>
      <c r="P839" s="49">
        <v>7379.3</v>
      </c>
      <c r="Q839" s="23">
        <f t="shared" si="5653"/>
        <v>-4.4552917109045183</v>
      </c>
      <c r="R839" s="49">
        <v>7151</v>
      </c>
      <c r="S839" s="23">
        <f t="shared" si="5654"/>
        <v>-7.4280240265120145</v>
      </c>
      <c r="T839" s="49">
        <v>7053</v>
      </c>
      <c r="U839" s="23">
        <f t="shared" si="5655"/>
        <v>-7.2303260683704407</v>
      </c>
      <c r="V839" s="49">
        <v>6755.6</v>
      </c>
      <c r="W839" s="23">
        <f t="shared" si="5656"/>
        <v>-10.70989571630605</v>
      </c>
      <c r="X839" s="49">
        <v>6702.2</v>
      </c>
      <c r="Y839" s="23">
        <f t="shared" si="5657"/>
        <v>-9.175667068692162</v>
      </c>
      <c r="Z839" s="49">
        <v>6785.8</v>
      </c>
      <c r="AA839" s="23">
        <f t="shared" si="5620"/>
        <v>-5.106978045028665</v>
      </c>
      <c r="AB839" s="49">
        <v>6637.1</v>
      </c>
      <c r="AC839" s="23">
        <f t="shared" si="5621"/>
        <v>-5.8967815114135735</v>
      </c>
      <c r="AD839" s="158">
        <v>6752.5</v>
      </c>
      <c r="AE839" s="23">
        <f t="shared" si="5622"/>
        <v>-4.5887856000947913E-2</v>
      </c>
      <c r="AF839" s="49">
        <v>7116.9</v>
      </c>
      <c r="AG839" s="23">
        <f t="shared" si="5623"/>
        <v>6.1875205156515678</v>
      </c>
      <c r="AH839" s="49">
        <v>7048.8</v>
      </c>
      <c r="AI839" s="23">
        <f t="shared" si="5624"/>
        <v>3.8757405169618897</v>
      </c>
      <c r="AJ839" s="49">
        <v>7269.1</v>
      </c>
      <c r="AK839" s="23">
        <f t="shared" si="5625"/>
        <v>9.5222310949059086</v>
      </c>
      <c r="AL839" s="49">
        <v>7332.5</v>
      </c>
      <c r="AM839" s="23">
        <f t="shared" si="5626"/>
        <v>8.5894113291373522</v>
      </c>
      <c r="AN839" s="158">
        <v>7653.7</v>
      </c>
      <c r="AO839" s="23">
        <f t="shared" si="5627"/>
        <v>7.5426098441737199</v>
      </c>
      <c r="AP839" s="158">
        <v>7558</v>
      </c>
      <c r="AQ839" s="23">
        <f t="shared" si="5628"/>
        <v>7.2239246396549772</v>
      </c>
      <c r="AR839" s="158">
        <v>7473.1</v>
      </c>
      <c r="AS839" s="23">
        <f t="shared" si="5629"/>
        <v>2.8063996918463063</v>
      </c>
      <c r="AT839" s="510">
        <v>7305.1</v>
      </c>
      <c r="AU839" s="576">
        <f t="shared" si="5630"/>
        <v>-0.37367882713944534</v>
      </c>
      <c r="AV839" s="510">
        <v>7287</v>
      </c>
      <c r="AW839" s="576">
        <f t="shared" si="5631"/>
        <v>-4.7911467656166273</v>
      </c>
      <c r="AX839" s="510">
        <v>7323</v>
      </c>
      <c r="AY839" s="576">
        <f t="shared" si="5632"/>
        <v>-3.109288171473934</v>
      </c>
      <c r="AZ839" s="510">
        <v>7249</v>
      </c>
      <c r="BA839" s="576">
        <f t="shared" si="5633"/>
        <v>-2.9987555365243335</v>
      </c>
      <c r="BB839" s="510">
        <v>7273</v>
      </c>
      <c r="BC839" s="23">
        <f t="shared" si="5634"/>
        <v>-0.43941903601594223</v>
      </c>
      <c r="BD839" s="158">
        <v>7632</v>
      </c>
      <c r="BE839" s="23">
        <f t="shared" si="5635"/>
        <v>4.7344586249485454</v>
      </c>
      <c r="BF839" s="49">
        <f t="shared" ref="BF839:BJ840" si="5661">BD839</f>
        <v>7632</v>
      </c>
      <c r="BG839" s="23">
        <f t="shared" si="5637"/>
        <v>4.2195821384678478</v>
      </c>
      <c r="BH839" s="49">
        <f t="shared" si="5661"/>
        <v>7632</v>
      </c>
      <c r="BI839" s="23">
        <f t="shared" si="5638"/>
        <v>5.2834873775693181</v>
      </c>
      <c r="BJ839" s="49">
        <f t="shared" si="5661"/>
        <v>7632</v>
      </c>
      <c r="BK839" s="23">
        <f t="shared" si="5639"/>
        <v>4.9360648975663501</v>
      </c>
      <c r="BL839" s="49">
        <f t="shared" ref="BL839:BL840" si="5662">BJ839</f>
        <v>7632</v>
      </c>
      <c r="BM839" s="23">
        <f t="shared" si="5641"/>
        <v>0</v>
      </c>
      <c r="BO839" s="137"/>
      <c r="BQ839" s="5"/>
      <c r="BR839" s="5"/>
      <c r="BS839" s="5"/>
      <c r="BT839" s="5"/>
      <c r="BU839" s="36">
        <f t="shared" si="5642"/>
        <v>7723.4</v>
      </c>
      <c r="BV839" s="23" t="str">
        <f t="shared" si="5658"/>
        <v>NA</v>
      </c>
      <c r="BW839" s="36">
        <f t="shared" si="5643"/>
        <v>7379.3</v>
      </c>
      <c r="BX839" s="23">
        <f t="shared" si="5658"/>
        <v>-4.4552917109045183</v>
      </c>
      <c r="BY839" s="36">
        <f t="shared" si="5644"/>
        <v>6702.2</v>
      </c>
      <c r="BZ839" s="23">
        <f t="shared" si="5658"/>
        <v>-9.175667068692162</v>
      </c>
      <c r="CA839" s="36">
        <f t="shared" si="5645"/>
        <v>7116.9</v>
      </c>
      <c r="CB839" s="23">
        <f t="shared" si="5658"/>
        <v>6.1875205156515678</v>
      </c>
      <c r="CC839" s="36">
        <f t="shared" si="5646"/>
        <v>7653.7</v>
      </c>
      <c r="CD839" s="23">
        <f t="shared" si="5658"/>
        <v>7.5426098441737199</v>
      </c>
      <c r="CE839" s="36">
        <f t="shared" si="5647"/>
        <v>7287</v>
      </c>
      <c r="CF839" s="23">
        <f t="shared" si="5658"/>
        <v>-4.7911467656166273</v>
      </c>
      <c r="CG839" s="36">
        <f t="shared" si="5648"/>
        <v>7632</v>
      </c>
      <c r="CH839" s="23">
        <f t="shared" si="5658"/>
        <v>4.7344586249485454</v>
      </c>
      <c r="CI839" s="36">
        <f t="shared" si="5649"/>
        <v>7632</v>
      </c>
      <c r="CJ839" s="23">
        <f t="shared" si="5658"/>
        <v>0</v>
      </c>
      <c r="CK839" s="49">
        <f>CI839</f>
        <v>7632</v>
      </c>
      <c r="CL839" s="23">
        <f t="shared" si="5658"/>
        <v>0</v>
      </c>
      <c r="CM839" s="49">
        <f>CK839</f>
        <v>7632</v>
      </c>
      <c r="CN839" s="23">
        <f t="shared" si="5658"/>
        <v>0</v>
      </c>
      <c r="CO839" s="49">
        <f>CM839</f>
        <v>7632</v>
      </c>
      <c r="CP839" s="23">
        <f t="shared" si="5658"/>
        <v>0</v>
      </c>
      <c r="CQ839" s="49">
        <f>CO839</f>
        <v>7632</v>
      </c>
      <c r="CR839" s="23">
        <f t="shared" si="5658"/>
        <v>0</v>
      </c>
      <c r="CS839" s="23">
        <f t="shared" si="5650"/>
        <v>0</v>
      </c>
    </row>
    <row r="840" spans="1:105" ht="12.75" customHeight="1" x14ac:dyDescent="0.2">
      <c r="A840" s="19" t="s">
        <v>298</v>
      </c>
      <c r="B840" s="48">
        <v>2192.6</v>
      </c>
      <c r="C840" s="125"/>
      <c r="D840" s="48">
        <v>1687.9</v>
      </c>
      <c r="E840" s="125"/>
      <c r="F840" s="48">
        <v>1739.2</v>
      </c>
      <c r="G840" s="125"/>
      <c r="H840" s="48">
        <v>1957.6</v>
      </c>
      <c r="I840" s="125"/>
      <c r="J840" s="48">
        <v>1239.5</v>
      </c>
      <c r="K840" s="23">
        <f t="shared" si="5619"/>
        <v>-43.46894098330749</v>
      </c>
      <c r="L840" s="48">
        <v>1426</v>
      </c>
      <c r="M840" s="23">
        <f t="shared" si="5651"/>
        <v>-15.516322056993904</v>
      </c>
      <c r="N840" s="49">
        <v>1312.8</v>
      </c>
      <c r="O840" s="23">
        <f t="shared" si="5652"/>
        <v>-24.517019319227241</v>
      </c>
      <c r="P840" s="49">
        <v>1527.5</v>
      </c>
      <c r="Q840" s="23">
        <f t="shared" si="5653"/>
        <v>-21.970780547609316</v>
      </c>
      <c r="R840" s="49">
        <v>1764.3</v>
      </c>
      <c r="S840" s="23">
        <f t="shared" si="5654"/>
        <v>42.339653085921739</v>
      </c>
      <c r="T840" s="49">
        <v>1322.2</v>
      </c>
      <c r="U840" s="23">
        <f t="shared" si="5655"/>
        <v>-7.2791023842917246</v>
      </c>
      <c r="V840" s="49">
        <v>1395.6</v>
      </c>
      <c r="W840" s="23">
        <f t="shared" si="5656"/>
        <v>6.3071297989031105</v>
      </c>
      <c r="X840" s="49">
        <v>1450</v>
      </c>
      <c r="Y840" s="23">
        <f t="shared" si="5657"/>
        <v>-5.0736497545008197</v>
      </c>
      <c r="Z840" s="49">
        <v>1494.2</v>
      </c>
      <c r="AA840" s="23">
        <f t="shared" si="5620"/>
        <v>-15.309187779856027</v>
      </c>
      <c r="AB840" s="49">
        <v>1509.7</v>
      </c>
      <c r="AC840" s="23">
        <f t="shared" si="5621"/>
        <v>14.180910603539566</v>
      </c>
      <c r="AD840" s="158">
        <v>1520.7</v>
      </c>
      <c r="AE840" s="23">
        <f t="shared" si="5622"/>
        <v>8.9638865004299397</v>
      </c>
      <c r="AF840" s="49">
        <v>1718.7</v>
      </c>
      <c r="AG840" s="23">
        <f t="shared" si="5623"/>
        <v>18.531034482758635</v>
      </c>
      <c r="AH840" s="49">
        <v>1920.9</v>
      </c>
      <c r="AI840" s="23">
        <f t="shared" si="5624"/>
        <v>28.557087404631254</v>
      </c>
      <c r="AJ840" s="49">
        <v>1585.7</v>
      </c>
      <c r="AK840" s="23">
        <f t="shared" si="5625"/>
        <v>5.0341127376299921</v>
      </c>
      <c r="AL840" s="49">
        <v>1664.6</v>
      </c>
      <c r="AM840" s="23">
        <f t="shared" si="5626"/>
        <v>9.4627474189517891</v>
      </c>
      <c r="AN840" s="158">
        <v>1559</v>
      </c>
      <c r="AO840" s="23">
        <f t="shared" si="5627"/>
        <v>-9.2919066736486862</v>
      </c>
      <c r="AP840" s="158">
        <v>2120.6999999999998</v>
      </c>
      <c r="AQ840" s="23">
        <f t="shared" si="5628"/>
        <v>10.401374355770709</v>
      </c>
      <c r="AR840" s="158">
        <v>2219.4</v>
      </c>
      <c r="AS840" s="23">
        <f t="shared" si="5629"/>
        <v>39.963423093901753</v>
      </c>
      <c r="AT840" s="510">
        <v>2056.8000000000002</v>
      </c>
      <c r="AU840" s="576">
        <f t="shared" si="5630"/>
        <v>23.561215907725597</v>
      </c>
      <c r="AV840" s="510">
        <v>1679.6</v>
      </c>
      <c r="AW840" s="576">
        <f t="shared" si="5631"/>
        <v>7.7357280307889686</v>
      </c>
      <c r="AX840" s="510">
        <v>1273</v>
      </c>
      <c r="AY840" s="576">
        <f t="shared" si="5632"/>
        <v>-39.972650539916053</v>
      </c>
      <c r="AZ840" s="510">
        <v>1408</v>
      </c>
      <c r="BA840" s="576">
        <f t="shared" si="5633"/>
        <v>-36.559430476705423</v>
      </c>
      <c r="BB840" s="510">
        <v>2603</v>
      </c>
      <c r="BC840" s="23">
        <f t="shared" si="5634"/>
        <v>26.555814858031891</v>
      </c>
      <c r="BD840" s="158">
        <v>2293</v>
      </c>
      <c r="BE840" s="23">
        <f t="shared" si="5635"/>
        <v>36.520600142891183</v>
      </c>
      <c r="BF840" s="49">
        <f t="shared" si="5661"/>
        <v>2293</v>
      </c>
      <c r="BG840" s="23">
        <f t="shared" si="5637"/>
        <v>80.125687352710131</v>
      </c>
      <c r="BH840" s="49">
        <f t="shared" si="5661"/>
        <v>2293</v>
      </c>
      <c r="BI840" s="23">
        <f t="shared" si="5638"/>
        <v>62.855113636363647</v>
      </c>
      <c r="BJ840" s="49">
        <f t="shared" si="5661"/>
        <v>2293</v>
      </c>
      <c r="BK840" s="23">
        <f t="shared" si="5639"/>
        <v>-11.909335382251252</v>
      </c>
      <c r="BL840" s="49">
        <f t="shared" si="5662"/>
        <v>2293</v>
      </c>
      <c r="BM840" s="23">
        <f t="shared" si="5641"/>
        <v>0</v>
      </c>
      <c r="BO840" s="137"/>
      <c r="BQ840" s="5"/>
      <c r="BR840" s="5"/>
      <c r="BS840" s="5"/>
      <c r="BT840" s="5"/>
      <c r="BU840" s="36">
        <f t="shared" si="5642"/>
        <v>1957.6</v>
      </c>
      <c r="BV840" s="23" t="str">
        <f t="shared" si="5658"/>
        <v>NA</v>
      </c>
      <c r="BW840" s="36">
        <f t="shared" si="5643"/>
        <v>1527.5</v>
      </c>
      <c r="BX840" s="23">
        <f t="shared" si="5658"/>
        <v>-21.970780547609316</v>
      </c>
      <c r="BY840" s="36">
        <f t="shared" si="5644"/>
        <v>1450</v>
      </c>
      <c r="BZ840" s="23">
        <f t="shared" si="5658"/>
        <v>-5.0736497545008197</v>
      </c>
      <c r="CA840" s="36">
        <f t="shared" si="5645"/>
        <v>1718.7</v>
      </c>
      <c r="CB840" s="23">
        <f t="shared" si="5658"/>
        <v>18.531034482758635</v>
      </c>
      <c r="CC840" s="36">
        <f t="shared" si="5646"/>
        <v>1559</v>
      </c>
      <c r="CD840" s="23">
        <f t="shared" si="5658"/>
        <v>-9.2919066736486862</v>
      </c>
      <c r="CE840" s="36">
        <f t="shared" si="5647"/>
        <v>1679.6</v>
      </c>
      <c r="CF840" s="23">
        <f t="shared" si="5658"/>
        <v>7.7357280307889686</v>
      </c>
      <c r="CG840" s="36">
        <f t="shared" si="5648"/>
        <v>2293</v>
      </c>
      <c r="CH840" s="23">
        <f t="shared" si="5658"/>
        <v>36.520600142891183</v>
      </c>
      <c r="CI840" s="36">
        <f t="shared" si="5649"/>
        <v>2293</v>
      </c>
      <c r="CJ840" s="23">
        <f t="shared" si="5658"/>
        <v>0</v>
      </c>
      <c r="CK840" s="49">
        <f>CI840</f>
        <v>2293</v>
      </c>
      <c r="CL840" s="23">
        <f t="shared" si="5658"/>
        <v>0</v>
      </c>
      <c r="CM840" s="49">
        <f>CK840</f>
        <v>2293</v>
      </c>
      <c r="CN840" s="23">
        <f t="shared" si="5658"/>
        <v>0</v>
      </c>
      <c r="CO840" s="49">
        <f>CM840</f>
        <v>2293</v>
      </c>
      <c r="CP840" s="23">
        <f t="shared" si="5658"/>
        <v>0</v>
      </c>
      <c r="CQ840" s="49">
        <f>CO840</f>
        <v>2293</v>
      </c>
      <c r="CR840" s="23">
        <f t="shared" si="5658"/>
        <v>0</v>
      </c>
      <c r="CS840" s="23">
        <f t="shared" si="5650"/>
        <v>0</v>
      </c>
    </row>
    <row r="841" spans="1:105" ht="12.75" customHeight="1" x14ac:dyDescent="0.2">
      <c r="A841" s="19" t="s">
        <v>50</v>
      </c>
      <c r="B841" s="48">
        <v>5099.8999999999996</v>
      </c>
      <c r="C841" s="125"/>
      <c r="D841" s="48">
        <v>4971.3999999999996</v>
      </c>
      <c r="E841" s="125"/>
      <c r="F841" s="48">
        <v>4405.8999999999996</v>
      </c>
      <c r="G841" s="125"/>
      <c r="H841" s="48">
        <v>4352.3</v>
      </c>
      <c r="I841" s="125"/>
      <c r="J841" s="48">
        <v>4369.5</v>
      </c>
      <c r="K841" s="23">
        <f t="shared" si="5619"/>
        <v>-14.32184944802839</v>
      </c>
      <c r="L841" s="48">
        <v>3938.2</v>
      </c>
      <c r="M841" s="23">
        <f t="shared" si="5651"/>
        <v>-20.782878062517597</v>
      </c>
      <c r="N841" s="49">
        <v>3623.8</v>
      </c>
      <c r="O841" s="23">
        <f t="shared" si="5652"/>
        <v>-17.751197258221918</v>
      </c>
      <c r="P841" s="49">
        <v>3656.3</v>
      </c>
      <c r="Q841" s="23">
        <f t="shared" si="5653"/>
        <v>-15.99154470050318</v>
      </c>
      <c r="R841" s="49">
        <v>4019.6</v>
      </c>
      <c r="S841" s="23">
        <f t="shared" si="5654"/>
        <v>-8.0077812106648327</v>
      </c>
      <c r="T841" s="49">
        <v>5060.5</v>
      </c>
      <c r="U841" s="23">
        <f t="shared" si="5655"/>
        <v>28.497790868924898</v>
      </c>
      <c r="V841" s="49">
        <v>5265</v>
      </c>
      <c r="W841" s="23">
        <f t="shared" si="5656"/>
        <v>45.289475136596934</v>
      </c>
      <c r="X841" s="49">
        <v>5351.6</v>
      </c>
      <c r="Y841" s="23">
        <f t="shared" si="5657"/>
        <v>46.366545414763571</v>
      </c>
      <c r="Z841" s="49">
        <v>4860.8</v>
      </c>
      <c r="AA841" s="23">
        <f t="shared" si="5620"/>
        <v>20.927455468205803</v>
      </c>
      <c r="AB841" s="49">
        <v>4511.2</v>
      </c>
      <c r="AC841" s="23">
        <f t="shared" si="5621"/>
        <v>-10.854658630570102</v>
      </c>
      <c r="AD841" s="158">
        <v>4779.8999999999996</v>
      </c>
      <c r="AE841" s="23">
        <f t="shared" si="5622"/>
        <v>-9.21367521367522</v>
      </c>
      <c r="AF841" s="49">
        <v>4570.8999999999996</v>
      </c>
      <c r="AG841" s="23">
        <f t="shared" si="5623"/>
        <v>-14.58816055011587</v>
      </c>
      <c r="AH841" s="49">
        <v>4244.3</v>
      </c>
      <c r="AI841" s="23">
        <f t="shared" si="5624"/>
        <v>-12.683097432521395</v>
      </c>
      <c r="AJ841" s="49">
        <v>5089.8999999999996</v>
      </c>
      <c r="AK841" s="23">
        <f t="shared" si="5625"/>
        <v>12.828072353254116</v>
      </c>
      <c r="AL841" s="49">
        <v>4926</v>
      </c>
      <c r="AM841" s="23">
        <f t="shared" si="5626"/>
        <v>3.0565493001945665</v>
      </c>
      <c r="AN841" s="158">
        <v>5370.1</v>
      </c>
      <c r="AO841" s="23">
        <f t="shared" si="5627"/>
        <v>17.484521647815555</v>
      </c>
      <c r="AP841" s="158">
        <v>4693</v>
      </c>
      <c r="AQ841" s="23">
        <f t="shared" si="5628"/>
        <v>10.571825742760875</v>
      </c>
      <c r="AR841" s="158">
        <v>4263.8</v>
      </c>
      <c r="AS841" s="23">
        <f t="shared" si="5629"/>
        <v>-16.230181339515504</v>
      </c>
      <c r="AT841" s="510">
        <v>4059.5</v>
      </c>
      <c r="AU841" s="576">
        <f t="shared" si="5630"/>
        <v>-17.590336987413725</v>
      </c>
      <c r="AV841" s="510">
        <v>3997</v>
      </c>
      <c r="AW841" s="576">
        <f t="shared" si="5631"/>
        <v>-25.569356250349163</v>
      </c>
      <c r="AX841" s="510">
        <v>3929</v>
      </c>
      <c r="AY841" s="576">
        <f t="shared" si="5632"/>
        <v>-16.279565310036226</v>
      </c>
      <c r="AZ841" s="510">
        <v>3620</v>
      </c>
      <c r="BA841" s="576">
        <f t="shared" si="5633"/>
        <v>-15.09920727989118</v>
      </c>
      <c r="BB841" s="510">
        <v>3403</v>
      </c>
      <c r="BC841" s="23">
        <f t="shared" si="5634"/>
        <v>-16.171942357433178</v>
      </c>
      <c r="BD841" s="158">
        <v>3374</v>
      </c>
      <c r="BE841" s="23">
        <f t="shared" si="5635"/>
        <v>-15.586690017513138</v>
      </c>
      <c r="BF841" s="49">
        <f t="shared" ref="BF841:BJ841" si="5663">BD841*1.015</f>
        <v>3424.6099999999997</v>
      </c>
      <c r="BG841" s="23">
        <f t="shared" si="5637"/>
        <v>-12.837617714431159</v>
      </c>
      <c r="BH841" s="49">
        <f t="shared" si="5663"/>
        <v>3475.9791499999992</v>
      </c>
      <c r="BI841" s="23">
        <f t="shared" si="5638"/>
        <v>-3.9784765193370375</v>
      </c>
      <c r="BJ841" s="49">
        <f t="shared" si="5663"/>
        <v>3528.1188372499987</v>
      </c>
      <c r="BK841" s="23">
        <f t="shared" si="5639"/>
        <v>3.6767216353217336</v>
      </c>
      <c r="BL841" s="49">
        <f t="shared" ref="BL841" si="5664">BJ841*1.015</f>
        <v>3581.0406198087485</v>
      </c>
      <c r="BM841" s="23">
        <f t="shared" si="5641"/>
        <v>6.1363550624999652</v>
      </c>
      <c r="BN841" s="48"/>
      <c r="BO841" s="137"/>
      <c r="BP841" s="48"/>
      <c r="BQ841" s="48">
        <v>6168</v>
      </c>
      <c r="BR841" s="48"/>
      <c r="BS841" s="48">
        <v>5038</v>
      </c>
      <c r="BT841" s="48"/>
      <c r="BU841" s="36">
        <f t="shared" si="5642"/>
        <v>4352.3</v>
      </c>
      <c r="BV841" s="23">
        <f t="shared" si="5658"/>
        <v>-13.610559745930917</v>
      </c>
      <c r="BW841" s="36">
        <f t="shared" si="5643"/>
        <v>3656.3</v>
      </c>
      <c r="BX841" s="23">
        <f t="shared" si="5658"/>
        <v>-15.99154470050318</v>
      </c>
      <c r="BY841" s="36">
        <f t="shared" si="5644"/>
        <v>5351.6</v>
      </c>
      <c r="BZ841" s="23">
        <f t="shared" si="5658"/>
        <v>46.366545414763571</v>
      </c>
      <c r="CA841" s="36">
        <f t="shared" si="5645"/>
        <v>4570.8999999999996</v>
      </c>
      <c r="CB841" s="23">
        <f t="shared" si="5658"/>
        <v>-14.58816055011587</v>
      </c>
      <c r="CC841" s="36">
        <f t="shared" si="5646"/>
        <v>5370.1</v>
      </c>
      <c r="CD841" s="23">
        <f t="shared" si="5658"/>
        <v>17.484521647815555</v>
      </c>
      <c r="CE841" s="36">
        <f t="shared" si="5647"/>
        <v>3997</v>
      </c>
      <c r="CF841" s="23">
        <f t="shared" si="5658"/>
        <v>-25.569356250349163</v>
      </c>
      <c r="CG841" s="36">
        <f t="shared" si="5648"/>
        <v>3374</v>
      </c>
      <c r="CH841" s="23">
        <f t="shared" si="5658"/>
        <v>-15.586690017513138</v>
      </c>
      <c r="CI841" s="36">
        <f t="shared" si="5649"/>
        <v>3581.0406198087485</v>
      </c>
      <c r="CJ841" s="23">
        <f t="shared" si="5658"/>
        <v>6.1363550624999652</v>
      </c>
      <c r="CK841" s="49">
        <f>CI841*1.015</f>
        <v>3634.7562291058794</v>
      </c>
      <c r="CL841" s="23">
        <f t="shared" si="5658"/>
        <v>1.4999999999999902</v>
      </c>
      <c r="CM841" s="49">
        <f>CK841*1.015</f>
        <v>3689.2775725424672</v>
      </c>
      <c r="CN841" s="23">
        <f t="shared" si="5658"/>
        <v>1.4999999999999902</v>
      </c>
      <c r="CO841" s="49">
        <f>CM841*1.015</f>
        <v>3744.6167361306038</v>
      </c>
      <c r="CP841" s="23">
        <f t="shared" si="5658"/>
        <v>1.4999999999999902</v>
      </c>
      <c r="CQ841" s="49">
        <f>CO841*1.015</f>
        <v>3800.7859871725627</v>
      </c>
      <c r="CR841" s="23">
        <f t="shared" si="5658"/>
        <v>1.4999999999999902</v>
      </c>
      <c r="CS841" s="23">
        <f t="shared" si="5650"/>
        <v>2.4107785125903725</v>
      </c>
    </row>
    <row r="842" spans="1:105" ht="12.75" customHeight="1" x14ac:dyDescent="0.2">
      <c r="A842" s="19" t="s">
        <v>300</v>
      </c>
      <c r="B842" s="48">
        <v>422.2</v>
      </c>
      <c r="C842" s="125"/>
      <c r="D842" s="48">
        <v>411.2</v>
      </c>
      <c r="E842" s="125"/>
      <c r="F842" s="48">
        <v>395.3</v>
      </c>
      <c r="G842" s="125"/>
      <c r="H842" s="48">
        <v>382.5</v>
      </c>
      <c r="I842" s="125"/>
      <c r="J842" s="48">
        <v>372</v>
      </c>
      <c r="K842" s="23">
        <f t="shared" si="5619"/>
        <v>-11.890099478919936</v>
      </c>
      <c r="L842" s="48">
        <v>360.4</v>
      </c>
      <c r="M842" s="23">
        <f t="shared" si="5651"/>
        <v>-12.354085603112841</v>
      </c>
      <c r="N842" s="49">
        <v>358.9</v>
      </c>
      <c r="O842" s="23">
        <f t="shared" si="5652"/>
        <v>-9.2081963066025896</v>
      </c>
      <c r="P842" s="49">
        <v>348.5</v>
      </c>
      <c r="Q842" s="23">
        <f t="shared" si="5653"/>
        <v>-8.8888888888888911</v>
      </c>
      <c r="R842" s="49">
        <v>341.8</v>
      </c>
      <c r="S842" s="23">
        <f t="shared" si="5654"/>
        <v>-8.1182795698924721</v>
      </c>
      <c r="T842" s="49">
        <v>333</v>
      </c>
      <c r="U842" s="23">
        <f t="shared" si="5655"/>
        <v>-7.6026637069922298</v>
      </c>
      <c r="V842" s="49">
        <v>323.39999999999998</v>
      </c>
      <c r="W842" s="23">
        <f t="shared" si="5656"/>
        <v>-9.8913346336026784</v>
      </c>
      <c r="X842" s="49">
        <v>323.7</v>
      </c>
      <c r="Y842" s="23">
        <f t="shared" si="5657"/>
        <v>-7.1162123385939751</v>
      </c>
      <c r="Z842" s="49">
        <v>312.5</v>
      </c>
      <c r="AA842" s="23">
        <f t="shared" si="5620"/>
        <v>-8.5722644821533134</v>
      </c>
      <c r="AB842" s="49">
        <v>303.2</v>
      </c>
      <c r="AC842" s="23">
        <f t="shared" si="5621"/>
        <v>-8.9489489489489529</v>
      </c>
      <c r="AD842" s="158">
        <v>296.10000000000002</v>
      </c>
      <c r="AE842" s="23">
        <f t="shared" si="5622"/>
        <v>-8.4415584415584277</v>
      </c>
      <c r="AF842" s="49">
        <v>284.39999999999998</v>
      </c>
      <c r="AG842" s="23">
        <f t="shared" si="5623"/>
        <v>-12.140871177015756</v>
      </c>
      <c r="AH842" s="49">
        <v>276.3</v>
      </c>
      <c r="AI842" s="23">
        <f t="shared" si="5624"/>
        <v>-11.583999999999994</v>
      </c>
      <c r="AJ842" s="49">
        <v>266</v>
      </c>
      <c r="AK842" s="23">
        <f t="shared" si="5625"/>
        <v>-12.269129287598945</v>
      </c>
      <c r="AL842" s="49">
        <v>258.60000000000002</v>
      </c>
      <c r="AM842" s="23">
        <f t="shared" si="5626"/>
        <v>-12.664640324214794</v>
      </c>
      <c r="AN842" s="158">
        <v>250.8</v>
      </c>
      <c r="AO842" s="23">
        <f t="shared" si="5627"/>
        <v>-11.81434599156117</v>
      </c>
      <c r="AP842" s="158">
        <v>245.7</v>
      </c>
      <c r="AQ842" s="23">
        <f t="shared" si="5628"/>
        <v>-11.074918566775249</v>
      </c>
      <c r="AR842" s="158">
        <v>239.5</v>
      </c>
      <c r="AS842" s="23">
        <f t="shared" si="5629"/>
        <v>-9.9624060150375939</v>
      </c>
      <c r="AT842" s="510">
        <v>227.3</v>
      </c>
      <c r="AU842" s="576">
        <f t="shared" si="5630"/>
        <v>-12.103634957463271</v>
      </c>
      <c r="AV842" s="510">
        <v>0</v>
      </c>
      <c r="AW842" s="576" t="str">
        <f t="shared" si="5631"/>
        <v>NM</v>
      </c>
      <c r="AX842" s="510">
        <v>0</v>
      </c>
      <c r="AY842" s="576" t="str">
        <f t="shared" si="5632"/>
        <v>NM</v>
      </c>
      <c r="AZ842" s="510">
        <v>0</v>
      </c>
      <c r="BA842" s="576" t="str">
        <f t="shared" si="5633"/>
        <v>NM</v>
      </c>
      <c r="BB842" s="510">
        <v>0</v>
      </c>
      <c r="BC842" s="23" t="str">
        <f t="shared" si="5634"/>
        <v>NM</v>
      </c>
      <c r="BD842" s="158">
        <v>0</v>
      </c>
      <c r="BE842" s="23" t="str">
        <f t="shared" si="5635"/>
        <v>NA</v>
      </c>
      <c r="BF842" s="49">
        <f t="shared" ref="BF842:BJ845" si="5665">BD842</f>
        <v>0</v>
      </c>
      <c r="BG842" s="23" t="str">
        <f t="shared" si="5637"/>
        <v>NA</v>
      </c>
      <c r="BH842" s="49">
        <f t="shared" si="5665"/>
        <v>0</v>
      </c>
      <c r="BI842" s="23" t="str">
        <f t="shared" si="5638"/>
        <v>NA</v>
      </c>
      <c r="BJ842" s="49">
        <f t="shared" si="5665"/>
        <v>0</v>
      </c>
      <c r="BK842" s="23" t="str">
        <f t="shared" si="5639"/>
        <v>NA</v>
      </c>
      <c r="BL842" s="49">
        <f t="shared" ref="BL842:BL845" si="5666">BJ842</f>
        <v>0</v>
      </c>
      <c r="BM842" s="23" t="str">
        <f t="shared" si="5641"/>
        <v>NA</v>
      </c>
      <c r="BN842" s="48"/>
      <c r="BO842" s="137"/>
      <c r="BP842" s="48"/>
      <c r="BQ842" s="48"/>
      <c r="BR842" s="48"/>
      <c r="BS842" s="48"/>
      <c r="BT842" s="48"/>
      <c r="BU842" s="36">
        <f t="shared" si="5642"/>
        <v>382.5</v>
      </c>
      <c r="BV842" s="23" t="str">
        <f t="shared" si="5658"/>
        <v>NA</v>
      </c>
      <c r="BW842" s="36">
        <f t="shared" si="5643"/>
        <v>348.5</v>
      </c>
      <c r="BX842" s="23">
        <f t="shared" si="5658"/>
        <v>-8.8888888888888911</v>
      </c>
      <c r="BY842" s="36">
        <f t="shared" si="5644"/>
        <v>323.7</v>
      </c>
      <c r="BZ842" s="23">
        <f t="shared" si="5658"/>
        <v>-7.1162123385939751</v>
      </c>
      <c r="CA842" s="36">
        <f t="shared" si="5645"/>
        <v>284.39999999999998</v>
      </c>
      <c r="CB842" s="23">
        <f t="shared" si="5658"/>
        <v>-12.140871177015756</v>
      </c>
      <c r="CC842" s="36">
        <f t="shared" si="5646"/>
        <v>250.8</v>
      </c>
      <c r="CD842" s="23">
        <f t="shared" si="5658"/>
        <v>-11.81434599156117</v>
      </c>
      <c r="CE842" s="36">
        <f t="shared" si="5647"/>
        <v>0</v>
      </c>
      <c r="CF842" s="23" t="str">
        <f t="shared" si="5658"/>
        <v>NM</v>
      </c>
      <c r="CG842" s="36">
        <f t="shared" si="5648"/>
        <v>0</v>
      </c>
      <c r="CH842" s="23" t="str">
        <f t="shared" si="5658"/>
        <v>NA</v>
      </c>
      <c r="CI842" s="36">
        <f t="shared" si="5649"/>
        <v>0</v>
      </c>
      <c r="CJ842" s="23" t="str">
        <f t="shared" si="5658"/>
        <v>NA</v>
      </c>
      <c r="CK842" s="49">
        <f>CI842</f>
        <v>0</v>
      </c>
      <c r="CL842" s="23" t="str">
        <f t="shared" si="5658"/>
        <v>NA</v>
      </c>
      <c r="CM842" s="49">
        <f>CK842</f>
        <v>0</v>
      </c>
      <c r="CN842" s="23" t="str">
        <f t="shared" si="5658"/>
        <v>NA</v>
      </c>
      <c r="CO842" s="49">
        <f>CM842</f>
        <v>0</v>
      </c>
      <c r="CP842" s="23" t="str">
        <f t="shared" si="5658"/>
        <v>NA</v>
      </c>
      <c r="CQ842" s="49">
        <f>CO842</f>
        <v>0</v>
      </c>
      <c r="CR842" s="23" t="str">
        <f t="shared" si="5658"/>
        <v>NA</v>
      </c>
      <c r="CS842" s="23" t="str">
        <f t="shared" si="5650"/>
        <v>NA</v>
      </c>
    </row>
    <row r="843" spans="1:105" ht="12.75" customHeight="1" x14ac:dyDescent="0.2">
      <c r="A843" s="19" t="s">
        <v>14</v>
      </c>
      <c r="B843" s="49">
        <v>1554.4</v>
      </c>
      <c r="C843" s="125"/>
      <c r="D843" s="49">
        <v>1583</v>
      </c>
      <c r="E843" s="125"/>
      <c r="F843" s="48">
        <v>1753.1</v>
      </c>
      <c r="G843" s="125"/>
      <c r="H843" s="48">
        <v>1809.6</v>
      </c>
      <c r="I843" s="125"/>
      <c r="J843" s="48">
        <v>2084.6</v>
      </c>
      <c r="K843" s="23">
        <f t="shared" si="5619"/>
        <v>34.109624292331439</v>
      </c>
      <c r="L843" s="48">
        <v>1704</v>
      </c>
      <c r="M843" s="23">
        <f t="shared" si="5651"/>
        <v>7.6437144662034218</v>
      </c>
      <c r="N843" s="49">
        <v>1582.6</v>
      </c>
      <c r="O843" s="23">
        <f t="shared" si="5652"/>
        <v>-9.7256288859734141</v>
      </c>
      <c r="P843" s="49">
        <v>1575.2</v>
      </c>
      <c r="Q843" s="23">
        <f t="shared" si="5653"/>
        <v>-12.953138815207776</v>
      </c>
      <c r="R843" s="49">
        <v>1363.7</v>
      </c>
      <c r="S843" s="23">
        <f t="shared" si="5654"/>
        <v>-34.582174038184775</v>
      </c>
      <c r="T843" s="49">
        <v>1548.3</v>
      </c>
      <c r="U843" s="23">
        <f t="shared" si="5655"/>
        <v>-9.1373239436619791</v>
      </c>
      <c r="V843" s="49">
        <v>1416.6</v>
      </c>
      <c r="W843" s="23">
        <f t="shared" si="5656"/>
        <v>-10.489068621256159</v>
      </c>
      <c r="X843" s="49">
        <v>1477.6</v>
      </c>
      <c r="Y843" s="23">
        <f t="shared" si="5657"/>
        <v>-6.1960385982732458</v>
      </c>
      <c r="Z843" s="49">
        <v>1274.7</v>
      </c>
      <c r="AA843" s="23">
        <f t="shared" si="5620"/>
        <v>-6.5263621031018566</v>
      </c>
      <c r="AB843" s="49">
        <v>1384.7</v>
      </c>
      <c r="AC843" s="23">
        <f t="shared" si="5621"/>
        <v>-10.566427694891168</v>
      </c>
      <c r="AD843" s="158">
        <v>1319.7</v>
      </c>
      <c r="AE843" s="23">
        <f t="shared" si="5622"/>
        <v>-6.8403218975010454</v>
      </c>
      <c r="AF843" s="49">
        <v>2544.1</v>
      </c>
      <c r="AG843" s="23">
        <f t="shared" si="5623"/>
        <v>72.177855982674615</v>
      </c>
      <c r="AH843" s="49">
        <v>2257.1999999999998</v>
      </c>
      <c r="AI843" s="23">
        <f t="shared" si="5624"/>
        <v>77.076959284537523</v>
      </c>
      <c r="AJ843" s="49">
        <v>3037.7</v>
      </c>
      <c r="AK843" s="23" t="str">
        <f t="shared" si="5625"/>
        <v>NM</v>
      </c>
      <c r="AL843" s="49">
        <v>3001.1</v>
      </c>
      <c r="AM843" s="23" t="str">
        <f t="shared" si="5626"/>
        <v>NM</v>
      </c>
      <c r="AN843" s="158">
        <v>3418.5</v>
      </c>
      <c r="AO843" s="23">
        <f t="shared" si="5627"/>
        <v>34.369718171455531</v>
      </c>
      <c r="AP843" s="158">
        <v>2879.6</v>
      </c>
      <c r="AQ843" s="23">
        <f t="shared" si="5628"/>
        <v>27.573985468722316</v>
      </c>
      <c r="AR843" s="158">
        <v>2212.9</v>
      </c>
      <c r="AS843" s="23">
        <f t="shared" si="5629"/>
        <v>-27.152121671001083</v>
      </c>
      <c r="AT843" s="510">
        <v>2336.6999999999998</v>
      </c>
      <c r="AU843" s="576">
        <f t="shared" si="5630"/>
        <v>-22.138549198627178</v>
      </c>
      <c r="AV843" s="510">
        <f>1650+1570</f>
        <v>3220</v>
      </c>
      <c r="AW843" s="576">
        <f t="shared" si="5631"/>
        <v>-5.8066403393301158</v>
      </c>
      <c r="AX843" s="510">
        <f>1598+1632</f>
        <v>3230</v>
      </c>
      <c r="AY843" s="576">
        <f t="shared" si="5632"/>
        <v>12.168356716210592</v>
      </c>
      <c r="AZ843" s="510">
        <f>1581+1375</f>
        <v>2956</v>
      </c>
      <c r="BA843" s="576">
        <f t="shared" si="5633"/>
        <v>33.580369650684631</v>
      </c>
      <c r="BB843" s="510">
        <f>1477+1293</f>
        <v>2770</v>
      </c>
      <c r="BC843" s="23">
        <f t="shared" si="5634"/>
        <v>18.543244746865241</v>
      </c>
      <c r="BD843" s="158">
        <f>1314+781</f>
        <v>2095</v>
      </c>
      <c r="BE843" s="23">
        <f t="shared" si="5635"/>
        <v>-34.937888198757761</v>
      </c>
      <c r="BF843" s="49">
        <f t="shared" si="5665"/>
        <v>2095</v>
      </c>
      <c r="BG843" s="23">
        <f t="shared" si="5637"/>
        <v>-35.139318885448908</v>
      </c>
      <c r="BH843" s="49">
        <f t="shared" si="5665"/>
        <v>2095</v>
      </c>
      <c r="BI843" s="23">
        <f t="shared" si="5638"/>
        <v>-29.12719891745602</v>
      </c>
      <c r="BJ843" s="49">
        <f t="shared" si="5665"/>
        <v>2095</v>
      </c>
      <c r="BK843" s="23">
        <f t="shared" si="5639"/>
        <v>-24.36823104693141</v>
      </c>
      <c r="BL843" s="49">
        <f t="shared" si="5666"/>
        <v>2095</v>
      </c>
      <c r="BM843" s="23">
        <f t="shared" si="5641"/>
        <v>0</v>
      </c>
      <c r="BO843" s="137"/>
      <c r="BQ843" s="5"/>
      <c r="BR843" s="5"/>
      <c r="BS843" s="5"/>
      <c r="BT843" s="5"/>
      <c r="BU843" s="36">
        <f t="shared" si="5642"/>
        <v>1809.6</v>
      </c>
      <c r="BV843" s="23" t="str">
        <f t="shared" si="5658"/>
        <v>NA</v>
      </c>
      <c r="BW843" s="36">
        <f t="shared" si="5643"/>
        <v>1575.2</v>
      </c>
      <c r="BX843" s="23">
        <f t="shared" si="5658"/>
        <v>-12.953138815207776</v>
      </c>
      <c r="BY843" s="36">
        <f t="shared" si="5644"/>
        <v>1477.6</v>
      </c>
      <c r="BZ843" s="23">
        <f t="shared" si="5658"/>
        <v>-6.1960385982732458</v>
      </c>
      <c r="CA843" s="36">
        <f t="shared" si="5645"/>
        <v>2544.1</v>
      </c>
      <c r="CB843" s="23">
        <f t="shared" si="5658"/>
        <v>72.177855982674615</v>
      </c>
      <c r="CC843" s="36">
        <f t="shared" si="5646"/>
        <v>3418.5</v>
      </c>
      <c r="CD843" s="23">
        <f t="shared" si="5658"/>
        <v>34.369718171455531</v>
      </c>
      <c r="CE843" s="36">
        <f t="shared" si="5647"/>
        <v>3220</v>
      </c>
      <c r="CF843" s="23">
        <f t="shared" si="5658"/>
        <v>-5.8066403393301158</v>
      </c>
      <c r="CG843" s="36">
        <f t="shared" si="5648"/>
        <v>2095</v>
      </c>
      <c r="CH843" s="23">
        <f t="shared" si="5658"/>
        <v>-34.937888198757761</v>
      </c>
      <c r="CI843" s="36">
        <f t="shared" si="5649"/>
        <v>2095</v>
      </c>
      <c r="CJ843" s="23">
        <f t="shared" si="5658"/>
        <v>0</v>
      </c>
      <c r="CK843" s="49">
        <f>CI843</f>
        <v>2095</v>
      </c>
      <c r="CL843" s="23">
        <f t="shared" si="5658"/>
        <v>0</v>
      </c>
      <c r="CM843" s="49">
        <f>CK843</f>
        <v>2095</v>
      </c>
      <c r="CN843" s="23">
        <f t="shared" si="5658"/>
        <v>0</v>
      </c>
      <c r="CO843" s="49">
        <f>CM843</f>
        <v>2095</v>
      </c>
      <c r="CP843" s="23">
        <f t="shared" si="5658"/>
        <v>0</v>
      </c>
      <c r="CQ843" s="49">
        <f>CO843</f>
        <v>2095</v>
      </c>
      <c r="CR843" s="23">
        <f t="shared" si="5658"/>
        <v>0</v>
      </c>
      <c r="CS843" s="23">
        <f t="shared" si="5650"/>
        <v>0</v>
      </c>
    </row>
    <row r="844" spans="1:105" ht="12.75" customHeight="1" x14ac:dyDescent="0.2">
      <c r="A844" s="19" t="s">
        <v>301</v>
      </c>
      <c r="B844" s="48">
        <v>4337.1000000000004</v>
      </c>
      <c r="C844" s="125"/>
      <c r="D844" s="48">
        <v>4903.7</v>
      </c>
      <c r="E844" s="125"/>
      <c r="F844" s="48">
        <v>5277.6</v>
      </c>
      <c r="G844" s="125"/>
      <c r="H844" s="48">
        <v>5175.7</v>
      </c>
      <c r="I844" s="125"/>
      <c r="J844" s="48">
        <v>5691.2</v>
      </c>
      <c r="K844" s="23">
        <f t="shared" si="5619"/>
        <v>31.221323003850475</v>
      </c>
      <c r="L844" s="48">
        <v>6036.4</v>
      </c>
      <c r="M844" s="23">
        <f t="shared" si="5651"/>
        <v>23.098884515773797</v>
      </c>
      <c r="N844" s="49">
        <v>6181</v>
      </c>
      <c r="O844" s="23">
        <f t="shared" si="5652"/>
        <v>17.117629225405473</v>
      </c>
      <c r="P844" s="49">
        <v>6965.6</v>
      </c>
      <c r="Q844" s="23">
        <f t="shared" si="5653"/>
        <v>34.582761752033562</v>
      </c>
      <c r="R844" s="49">
        <v>8109.8</v>
      </c>
      <c r="S844" s="23">
        <f t="shared" si="5654"/>
        <v>42.49718864211416</v>
      </c>
      <c r="T844" s="49">
        <v>8523</v>
      </c>
      <c r="U844" s="23">
        <f t="shared" si="5655"/>
        <v>41.193426545623232</v>
      </c>
      <c r="V844" s="49">
        <v>7924.5</v>
      </c>
      <c r="W844" s="23">
        <f t="shared" si="5656"/>
        <v>28.207409804238793</v>
      </c>
      <c r="X844" s="49">
        <v>8999.4</v>
      </c>
      <c r="Y844" s="23">
        <f t="shared" si="5657"/>
        <v>29.197771907660485</v>
      </c>
      <c r="Z844" s="49">
        <v>9551.5</v>
      </c>
      <c r="AA844" s="23">
        <f t="shared" si="5620"/>
        <v>17.777257145675595</v>
      </c>
      <c r="AB844" s="49">
        <v>10120.6</v>
      </c>
      <c r="AC844" s="23">
        <f t="shared" si="5621"/>
        <v>18.744573506981112</v>
      </c>
      <c r="AD844" s="158">
        <v>10842.7</v>
      </c>
      <c r="AE844" s="23">
        <f t="shared" si="5622"/>
        <v>36.825036279891485</v>
      </c>
      <c r="AF844" s="49">
        <v>11323.2</v>
      </c>
      <c r="AG844" s="23">
        <f t="shared" si="5623"/>
        <v>25.821721448096557</v>
      </c>
      <c r="AH844" s="49">
        <v>11294.7</v>
      </c>
      <c r="AI844" s="23">
        <f t="shared" si="5624"/>
        <v>18.250536564937448</v>
      </c>
      <c r="AJ844" s="49">
        <v>12064.3</v>
      </c>
      <c r="AK844" s="23">
        <f t="shared" si="5625"/>
        <v>19.205383080054528</v>
      </c>
      <c r="AL844" s="49">
        <v>13245.8</v>
      </c>
      <c r="AM844" s="23">
        <f t="shared" si="5626"/>
        <v>22.163298809337139</v>
      </c>
      <c r="AN844" s="158">
        <v>12478.1</v>
      </c>
      <c r="AO844" s="23">
        <f t="shared" si="5627"/>
        <v>10.199413593330497</v>
      </c>
      <c r="AP844" s="158">
        <v>5221.8</v>
      </c>
      <c r="AQ844" s="23" t="str">
        <f t="shared" si="5628"/>
        <v>NM</v>
      </c>
      <c r="AR844" s="158">
        <v>4910.5</v>
      </c>
      <c r="AS844" s="23" t="str">
        <f t="shared" si="5629"/>
        <v>NM</v>
      </c>
      <c r="AT844" s="510">
        <v>4542</v>
      </c>
      <c r="AU844" s="576" t="str">
        <f t="shared" si="5630"/>
        <v>NM</v>
      </c>
      <c r="AV844" s="510">
        <v>4056</v>
      </c>
      <c r="AW844" s="576" t="str">
        <f t="shared" si="5631"/>
        <v>NM</v>
      </c>
      <c r="AX844" s="510">
        <v>4144.1000000000004</v>
      </c>
      <c r="AY844" s="576">
        <f t="shared" si="5632"/>
        <v>-20.638477153471978</v>
      </c>
      <c r="AZ844" s="510">
        <v>3679.1</v>
      </c>
      <c r="BA844" s="576">
        <f t="shared" si="5633"/>
        <v>-25.076876081865397</v>
      </c>
      <c r="BB844" s="510">
        <v>3617.8</v>
      </c>
      <c r="BC844" s="23">
        <f t="shared" si="5634"/>
        <v>-20.347864376926459</v>
      </c>
      <c r="BD844" s="158">
        <v>3176</v>
      </c>
      <c r="BE844" s="23">
        <f t="shared" si="5635"/>
        <v>-21.696252465483234</v>
      </c>
      <c r="BF844" s="49">
        <f t="shared" si="5665"/>
        <v>3176</v>
      </c>
      <c r="BG844" s="23">
        <f t="shared" si="5637"/>
        <v>-23.360922757655466</v>
      </c>
      <c r="BH844" s="49">
        <f t="shared" si="5665"/>
        <v>3176</v>
      </c>
      <c r="BI844" s="23">
        <f t="shared" si="5638"/>
        <v>-13.674539969014155</v>
      </c>
      <c r="BJ844" s="49">
        <f t="shared" si="5665"/>
        <v>3176</v>
      </c>
      <c r="BK844" s="23">
        <f t="shared" si="5639"/>
        <v>-12.211841450605343</v>
      </c>
      <c r="BL844" s="49">
        <f t="shared" si="5666"/>
        <v>3176</v>
      </c>
      <c r="BM844" s="23">
        <f t="shared" si="5641"/>
        <v>0</v>
      </c>
      <c r="BO844" s="137"/>
      <c r="BQ844" s="5"/>
      <c r="BR844" s="5"/>
      <c r="BS844" s="5"/>
      <c r="BT844" s="5"/>
      <c r="BU844" s="36">
        <f t="shared" si="5642"/>
        <v>5175.7</v>
      </c>
      <c r="BV844" s="23" t="str">
        <f t="shared" si="5658"/>
        <v>NA</v>
      </c>
      <c r="BW844" s="36">
        <f t="shared" si="5643"/>
        <v>6965.6</v>
      </c>
      <c r="BX844" s="23">
        <f t="shared" si="5658"/>
        <v>34.582761752033562</v>
      </c>
      <c r="BY844" s="36">
        <f t="shared" si="5644"/>
        <v>8999.4</v>
      </c>
      <c r="BZ844" s="23">
        <f t="shared" si="5658"/>
        <v>29.197771907660485</v>
      </c>
      <c r="CA844" s="36">
        <f t="shared" si="5645"/>
        <v>11323.2</v>
      </c>
      <c r="CB844" s="23">
        <f t="shared" si="5658"/>
        <v>25.821721448096557</v>
      </c>
      <c r="CC844" s="36">
        <f t="shared" si="5646"/>
        <v>12478.1</v>
      </c>
      <c r="CD844" s="23">
        <f t="shared" si="5658"/>
        <v>10.199413593330497</v>
      </c>
      <c r="CE844" s="36">
        <f t="shared" si="5647"/>
        <v>4056</v>
      </c>
      <c r="CF844" s="23" t="str">
        <f t="shared" si="5658"/>
        <v>NM</v>
      </c>
      <c r="CG844" s="36">
        <f t="shared" si="5648"/>
        <v>3176</v>
      </c>
      <c r="CH844" s="23">
        <f t="shared" si="5658"/>
        <v>-21.696252465483234</v>
      </c>
      <c r="CI844" s="36">
        <f t="shared" si="5649"/>
        <v>3176</v>
      </c>
      <c r="CJ844" s="23">
        <f t="shared" si="5658"/>
        <v>0</v>
      </c>
      <c r="CK844" s="49">
        <f>CI844</f>
        <v>3176</v>
      </c>
      <c r="CL844" s="23">
        <f t="shared" si="5658"/>
        <v>0</v>
      </c>
      <c r="CM844" s="49">
        <f>CK844</f>
        <v>3176</v>
      </c>
      <c r="CN844" s="23">
        <f t="shared" si="5658"/>
        <v>0</v>
      </c>
      <c r="CO844" s="49">
        <f>CM844</f>
        <v>3176</v>
      </c>
      <c r="CP844" s="23">
        <f t="shared" si="5658"/>
        <v>0</v>
      </c>
      <c r="CQ844" s="49">
        <f>CO844</f>
        <v>3176</v>
      </c>
      <c r="CR844" s="23">
        <f t="shared" si="5658"/>
        <v>0</v>
      </c>
      <c r="CS844" s="23">
        <f t="shared" si="5650"/>
        <v>0</v>
      </c>
    </row>
    <row r="845" spans="1:105" ht="12.75" customHeight="1" x14ac:dyDescent="0.2">
      <c r="A845" s="647" t="s">
        <v>543</v>
      </c>
      <c r="B845" s="48"/>
      <c r="C845" s="125"/>
      <c r="D845" s="48"/>
      <c r="E845" s="125"/>
      <c r="F845" s="48"/>
      <c r="G845" s="125"/>
      <c r="H845" s="48"/>
      <c r="I845" s="125"/>
      <c r="J845" s="48"/>
      <c r="K845" s="23"/>
      <c r="L845" s="48"/>
      <c r="M845" s="23"/>
      <c r="N845" s="49"/>
      <c r="O845" s="23"/>
      <c r="P845" s="49"/>
      <c r="Q845" s="23"/>
      <c r="R845" s="49"/>
      <c r="S845" s="23"/>
      <c r="T845" s="49"/>
      <c r="U845" s="23"/>
      <c r="V845" s="49"/>
      <c r="W845" s="23"/>
      <c r="X845" s="49"/>
      <c r="Y845" s="23"/>
      <c r="Z845" s="49"/>
      <c r="AA845" s="23"/>
      <c r="AB845" s="49"/>
      <c r="AC845" s="23"/>
      <c r="AD845" s="158"/>
      <c r="AE845" s="23"/>
      <c r="AF845" s="49"/>
      <c r="AG845" s="23"/>
      <c r="AH845" s="49"/>
      <c r="AI845" s="23"/>
      <c r="AJ845" s="49"/>
      <c r="AK845" s="23"/>
      <c r="AL845" s="49"/>
      <c r="AM845" s="23"/>
      <c r="AN845" s="158"/>
      <c r="AO845" s="23"/>
      <c r="AP845" s="158"/>
      <c r="AQ845" s="23"/>
      <c r="AR845" s="158"/>
      <c r="AS845" s="23"/>
      <c r="AT845" s="510"/>
      <c r="AU845" s="576"/>
      <c r="AV845" s="510">
        <v>62709</v>
      </c>
      <c r="AW845" s="576"/>
      <c r="AX845" s="510">
        <v>61681</v>
      </c>
      <c r="AY845" s="576"/>
      <c r="AZ845" s="510">
        <v>62026</v>
      </c>
      <c r="BA845" s="576"/>
      <c r="BB845" s="510">
        <v>62325</v>
      </c>
      <c r="BC845" s="23"/>
      <c r="BD845" s="158">
        <v>59052</v>
      </c>
      <c r="BE845" s="23">
        <f t="shared" si="5635"/>
        <v>-5.8316987992154239</v>
      </c>
      <c r="BF845" s="49">
        <f t="shared" si="5665"/>
        <v>59052</v>
      </c>
      <c r="BG845" s="23">
        <f t="shared" si="5637"/>
        <v>-4.2622525575136567</v>
      </c>
      <c r="BH845" s="49">
        <f t="shared" si="5665"/>
        <v>59052</v>
      </c>
      <c r="BI845" s="23">
        <f t="shared" si="5638"/>
        <v>-4.7947634862799511</v>
      </c>
      <c r="BJ845" s="49">
        <f t="shared" si="5665"/>
        <v>59052</v>
      </c>
      <c r="BK845" s="23">
        <f t="shared" si="5639"/>
        <v>-5.2515042117930228</v>
      </c>
      <c r="BL845" s="49">
        <f t="shared" si="5666"/>
        <v>59052</v>
      </c>
      <c r="BM845" s="23">
        <f t="shared" si="5641"/>
        <v>0</v>
      </c>
      <c r="BO845" s="137"/>
      <c r="BQ845" s="5"/>
      <c r="BR845" s="5"/>
      <c r="BS845" s="5"/>
      <c r="BT845" s="5"/>
      <c r="BU845" s="36"/>
      <c r="BV845" s="23"/>
      <c r="BW845" s="36"/>
      <c r="BX845" s="23"/>
      <c r="BY845" s="36"/>
      <c r="BZ845" s="23"/>
      <c r="CA845" s="36"/>
      <c r="CB845" s="23"/>
      <c r="CC845" s="36"/>
      <c r="CD845" s="23"/>
      <c r="CE845" s="36">
        <f t="shared" si="5647"/>
        <v>62709</v>
      </c>
      <c r="CF845" s="23"/>
      <c r="CG845" s="36">
        <f t="shared" si="5648"/>
        <v>59052</v>
      </c>
      <c r="CH845" s="23">
        <f t="shared" si="5658"/>
        <v>-5.8316987992154239</v>
      </c>
      <c r="CI845" s="36">
        <f t="shared" si="5649"/>
        <v>59052</v>
      </c>
      <c r="CJ845" s="23">
        <f t="shared" si="5658"/>
        <v>0</v>
      </c>
      <c r="CK845" s="49">
        <f>CI845</f>
        <v>59052</v>
      </c>
      <c r="CL845" s="23">
        <f t="shared" si="5658"/>
        <v>0</v>
      </c>
      <c r="CM845" s="49">
        <f>CK845</f>
        <v>59052</v>
      </c>
      <c r="CN845" s="23">
        <f t="shared" si="5658"/>
        <v>0</v>
      </c>
      <c r="CO845" s="49">
        <f>CM845</f>
        <v>59052</v>
      </c>
      <c r="CP845" s="23">
        <f t="shared" si="5658"/>
        <v>0</v>
      </c>
      <c r="CQ845" s="49">
        <f>CO845</f>
        <v>59052</v>
      </c>
      <c r="CR845" s="23">
        <f t="shared" si="5658"/>
        <v>0</v>
      </c>
      <c r="CS845" s="23">
        <f t="shared" si="5650"/>
        <v>0</v>
      </c>
    </row>
    <row r="846" spans="1:105" ht="12.75" customHeight="1" x14ac:dyDescent="0.2">
      <c r="A846" s="19" t="s">
        <v>52</v>
      </c>
      <c r="B846" s="36">
        <f>B836+B837+B838+B839+B840+B841+B842+B843+B844</f>
        <v>207709.9</v>
      </c>
      <c r="C846" s="59"/>
      <c r="D846" s="36">
        <f>D836+D837+D838+D839+D840+D841+D842+D843+D844</f>
        <v>206630</v>
      </c>
      <c r="E846" s="59"/>
      <c r="F846" s="36">
        <f>F836+F837+F838+F839+F840+F841+F842+F843+F844</f>
        <v>198936.6</v>
      </c>
      <c r="G846" s="59"/>
      <c r="H846" s="36">
        <f>H836+H837+H838+H839+H840+H841+H842+H843+H844</f>
        <v>203572.80000000002</v>
      </c>
      <c r="I846" s="59"/>
      <c r="J846" s="36">
        <f>J836+J837+J838+J839+J840+J841+J842+J843+J844</f>
        <v>209876.2</v>
      </c>
      <c r="K846" s="23">
        <f t="shared" si="5619"/>
        <v>1.0429449920297484</v>
      </c>
      <c r="L846" s="36">
        <f>L836+L837+L838+L839+L840+L841+L842+L843+L844</f>
        <v>211164.7</v>
      </c>
      <c r="M846" s="23">
        <f t="shared" si="5651"/>
        <v>2.1945990417654881</v>
      </c>
      <c r="N846" s="36">
        <f>N836+N837+N838+N839+N840+N841+N842+N843+N844</f>
        <v>214210.59999999995</v>
      </c>
      <c r="O846" s="23">
        <f t="shared" si="5652"/>
        <v>7.677822984810212</v>
      </c>
      <c r="P846" s="36">
        <f>P836+P837+P838+P839+P840+P841+P842+P843+P844</f>
        <v>216394.19999999998</v>
      </c>
      <c r="Q846" s="23">
        <f t="shared" si="5653"/>
        <v>6.2981891490414998</v>
      </c>
      <c r="R846" s="36">
        <f>R836+R837+R838+R839+R840+R841+R842+R843+R844</f>
        <v>220849.99999999997</v>
      </c>
      <c r="S846" s="23">
        <f t="shared" si="5654"/>
        <v>5.2287014916412522</v>
      </c>
      <c r="T846" s="36">
        <f>T836+T837+T838+T839+T840+T841+T842+T843+T844</f>
        <v>217123.5</v>
      </c>
      <c r="U846" s="23">
        <f t="shared" si="5655"/>
        <v>2.8218731634596095</v>
      </c>
      <c r="V846" s="36">
        <f>V836+V837+V838+V839+V840+V841+V842+V843+V844</f>
        <v>217658.2</v>
      </c>
      <c r="W846" s="23">
        <f t="shared" si="5656"/>
        <v>1.6094441638276002</v>
      </c>
      <c r="X846" s="36">
        <f>X836+X837+X838+X839+X840+X841+X842+X843+X844</f>
        <v>221023.20000000004</v>
      </c>
      <c r="Y846" s="23">
        <f t="shared" si="5657"/>
        <v>2.1391516038784975</v>
      </c>
      <c r="Z846" s="56">
        <f>Z836+Z837+Z838+Z839+Z840+Z841+Z842+Z843+Z844</f>
        <v>223510.7</v>
      </c>
      <c r="AA846" s="23">
        <f t="shared" si="5620"/>
        <v>1.2047543581616749</v>
      </c>
      <c r="AB846" s="56">
        <f>AB836+AB837+AB838+AB839+AB840+AB841+AB842+AB843+AB844</f>
        <v>228078.00000000006</v>
      </c>
      <c r="AC846" s="23">
        <f t="shared" si="5621"/>
        <v>5.0452852869450115</v>
      </c>
      <c r="AD846" s="413">
        <f>AD836+AD837+AD838+AD839+AD840+AD841+AD842+AD843+AD844</f>
        <v>224303.80000000005</v>
      </c>
      <c r="AE846" s="23">
        <f t="shared" si="5622"/>
        <v>3.0532274915441082</v>
      </c>
      <c r="AF846" s="56">
        <f>AF836+AF837+AF838+AF839+AF840+AF841+AF842+AF843+AF844</f>
        <v>226930.7</v>
      </c>
      <c r="AG846" s="23">
        <f t="shared" si="5623"/>
        <v>2.6727963399317156</v>
      </c>
      <c r="AH846" s="56">
        <f>AH836+AH837+AH838+AH839+AH840+AH841+AH842+AH843+AH844</f>
        <v>229026.59999999998</v>
      </c>
      <c r="AI846" s="23">
        <f t="shared" si="5624"/>
        <v>2.4678460583765993</v>
      </c>
      <c r="AJ846" s="56">
        <f>AJ836+AJ837+AJ838+AJ839+AJ840+AJ841+AJ842+AJ843+AJ844</f>
        <v>226585.1</v>
      </c>
      <c r="AK846" s="23">
        <f t="shared" si="5625"/>
        <v>-0.65455677443684301</v>
      </c>
      <c r="AL846" s="56">
        <f>AL836+AL837+AL838+AL839+AL840+AL841+AL842+AL843+AL844</f>
        <v>218711.2</v>
      </c>
      <c r="AM846" s="23">
        <f t="shared" si="5626"/>
        <v>-2.493314870278629</v>
      </c>
      <c r="AN846" s="413">
        <f t="shared" ref="AN846:AP846" si="5667">AN836+AN837+AN838+AN839+AN840+AN841+AN842+AN843+AN844</f>
        <v>218249.60000000001</v>
      </c>
      <c r="AO846" s="23">
        <f t="shared" si="5627"/>
        <v>-3.825440982643602</v>
      </c>
      <c r="AP846" s="413">
        <f t="shared" si="5667"/>
        <v>214007.7</v>
      </c>
      <c r="AQ846" s="23">
        <f t="shared" si="5628"/>
        <v>-6.5577098904668567</v>
      </c>
      <c r="AR846" s="413">
        <f t="shared" ref="AR846:AT846" si="5668">AR836+AR837+AR838+AR839+AR840+AR841+AR842+AR843+AR844</f>
        <v>217065.41999999998</v>
      </c>
      <c r="AS846" s="23">
        <f t="shared" si="5629"/>
        <v>-4.2013706991324788</v>
      </c>
      <c r="AT846" s="649">
        <f t="shared" si="5668"/>
        <v>218622.19999999998</v>
      </c>
      <c r="AU846" s="576">
        <f t="shared" si="5630"/>
        <v>-4.0692932049213315E-2</v>
      </c>
      <c r="AV846" s="649">
        <f>SUM(AV836:AV845)</f>
        <v>215012.6</v>
      </c>
      <c r="AW846" s="576">
        <f t="shared" si="5631"/>
        <v>-1.4831642303124504</v>
      </c>
      <c r="AX846" s="649">
        <f>SUM(AX836:AX845)</f>
        <v>217377.1</v>
      </c>
      <c r="AY846" s="576">
        <f t="shared" si="5632"/>
        <v>1.5744293312810687</v>
      </c>
      <c r="AZ846" s="649">
        <f>SUM(AZ836:AZ845)</f>
        <v>220189.1</v>
      </c>
      <c r="BA846" s="576">
        <f t="shared" si="5633"/>
        <v>1.4390500338561596</v>
      </c>
      <c r="BB846" s="649">
        <f>SUM(BB836:BB845)</f>
        <v>226992.8</v>
      </c>
      <c r="BC846" s="23">
        <f t="shared" si="5634"/>
        <v>3.8287968925388105</v>
      </c>
      <c r="BD846" s="413">
        <f>SUM(BD836:BD845)</f>
        <v>222532</v>
      </c>
      <c r="BE846" s="23">
        <f t="shared" si="5635"/>
        <v>3.4971903972139229</v>
      </c>
      <c r="BF846" s="36">
        <f t="shared" ref="BF846" si="5669">BF836+BF837+BF838+BF839+BF840+BF841+BF842+BF843+BF844</f>
        <v>165316.23499999999</v>
      </c>
      <c r="BG846" s="23">
        <f t="shared" si="5637"/>
        <v>-23.949562764431032</v>
      </c>
      <c r="BH846" s="36">
        <f t="shared" ref="BH846" si="5670">BH836+BH837+BH838+BH839+BH840+BH841+BH842+BH843+BH844</f>
        <v>167176.133275</v>
      </c>
      <c r="BI846" s="23">
        <f t="shared" si="5638"/>
        <v>-24.076108547153328</v>
      </c>
      <c r="BJ846" s="36">
        <f t="shared" ref="BJ846" si="5671">BJ836+BJ837+BJ838+BJ839+BJ840+BJ841+BJ842+BJ843+BJ844</f>
        <v>169060.01097162499</v>
      </c>
      <c r="BK846" s="23">
        <f t="shared" si="5639"/>
        <v>-25.521861939398516</v>
      </c>
      <c r="BL846" s="36">
        <f t="shared" ref="BL846" si="5672">BL836+BL837+BL838+BL839+BL840+BL841+BL842+BL843+BL844</f>
        <v>170968.18859067434</v>
      </c>
      <c r="BM846" s="23">
        <f t="shared" si="5641"/>
        <v>-23.171414182825689</v>
      </c>
      <c r="BO846" s="137"/>
      <c r="BQ846" s="5"/>
      <c r="BR846" s="5"/>
      <c r="BS846" s="5"/>
      <c r="BT846" s="5"/>
      <c r="BU846" s="36">
        <f>BU836+BU837+BU838+BU839+BU840+BU841+BU842+BU843+BU844</f>
        <v>203572.80000000002</v>
      </c>
      <c r="BV846" s="23" t="str">
        <f t="shared" si="5658"/>
        <v>NA</v>
      </c>
      <c r="BW846" s="36">
        <f>BW836+BW837+BW838+BW839+BW840+BW841+BW842+BW843+BW844</f>
        <v>216394.19999999998</v>
      </c>
      <c r="BX846" s="23">
        <f t="shared" si="5658"/>
        <v>6.2981891490414998</v>
      </c>
      <c r="BY846" s="36">
        <f>BY836+BY837+BY838+BY839+BY840+BY841+BY842+BY843+BY844</f>
        <v>221023.20000000004</v>
      </c>
      <c r="BZ846" s="23">
        <f t="shared" si="5658"/>
        <v>2.1391516038784975</v>
      </c>
      <c r="CA846" s="36">
        <f>CA836+CA837+CA838+CA839+CA840+CA841+CA842+CA843+CA844</f>
        <v>226930.7</v>
      </c>
      <c r="CB846" s="23">
        <f t="shared" si="5658"/>
        <v>2.6727963399317156</v>
      </c>
      <c r="CC846" s="36">
        <f>CC836+CC837+CC838+CC839+CC840+CC841+CC842+CC843+CC844</f>
        <v>218249.60000000001</v>
      </c>
      <c r="CD846" s="23">
        <f t="shared" si="5658"/>
        <v>-3.825440982643602</v>
      </c>
      <c r="CE846" s="36">
        <f>CE836+CE837+CE838+CE839+CE840+CE841+CE842+CE843+CE844</f>
        <v>152303.6</v>
      </c>
      <c r="CF846" s="23">
        <f t="shared" si="5658"/>
        <v>-30.215862938580418</v>
      </c>
      <c r="CG846" s="36">
        <f>CG836+CG837+CG838+CG839+CG840+CG841+CG842+CG843+CG844</f>
        <v>163480</v>
      </c>
      <c r="CH846" s="23">
        <f t="shared" si="5658"/>
        <v>7.3382375728479055</v>
      </c>
      <c r="CI846" s="36">
        <f>CI836+CI837+CI838+CI839+CI840+CI841+CI842+CI843+CI844</f>
        <v>170968.18859067434</v>
      </c>
      <c r="CJ846" s="23">
        <f t="shared" si="5658"/>
        <v>4.5804921645915986</v>
      </c>
      <c r="CK846" s="36">
        <f>CK836+CK837+CK838+CK839+CK840+CK841+CK842+CK843+CK844</f>
        <v>172900.99104855422</v>
      </c>
      <c r="CL846" s="23">
        <f t="shared" si="5658"/>
        <v>1.1305041445501374</v>
      </c>
      <c r="CM846" s="36">
        <f>CM836+CM837+CM838+CM839+CM840+CM841+CM842+CM843+CM844</f>
        <v>174858.74773959248</v>
      </c>
      <c r="CN846" s="23">
        <f t="shared" si="5658"/>
        <v>1.1322992882605742</v>
      </c>
      <c r="CO846" s="36">
        <f>CO836+CO837+CO838+CO839+CO840+CO841+CO842+CO843+CO844</f>
        <v>176841.7925992494</v>
      </c>
      <c r="CP846" s="23">
        <f t="shared" si="5658"/>
        <v>1.134083873579006</v>
      </c>
      <c r="CQ846" s="36">
        <f>CQ836+CQ837+CQ838+CQ839+CQ840+CQ841+CQ842+CQ843+CQ844</f>
        <v>178850.46416823682</v>
      </c>
      <c r="CR846" s="23">
        <f t="shared" si="5658"/>
        <v>1.135857954991093</v>
      </c>
      <c r="CS846" s="23">
        <f t="shared" si="5650"/>
        <v>1.8134346517590716</v>
      </c>
    </row>
    <row r="847" spans="1:105" ht="12.75" customHeight="1" x14ac:dyDescent="0.2">
      <c r="A847" s="19" t="s">
        <v>53</v>
      </c>
      <c r="B847" s="36">
        <f>B879</f>
        <v>1050.4000000000001</v>
      </c>
      <c r="C847" s="59"/>
      <c r="D847" s="36">
        <f>D879</f>
        <v>1243.4000000000001</v>
      </c>
      <c r="E847" s="59"/>
      <c r="F847" s="36">
        <f>F879</f>
        <v>2285.3000000000002</v>
      </c>
      <c r="G847" s="59"/>
      <c r="H847" s="36">
        <f>H879</f>
        <v>2595</v>
      </c>
      <c r="I847" s="59"/>
      <c r="J847" s="36">
        <f>J879</f>
        <v>2587</v>
      </c>
      <c r="K847" s="23" t="str">
        <f t="shared" si="5619"/>
        <v>NM</v>
      </c>
      <c r="L847" s="36">
        <f>L879</f>
        <v>3021.5</v>
      </c>
      <c r="M847" s="23" t="str">
        <f t="shared" si="5651"/>
        <v>NM</v>
      </c>
      <c r="N847" s="36">
        <f>N879</f>
        <v>3701.5</v>
      </c>
      <c r="O847" s="23">
        <f t="shared" si="5652"/>
        <v>61.969982059248217</v>
      </c>
      <c r="P847" s="36">
        <f>P879</f>
        <v>3710.7</v>
      </c>
      <c r="Q847" s="23">
        <f t="shared" si="5653"/>
        <v>42.994219653179179</v>
      </c>
      <c r="R847" s="36">
        <f>R879</f>
        <v>3452.8</v>
      </c>
      <c r="S847" s="23">
        <f t="shared" si="5654"/>
        <v>33.467336683417081</v>
      </c>
      <c r="T847" s="36">
        <f>T879</f>
        <v>2087.8000000000002</v>
      </c>
      <c r="U847" s="23">
        <f t="shared" si="5655"/>
        <v>-30.901869932152902</v>
      </c>
      <c r="V847" s="36">
        <f>V879</f>
        <v>1950</v>
      </c>
      <c r="W847" s="23">
        <f t="shared" si="5656"/>
        <v>-47.318654599486699</v>
      </c>
      <c r="X847" s="36">
        <f>X879</f>
        <v>1849.1</v>
      </c>
      <c r="Y847" s="23" t="str">
        <f t="shared" si="5657"/>
        <v>NM</v>
      </c>
      <c r="Z847" s="56">
        <f>Z879</f>
        <v>2577.5</v>
      </c>
      <c r="AA847" s="23">
        <f t="shared" si="5620"/>
        <v>-25.350440222428183</v>
      </c>
      <c r="AB847" s="56">
        <f>AB879</f>
        <v>3152.7</v>
      </c>
      <c r="AC847" s="23">
        <f t="shared" si="5621"/>
        <v>51.005843471596869</v>
      </c>
      <c r="AD847" s="413">
        <f>AD879</f>
        <v>2820.2</v>
      </c>
      <c r="AE847" s="23">
        <f t="shared" si="5622"/>
        <v>44.625641025641016</v>
      </c>
      <c r="AF847" s="56">
        <f>AF879</f>
        <v>3103.7</v>
      </c>
      <c r="AG847" s="23">
        <f t="shared" si="5623"/>
        <v>67.849223946784917</v>
      </c>
      <c r="AH847" s="56">
        <f>AH879</f>
        <v>3531.2</v>
      </c>
      <c r="AI847" s="23">
        <f t="shared" si="5624"/>
        <v>37.000969932104752</v>
      </c>
      <c r="AJ847" s="56">
        <f>AJ879</f>
        <v>2109.1999999999998</v>
      </c>
      <c r="AK847" s="23">
        <f t="shared" si="5625"/>
        <v>-33.098613886509973</v>
      </c>
      <c r="AL847" s="56">
        <f>AL879</f>
        <v>2045.7</v>
      </c>
      <c r="AM847" s="23">
        <f t="shared" si="5626"/>
        <v>-27.462591305581164</v>
      </c>
      <c r="AN847" s="413">
        <f t="shared" ref="AN847:AP847" si="5673">AN879</f>
        <v>1424.9</v>
      </c>
      <c r="AO847" s="23" t="str">
        <f t="shared" si="5627"/>
        <v>NM</v>
      </c>
      <c r="AP847" s="413">
        <f t="shared" si="5673"/>
        <v>2476.1999999999998</v>
      </c>
      <c r="AQ847" s="23">
        <f t="shared" si="5628"/>
        <v>-29.87652922519257</v>
      </c>
      <c r="AR847" s="413">
        <f t="shared" ref="AR847:AT847" si="5674">AR879</f>
        <v>3439.7</v>
      </c>
      <c r="AS847" s="23">
        <f t="shared" si="5629"/>
        <v>63.080788924710809</v>
      </c>
      <c r="AT847" s="649">
        <f t="shared" si="5674"/>
        <v>3517.1</v>
      </c>
      <c r="AU847" s="576">
        <f t="shared" si="5630"/>
        <v>71.92647993351909</v>
      </c>
      <c r="AV847" s="649">
        <f t="shared" ref="AV847" si="5675">AV879</f>
        <v>1921</v>
      </c>
      <c r="AW847" s="576">
        <f t="shared" si="5631"/>
        <v>34.816478349357837</v>
      </c>
      <c r="AX847" s="649">
        <f t="shared" ref="AX847" si="5676">AX879</f>
        <v>2112</v>
      </c>
      <c r="AY847" s="576">
        <f t="shared" si="5632"/>
        <v>-14.708020353767859</v>
      </c>
      <c r="AZ847" s="649">
        <f t="shared" ref="AZ847" si="5677">AZ879</f>
        <v>2606</v>
      </c>
      <c r="BA847" s="576">
        <f t="shared" si="5633"/>
        <v>-24.23757885862139</v>
      </c>
      <c r="BB847" s="649">
        <f t="shared" ref="BB847:BD847" si="5678">BB879</f>
        <v>2731</v>
      </c>
      <c r="BC847" s="23">
        <f t="shared" si="5634"/>
        <v>-22.350800375309198</v>
      </c>
      <c r="BD847" s="413">
        <f t="shared" si="5678"/>
        <v>2731</v>
      </c>
      <c r="BE847" s="23">
        <f t="shared" si="5635"/>
        <v>42.165538781884429</v>
      </c>
      <c r="BF847" s="36">
        <f t="shared" ref="BF847" si="5679">BF879</f>
        <v>2731</v>
      </c>
      <c r="BG847" s="23">
        <f t="shared" si="5637"/>
        <v>29.30871212121211</v>
      </c>
      <c r="BH847" s="36">
        <f t="shared" ref="BH847" si="5680">BH879</f>
        <v>2231</v>
      </c>
      <c r="BI847" s="23">
        <f t="shared" si="5638"/>
        <v>-14.389869531849575</v>
      </c>
      <c r="BJ847" s="36">
        <f t="shared" ref="BJ847" si="5681">BJ879</f>
        <v>2231</v>
      </c>
      <c r="BK847" s="23">
        <f t="shared" si="5639"/>
        <v>-18.308311973636027</v>
      </c>
      <c r="BL847" s="36">
        <f t="shared" ref="BL847" si="5682">BL879</f>
        <v>2231</v>
      </c>
      <c r="BM847" s="23">
        <f t="shared" si="5641"/>
        <v>-18.308311973636027</v>
      </c>
      <c r="BO847" s="137"/>
      <c r="BQ847" s="5"/>
      <c r="BR847" s="5"/>
      <c r="BS847" s="5"/>
      <c r="BT847" s="5"/>
      <c r="BU847" s="36">
        <f>BU879</f>
        <v>2595</v>
      </c>
      <c r="BV847" s="23" t="str">
        <f t="shared" si="5658"/>
        <v>NA</v>
      </c>
      <c r="BW847" s="36">
        <f>BW879</f>
        <v>3710.7</v>
      </c>
      <c r="BX847" s="23">
        <f t="shared" si="5658"/>
        <v>42.994219653179179</v>
      </c>
      <c r="BY847" s="36">
        <f>BY879</f>
        <v>1849.1</v>
      </c>
      <c r="BZ847" s="23" t="str">
        <f t="shared" si="5658"/>
        <v>NM</v>
      </c>
      <c r="CA847" s="36">
        <f>CA879</f>
        <v>3103.7</v>
      </c>
      <c r="CB847" s="23">
        <f t="shared" si="5658"/>
        <v>67.849223946784917</v>
      </c>
      <c r="CC847" s="36">
        <f>CC879</f>
        <v>1424.9</v>
      </c>
      <c r="CD847" s="23" t="str">
        <f t="shared" si="5658"/>
        <v>NM</v>
      </c>
      <c r="CE847" s="36">
        <f>CE879</f>
        <v>1921</v>
      </c>
      <c r="CF847" s="23">
        <f t="shared" si="5658"/>
        <v>34.816478349357837</v>
      </c>
      <c r="CG847" s="36">
        <f>CG879</f>
        <v>2731</v>
      </c>
      <c r="CH847" s="23">
        <f t="shared" si="5658"/>
        <v>42.165538781884429</v>
      </c>
      <c r="CI847" s="36">
        <f>CI879</f>
        <v>2231</v>
      </c>
      <c r="CJ847" s="23">
        <f t="shared" si="5658"/>
        <v>-18.308311973636027</v>
      </c>
      <c r="CK847" s="36">
        <f>CK879</f>
        <v>2231</v>
      </c>
      <c r="CL847" s="23">
        <f t="shared" si="5658"/>
        <v>0</v>
      </c>
      <c r="CM847" s="36">
        <f>CM879</f>
        <v>2231</v>
      </c>
      <c r="CN847" s="23">
        <f t="shared" si="5658"/>
        <v>0</v>
      </c>
      <c r="CO847" s="36">
        <f>CO879</f>
        <v>2231</v>
      </c>
      <c r="CP847" s="23">
        <f t="shared" si="5658"/>
        <v>0</v>
      </c>
      <c r="CQ847" s="36">
        <f>CQ879</f>
        <v>2231</v>
      </c>
      <c r="CR847" s="23">
        <f t="shared" si="5658"/>
        <v>0</v>
      </c>
      <c r="CS847" s="23">
        <f t="shared" si="5650"/>
        <v>-3.9636658510930789</v>
      </c>
    </row>
    <row r="848" spans="1:105" ht="12.75" customHeight="1" x14ac:dyDescent="0.2">
      <c r="A848" s="19" t="s">
        <v>54</v>
      </c>
      <c r="B848" s="36">
        <f>B846-B847</f>
        <v>206659.5</v>
      </c>
      <c r="C848" s="59"/>
      <c r="D848" s="36">
        <f>D846-D847</f>
        <v>205386.6</v>
      </c>
      <c r="E848" s="59"/>
      <c r="F848" s="36">
        <f>F846-F847</f>
        <v>196651.30000000002</v>
      </c>
      <c r="G848" s="59"/>
      <c r="H848" s="36">
        <f>H846-H847</f>
        <v>200977.80000000002</v>
      </c>
      <c r="I848" s="59"/>
      <c r="J848" s="36">
        <f>J846-J847</f>
        <v>207289.2</v>
      </c>
      <c r="K848" s="23">
        <f t="shared" si="5619"/>
        <v>0.30470411473946246</v>
      </c>
      <c r="L848" s="36">
        <f>L846-L847</f>
        <v>208143.2</v>
      </c>
      <c r="M848" s="23">
        <f t="shared" si="5651"/>
        <v>1.342151824899962</v>
      </c>
      <c r="N848" s="36">
        <f>N846-N847</f>
        <v>210509.09999999995</v>
      </c>
      <c r="O848" s="23">
        <f t="shared" si="5652"/>
        <v>7.0468895959497457</v>
      </c>
      <c r="P848" s="36">
        <f>P846-P847</f>
        <v>212683.49999999997</v>
      </c>
      <c r="Q848" s="23">
        <f t="shared" si="5653"/>
        <v>5.8243746324220691</v>
      </c>
      <c r="R848" s="36">
        <f>R846-R847</f>
        <v>217397.19999999998</v>
      </c>
      <c r="S848" s="23">
        <f t="shared" si="5654"/>
        <v>4.8762791307988884</v>
      </c>
      <c r="T848" s="36">
        <f>T846-T847</f>
        <v>215035.7</v>
      </c>
      <c r="U848" s="23">
        <f t="shared" si="5655"/>
        <v>3.3114221362984697</v>
      </c>
      <c r="V848" s="36">
        <f>V846-V847</f>
        <v>215708.2</v>
      </c>
      <c r="W848" s="23">
        <f t="shared" si="5656"/>
        <v>2.469774465806962</v>
      </c>
      <c r="X848" s="36">
        <f>X846-X847</f>
        <v>219174.10000000003</v>
      </c>
      <c r="Y848" s="23">
        <f t="shared" si="5657"/>
        <v>3.051764711413929</v>
      </c>
      <c r="Z848" s="56">
        <f>Z846-Z847</f>
        <v>220933.2</v>
      </c>
      <c r="AA848" s="23">
        <f t="shared" si="5620"/>
        <v>1.6265158888891129</v>
      </c>
      <c r="AB848" s="56">
        <f>AB846-AB847</f>
        <v>224925.30000000005</v>
      </c>
      <c r="AC848" s="23">
        <f t="shared" si="5621"/>
        <v>4.5990502972297342</v>
      </c>
      <c r="AD848" s="413">
        <f>AD846-AD847</f>
        <v>221483.60000000003</v>
      </c>
      <c r="AE848" s="23">
        <f t="shared" si="5622"/>
        <v>2.6774132833151665</v>
      </c>
      <c r="AF848" s="56">
        <f>AF846-AF847</f>
        <v>223827</v>
      </c>
      <c r="AG848" s="23">
        <f t="shared" si="5623"/>
        <v>2.1229241958789613</v>
      </c>
      <c r="AH848" s="56">
        <f>AH846-AH847</f>
        <v>225495.39999999997</v>
      </c>
      <c r="AI848" s="23">
        <f t="shared" si="5624"/>
        <v>2.0649680536922288</v>
      </c>
      <c r="AJ848" s="56">
        <f>AJ846-AJ847</f>
        <v>224475.9</v>
      </c>
      <c r="AK848" s="23">
        <f t="shared" si="5625"/>
        <v>-0.19979966682274197</v>
      </c>
      <c r="AL848" s="56">
        <f>AL846-AL847</f>
        <v>216665.5</v>
      </c>
      <c r="AM848" s="23">
        <f t="shared" si="5626"/>
        <v>-2.1753755131305619</v>
      </c>
      <c r="AN848" s="413">
        <f>AN846-AN847</f>
        <v>216824.7</v>
      </c>
      <c r="AO848" s="23">
        <f t="shared" si="5627"/>
        <v>-3.1284429492420385</v>
      </c>
      <c r="AP848" s="413">
        <f>AP846-AP847</f>
        <v>211531.5</v>
      </c>
      <c r="AQ848" s="23">
        <f t="shared" si="5628"/>
        <v>-6.1925431738297014</v>
      </c>
      <c r="AR848" s="413">
        <f>AR846-AR847</f>
        <v>213625.71999999997</v>
      </c>
      <c r="AS848" s="23">
        <f t="shared" si="5629"/>
        <v>-4.8335611974381294</v>
      </c>
      <c r="AT848" s="649">
        <f>AT846-AT847</f>
        <v>215105.09999999998</v>
      </c>
      <c r="AU848" s="576">
        <f t="shared" si="5630"/>
        <v>-0.72018849332267099</v>
      </c>
      <c r="AV848" s="649">
        <f>AV846-AV847</f>
        <v>213091.6</v>
      </c>
      <c r="AW848" s="576">
        <f t="shared" si="5631"/>
        <v>-1.7217134394743816</v>
      </c>
      <c r="AX848" s="649">
        <f>AX846-AX847</f>
        <v>215265.1</v>
      </c>
      <c r="AY848" s="576">
        <f t="shared" si="5632"/>
        <v>1.7650326310738595</v>
      </c>
      <c r="AZ848" s="649">
        <f>AZ846-AZ847</f>
        <v>217583.1</v>
      </c>
      <c r="BA848" s="576">
        <f t="shared" si="5633"/>
        <v>1.8524829313623981</v>
      </c>
      <c r="BB848" s="649">
        <f>BB846-BB847</f>
        <v>224261.8</v>
      </c>
      <c r="BC848" s="23">
        <f t="shared" si="5634"/>
        <v>4.256849326213108</v>
      </c>
      <c r="BD848" s="413">
        <f>BD846-BD847</f>
        <v>219801</v>
      </c>
      <c r="BE848" s="23">
        <f t="shared" si="5635"/>
        <v>3.1485990062489533</v>
      </c>
      <c r="BF848" s="36">
        <f>BF846-BF847</f>
        <v>162585.23499999999</v>
      </c>
      <c r="BG848" s="23">
        <f t="shared" si="5637"/>
        <v>-24.472088136906546</v>
      </c>
      <c r="BH848" s="36">
        <f>BH846-BH847</f>
        <v>164945.133275</v>
      </c>
      <c r="BI848" s="23">
        <f t="shared" si="5638"/>
        <v>-24.192120952868123</v>
      </c>
      <c r="BJ848" s="36">
        <f>BJ846-BJ847</f>
        <v>166829.01097162499</v>
      </c>
      <c r="BK848" s="23">
        <f t="shared" si="5639"/>
        <v>-25.609706614490303</v>
      </c>
      <c r="BL848" s="36">
        <f>BL846-BL847</f>
        <v>168737.18859067434</v>
      </c>
      <c r="BM848" s="23">
        <f t="shared" si="5641"/>
        <v>-23.23183762099611</v>
      </c>
      <c r="BO848" s="137"/>
      <c r="BQ848" s="5"/>
      <c r="BR848" s="5"/>
      <c r="BS848" s="5"/>
      <c r="BT848" s="5"/>
      <c r="BU848" s="36">
        <f>BU846-BU847</f>
        <v>200977.80000000002</v>
      </c>
      <c r="BV848" s="23" t="str">
        <f t="shared" si="5658"/>
        <v>NA</v>
      </c>
      <c r="BW848" s="36">
        <f>BW846-BW847</f>
        <v>212683.49999999997</v>
      </c>
      <c r="BX848" s="23">
        <f t="shared" si="5658"/>
        <v>5.8243746324220691</v>
      </c>
      <c r="BY848" s="36">
        <f>BY846-BY847</f>
        <v>219174.10000000003</v>
      </c>
      <c r="BZ848" s="23">
        <f t="shared" si="5658"/>
        <v>3.051764711413929</v>
      </c>
      <c r="CA848" s="36">
        <f>CA846-CA847</f>
        <v>223827</v>
      </c>
      <c r="CB848" s="23">
        <f t="shared" si="5658"/>
        <v>2.1229241958789613</v>
      </c>
      <c r="CC848" s="36">
        <f>CC846-CC847</f>
        <v>216824.7</v>
      </c>
      <c r="CD848" s="23">
        <f t="shared" si="5658"/>
        <v>-3.1284429492420385</v>
      </c>
      <c r="CE848" s="36">
        <f>CE846-CE847</f>
        <v>150382.6</v>
      </c>
      <c r="CF848" s="23">
        <f t="shared" si="5658"/>
        <v>-30.643233912003566</v>
      </c>
      <c r="CG848" s="36">
        <f>CG846-CG847</f>
        <v>160749</v>
      </c>
      <c r="CH848" s="23">
        <f t="shared" si="5658"/>
        <v>6.8933506934977906</v>
      </c>
      <c r="CI848" s="36">
        <f>CI846-CI847</f>
        <v>168737.18859067434</v>
      </c>
      <c r="CJ848" s="23">
        <f t="shared" si="5658"/>
        <v>4.9693550757232252</v>
      </c>
      <c r="CK848" s="36">
        <f>CK846-CK847</f>
        <v>170669.99104855422</v>
      </c>
      <c r="CL848" s="23">
        <f t="shared" si="5658"/>
        <v>1.1454513815377654</v>
      </c>
      <c r="CM848" s="36">
        <f>CM846-CM847</f>
        <v>172627.74773959248</v>
      </c>
      <c r="CN848" s="23">
        <f t="shared" si="5658"/>
        <v>1.1471007170096525</v>
      </c>
      <c r="CO848" s="36">
        <f>CO846-CO847</f>
        <v>174610.7925992494</v>
      </c>
      <c r="CP848" s="23">
        <f t="shared" si="5658"/>
        <v>1.1487405041328058</v>
      </c>
      <c r="CQ848" s="36">
        <f>CQ846-CQ847</f>
        <v>176619.46416823682</v>
      </c>
      <c r="CR848" s="23">
        <f t="shared" si="5658"/>
        <v>1.1503707984405809</v>
      </c>
      <c r="CS848" s="23">
        <f t="shared" si="5650"/>
        <v>1.9009086415248566</v>
      </c>
    </row>
    <row r="849" spans="1:97" ht="12.75" customHeight="1" x14ac:dyDescent="0.2">
      <c r="A849" s="19" t="s">
        <v>55</v>
      </c>
      <c r="B849" s="36">
        <f>B848-B838</f>
        <v>107910.3</v>
      </c>
      <c r="C849" s="59"/>
      <c r="D849" s="36">
        <f>D848-D838</f>
        <v>108241.60000000001</v>
      </c>
      <c r="E849" s="59"/>
      <c r="F849" s="36">
        <f>F848-F838</f>
        <v>112018.20000000001</v>
      </c>
      <c r="G849" s="59"/>
      <c r="H849" s="36">
        <f>H848-H838</f>
        <v>112263.30000000002</v>
      </c>
      <c r="I849" s="59"/>
      <c r="J849" s="36">
        <f>J848-J838</f>
        <v>110239.1</v>
      </c>
      <c r="K849" s="23">
        <f t="shared" si="5619"/>
        <v>2.1580887088628264</v>
      </c>
      <c r="L849" s="36">
        <f>L848-L838</f>
        <v>115177.60000000001</v>
      </c>
      <c r="M849" s="23">
        <f t="shared" si="5651"/>
        <v>6.4078875404650404</v>
      </c>
      <c r="N849" s="36">
        <f>N848-N838</f>
        <v>114196.89999999995</v>
      </c>
      <c r="O849" s="23">
        <f>IF(ISERROR((N849/F849-1)*100),"NA",IF(((N849/F849-1)*100)&gt;100,"NM",IF(((N849/F849-1)*100)&lt;-50,"NM",(N849/F849-1)*100)))</f>
        <v>1.9449518024748924</v>
      </c>
      <c r="P849" s="36">
        <f>P848-P838</f>
        <v>115016.09999999998</v>
      </c>
      <c r="Q849" s="23">
        <f t="shared" si="5653"/>
        <v>2.4520925360290935</v>
      </c>
      <c r="R849" s="36">
        <f>R848-R838</f>
        <v>114298.89999999998</v>
      </c>
      <c r="S849" s="23">
        <f t="shared" si="5654"/>
        <v>3.6827223734591241</v>
      </c>
      <c r="T849" s="36">
        <f>T848-T838</f>
        <v>112806.80000000002</v>
      </c>
      <c r="U849" s="23">
        <f t="shared" si="5655"/>
        <v>-2.0583863529019419</v>
      </c>
      <c r="V849" s="36">
        <f>V848-V838</f>
        <v>111854.6</v>
      </c>
      <c r="W849" s="23">
        <f t="shared" si="5656"/>
        <v>-2.051106466112429</v>
      </c>
      <c r="X849" s="36">
        <f>X848-X838</f>
        <v>112347.00000000003</v>
      </c>
      <c r="Y849" s="23">
        <f t="shared" si="5657"/>
        <v>-2.3206316333104215</v>
      </c>
      <c r="Z849" s="56">
        <f>Z848-Z838</f>
        <v>113093.20000000001</v>
      </c>
      <c r="AA849" s="23">
        <f t="shared" si="5620"/>
        <v>-1.0548657948588946</v>
      </c>
      <c r="AB849" s="56">
        <f>AB848-AB838</f>
        <v>114277.10000000005</v>
      </c>
      <c r="AC849" s="23">
        <f t="shared" si="5621"/>
        <v>1.3033788743232133</v>
      </c>
      <c r="AD849" s="413">
        <f>AD848-AD838</f>
        <v>114424.30000000003</v>
      </c>
      <c r="AE849" s="23">
        <f t="shared" si="5622"/>
        <v>2.2973574622769499</v>
      </c>
      <c r="AF849" s="56">
        <f>AF848-AF838</f>
        <v>117819.2</v>
      </c>
      <c r="AG849" s="23">
        <f t="shared" si="5623"/>
        <v>4.8708020685910292</v>
      </c>
      <c r="AH849" s="56">
        <f>AH848-AH838</f>
        <v>118455.99999999997</v>
      </c>
      <c r="AI849" s="23">
        <f t="shared" si="5624"/>
        <v>4.7419296650903497</v>
      </c>
      <c r="AJ849" s="56">
        <f>AJ848-AJ838</f>
        <v>118145.4</v>
      </c>
      <c r="AK849" s="23">
        <f t="shared" si="5625"/>
        <v>3.3850176457050019</v>
      </c>
      <c r="AL849" s="56">
        <f>AL848-AL838</f>
        <v>121944</v>
      </c>
      <c r="AM849" s="23">
        <f t="shared" si="5626"/>
        <v>6.5717684093326012</v>
      </c>
      <c r="AN849" s="413">
        <f>AN848-AN838</f>
        <v>120309.90000000001</v>
      </c>
      <c r="AO849" s="23">
        <f t="shared" si="5627"/>
        <v>2.1140017925771026</v>
      </c>
      <c r="AP849" s="413">
        <f>AP848-AP838</f>
        <v>115756.7</v>
      </c>
      <c r="AQ849" s="23">
        <f t="shared" si="5628"/>
        <v>-2.2787364084554396</v>
      </c>
      <c r="AR849" s="413">
        <f>AR848-AR838</f>
        <v>117318.39999999997</v>
      </c>
      <c r="AS849" s="23">
        <f t="shared" si="5629"/>
        <v>-0.69998493381886462</v>
      </c>
      <c r="AT849" s="649">
        <f>AT848-AT838</f>
        <v>117129.39999999998</v>
      </c>
      <c r="AU849" s="576">
        <f t="shared" si="5630"/>
        <v>-3.9482057337794529</v>
      </c>
      <c r="AV849" s="649">
        <f>AV848-AV838</f>
        <v>146906.6</v>
      </c>
      <c r="AW849" s="576">
        <f t="shared" si="5631"/>
        <v>22.106825789066399</v>
      </c>
      <c r="AX849" s="649">
        <f>AX848-AX838</f>
        <v>144821.1</v>
      </c>
      <c r="AY849" s="576">
        <f t="shared" si="5632"/>
        <v>25.108179483347403</v>
      </c>
      <c r="AZ849" s="649">
        <f>AZ848-AZ838</f>
        <v>144836.1</v>
      </c>
      <c r="BA849" s="576">
        <f t="shared" si="5633"/>
        <v>23.455570481697706</v>
      </c>
      <c r="BB849" s="649">
        <f>BB848-BB838</f>
        <v>146648.79999999999</v>
      </c>
      <c r="BC849" s="23">
        <f t="shared" si="5634"/>
        <v>25.202383005462337</v>
      </c>
      <c r="BD849" s="413">
        <f>BD848-BD838</f>
        <v>142196</v>
      </c>
      <c r="BE849" s="23">
        <f t="shared" si="5635"/>
        <v>-3.2065271403735496</v>
      </c>
      <c r="BF849" s="36">
        <f>BF848-BF838</f>
        <v>84204.184999999983</v>
      </c>
      <c r="BG849" s="23">
        <f t="shared" si="5637"/>
        <v>-41.856411116888367</v>
      </c>
      <c r="BH849" s="36">
        <f>BH848-BH838</f>
        <v>85780.27277499999</v>
      </c>
      <c r="BI849" s="23">
        <f t="shared" si="5638"/>
        <v>-40.774245664582253</v>
      </c>
      <c r="BJ849" s="36">
        <f>BJ848-BJ838</f>
        <v>86872.501866624982</v>
      </c>
      <c r="BK849" s="23">
        <f t="shared" si="5639"/>
        <v>-40.761532404885017</v>
      </c>
      <c r="BL849" s="36">
        <f>BL848-BL838</f>
        <v>87981.114394624339</v>
      </c>
      <c r="BM849" s="23">
        <f t="shared" si="5641"/>
        <v>-38.126871083135718</v>
      </c>
      <c r="BO849" s="137"/>
      <c r="BQ849" s="5"/>
      <c r="BR849" s="5"/>
      <c r="BS849" s="5"/>
      <c r="BT849" s="5"/>
      <c r="BU849" s="36">
        <f>BU848-BU838</f>
        <v>112263.30000000002</v>
      </c>
      <c r="BV849" s="23" t="str">
        <f t="shared" si="5658"/>
        <v>NA</v>
      </c>
      <c r="BW849" s="36">
        <f>BW848-BW838</f>
        <v>115016.09999999998</v>
      </c>
      <c r="BX849" s="23">
        <f t="shared" si="5658"/>
        <v>2.4520925360290935</v>
      </c>
      <c r="BY849" s="36">
        <f>BY848-BY838</f>
        <v>112347.00000000003</v>
      </c>
      <c r="BZ849" s="23">
        <f t="shared" si="5658"/>
        <v>-2.3206316333104215</v>
      </c>
      <c r="CA849" s="36">
        <f>CA848-CA838</f>
        <v>117819.2</v>
      </c>
      <c r="CB849" s="23">
        <f t="shared" si="5658"/>
        <v>4.8708020685910292</v>
      </c>
      <c r="CC849" s="36">
        <f>CC848-CC838</f>
        <v>120309.90000000001</v>
      </c>
      <c r="CD849" s="23">
        <f t="shared" si="5658"/>
        <v>2.1140017925771026</v>
      </c>
      <c r="CE849" s="36">
        <f>CE848-CE838</f>
        <v>84197.6</v>
      </c>
      <c r="CF849" s="23">
        <f t="shared" si="5658"/>
        <v>-30.01606684071718</v>
      </c>
      <c r="CG849" s="36">
        <f>CG848-CG838</f>
        <v>83144</v>
      </c>
      <c r="CH849" s="23">
        <f t="shared" si="5658"/>
        <v>-1.2513420810094433</v>
      </c>
      <c r="CI849" s="36">
        <f>CI848-CI838</f>
        <v>87981.114394624339</v>
      </c>
      <c r="CJ849" s="23">
        <f t="shared" si="5658"/>
        <v>5.8177552133940491</v>
      </c>
      <c r="CK849" s="36">
        <f>CK848-CK838</f>
        <v>89106.356110543711</v>
      </c>
      <c r="CL849" s="23">
        <f t="shared" si="5658"/>
        <v>1.2789582442344294</v>
      </c>
      <c r="CM849" s="36">
        <f>CM848-CM838</f>
        <v>90248.476452201867</v>
      </c>
      <c r="CN849" s="23">
        <f t="shared" si="5658"/>
        <v>1.2817495760249376</v>
      </c>
      <c r="CO849" s="36">
        <f>CO848-CO838</f>
        <v>91407.728598984875</v>
      </c>
      <c r="CP849" s="23">
        <f t="shared" si="5658"/>
        <v>1.2845115977076604</v>
      </c>
      <c r="CQ849" s="36">
        <f>CQ848-CQ838</f>
        <v>92584.369527969655</v>
      </c>
      <c r="CR849" s="23">
        <f t="shared" si="5658"/>
        <v>1.287244467201254</v>
      </c>
      <c r="CS849" s="23">
        <f t="shared" si="5650"/>
        <v>2.1742249077406406</v>
      </c>
    </row>
    <row r="850" spans="1:97" ht="12.75" customHeight="1" x14ac:dyDescent="0.2">
      <c r="A850" s="19"/>
      <c r="B850" s="35"/>
      <c r="C850" s="60"/>
      <c r="D850" s="35"/>
      <c r="E850" s="60"/>
      <c r="F850" s="35"/>
      <c r="G850" s="60"/>
      <c r="H850" s="35"/>
      <c r="I850" s="60"/>
      <c r="J850" s="35"/>
      <c r="L850" s="35"/>
      <c r="N850" s="37"/>
      <c r="P850" s="37"/>
      <c r="R850" s="37"/>
      <c r="T850" s="37"/>
      <c r="V850" s="37"/>
      <c r="X850" s="37"/>
      <c r="Z850" s="37"/>
      <c r="AB850" s="37"/>
      <c r="AD850" s="411"/>
      <c r="AF850" s="37"/>
      <c r="AH850" s="37"/>
      <c r="AJ850" s="37"/>
      <c r="AL850" s="37"/>
      <c r="AN850" s="411"/>
      <c r="AP850" s="411"/>
      <c r="AR850" s="411"/>
      <c r="AT850" s="650"/>
      <c r="AU850" s="400"/>
      <c r="AV850" s="650"/>
      <c r="AW850" s="400"/>
      <c r="AX850" s="650"/>
      <c r="AY850" s="400"/>
      <c r="AZ850" s="650"/>
      <c r="BA850" s="400"/>
      <c r="BB850" s="650"/>
      <c r="BD850" s="411"/>
      <c r="BF850" s="37"/>
      <c r="BH850" s="37"/>
      <c r="BJ850" s="37"/>
      <c r="BL850" s="37"/>
      <c r="BQ850" s="5"/>
    </row>
    <row r="851" spans="1:97" ht="12.75" hidden="1" customHeight="1" outlineLevel="1" x14ac:dyDescent="0.2">
      <c r="A851" s="22" t="s">
        <v>56</v>
      </c>
      <c r="B851" s="35"/>
      <c r="C851" s="83"/>
      <c r="D851" s="35"/>
      <c r="E851" s="83"/>
      <c r="F851" s="35"/>
      <c r="G851" s="83"/>
      <c r="H851" s="35"/>
      <c r="I851" s="83"/>
      <c r="J851" s="35"/>
      <c r="K851" s="23" t="str">
        <f>IF(ISERROR((J851/B851-1)*100),"NA",IF(((J851/B851-1)*100)&gt;100,"NM",IF(((J851/B851-1)*100)&lt;-50,"NM",(J851/B851-1)*100)))</f>
        <v>NA</v>
      </c>
      <c r="L851" s="37"/>
      <c r="M851" s="23" t="str">
        <f>IF(ISERROR((L851/D851-1)*100),"NA",IF(((L851/D851-1)*100)&gt;100,"NM",IF(((L851/D851-1)*100)&lt;-50,"NM",(L851/D851-1)*100)))</f>
        <v>NA</v>
      </c>
      <c r="N851" s="37"/>
      <c r="O851" s="23" t="str">
        <f>IF(ISERROR((N851/F851-1)*100),"NA",IF(((N851/F851-1)*100)&gt;100,"NM",IF(((N851/F851-1)*100)&lt;-50,"NM",(N851/F851-1)*100)))</f>
        <v>NA</v>
      </c>
      <c r="P851" s="37"/>
      <c r="Q851" s="23" t="str">
        <f>IF(ISERROR((P851/H851-1)*100),"NA",IF(((P851/H851-1)*100)&gt;100,"NM",IF(((P851/H851-1)*100)&lt;-50,"NM",(P851/H851-1)*100)))</f>
        <v>NA</v>
      </c>
      <c r="R851" s="37"/>
      <c r="S851" s="23" t="str">
        <f>IF(ISERROR((R851/J851-1)*100),"NA",IF(((R851/J851-1)*100)&gt;100,"NM",IF(((R851/J851-1)*100)&lt;-50,"NM",(R851/J851-1)*100)))</f>
        <v>NA</v>
      </c>
      <c r="T851" s="37"/>
      <c r="U851" s="23"/>
      <c r="V851" s="37"/>
      <c r="W851" s="23"/>
      <c r="X851" s="37"/>
      <c r="Y851" s="23" t="str">
        <f t="shared" si="5657"/>
        <v>NA</v>
      </c>
      <c r="Z851" s="37"/>
      <c r="AA851" s="23" t="str">
        <f>IF(ISERROR((Z851/R851-1)*100),"NA",IF(((Z851/R851-1)*100)&gt;100,"NM",IF(((Z851/R851-1)*100)&lt;-50,"NM",(Z851/R851-1)*100)))</f>
        <v>NA</v>
      </c>
      <c r="AB851" s="37"/>
      <c r="AC851" s="23" t="str">
        <f>IF(ISERROR((AB851/T851-1)*100),"NA",IF(((AB851/T851-1)*100)&gt;100,"NM",IF(((AB851/T851-1)*100)&lt;-50,"NM",(AB851/T851-1)*100)))</f>
        <v>NA</v>
      </c>
      <c r="AD851" s="411"/>
      <c r="AE851" s="23" t="str">
        <f>IF(ISERROR((AD851/V851-1)*100),"NA",IF(((AD851/V851-1)*100)&gt;100,"NM",IF(((AD851/V851-1)*100)&lt;-50,"NM",(AD851/V851-1)*100)))</f>
        <v>NA</v>
      </c>
      <c r="AF851" s="37"/>
      <c r="AG851" s="23" t="str">
        <f>IF(ISERROR((AF851/X851-1)*100),"NA",IF(((AF851/X851-1)*100)&gt;100,"NM",IF(((AF851/X851-1)*100)&lt;-50,"NM",(AF851/X851-1)*100)))</f>
        <v>NA</v>
      </c>
      <c r="AH851" s="37"/>
      <c r="AI851" s="23" t="str">
        <f>IF(ISERROR((AH851/Z851-1)*100),"NA",IF(((AH851/Z851-1)*100)&gt;100,"NM",IF(((AH851/Z851-1)*100)&lt;-50,"NM",(AH851/Z851-1)*100)))</f>
        <v>NA</v>
      </c>
      <c r="AJ851" s="37"/>
      <c r="AK851" s="23" t="str">
        <f>IF(ISERROR((AJ851/AB851-1)*100),"NA",IF(((AJ851/AB851-1)*100)&gt;100,"NM",IF(((AJ851/AB851-1)*100)&lt;-50,"NM",(AJ851/AB851-1)*100)))</f>
        <v>NA</v>
      </c>
      <c r="AL851" s="37"/>
      <c r="AM851" s="23" t="str">
        <f>IF(ISERROR((AL851/AD851-1)*100),"NA",IF(((AL851/AD851-1)*100)&gt;100,"NM",IF(((AL851/AD851-1)*100)&lt;-50,"NM",(AL851/AD851-1)*100)))</f>
        <v>NA</v>
      </c>
      <c r="AN851" s="411"/>
      <c r="AO851" s="23" t="str">
        <f>IF(ISERROR((AN851/AF851-1)*100),"NA",IF(((AN851/AF851-1)*100)&gt;100,"NM",IF(((AN851/AF851-1)*100)&lt;-50,"NM",(AN851/AF851-1)*100)))</f>
        <v>NA</v>
      </c>
      <c r="AP851" s="411"/>
      <c r="AQ851" s="23" t="str">
        <f t="shared" ref="AQ851:AQ853" si="5683">IF(ISERROR((AP851/AH851-1)*100),"NA",IF(((AP851/AH851-1)*100)&gt;100,"NM",IF(((AP851/AH851-1)*100)&lt;-50,"NM",(AP851/AH851-1)*100)))</f>
        <v>NA</v>
      </c>
      <c r="AR851" s="253"/>
      <c r="AS851" s="23" t="str">
        <f t="shared" ref="AS851:AS853" si="5684">IF(ISERROR((AR851/AJ851-1)*100),"NA",IF(((AR851/AJ851-1)*100)&gt;100,"NM",IF(((AR851/AJ851-1)*100)&lt;-50,"NM",(AR851/AJ851-1)*100)))</f>
        <v>NA</v>
      </c>
      <c r="AT851" s="651"/>
      <c r="AU851" s="576" t="str">
        <f t="shared" ref="AU851:AU853" si="5685">IF(ISERROR((AT851/AL851-1)*100),"NA",IF(((AT851/AL851-1)*100)&gt;100,"NM",IF(((AT851/AL851-1)*100)&lt;-50,"NM",(AT851/AL851-1)*100)))</f>
        <v>NA</v>
      </c>
      <c r="AV851" s="651"/>
      <c r="AW851" s="576" t="str">
        <f t="shared" ref="AW851:AW853" si="5686">IF(ISERROR((AV851/AN851-1)*100),"NA",IF(((AV851/AN851-1)*100)&gt;100,"NM",IF(((AV851/AN851-1)*100)&lt;-50,"NM",(AV851/AN851-1)*100)))</f>
        <v>NA</v>
      </c>
      <c r="AX851" s="651"/>
      <c r="AY851" s="576" t="str">
        <f t="shared" ref="AY851:AY853" si="5687">IF(ISERROR((AX851/AP851-1)*100),"NA",IF(((AX851/AP851-1)*100)&gt;100,"NM",IF(((AX851/AP851-1)*100)&lt;-50,"NM",(AX851/AP851-1)*100)))</f>
        <v>NA</v>
      </c>
      <c r="AZ851" s="651"/>
      <c r="BA851" s="576" t="str">
        <f t="shared" ref="BA851:BA853" si="5688">IF(ISERROR((AZ851/AR851-1)*100),"NA",IF(((AZ851/AR851-1)*100)&gt;100,"NM",IF(((AZ851/AR851-1)*100)&lt;-50,"NM",(AZ851/AR851-1)*100)))</f>
        <v>NA</v>
      </c>
      <c r="BB851" s="651"/>
      <c r="BC851" s="23" t="str">
        <f t="shared" ref="BC851:BC853" si="5689">IF(ISERROR((BB851/AT851-1)*100),"NA",IF(((BB851/AT851-1)*100)&gt;100,"NM",IF(((BB851/AT851-1)*100)&lt;-50,"NM",(BB851/AT851-1)*100)))</f>
        <v>NA</v>
      </c>
      <c r="BD851" s="587"/>
      <c r="BE851" s="23" t="str">
        <f t="shared" ref="BE851:BE853" si="5690">IF(ISERROR((BD851/AV851-1)*100),"NA",IF(((BD851/AV851-1)*100)&gt;100,"NM",IF(((BD851/AV851-1)*100)&lt;-50,"NM",(BD851/AV851-1)*100)))</f>
        <v>NA</v>
      </c>
      <c r="BF851" s="114"/>
      <c r="BG851" s="23" t="str">
        <f t="shared" ref="BG851:BG853" si="5691">IF(ISERROR((BF851/AX851-1)*100),"NA",IF(((BF851/AX851-1)*100)&gt;100,"NM",IF(((BF851/AX851-1)*100)&lt;-50,"NM",(BF851/AX851-1)*100)))</f>
        <v>NA</v>
      </c>
      <c r="BH851" s="114"/>
      <c r="BI851" s="23" t="str">
        <f t="shared" ref="BI851:BI853" si="5692">IF(ISERROR((BH851/AZ851-1)*100),"NA",IF(((BH851/AZ851-1)*100)&gt;100,"NM",IF(((BH851/AZ851-1)*100)&lt;-50,"NM",(BH851/AZ851-1)*100)))</f>
        <v>NA</v>
      </c>
      <c r="BJ851" s="114"/>
      <c r="BK851" s="23" t="str">
        <f t="shared" ref="BK851:BK853" si="5693">IF(ISERROR((BJ851/BB851-1)*100),"NA",IF(((BJ851/BB851-1)*100)&gt;100,"NM",IF(((BJ851/BB851-1)*100)&lt;-50,"NM",(BJ851/BB851-1)*100)))</f>
        <v>NA</v>
      </c>
      <c r="BL851" s="114"/>
      <c r="BM851" s="23" t="str">
        <f t="shared" ref="BM851:BM853" si="5694">IF(ISERROR((BL851/BD851-1)*100),"NA",IF(((BL851/BD851-1)*100)&gt;100,"NM",IF(((BL851/BD851-1)*100)&lt;-50,"NM",(BL851/BD851-1)*100)))</f>
        <v>NA</v>
      </c>
      <c r="BQ851" s="5"/>
      <c r="BR851" s="6"/>
      <c r="BS851" s="6"/>
      <c r="BT851" s="6"/>
      <c r="BU851" s="6"/>
      <c r="BV851" s="23" t="str">
        <f>IF(ISERROR((BU851/BS851-1)*100),"NA",IF(((BU851/BS851-1)*100)&gt;100,"NM",IF(((BU851/BS851-1)*100)&lt;-50,"NM",(BU851/BS851-1)*100)))</f>
        <v>NA</v>
      </c>
      <c r="BX851" s="23" t="str">
        <f>IF(ISERROR((BW851/BU851-1)*100),"NA",IF(((BW851/BU851-1)*100)&gt;100,"NM",IF(((BW851/BU851-1)*100)&lt;-50,"NM",(BW851/BU851-1)*100)))</f>
        <v>NA</v>
      </c>
      <c r="BZ851" s="23" t="str">
        <f>IF(ISERROR((BY851/BW851-1)*100),"NA",IF(((BY851/BW851-1)*100)&gt;100,"NM",IF(((BY851/BW851-1)*100)&lt;-50,"NM",(BY851/BW851-1)*100)))</f>
        <v>NA</v>
      </c>
      <c r="CB851" s="23" t="str">
        <f>IF(ISERROR((CA851/BY851-1)*100),"NA",IF(((CA851/BY851-1)*100)&gt;100,"NM",IF(((CA851/BY851-1)*100)&lt;-50,"NM",(CA851/BY851-1)*100)))</f>
        <v>NA</v>
      </c>
      <c r="CD851" s="23" t="str">
        <f>IF(ISERROR((CC851/CA851-1)*100),"NA",IF(((CC851/CA851-1)*100)&gt;100,"NM",IF(((CC851/CA851-1)*100)&lt;-50,"NM",(CC851/CA851-1)*100)))</f>
        <v>NA</v>
      </c>
      <c r="CF851" s="23" t="str">
        <f>IF(ISERROR((CE851/CC851-1)*100),"NA",IF(((CE851/CC851-1)*100)&gt;100,"NM",IF(((CE851/CC851-1)*100)&lt;-50,"NM",(CE851/CC851-1)*100)))</f>
        <v>NA</v>
      </c>
      <c r="CH851" s="23" t="str">
        <f>IF(ISERROR((CG851/CE851-1)*100),"NA",IF(((CG851/CE851-1)*100)&gt;100,"NM",IF(((CG851/CE851-1)*100)&lt;-50,"NM",(CG851/CE851-1)*100)))</f>
        <v>NA</v>
      </c>
      <c r="CJ851" s="23" t="str">
        <f>IF(ISERROR((CI851/CG851-1)*100),"NA",IF(((CI851/CG851-1)*100)&gt;100,"NM",IF(((CI851/CG851-1)*100)&lt;-50,"NM",(CI851/CG851-1)*100)))</f>
        <v>NA</v>
      </c>
      <c r="CL851" s="23" t="str">
        <f>IF(ISERROR((CK851/CI851-1)*100),"NA",IF(((CK851/CI851-1)*100)&gt;100,"NM",IF(((CK851/CI851-1)*100)&lt;-50,"NM",(CK851/CI851-1)*100)))</f>
        <v>NA</v>
      </c>
      <c r="CN851" s="23" t="str">
        <f>IF(ISERROR((CM851/CK851-1)*100),"NA",IF(((CM851/CK851-1)*100)&gt;100,"NM",IF(((CM851/CK851-1)*100)&lt;-50,"NM",(CM851/CK851-1)*100)))</f>
        <v>NA</v>
      </c>
      <c r="CP851" s="23" t="str">
        <f>IF(ISERROR((CO851/CM851-1)*100),"NA",IF(((CO851/CM851-1)*100)&gt;100,"NM",IF(((CO851/CM851-1)*100)&lt;-50,"NM",(CO851/CM851-1)*100)))</f>
        <v>NA</v>
      </c>
      <c r="CR851" s="23" t="str">
        <f>IF(ISERROR((CQ851/CO851-1)*100),"NA",IF(((CQ851/CO851-1)*100)&gt;100,"NM",IF(((CQ851/CO851-1)*100)&lt;-50,"NM",(CQ851/CO851-1)*100)))</f>
        <v>NA</v>
      </c>
      <c r="CS851" s="23"/>
    </row>
    <row r="852" spans="1:97" ht="12.75" hidden="1" customHeight="1" outlineLevel="1" x14ac:dyDescent="0.2">
      <c r="A852" s="22" t="s">
        <v>57</v>
      </c>
      <c r="B852" s="36"/>
      <c r="C852" s="83"/>
      <c r="D852" s="36"/>
      <c r="E852" s="83"/>
      <c r="F852" s="36"/>
      <c r="G852" s="83"/>
      <c r="H852" s="36"/>
      <c r="I852" s="83"/>
      <c r="J852" s="36"/>
      <c r="K852" s="23" t="str">
        <f>IF(ISERROR((J852/B852-1)*100),"NA",IF(((J852/B852-1)*100)&gt;100,"NM",IF(((J852/B852-1)*100)&lt;-50,"NM",(J852/B852-1)*100)))</f>
        <v>NA</v>
      </c>
      <c r="L852" s="56"/>
      <c r="M852" s="23" t="str">
        <f>IF(ISERROR((L852/D852-1)*100),"NA",IF(((L852/D852-1)*100)&gt;100,"NM",IF(((L852/D852-1)*100)&lt;-50,"NM",(L852/D852-1)*100)))</f>
        <v>NA</v>
      </c>
      <c r="N852" s="56"/>
      <c r="O852" s="23" t="str">
        <f>IF(ISERROR((N852/F852-1)*100),"NA",IF(((N852/F852-1)*100)&gt;100,"NM",IF(((N852/F852-1)*100)&lt;-50,"NM",(N852/F852-1)*100)))</f>
        <v>NA</v>
      </c>
      <c r="P852" s="56"/>
      <c r="Q852" s="23" t="str">
        <f>IF(ISERROR((P852/H852-1)*100),"NA",IF(((P852/H852-1)*100)&gt;100,"NM",IF(((P852/H852-1)*100)&lt;-50,"NM",(P852/H852-1)*100)))</f>
        <v>NA</v>
      </c>
      <c r="R852" s="56"/>
      <c r="S852" s="23" t="str">
        <f>IF(ISERROR((R852/J852-1)*100),"NA",IF(((R852/J852-1)*100)&gt;100,"NM",IF(((R852/J852-1)*100)&lt;-50,"NM",(R852/J852-1)*100)))</f>
        <v>NA</v>
      </c>
      <c r="T852" s="56"/>
      <c r="U852" s="23"/>
      <c r="V852" s="56"/>
      <c r="W852" s="23"/>
      <c r="X852" s="56"/>
      <c r="Y852" s="23" t="str">
        <f t="shared" si="5657"/>
        <v>NA</v>
      </c>
      <c r="Z852" s="56"/>
      <c r="AA852" s="23" t="str">
        <f>IF(ISERROR((Z852/R852-1)*100),"NA",IF(((Z852/R852-1)*100)&gt;100,"NM",IF(((Z852/R852-1)*100)&lt;-50,"NM",(Z852/R852-1)*100)))</f>
        <v>NA</v>
      </c>
      <c r="AB852" s="56"/>
      <c r="AC852" s="23" t="str">
        <f>IF(ISERROR((AB852/T852-1)*100),"NA",IF(((AB852/T852-1)*100)&gt;100,"NM",IF(((AB852/T852-1)*100)&lt;-50,"NM",(AB852/T852-1)*100)))</f>
        <v>NA</v>
      </c>
      <c r="AD852" s="413"/>
      <c r="AE852" s="23" t="str">
        <f>IF(ISERROR((AD852/V852-1)*100),"NA",IF(((AD852/V852-1)*100)&gt;100,"NM",IF(((AD852/V852-1)*100)&lt;-50,"NM",(AD852/V852-1)*100)))</f>
        <v>NA</v>
      </c>
      <c r="AF852" s="56"/>
      <c r="AG852" s="23" t="str">
        <f>IF(ISERROR((AF852/X852-1)*100),"NA",IF(((AF852/X852-1)*100)&gt;100,"NM",IF(((AF852/X852-1)*100)&lt;-50,"NM",(AF852/X852-1)*100)))</f>
        <v>NA</v>
      </c>
      <c r="AH852" s="56"/>
      <c r="AI852" s="23" t="str">
        <f>IF(ISERROR((AH852/Z852-1)*100),"NA",IF(((AH852/Z852-1)*100)&gt;100,"NM",IF(((AH852/Z852-1)*100)&lt;-50,"NM",(AH852/Z852-1)*100)))</f>
        <v>NA</v>
      </c>
      <c r="AJ852" s="56"/>
      <c r="AK852" s="23" t="str">
        <f>IF(ISERROR((AJ852/AB852-1)*100),"NA",IF(((AJ852/AB852-1)*100)&gt;100,"NM",IF(((AJ852/AB852-1)*100)&lt;-50,"NM",(AJ852/AB852-1)*100)))</f>
        <v>NA</v>
      </c>
      <c r="AL852" s="56"/>
      <c r="AM852" s="23" t="str">
        <f>IF(ISERROR((AL852/AD852-1)*100),"NA",IF(((AL852/AD852-1)*100)&gt;100,"NM",IF(((AL852/AD852-1)*100)&lt;-50,"NM",(AL852/AD852-1)*100)))</f>
        <v>NA</v>
      </c>
      <c r="AN852" s="413"/>
      <c r="AO852" s="23" t="str">
        <f>IF(ISERROR((AN852/AF852-1)*100),"NA",IF(((AN852/AF852-1)*100)&gt;100,"NM",IF(((AN852/AF852-1)*100)&lt;-50,"NM",(AN852/AF852-1)*100)))</f>
        <v>NA</v>
      </c>
      <c r="AP852" s="413"/>
      <c r="AQ852" s="23" t="str">
        <f t="shared" si="5683"/>
        <v>NA</v>
      </c>
      <c r="AR852" s="158"/>
      <c r="AS852" s="23" t="str">
        <f t="shared" si="5684"/>
        <v>NA</v>
      </c>
      <c r="AT852" s="510"/>
      <c r="AU852" s="576" t="str">
        <f t="shared" si="5685"/>
        <v>NA</v>
      </c>
      <c r="AV852" s="510"/>
      <c r="AW852" s="576" t="str">
        <f t="shared" si="5686"/>
        <v>NA</v>
      </c>
      <c r="AX852" s="510"/>
      <c r="AY852" s="576" t="str">
        <f t="shared" si="5687"/>
        <v>NA</v>
      </c>
      <c r="AZ852" s="510"/>
      <c r="BA852" s="576" t="str">
        <f t="shared" si="5688"/>
        <v>NA</v>
      </c>
      <c r="BB852" s="510"/>
      <c r="BC852" s="23" t="str">
        <f t="shared" si="5689"/>
        <v>NA</v>
      </c>
      <c r="BD852" s="158"/>
      <c r="BE852" s="23" t="str">
        <f t="shared" si="5690"/>
        <v>NA</v>
      </c>
      <c r="BF852" s="49"/>
      <c r="BG852" s="23" t="str">
        <f t="shared" si="5691"/>
        <v>NA</v>
      </c>
      <c r="BH852" s="49"/>
      <c r="BI852" s="23" t="str">
        <f t="shared" si="5692"/>
        <v>NA</v>
      </c>
      <c r="BJ852" s="49"/>
      <c r="BK852" s="23" t="str">
        <f t="shared" si="5693"/>
        <v>NA</v>
      </c>
      <c r="BL852" s="49"/>
      <c r="BM852" s="23" t="str">
        <f t="shared" si="5694"/>
        <v>NA</v>
      </c>
      <c r="BO852" s="147"/>
      <c r="BQ852" s="5"/>
      <c r="BR852" s="5"/>
      <c r="BS852" s="5"/>
      <c r="BT852" s="5"/>
      <c r="BU852" s="67"/>
      <c r="BV852" s="23" t="str">
        <f>IF(ISERROR((BU852/BS852-1)*100),"NA",IF(((BU852/BS852-1)*100)&gt;100,"NM",IF(((BU852/BS852-1)*100)&lt;-50,"NM",(BU852/BS852-1)*100)))</f>
        <v>NA</v>
      </c>
      <c r="BW852" s="67"/>
      <c r="BX852" s="23" t="str">
        <f>IF(ISERROR((BW852/BU852-1)*100),"NA",IF(((BW852/BU852-1)*100)&gt;100,"NM",IF(((BW852/BU852-1)*100)&lt;-50,"NM",(BW852/BU852-1)*100)))</f>
        <v>NA</v>
      </c>
      <c r="BY852" s="67"/>
      <c r="BZ852" s="23" t="str">
        <f>IF(ISERROR((BY852/BW852-1)*100),"NA",IF(((BY852/BW852-1)*100)&gt;100,"NM",IF(((BY852/BW852-1)*100)&lt;-50,"NM",(BY852/BW852-1)*100)))</f>
        <v>NA</v>
      </c>
      <c r="CA852" s="67"/>
      <c r="CB852" s="23" t="str">
        <f>IF(ISERROR((CA852/BY852-1)*100),"NA",IF(((CA852/BY852-1)*100)&gt;100,"NM",IF(((CA852/BY852-1)*100)&lt;-50,"NM",(CA852/BY852-1)*100)))</f>
        <v>NA</v>
      </c>
      <c r="CC852" s="67"/>
      <c r="CD852" s="23" t="str">
        <f>IF(ISERROR((CC852/CA852-1)*100),"NA",IF(((CC852/CA852-1)*100)&gt;100,"NM",IF(((CC852/CA852-1)*100)&lt;-50,"NM",(CC852/CA852-1)*100)))</f>
        <v>NA</v>
      </c>
      <c r="CE852" s="67"/>
      <c r="CF852" s="23" t="str">
        <f>IF(ISERROR((CE852/CC852-1)*100),"NA",IF(((CE852/CC852-1)*100)&gt;100,"NM",IF(((CE852/CC852-1)*100)&lt;-50,"NM",(CE852/CC852-1)*100)))</f>
        <v>NA</v>
      </c>
      <c r="CG852" s="67"/>
      <c r="CH852" s="23" t="str">
        <f>IF(ISERROR((CG852/CE852-1)*100),"NA",IF(((CG852/CE852-1)*100)&gt;100,"NM",IF(((CG852/CE852-1)*100)&lt;-50,"NM",(CG852/CE852-1)*100)))</f>
        <v>NA</v>
      </c>
      <c r="CI852" s="67"/>
      <c r="CJ852" s="23" t="str">
        <f>IF(ISERROR((CI852/CG852-1)*100),"NA",IF(((CI852/CG852-1)*100)&gt;100,"NM",IF(((CI852/CG852-1)*100)&lt;-50,"NM",(CI852/CG852-1)*100)))</f>
        <v>NA</v>
      </c>
      <c r="CK852" s="67"/>
      <c r="CL852" s="23" t="str">
        <f>IF(ISERROR((CK852/CI852-1)*100),"NA",IF(((CK852/CI852-1)*100)&gt;100,"NM",IF(((CK852/CI852-1)*100)&lt;-50,"NM",(CK852/CI852-1)*100)))</f>
        <v>NA</v>
      </c>
      <c r="CM852" s="67"/>
      <c r="CN852" s="23" t="str">
        <f>IF(ISERROR((CM852/CK852-1)*100),"NA",IF(((CM852/CK852-1)*100)&gt;100,"NM",IF(((CM852/CK852-1)*100)&lt;-50,"NM",(CM852/CK852-1)*100)))</f>
        <v>NA</v>
      </c>
      <c r="CO852" s="67"/>
      <c r="CP852" s="23" t="str">
        <f>IF(ISERROR((CO852/CM852-1)*100),"NA",IF(((CO852/CM852-1)*100)&gt;100,"NM",IF(((CO852/CM852-1)*100)&lt;-50,"NM",(CO852/CM852-1)*100)))</f>
        <v>NA</v>
      </c>
      <c r="CQ852" s="67"/>
      <c r="CR852" s="23" t="str">
        <f>IF(ISERROR((CQ852/CO852-1)*100),"NA",IF(((CQ852/CO852-1)*100)&gt;100,"NM",IF(((CQ852/CO852-1)*100)&lt;-50,"NM",(CQ852/CO852-1)*100)))</f>
        <v>NA</v>
      </c>
      <c r="CS852" s="23"/>
    </row>
    <row r="853" spans="1:97" ht="12.75" hidden="1" customHeight="1" outlineLevel="1" x14ac:dyDescent="0.2">
      <c r="A853" s="22" t="s">
        <v>58</v>
      </c>
      <c r="B853" s="35"/>
      <c r="C853" s="83"/>
      <c r="D853" s="35"/>
      <c r="E853" s="83"/>
      <c r="F853" s="35"/>
      <c r="G853" s="83"/>
      <c r="H853" s="35"/>
      <c r="I853" s="83"/>
      <c r="J853" s="35"/>
      <c r="K853" s="23" t="str">
        <f>IF(ISERROR((J853/B853-1)*100),"NA",IF(((J853/B853-1)*100)&gt;100,"NM",IF(((J853/B853-1)*100)&lt;-50,"NM",(J853/B853-1)*100)))</f>
        <v>NA</v>
      </c>
      <c r="L853" s="37"/>
      <c r="M853" s="23" t="str">
        <f>IF(ISERROR((L853/D853-1)*100),"NA",IF(((L853/D853-1)*100)&gt;100,"NM",IF(((L853/D853-1)*100)&lt;-50,"NM",(L853/D853-1)*100)))</f>
        <v>NA</v>
      </c>
      <c r="N853" s="37"/>
      <c r="O853" s="23" t="str">
        <f>IF(ISERROR((N853/F853-1)*100),"NA",IF(((N853/F853-1)*100)&gt;100,"NM",IF(((N853/F853-1)*100)&lt;-50,"NM",(N853/F853-1)*100)))</f>
        <v>NA</v>
      </c>
      <c r="P853" s="37"/>
      <c r="Q853" s="23" t="str">
        <f>IF(ISERROR((P853/H853-1)*100),"NA",IF(((P853/H853-1)*100)&gt;100,"NM",IF(((P853/H853-1)*100)&lt;-50,"NM",(P853/H853-1)*100)))</f>
        <v>NA</v>
      </c>
      <c r="R853" s="37"/>
      <c r="S853" s="23" t="str">
        <f>IF(ISERROR((R853/J853-1)*100),"NA",IF(((R853/J853-1)*100)&gt;100,"NM",IF(((R853/J853-1)*100)&lt;-50,"NM",(R853/J853-1)*100)))</f>
        <v>NA</v>
      </c>
      <c r="T853" s="37"/>
      <c r="U853" s="23" t="str">
        <f>IF(ISERROR((T853/L853-1)*100),"NA",IF(((T853/L853-1)*100)&gt;100,"NM",IF(((T853/L853-1)*100)&lt;-50,"NM",(T853/L853-1)*100)))</f>
        <v>NA</v>
      </c>
      <c r="V853" s="37"/>
      <c r="W853" s="23" t="str">
        <f>IF(ISERROR((V853/N853-1)*100),"NA",IF(((V853/N853-1)*100)&gt;100,"NM",IF(((V853/N853-1)*100)&lt;-50,"NM",(V853/N853-1)*100)))</f>
        <v>NA</v>
      </c>
      <c r="X853" s="37"/>
      <c r="Y853" s="23" t="str">
        <f t="shared" si="5657"/>
        <v>NA</v>
      </c>
      <c r="Z853" s="37"/>
      <c r="AA853" s="23" t="str">
        <f>IF(ISERROR((Z853/R853-1)*100),"NA",IF(((Z853/R853-1)*100)&gt;100,"NM",IF(((Z853/R853-1)*100)&lt;-50,"NM",(Z853/R853-1)*100)))</f>
        <v>NA</v>
      </c>
      <c r="AB853" s="37"/>
      <c r="AC853" s="23" t="str">
        <f>IF(ISERROR((AB853/T853-1)*100),"NA",IF(((AB853/T853-1)*100)&gt;100,"NM",IF(((AB853/T853-1)*100)&lt;-50,"NM",(AB853/T853-1)*100)))</f>
        <v>NA</v>
      </c>
      <c r="AD853" s="411"/>
      <c r="AE853" s="23" t="str">
        <f>IF(ISERROR((AD853/V853-1)*100),"NA",IF(((AD853/V853-1)*100)&gt;100,"NM",IF(((AD853/V853-1)*100)&lt;-50,"NM",(AD853/V853-1)*100)))</f>
        <v>NA</v>
      </c>
      <c r="AF853" s="37"/>
      <c r="AG853" s="23" t="str">
        <f>IF(ISERROR((AF853/X853-1)*100),"NA",IF(((AF853/X853-1)*100)&gt;100,"NM",IF(((AF853/X853-1)*100)&lt;-50,"NM",(AF853/X853-1)*100)))</f>
        <v>NA</v>
      </c>
      <c r="AH853" s="37"/>
      <c r="AI853" s="23" t="str">
        <f>IF(ISERROR((AH853/Z853-1)*100),"NA",IF(((AH853/Z853-1)*100)&gt;100,"NM",IF(((AH853/Z853-1)*100)&lt;-50,"NM",(AH853/Z853-1)*100)))</f>
        <v>NA</v>
      </c>
      <c r="AJ853" s="37"/>
      <c r="AK853" s="23" t="str">
        <f>IF(ISERROR((AJ853/AB853-1)*100),"NA",IF(((AJ853/AB853-1)*100)&gt;100,"NM",IF(((AJ853/AB853-1)*100)&lt;-50,"NM",(AJ853/AB853-1)*100)))</f>
        <v>NA</v>
      </c>
      <c r="AL853" s="37"/>
      <c r="AM853" s="23" t="str">
        <f>IF(ISERROR((AL853/AD853-1)*100),"NA",IF(((AL853/AD853-1)*100)&gt;100,"NM",IF(((AL853/AD853-1)*100)&lt;-50,"NM",(AL853/AD853-1)*100)))</f>
        <v>NA</v>
      </c>
      <c r="AN853" s="411"/>
      <c r="AO853" s="23" t="str">
        <f>IF(ISERROR((AN853/AF853-1)*100),"NA",IF(((AN853/AF853-1)*100)&gt;100,"NM",IF(((AN853/AF853-1)*100)&lt;-50,"NM",(AN853/AF853-1)*100)))</f>
        <v>NA</v>
      </c>
      <c r="AP853" s="411"/>
      <c r="AQ853" s="23" t="str">
        <f t="shared" si="5683"/>
        <v>NA</v>
      </c>
      <c r="AR853" s="411"/>
      <c r="AS853" s="23" t="str">
        <f t="shared" si="5684"/>
        <v>NA</v>
      </c>
      <c r="AT853" s="650"/>
      <c r="AU853" s="576" t="str">
        <f t="shared" si="5685"/>
        <v>NA</v>
      </c>
      <c r="AV853" s="650"/>
      <c r="AW853" s="576" t="str">
        <f t="shared" si="5686"/>
        <v>NA</v>
      </c>
      <c r="AX853" s="650"/>
      <c r="AY853" s="576" t="str">
        <f t="shared" si="5687"/>
        <v>NA</v>
      </c>
      <c r="AZ853" s="650"/>
      <c r="BA853" s="576" t="str">
        <f t="shared" si="5688"/>
        <v>NA</v>
      </c>
      <c r="BB853" s="650"/>
      <c r="BC853" s="23" t="str">
        <f t="shared" si="5689"/>
        <v>NA</v>
      </c>
      <c r="BD853" s="411"/>
      <c r="BE853" s="23" t="str">
        <f t="shared" si="5690"/>
        <v>NA</v>
      </c>
      <c r="BF853" s="37"/>
      <c r="BG853" s="23" t="str">
        <f t="shared" si="5691"/>
        <v>NA</v>
      </c>
      <c r="BH853" s="37"/>
      <c r="BI853" s="23" t="str">
        <f t="shared" si="5692"/>
        <v>NA</v>
      </c>
      <c r="BJ853" s="37"/>
      <c r="BK853" s="23" t="str">
        <f t="shared" si="5693"/>
        <v>NA</v>
      </c>
      <c r="BL853" s="37"/>
      <c r="BM853" s="23" t="str">
        <f t="shared" si="5694"/>
        <v>NA</v>
      </c>
      <c r="BQ853" s="5"/>
      <c r="BR853" s="6"/>
      <c r="BS853" s="6"/>
      <c r="BT853" s="6"/>
      <c r="BU853" s="6"/>
      <c r="BV853" s="23" t="str">
        <f>IF(ISERROR((BU853/BS853-1)*100),"NA",IF(((BU853/BS853-1)*100)&gt;100,"NM",IF(((BU853/BS853-1)*100)&lt;-50,"NM",(BU853/BS853-1)*100)))</f>
        <v>NA</v>
      </c>
      <c r="BX853" s="23" t="str">
        <f>IF(ISERROR((BW853/BU853-1)*100),"NA",IF(((BW853/BU853-1)*100)&gt;100,"NM",IF(((BW853/BU853-1)*100)&lt;-50,"NM",(BW853/BU853-1)*100)))</f>
        <v>NA</v>
      </c>
      <c r="BZ853" s="23" t="str">
        <f>IF(ISERROR((BY853/BW853-1)*100),"NA",IF(((BY853/BW853-1)*100)&gt;100,"NM",IF(((BY853/BW853-1)*100)&lt;-50,"NM",(BY853/BW853-1)*100)))</f>
        <v>NA</v>
      </c>
      <c r="CB853" s="23" t="str">
        <f>IF(ISERROR((CA853/BY853-1)*100),"NA",IF(((CA853/BY853-1)*100)&gt;100,"NM",IF(((CA853/BY853-1)*100)&lt;-50,"NM",(CA853/BY853-1)*100)))</f>
        <v>NA</v>
      </c>
      <c r="CD853" s="23" t="str">
        <f>IF(ISERROR((CC853/CA853-1)*100),"NA",IF(((CC853/CA853-1)*100)&gt;100,"NM",IF(((CC853/CA853-1)*100)&lt;-50,"NM",(CC853/CA853-1)*100)))</f>
        <v>NA</v>
      </c>
      <c r="CF853" s="23" t="str">
        <f>IF(ISERROR((CE853/CC853-1)*100),"NA",IF(((CE853/CC853-1)*100)&gt;100,"NM",IF(((CE853/CC853-1)*100)&lt;-50,"NM",(CE853/CC853-1)*100)))</f>
        <v>NA</v>
      </c>
      <c r="CH853" s="23" t="str">
        <f>IF(ISERROR((CG853/CE853-1)*100),"NA",IF(((CG853/CE853-1)*100)&gt;100,"NM",IF(((CG853/CE853-1)*100)&lt;-50,"NM",(CG853/CE853-1)*100)))</f>
        <v>NA</v>
      </c>
      <c r="CJ853" s="23" t="str">
        <f>IF(ISERROR((CI853/CG853-1)*100),"NA",IF(((CI853/CG853-1)*100)&gt;100,"NM",IF(((CI853/CG853-1)*100)&lt;-50,"NM",(CI853/CG853-1)*100)))</f>
        <v>NA</v>
      </c>
      <c r="CL853" s="23" t="str">
        <f>IF(ISERROR((CK853/CI853-1)*100),"NA",IF(((CK853/CI853-1)*100)&gt;100,"NM",IF(((CK853/CI853-1)*100)&lt;-50,"NM",(CK853/CI853-1)*100)))</f>
        <v>NA</v>
      </c>
      <c r="CN853" s="23" t="str">
        <f>IF(ISERROR((CM853/CK853-1)*100),"NA",IF(((CM853/CK853-1)*100)&gt;100,"NM",IF(((CM853/CK853-1)*100)&lt;-50,"NM",(CM853/CK853-1)*100)))</f>
        <v>NA</v>
      </c>
      <c r="CP853" s="23" t="str">
        <f>IF(ISERROR((CO853/CM853-1)*100),"NA",IF(((CO853/CM853-1)*100)&gt;100,"NM",IF(((CO853/CM853-1)*100)&lt;-50,"NM",(CO853/CM853-1)*100)))</f>
        <v>NA</v>
      </c>
      <c r="CR853" s="23" t="str">
        <f>IF(ISERROR((CQ853/CO853-1)*100),"NA",IF(((CQ853/CO853-1)*100)&gt;100,"NM",IF(((CQ853/CO853-1)*100)&lt;-50,"NM",(CQ853/CO853-1)*100)))</f>
        <v>NA</v>
      </c>
      <c r="CS853" s="23"/>
    </row>
    <row r="854" spans="1:97" ht="12.75" hidden="1" customHeight="1" outlineLevel="1" x14ac:dyDescent="0.2">
      <c r="A854" s="19"/>
      <c r="B854" s="35"/>
      <c r="C854" s="60"/>
      <c r="D854" s="35"/>
      <c r="E854" s="60"/>
      <c r="F854" s="35"/>
      <c r="G854" s="60"/>
      <c r="H854" s="35"/>
      <c r="I854" s="60"/>
      <c r="J854" s="35"/>
      <c r="L854" s="35"/>
      <c r="N854" s="37"/>
      <c r="P854" s="37"/>
      <c r="R854" s="37"/>
      <c r="T854" s="37"/>
      <c r="V854" s="37"/>
      <c r="X854" s="37"/>
      <c r="Z854" s="37"/>
      <c r="AB854" s="37"/>
      <c r="AD854" s="411"/>
      <c r="AF854" s="37"/>
      <c r="AH854" s="37"/>
      <c r="AJ854" s="37"/>
      <c r="AL854" s="37"/>
      <c r="AN854" s="411"/>
      <c r="AP854" s="411"/>
      <c r="AR854" s="411"/>
      <c r="AT854" s="650"/>
      <c r="AU854" s="400"/>
      <c r="AV854" s="650"/>
      <c r="AW854" s="400"/>
      <c r="AX854" s="650"/>
      <c r="AY854" s="400"/>
      <c r="AZ854" s="650"/>
      <c r="BA854" s="400"/>
      <c r="BB854" s="650"/>
      <c r="BD854" s="411"/>
      <c r="BF854" s="37"/>
      <c r="BH854" s="37"/>
      <c r="BJ854" s="37"/>
      <c r="BL854" s="37"/>
      <c r="BQ854" s="5"/>
    </row>
    <row r="855" spans="1:97" ht="12.75" customHeight="1" collapsed="1" x14ac:dyDescent="0.2">
      <c r="A855" s="20" t="s">
        <v>59</v>
      </c>
      <c r="B855" s="35"/>
      <c r="C855" s="60"/>
      <c r="D855" s="35"/>
      <c r="E855" s="60"/>
      <c r="F855" s="35"/>
      <c r="G855" s="60"/>
      <c r="H855" s="35"/>
      <c r="I855" s="60"/>
      <c r="J855" s="35"/>
      <c r="L855" s="35"/>
      <c r="N855" s="37"/>
      <c r="P855" s="37"/>
      <c r="R855" s="37"/>
      <c r="T855" s="37"/>
      <c r="V855" s="37"/>
      <c r="X855" s="37"/>
      <c r="Z855" s="37"/>
      <c r="AB855" s="37"/>
      <c r="AD855" s="411"/>
      <c r="AF855" s="37"/>
      <c r="AH855" s="37"/>
      <c r="AJ855" s="37"/>
      <c r="AL855" s="37"/>
      <c r="AN855" s="411"/>
      <c r="AP855" s="411"/>
      <c r="AR855" s="411"/>
      <c r="AT855" s="650"/>
      <c r="AU855" s="400"/>
      <c r="AV855" s="650"/>
      <c r="AW855" s="400"/>
      <c r="AX855" s="650"/>
      <c r="AY855" s="400"/>
      <c r="AZ855" s="650"/>
      <c r="BA855" s="400"/>
      <c r="BB855" s="650"/>
      <c r="BD855" s="411"/>
      <c r="BF855" s="37"/>
      <c r="BH855" s="37"/>
      <c r="BJ855" s="37"/>
      <c r="BL855" s="37"/>
      <c r="BQ855" s="5"/>
    </row>
    <row r="856" spans="1:97" ht="12.75" hidden="1" customHeight="1" outlineLevel="1" x14ac:dyDescent="0.2">
      <c r="A856" s="98" t="s">
        <v>86</v>
      </c>
      <c r="B856" s="48">
        <v>23867</v>
      </c>
      <c r="C856" s="125"/>
      <c r="D856" s="48">
        <v>24567.3</v>
      </c>
      <c r="E856" s="125"/>
      <c r="F856" s="48">
        <v>25904</v>
      </c>
      <c r="G856" s="125"/>
      <c r="H856" s="48">
        <v>26312.6</v>
      </c>
      <c r="I856" s="125"/>
      <c r="J856" s="48">
        <v>25359</v>
      </c>
      <c r="K856" s="23">
        <f t="shared" ref="K856:K869" si="5695">IF(ISERROR((J856/B856-1)*100),"NA",IF(((J856/B856-1)*100)&gt;100,"NM",IF(((J856/B856-1)*100)&lt;-50,"NM",(J856/B856-1)*100)))</f>
        <v>6.2513093392550401</v>
      </c>
      <c r="L856" s="48">
        <v>25049.599999999999</v>
      </c>
      <c r="M856" s="23">
        <f t="shared" ref="M856:M869" si="5696">IF(ISERROR((L856/D856-1)*100),"NA",IF(((L856/D856-1)*100)&gt;100,"NM",IF(((L856/D856-1)*100)&lt;-50,"NM",(L856/D856-1)*100)))</f>
        <v>1.9631786968856924</v>
      </c>
      <c r="N856" s="49">
        <v>23971</v>
      </c>
      <c r="O856" s="23">
        <f t="shared" ref="O856:O869" si="5697">IF(ISERROR((N856/F856-1)*100),"NA",IF(((N856/F856-1)*100)&gt;100,"NM",IF(((N856/F856-1)*100)&lt;-50,"NM",(N856/F856-1)*100)))</f>
        <v>-7.4621680049413168</v>
      </c>
      <c r="P856" s="49">
        <v>23789.7</v>
      </c>
      <c r="Q856" s="23">
        <f t="shared" ref="Q856:Q869" si="5698">IF(ISERROR((P856/H856-1)*100),"NA",IF(((P856/H856-1)*100)&gt;100,"NM",IF(((P856/H856-1)*100)&lt;-50,"NM",(P856/H856-1)*100)))</f>
        <v>-9.5881820876690167</v>
      </c>
      <c r="R856" s="49"/>
      <c r="S856" s="23"/>
      <c r="T856" s="49"/>
      <c r="U856" s="23"/>
      <c r="V856" s="49"/>
      <c r="W856" s="23"/>
      <c r="X856" s="49"/>
      <c r="Y856" s="23" t="str">
        <f t="shared" ref="Y856:Y868" si="5699">IF(ISERROR((X856/P856-1)*100),"NA",IF(((X856/P856-1)*100)&gt;100,"NM",IF(((X856/P856-1)*100)&lt;-50,"NM",(X856/P856-1)*100)))</f>
        <v>NM</v>
      </c>
      <c r="Z856" s="49"/>
      <c r="AA856" s="23" t="str">
        <f t="shared" ref="AA856:AA868" si="5700">IF(ISERROR((Z856/R856-1)*100),"NA",IF(((Z856/R856-1)*100)&gt;100,"NM",IF(((Z856/R856-1)*100)&lt;-50,"NM",(Z856/R856-1)*100)))</f>
        <v>NA</v>
      </c>
      <c r="AB856" s="49"/>
      <c r="AC856" s="23" t="str">
        <f t="shared" ref="AC856:AC868" si="5701">IF(ISERROR((AB856/T856-1)*100),"NA",IF(((AB856/T856-1)*100)&gt;100,"NM",IF(((AB856/T856-1)*100)&lt;-50,"NM",(AB856/T856-1)*100)))</f>
        <v>NA</v>
      </c>
      <c r="AD856" s="158"/>
      <c r="AE856" s="23" t="str">
        <f t="shared" ref="AE856:AE868" si="5702">IF(ISERROR((AD856/V856-1)*100),"NA",IF(((AD856/V856-1)*100)&gt;100,"NM",IF(((AD856/V856-1)*100)&lt;-50,"NM",(AD856/V856-1)*100)))</f>
        <v>NA</v>
      </c>
      <c r="AF856" s="49"/>
      <c r="AG856" s="23" t="str">
        <f t="shared" ref="AG856:AG868" si="5703">IF(ISERROR((AF856/X856-1)*100),"NA",IF(((AF856/X856-1)*100)&gt;100,"NM",IF(((AF856/X856-1)*100)&lt;-50,"NM",(AF856/X856-1)*100)))</f>
        <v>NA</v>
      </c>
      <c r="AH856" s="49"/>
      <c r="AI856" s="23" t="str">
        <f t="shared" ref="AI856:AI868" si="5704">IF(ISERROR((AH856/Z856-1)*100),"NA",IF(((AH856/Z856-1)*100)&gt;100,"NM",IF(((AH856/Z856-1)*100)&lt;-50,"NM",(AH856/Z856-1)*100)))</f>
        <v>NA</v>
      </c>
      <c r="AJ856" s="49"/>
      <c r="AK856" s="23" t="str">
        <f t="shared" ref="AK856:AK868" si="5705">IF(ISERROR((AJ856/AB856-1)*100),"NA",IF(((AJ856/AB856-1)*100)&gt;100,"NM",IF(((AJ856/AB856-1)*100)&lt;-50,"NM",(AJ856/AB856-1)*100)))</f>
        <v>NA</v>
      </c>
      <c r="AL856" s="49"/>
      <c r="AM856" s="23" t="str">
        <f t="shared" ref="AM856:AM868" si="5706">IF(ISERROR((AL856/AD856-1)*100),"NA",IF(((AL856/AD856-1)*100)&gt;100,"NM",IF(((AL856/AD856-1)*100)&lt;-50,"NM",(AL856/AD856-1)*100)))</f>
        <v>NA</v>
      </c>
      <c r="AN856" s="158"/>
      <c r="AO856" s="23" t="str">
        <f t="shared" ref="AO856:AO868" si="5707">IF(ISERROR((AN856/AF856-1)*100),"NA",IF(((AN856/AF856-1)*100)&gt;100,"NM",IF(((AN856/AF856-1)*100)&lt;-50,"NM",(AN856/AF856-1)*100)))</f>
        <v>NA</v>
      </c>
      <c r="AP856" s="158"/>
      <c r="AQ856" s="23" t="str">
        <f t="shared" ref="AQ856:AQ868" si="5708">IF(ISERROR((AP856/AH856-1)*100),"NA",IF(((AP856/AH856-1)*100)&gt;100,"NM",IF(((AP856/AH856-1)*100)&lt;-50,"NM",(AP856/AH856-1)*100)))</f>
        <v>NA</v>
      </c>
      <c r="AR856" s="158"/>
      <c r="AS856" s="23" t="str">
        <f t="shared" ref="AS856:AS868" si="5709">IF(ISERROR((AR856/AJ856-1)*100),"NA",IF(((AR856/AJ856-1)*100)&gt;100,"NM",IF(((AR856/AJ856-1)*100)&lt;-50,"NM",(AR856/AJ856-1)*100)))</f>
        <v>NA</v>
      </c>
      <c r="AT856" s="510"/>
      <c r="AU856" s="576" t="str">
        <f t="shared" ref="AU856:AU868" si="5710">IF(ISERROR((AT856/AL856-1)*100),"NA",IF(((AT856/AL856-1)*100)&gt;100,"NM",IF(((AT856/AL856-1)*100)&lt;-50,"NM",(AT856/AL856-1)*100)))</f>
        <v>NA</v>
      </c>
      <c r="AV856" s="510"/>
      <c r="AW856" s="576" t="str">
        <f t="shared" ref="AW856:AW868" si="5711">IF(ISERROR((AV856/AN856-1)*100),"NA",IF(((AV856/AN856-1)*100)&gt;100,"NM",IF(((AV856/AN856-1)*100)&lt;-50,"NM",(AV856/AN856-1)*100)))</f>
        <v>NA</v>
      </c>
      <c r="AX856" s="510"/>
      <c r="AY856" s="576" t="str">
        <f t="shared" ref="AY856:AY868" si="5712">IF(ISERROR((AX856/AP856-1)*100),"NA",IF(((AX856/AP856-1)*100)&gt;100,"NM",IF(((AX856/AP856-1)*100)&lt;-50,"NM",(AX856/AP856-1)*100)))</f>
        <v>NA</v>
      </c>
      <c r="AZ856" s="510"/>
      <c r="BA856" s="576" t="str">
        <f t="shared" ref="BA856:BA868" si="5713">IF(ISERROR((AZ856/AR856-1)*100),"NA",IF(((AZ856/AR856-1)*100)&gt;100,"NM",IF(((AZ856/AR856-1)*100)&lt;-50,"NM",(AZ856/AR856-1)*100)))</f>
        <v>NA</v>
      </c>
      <c r="BB856" s="510"/>
      <c r="BC856" s="23" t="str">
        <f t="shared" ref="BC856:BC868" si="5714">IF(ISERROR((BB856/AT856-1)*100),"NA",IF(((BB856/AT856-1)*100)&gt;100,"NM",IF(((BB856/AT856-1)*100)&lt;-50,"NM",(BB856/AT856-1)*100)))</f>
        <v>NA</v>
      </c>
      <c r="BD856" s="158"/>
      <c r="BE856" s="23" t="str">
        <f t="shared" ref="BE856:BE868" si="5715">IF(ISERROR((BD856/AV856-1)*100),"NA",IF(((BD856/AV856-1)*100)&gt;100,"NM",IF(((BD856/AV856-1)*100)&lt;-50,"NM",(BD856/AV856-1)*100)))</f>
        <v>NA</v>
      </c>
      <c r="BF856" s="49"/>
      <c r="BG856" s="23" t="str">
        <f t="shared" ref="BG856:BG868" si="5716">IF(ISERROR((BF856/AX856-1)*100),"NA",IF(((BF856/AX856-1)*100)&gt;100,"NM",IF(((BF856/AX856-1)*100)&lt;-50,"NM",(BF856/AX856-1)*100)))</f>
        <v>NA</v>
      </c>
      <c r="BH856" s="49"/>
      <c r="BI856" s="23" t="str">
        <f t="shared" ref="BI856:BI868" si="5717">IF(ISERROR((BH856/AZ856-1)*100),"NA",IF(((BH856/AZ856-1)*100)&gt;100,"NM",IF(((BH856/AZ856-1)*100)&lt;-50,"NM",(BH856/AZ856-1)*100)))</f>
        <v>NA</v>
      </c>
      <c r="BJ856" s="49"/>
      <c r="BK856" s="23" t="str">
        <f t="shared" ref="BK856:BK868" si="5718">IF(ISERROR((BJ856/BB856-1)*100),"NA",IF(((BJ856/BB856-1)*100)&gt;100,"NM",IF(((BJ856/BB856-1)*100)&lt;-50,"NM",(BJ856/BB856-1)*100)))</f>
        <v>NA</v>
      </c>
      <c r="BL856" s="49"/>
      <c r="BM856" s="23" t="str">
        <f t="shared" ref="BM856:BM868" si="5719">IF(ISERROR((BL856/BD856-1)*100),"NA",IF(((BL856/BD856-1)*100)&gt;100,"NM",IF(((BL856/BD856-1)*100)&lt;-50,"NM",(BL856/BD856-1)*100)))</f>
        <v>NA</v>
      </c>
      <c r="BN856" s="48"/>
      <c r="BO856" s="137"/>
      <c r="BP856" s="48"/>
      <c r="BQ856" s="48"/>
      <c r="BR856" s="48"/>
      <c r="BS856" s="48"/>
      <c r="BT856" s="48"/>
      <c r="BU856" s="36">
        <f>H856</f>
        <v>26312.6</v>
      </c>
      <c r="BV856" s="23" t="str">
        <f t="shared" ref="BV856:BV868" si="5720">IF(ISERROR((BU856/BS856-1)*100),"NA",IF(((BU856/BS856-1)*100)&gt;100,"NM",IF(((BU856/BS856-1)*100)&lt;-50,"NM",(BU856/BS856-1)*100)))</f>
        <v>NA</v>
      </c>
      <c r="BW856" s="36">
        <f>P856</f>
        <v>23789.7</v>
      </c>
      <c r="BX856" s="23">
        <f t="shared" ref="BX856:BX868" si="5721">IF(ISERROR((BW856/BU856-1)*100),"NA",IF(((BW856/BU856-1)*100)&gt;100,"NM",IF(((BW856/BU856-1)*100)&lt;-50,"NM",(BW856/BU856-1)*100)))</f>
        <v>-9.5881820876690167</v>
      </c>
      <c r="BY856" s="56"/>
      <c r="BZ856" s="23"/>
      <c r="CA856" s="56"/>
      <c r="CB856" s="23"/>
      <c r="CC856" s="56"/>
      <c r="CD856" s="23"/>
      <c r="CE856" s="56"/>
      <c r="CF856" s="23"/>
      <c r="CG856" s="56"/>
      <c r="CH856" s="23"/>
      <c r="CI856" s="56"/>
      <c r="CJ856" s="23"/>
      <c r="CK856" s="49"/>
      <c r="CL856" s="23"/>
      <c r="CM856" s="49"/>
      <c r="CN856" s="23"/>
      <c r="CO856" s="49"/>
      <c r="CP856" s="23"/>
      <c r="CQ856" s="49"/>
      <c r="CR856" s="23"/>
      <c r="CS856" s="23" t="str">
        <f t="shared" ref="CS856:CS868" si="5722">IF(ISERROR(((CQ856/CG856)^0.2-1)*100),"NA",IF((((CQ856/CG856)^0.2-1)*100)&gt;100,"NM",IF((((CQ856/CG856)^0.2-1)*100)&lt;-50,"NM",((CQ856/CG856)^0.2-1)*100)))</f>
        <v>NA</v>
      </c>
    </row>
    <row r="857" spans="1:97" ht="12.75" hidden="1" customHeight="1" outlineLevel="1" x14ac:dyDescent="0.2">
      <c r="A857" s="98" t="s">
        <v>302</v>
      </c>
      <c r="B857" s="48">
        <v>60329.9</v>
      </c>
      <c r="C857" s="125"/>
      <c r="D857" s="48">
        <v>59597.2</v>
      </c>
      <c r="E857" s="125"/>
      <c r="F857" s="48">
        <v>60740</v>
      </c>
      <c r="G857" s="125"/>
      <c r="H857" s="48">
        <v>62045.8</v>
      </c>
      <c r="I857" s="125"/>
      <c r="J857" s="48">
        <v>62052</v>
      </c>
      <c r="K857" s="23">
        <f t="shared" si="5695"/>
        <v>2.8544718290598903</v>
      </c>
      <c r="L857" s="49">
        <v>62472.9</v>
      </c>
      <c r="M857" s="23">
        <f t="shared" si="5696"/>
        <v>4.82522668850216</v>
      </c>
      <c r="N857" s="49">
        <v>62323.8</v>
      </c>
      <c r="O857" s="23">
        <f t="shared" si="5697"/>
        <v>2.6075074086269412</v>
      </c>
      <c r="P857" s="49">
        <v>62266</v>
      </c>
      <c r="Q857" s="23">
        <f t="shared" si="5698"/>
        <v>0.3548991229059828</v>
      </c>
      <c r="R857" s="49"/>
      <c r="S857" s="23"/>
      <c r="T857" s="49"/>
      <c r="U857" s="23"/>
      <c r="V857" s="49"/>
      <c r="W857" s="23"/>
      <c r="X857" s="49"/>
      <c r="Y857" s="23" t="str">
        <f t="shared" si="5699"/>
        <v>NM</v>
      </c>
      <c r="Z857" s="49"/>
      <c r="AA857" s="23" t="str">
        <f t="shared" si="5700"/>
        <v>NA</v>
      </c>
      <c r="AB857" s="49"/>
      <c r="AC857" s="23" t="str">
        <f t="shared" si="5701"/>
        <v>NA</v>
      </c>
      <c r="AD857" s="158"/>
      <c r="AE857" s="23" t="str">
        <f t="shared" si="5702"/>
        <v>NA</v>
      </c>
      <c r="AF857" s="49"/>
      <c r="AG857" s="23" t="str">
        <f t="shared" si="5703"/>
        <v>NA</v>
      </c>
      <c r="AH857" s="49"/>
      <c r="AI857" s="23" t="str">
        <f t="shared" si="5704"/>
        <v>NA</v>
      </c>
      <c r="AJ857" s="49"/>
      <c r="AK857" s="23" t="str">
        <f t="shared" si="5705"/>
        <v>NA</v>
      </c>
      <c r="AL857" s="49"/>
      <c r="AM857" s="23" t="str">
        <f t="shared" si="5706"/>
        <v>NA</v>
      </c>
      <c r="AN857" s="158"/>
      <c r="AO857" s="23" t="str">
        <f t="shared" si="5707"/>
        <v>NA</v>
      </c>
      <c r="AP857" s="158"/>
      <c r="AQ857" s="23" t="str">
        <f t="shared" si="5708"/>
        <v>NA</v>
      </c>
      <c r="AR857" s="158"/>
      <c r="AS857" s="23" t="str">
        <f t="shared" si="5709"/>
        <v>NA</v>
      </c>
      <c r="AT857" s="510"/>
      <c r="AU857" s="576" t="str">
        <f t="shared" si="5710"/>
        <v>NA</v>
      </c>
      <c r="AV857" s="510"/>
      <c r="AW857" s="576" t="str">
        <f t="shared" si="5711"/>
        <v>NA</v>
      </c>
      <c r="AX857" s="510"/>
      <c r="AY857" s="576" t="str">
        <f t="shared" si="5712"/>
        <v>NA</v>
      </c>
      <c r="AZ857" s="510"/>
      <c r="BA857" s="576" t="str">
        <f t="shared" si="5713"/>
        <v>NA</v>
      </c>
      <c r="BB857" s="510"/>
      <c r="BC857" s="23" t="str">
        <f t="shared" si="5714"/>
        <v>NA</v>
      </c>
      <c r="BD857" s="158"/>
      <c r="BE857" s="23" t="str">
        <f t="shared" si="5715"/>
        <v>NA</v>
      </c>
      <c r="BF857" s="49"/>
      <c r="BG857" s="23" t="str">
        <f t="shared" si="5716"/>
        <v>NA</v>
      </c>
      <c r="BH857" s="49"/>
      <c r="BI857" s="23" t="str">
        <f t="shared" si="5717"/>
        <v>NA</v>
      </c>
      <c r="BJ857" s="49"/>
      <c r="BK857" s="23" t="str">
        <f t="shared" si="5718"/>
        <v>NA</v>
      </c>
      <c r="BL857" s="49"/>
      <c r="BM857" s="23" t="str">
        <f t="shared" si="5719"/>
        <v>NA</v>
      </c>
      <c r="BN857" s="48"/>
      <c r="BO857" s="137"/>
      <c r="BP857" s="48"/>
      <c r="BQ857" s="48"/>
      <c r="BR857" s="48"/>
      <c r="BS857" s="48"/>
      <c r="BT857" s="48"/>
      <c r="BU857" s="36">
        <f>H857</f>
        <v>62045.8</v>
      </c>
      <c r="BV857" s="23" t="str">
        <f t="shared" si="5720"/>
        <v>NA</v>
      </c>
      <c r="BW857" s="36">
        <f>P857</f>
        <v>62266</v>
      </c>
      <c r="BX857" s="23">
        <f t="shared" si="5721"/>
        <v>0.3548991229059828</v>
      </c>
      <c r="BY857" s="56"/>
      <c r="BZ857" s="23"/>
      <c r="CA857" s="56"/>
      <c r="CB857" s="23"/>
      <c r="CC857" s="56"/>
      <c r="CD857" s="23"/>
      <c r="CE857" s="56"/>
      <c r="CF857" s="23"/>
      <c r="CG857" s="56"/>
      <c r="CH857" s="23"/>
      <c r="CI857" s="56"/>
      <c r="CJ857" s="23"/>
      <c r="CK857" s="49"/>
      <c r="CL857" s="23"/>
      <c r="CM857" s="49"/>
      <c r="CN857" s="23"/>
      <c r="CO857" s="49"/>
      <c r="CP857" s="23"/>
      <c r="CQ857" s="49"/>
      <c r="CR857" s="23"/>
      <c r="CS857" s="23" t="str">
        <f t="shared" si="5722"/>
        <v>NA</v>
      </c>
    </row>
    <row r="858" spans="1:97" ht="12.75" customHeight="1" collapsed="1" x14ac:dyDescent="0.2">
      <c r="A858" s="19" t="s">
        <v>303</v>
      </c>
      <c r="B858" s="56">
        <f>B857+B856</f>
        <v>84196.9</v>
      </c>
      <c r="C858" s="59"/>
      <c r="D858" s="56">
        <f>D857+D856</f>
        <v>84164.5</v>
      </c>
      <c r="E858" s="59"/>
      <c r="F858" s="56">
        <f>F857+F856</f>
        <v>86644</v>
      </c>
      <c r="G858" s="59"/>
      <c r="H858" s="56">
        <f>H857+H856</f>
        <v>88358.399999999994</v>
      </c>
      <c r="I858" s="59"/>
      <c r="J858" s="56">
        <f>J857+J856</f>
        <v>87411</v>
      </c>
      <c r="K858" s="23">
        <f t="shared" si="5695"/>
        <v>3.8173614467991168</v>
      </c>
      <c r="L858" s="56">
        <f>L857+L856</f>
        <v>87522.5</v>
      </c>
      <c r="M858" s="23">
        <f t="shared" si="5696"/>
        <v>3.9898056781659808</v>
      </c>
      <c r="N858" s="56">
        <f>N857+N856</f>
        <v>86294.8</v>
      </c>
      <c r="O858" s="23">
        <f t="shared" si="5697"/>
        <v>-0.403028484372836</v>
      </c>
      <c r="P858" s="56">
        <f>P857+P856</f>
        <v>86055.7</v>
      </c>
      <c r="Q858" s="23">
        <f t="shared" si="5698"/>
        <v>-2.6060906489931868</v>
      </c>
      <c r="R858" s="49">
        <v>85875.1</v>
      </c>
      <c r="S858" s="23">
        <f t="shared" ref="S858:S868" si="5723">IF(ISERROR((R858/J858-1)*100),"NA",IF(((R858/J858-1)*100)&gt;100,"NM",IF(((R858/J858-1)*100)&lt;-50,"NM",(R858/J858-1)*100)))</f>
        <v>-1.757101508963399</v>
      </c>
      <c r="T858" s="49">
        <v>85561.9</v>
      </c>
      <c r="U858" s="23">
        <f t="shared" ref="U858:U868" si="5724">IF(ISERROR((T858/L858-1)*100),"NA",IF(((T858/L858-1)*100)&gt;100,"NM",IF(((T858/L858-1)*100)&lt;-50,"NM",(T858/L858-1)*100)))</f>
        <v>-2.2401096860807268</v>
      </c>
      <c r="V858" s="49">
        <v>84887.9</v>
      </c>
      <c r="W858" s="23">
        <f t="shared" ref="W858:W868" si="5725">IF(ISERROR((V858/N858-1)*100),"NA",IF(((V858/N858-1)*100)&gt;100,"NM",IF(((V858/N858-1)*100)&lt;-50,"NM",(V858/N858-1)*100)))</f>
        <v>-1.630341573304539</v>
      </c>
      <c r="X858" s="49">
        <v>84006.7</v>
      </c>
      <c r="Y858" s="23">
        <f t="shared" si="5699"/>
        <v>-2.3810160163707961</v>
      </c>
      <c r="Z858" s="49">
        <v>84256.1</v>
      </c>
      <c r="AA858" s="23">
        <f t="shared" si="5700"/>
        <v>-1.8852962034396459</v>
      </c>
      <c r="AB858" s="49">
        <v>84375.5</v>
      </c>
      <c r="AC858" s="23">
        <f t="shared" si="5701"/>
        <v>-1.3865984743209214</v>
      </c>
      <c r="AD858" s="158">
        <v>84085.1</v>
      </c>
      <c r="AE858" s="23">
        <f t="shared" si="5702"/>
        <v>-0.94571782315263642</v>
      </c>
      <c r="AF858" s="49">
        <v>84951.7</v>
      </c>
      <c r="AG858" s="23">
        <f t="shared" si="5703"/>
        <v>1.1249102750137796</v>
      </c>
      <c r="AH858" s="49">
        <v>85666.2</v>
      </c>
      <c r="AI858" s="23">
        <f t="shared" si="5704"/>
        <v>1.6735880250806634</v>
      </c>
      <c r="AJ858" s="49">
        <v>85593.2</v>
      </c>
      <c r="AK858" s="23">
        <f t="shared" si="5705"/>
        <v>1.4431914477543772</v>
      </c>
      <c r="AL858" s="49">
        <v>87874.5</v>
      </c>
      <c r="AM858" s="23">
        <f t="shared" si="5706"/>
        <v>4.506624836029216</v>
      </c>
      <c r="AN858" s="158">
        <v>88172.1</v>
      </c>
      <c r="AO858" s="23">
        <f t="shared" si="5707"/>
        <v>3.790859982790229</v>
      </c>
      <c r="AP858" s="158">
        <v>89471</v>
      </c>
      <c r="AQ858" s="23">
        <f t="shared" si="5708"/>
        <v>4.4414249727430466</v>
      </c>
      <c r="AR858" s="158">
        <v>90622.7</v>
      </c>
      <c r="AS858" s="23">
        <f t="shared" si="5709"/>
        <v>5.8760509012398154</v>
      </c>
      <c r="AT858" s="510">
        <v>91406</v>
      </c>
      <c r="AU858" s="576">
        <f t="shared" si="5710"/>
        <v>4.0187995379774577</v>
      </c>
      <c r="AV858" s="510">
        <v>64848</v>
      </c>
      <c r="AW858" s="576">
        <f t="shared" si="5711"/>
        <v>-26.4529255853042</v>
      </c>
      <c r="AX858" s="510">
        <v>64639</v>
      </c>
      <c r="AY858" s="576">
        <f t="shared" si="5712"/>
        <v>-27.754244392037641</v>
      </c>
      <c r="AZ858" s="510">
        <v>64778</v>
      </c>
      <c r="BA858" s="576">
        <f t="shared" si="5713"/>
        <v>-28.519013448065433</v>
      </c>
      <c r="BB858" s="510">
        <v>65100</v>
      </c>
      <c r="BC858" s="23">
        <f t="shared" si="5714"/>
        <v>-28.779292387808241</v>
      </c>
      <c r="BD858" s="158">
        <v>65805</v>
      </c>
      <c r="BE858" s="23">
        <f t="shared" si="5715"/>
        <v>1.4757586972612868</v>
      </c>
      <c r="BF858" s="49">
        <f t="shared" ref="BF858:BJ858" si="5726">BD858*1.02</f>
        <v>67121.100000000006</v>
      </c>
      <c r="BG858" s="23">
        <f t="shared" si="5716"/>
        <v>3.8399418307832889</v>
      </c>
      <c r="BH858" s="49">
        <f t="shared" si="5726"/>
        <v>68463.522000000012</v>
      </c>
      <c r="BI858" s="23">
        <f t="shared" si="5717"/>
        <v>5.6894655592948373</v>
      </c>
      <c r="BJ858" s="49">
        <f t="shared" si="5726"/>
        <v>69832.792440000019</v>
      </c>
      <c r="BK858" s="23">
        <f t="shared" si="5718"/>
        <v>7.270034470046105</v>
      </c>
      <c r="BL858" s="49">
        <f t="shared" ref="BL858" si="5727">BJ858*1.02</f>
        <v>71229.44828880002</v>
      </c>
      <c r="BM858" s="23">
        <f t="shared" si="5719"/>
        <v>8.2432160000000199</v>
      </c>
      <c r="BN858" s="36"/>
      <c r="BO858" s="137"/>
      <c r="BP858" s="36"/>
      <c r="BQ858" s="36"/>
      <c r="BR858" s="36"/>
      <c r="BS858" s="36"/>
      <c r="BT858" s="36"/>
      <c r="BU858" s="56">
        <f>BU857+BU856</f>
        <v>88358.399999999994</v>
      </c>
      <c r="BV858" s="23" t="str">
        <f t="shared" si="5720"/>
        <v>NA</v>
      </c>
      <c r="BW858" s="56">
        <f>BW857+BW856</f>
        <v>86055.7</v>
      </c>
      <c r="BX858" s="23">
        <f t="shared" si="5721"/>
        <v>-2.6060906489931868</v>
      </c>
      <c r="BY858" s="56">
        <f>X858</f>
        <v>84006.7</v>
      </c>
      <c r="BZ858" s="23">
        <f t="shared" ref="BZ858:CR868" si="5728">IF(ISERROR((BY858/BW858-1)*100),"NA",IF(((BY858/BW858-1)*100)&gt;100,"NM",IF(((BY858/BW858-1)*100)&lt;-50,"NM",(BY858/BW858-1)*100)))</f>
        <v>-2.3810160163707961</v>
      </c>
      <c r="CA858" s="56">
        <f>AF858</f>
        <v>84951.7</v>
      </c>
      <c r="CB858" s="23">
        <f t="shared" si="5728"/>
        <v>1.1249102750137796</v>
      </c>
      <c r="CC858" s="56">
        <f>AN858</f>
        <v>88172.1</v>
      </c>
      <c r="CD858" s="23">
        <f t="shared" si="5728"/>
        <v>3.790859982790229</v>
      </c>
      <c r="CE858" s="56">
        <f>AV858</f>
        <v>64848</v>
      </c>
      <c r="CF858" s="23">
        <f t="shared" si="5728"/>
        <v>-26.4529255853042</v>
      </c>
      <c r="CG858" s="56">
        <f>BD858</f>
        <v>65805</v>
      </c>
      <c r="CH858" s="23">
        <f t="shared" si="5728"/>
        <v>1.4757586972612868</v>
      </c>
      <c r="CI858" s="56">
        <f>BL858</f>
        <v>71229.44828880002</v>
      </c>
      <c r="CJ858" s="23">
        <f t="shared" si="5728"/>
        <v>8.2432160000000199</v>
      </c>
      <c r="CK858" s="49">
        <f>CI858*1.02</f>
        <v>72654.037254576018</v>
      </c>
      <c r="CL858" s="23">
        <f t="shared" si="5728"/>
        <v>2.0000000000000018</v>
      </c>
      <c r="CM858" s="49">
        <f>CK858*1.02</f>
        <v>74107.117999667535</v>
      </c>
      <c r="CN858" s="23">
        <f t="shared" si="5728"/>
        <v>2.0000000000000018</v>
      </c>
      <c r="CO858" s="49">
        <f>CM858*1.02</f>
        <v>75589.260359660882</v>
      </c>
      <c r="CP858" s="23">
        <f t="shared" si="5728"/>
        <v>2.0000000000000018</v>
      </c>
      <c r="CQ858" s="49">
        <f>CO858*1.02</f>
        <v>77101.045566854096</v>
      </c>
      <c r="CR858" s="23">
        <f t="shared" si="5728"/>
        <v>2.0000000000000018</v>
      </c>
      <c r="CS858" s="23">
        <f t="shared" si="5722"/>
        <v>3.2191491549978801</v>
      </c>
    </row>
    <row r="859" spans="1:97" ht="12.75" customHeight="1" x14ac:dyDescent="0.2">
      <c r="A859" s="19" t="s">
        <v>312</v>
      </c>
      <c r="B859" s="36">
        <f>B838</f>
        <v>98749.2</v>
      </c>
      <c r="C859" s="59"/>
      <c r="D859" s="36">
        <f>D838</f>
        <v>97145</v>
      </c>
      <c r="E859" s="59"/>
      <c r="F859" s="36">
        <f>F838</f>
        <v>84633.1</v>
      </c>
      <c r="G859" s="59"/>
      <c r="H859" s="36">
        <f>H838</f>
        <v>88714.5</v>
      </c>
      <c r="I859" s="59"/>
      <c r="J859" s="36">
        <f>J838</f>
        <v>97050.1</v>
      </c>
      <c r="K859" s="23">
        <f t="shared" si="5695"/>
        <v>-1.7206215341491249</v>
      </c>
      <c r="L859" s="36">
        <f>L838</f>
        <v>92965.6</v>
      </c>
      <c r="M859" s="23">
        <f t="shared" si="5696"/>
        <v>-4.3022286273096899</v>
      </c>
      <c r="N859" s="36">
        <f>N838</f>
        <v>96312.2</v>
      </c>
      <c r="O859" s="23">
        <f t="shared" si="5697"/>
        <v>13.799683575338717</v>
      </c>
      <c r="P859" s="36">
        <f>P838</f>
        <v>97667.4</v>
      </c>
      <c r="Q859" s="23">
        <f t="shared" si="5698"/>
        <v>10.091811372436288</v>
      </c>
      <c r="R859" s="36">
        <f>R838</f>
        <v>103098.3</v>
      </c>
      <c r="S859" s="23">
        <f t="shared" si="5723"/>
        <v>6.2320389159825629</v>
      </c>
      <c r="T859" s="36">
        <f>T838</f>
        <v>102228.9</v>
      </c>
      <c r="U859" s="23">
        <f t="shared" si="5724"/>
        <v>9.9642233256171941</v>
      </c>
      <c r="V859" s="36">
        <f>V838</f>
        <v>103853.6</v>
      </c>
      <c r="W859" s="23">
        <f t="shared" si="5725"/>
        <v>7.8301606650040378</v>
      </c>
      <c r="X859" s="36">
        <f>X838</f>
        <v>106827.1</v>
      </c>
      <c r="Y859" s="23">
        <f t="shared" si="5699"/>
        <v>9.3784620047221665</v>
      </c>
      <c r="Z859" s="56">
        <f>Z838</f>
        <v>107840</v>
      </c>
      <c r="AA859" s="23">
        <f t="shared" si="5700"/>
        <v>4.5992028966529874</v>
      </c>
      <c r="AB859" s="56">
        <f>AB838</f>
        <v>110648.2</v>
      </c>
      <c r="AC859" s="23">
        <f t="shared" si="5701"/>
        <v>8.2357337308725853</v>
      </c>
      <c r="AD859" s="413">
        <f>AD838</f>
        <v>107059.3</v>
      </c>
      <c r="AE859" s="23">
        <f t="shared" si="5702"/>
        <v>3.0867490390318553</v>
      </c>
      <c r="AF859" s="56">
        <f>AF838</f>
        <v>106007.8</v>
      </c>
      <c r="AG859" s="23">
        <f t="shared" si="5703"/>
        <v>-0.76694022396939232</v>
      </c>
      <c r="AH859" s="56">
        <f>AH838</f>
        <v>107039.4</v>
      </c>
      <c r="AI859" s="23">
        <f t="shared" si="5704"/>
        <v>-0.7423961424332437</v>
      </c>
      <c r="AJ859" s="56">
        <f>AJ838</f>
        <v>106330.5</v>
      </c>
      <c r="AK859" s="23">
        <f t="shared" si="5705"/>
        <v>-3.9021872926988443</v>
      </c>
      <c r="AL859" s="56">
        <f>AL838</f>
        <v>94721.5</v>
      </c>
      <c r="AM859" s="23">
        <f t="shared" si="5706"/>
        <v>-11.524267391996778</v>
      </c>
      <c r="AN859" s="413">
        <f>AN838</f>
        <v>96514.8</v>
      </c>
      <c r="AO859" s="23">
        <f t="shared" si="5707"/>
        <v>-8.9550014244234806</v>
      </c>
      <c r="AP859" s="413">
        <f>AP838</f>
        <v>95774.8</v>
      </c>
      <c r="AQ859" s="23">
        <f t="shared" si="5708"/>
        <v>-10.523788436781212</v>
      </c>
      <c r="AR859" s="413">
        <f>AR838</f>
        <v>96307.32</v>
      </c>
      <c r="AS859" s="23">
        <f t="shared" si="5709"/>
        <v>-9.4264392624881843</v>
      </c>
      <c r="AT859" s="649">
        <f>AT838</f>
        <v>97975.7</v>
      </c>
      <c r="AU859" s="576">
        <f t="shared" si="5710"/>
        <v>3.4355452563567868</v>
      </c>
      <c r="AV859" s="649">
        <f>AV838</f>
        <v>66185</v>
      </c>
      <c r="AW859" s="576">
        <f t="shared" si="5711"/>
        <v>-31.425024970263628</v>
      </c>
      <c r="AX859" s="649">
        <f>AX838</f>
        <v>70444</v>
      </c>
      <c r="AY859" s="576">
        <f t="shared" si="5712"/>
        <v>-26.448293288004777</v>
      </c>
      <c r="AZ859" s="649">
        <f>AZ838</f>
        <v>72747</v>
      </c>
      <c r="BA859" s="576">
        <f t="shared" si="5713"/>
        <v>-24.463685626388532</v>
      </c>
      <c r="BB859" s="649">
        <f>BB838</f>
        <v>77613</v>
      </c>
      <c r="BC859" s="23">
        <f t="shared" si="5714"/>
        <v>-20.78341874566857</v>
      </c>
      <c r="BD859" s="413">
        <f>BD838</f>
        <v>77605</v>
      </c>
      <c r="BE859" s="23">
        <f t="shared" si="5715"/>
        <v>17.254664954294775</v>
      </c>
      <c r="BF859" s="36">
        <f>BF838</f>
        <v>78381.05</v>
      </c>
      <c r="BG859" s="23">
        <f t="shared" si="5716"/>
        <v>11.26717676452218</v>
      </c>
      <c r="BH859" s="36">
        <f>BH838</f>
        <v>79164.86050000001</v>
      </c>
      <c r="BI859" s="23">
        <f t="shared" si="5717"/>
        <v>8.8221651751962504</v>
      </c>
      <c r="BJ859" s="36">
        <f>BJ838</f>
        <v>79956.509105000005</v>
      </c>
      <c r="BK859" s="23">
        <f t="shared" si="5718"/>
        <v>3.0194801193099252</v>
      </c>
      <c r="BL859" s="36">
        <f>BL838</f>
        <v>80756.074196050002</v>
      </c>
      <c r="BM859" s="23">
        <f t="shared" si="5719"/>
        <v>4.0604010000000024</v>
      </c>
      <c r="BN859" s="36"/>
      <c r="BO859" s="137"/>
      <c r="BP859" s="36"/>
      <c r="BQ859" s="36"/>
      <c r="BR859" s="36"/>
      <c r="BS859" s="36"/>
      <c r="BT859" s="36"/>
      <c r="BU859" s="36">
        <f>BU838</f>
        <v>88714.5</v>
      </c>
      <c r="BV859" s="23" t="str">
        <f t="shared" si="5720"/>
        <v>NA</v>
      </c>
      <c r="BW859" s="56">
        <f>BW838</f>
        <v>97667.4</v>
      </c>
      <c r="BX859" s="23">
        <f t="shared" si="5721"/>
        <v>10.091811372436288</v>
      </c>
      <c r="BY859" s="36">
        <f>BY838</f>
        <v>106827.1</v>
      </c>
      <c r="BZ859" s="23">
        <f t="shared" si="5728"/>
        <v>9.3784620047221665</v>
      </c>
      <c r="CA859" s="36">
        <f>CA838</f>
        <v>106007.8</v>
      </c>
      <c r="CB859" s="23">
        <f t="shared" si="5728"/>
        <v>-0.76694022396939232</v>
      </c>
      <c r="CC859" s="36">
        <f>CC838</f>
        <v>96514.8</v>
      </c>
      <c r="CD859" s="23">
        <f t="shared" si="5728"/>
        <v>-8.9550014244234806</v>
      </c>
      <c r="CE859" s="36">
        <f>CE838</f>
        <v>66185</v>
      </c>
      <c r="CF859" s="23">
        <f t="shared" si="5728"/>
        <v>-31.425024970263628</v>
      </c>
      <c r="CG859" s="36">
        <f>CG838</f>
        <v>77605</v>
      </c>
      <c r="CH859" s="23">
        <f t="shared" si="5728"/>
        <v>17.254664954294775</v>
      </c>
      <c r="CI859" s="36">
        <f>CI838</f>
        <v>80756.074196050002</v>
      </c>
      <c r="CJ859" s="23">
        <f t="shared" si="5728"/>
        <v>4.0604010000000024</v>
      </c>
      <c r="CK859" s="36">
        <f>CK838</f>
        <v>81563.634938010509</v>
      </c>
      <c r="CL859" s="23">
        <f t="shared" si="5728"/>
        <v>1.0000000000000009</v>
      </c>
      <c r="CM859" s="36">
        <f>CM838</f>
        <v>82379.271287390613</v>
      </c>
      <c r="CN859" s="23">
        <f t="shared" si="5728"/>
        <v>1.0000000000000009</v>
      </c>
      <c r="CO859" s="36">
        <f>CO838</f>
        <v>83203.064000264523</v>
      </c>
      <c r="CP859" s="23">
        <f t="shared" si="5728"/>
        <v>1.0000000000000009</v>
      </c>
      <c r="CQ859" s="36">
        <f>CQ838</f>
        <v>84035.094640267169</v>
      </c>
      <c r="CR859" s="23">
        <f t="shared" si="5728"/>
        <v>1.0000000000000009</v>
      </c>
      <c r="CS859" s="23">
        <f t="shared" si="5722"/>
        <v>1.6047936222930881</v>
      </c>
    </row>
    <row r="860" spans="1:97" ht="12.75" customHeight="1" x14ac:dyDescent="0.2">
      <c r="A860" s="19" t="s">
        <v>304</v>
      </c>
      <c r="B860" s="48">
        <v>1303.4000000000001</v>
      </c>
      <c r="C860" s="125"/>
      <c r="D860" s="48">
        <v>1275.5</v>
      </c>
      <c r="E860" s="125"/>
      <c r="F860" s="48">
        <v>1318.8</v>
      </c>
      <c r="G860" s="125"/>
      <c r="H860" s="48">
        <v>1307.5999999999999</v>
      </c>
      <c r="I860" s="125"/>
      <c r="J860" s="48">
        <v>1240.5</v>
      </c>
      <c r="K860" s="23">
        <f t="shared" si="5695"/>
        <v>-4.8258401104802839</v>
      </c>
      <c r="L860" s="48">
        <v>1256.8</v>
      </c>
      <c r="M860" s="23">
        <f t="shared" si="5696"/>
        <v>-1.4660917287338315</v>
      </c>
      <c r="N860" s="48">
        <v>1265.3</v>
      </c>
      <c r="O860" s="23">
        <f t="shared" si="5697"/>
        <v>-4.0567182286927466</v>
      </c>
      <c r="P860" s="48">
        <v>1236.5999999999999</v>
      </c>
      <c r="Q860" s="23">
        <f t="shared" si="5698"/>
        <v>-5.4297950443560676</v>
      </c>
      <c r="R860" s="48">
        <v>1170.8</v>
      </c>
      <c r="S860" s="23">
        <f t="shared" si="5723"/>
        <v>-5.6187021362353873</v>
      </c>
      <c r="T860" s="48">
        <v>1281.5999999999999</v>
      </c>
      <c r="U860" s="23">
        <f t="shared" si="5724"/>
        <v>1.9732654360280044</v>
      </c>
      <c r="V860" s="48">
        <v>1212.0999999999999</v>
      </c>
      <c r="W860" s="23">
        <f t="shared" si="5725"/>
        <v>-4.2045364735635804</v>
      </c>
      <c r="X860" s="48">
        <v>1181.5</v>
      </c>
      <c r="Y860" s="23">
        <f t="shared" si="5699"/>
        <v>-4.4557658094775965</v>
      </c>
      <c r="Z860" s="49">
        <v>1174.5</v>
      </c>
      <c r="AA860" s="23">
        <f t="shared" si="5700"/>
        <v>0.31602323197814641</v>
      </c>
      <c r="AB860" s="49">
        <v>1167.5999999999999</v>
      </c>
      <c r="AC860" s="23">
        <f t="shared" si="5701"/>
        <v>-8.8951310861423281</v>
      </c>
      <c r="AD860" s="158">
        <v>1136.7</v>
      </c>
      <c r="AE860" s="23">
        <f t="shared" si="5702"/>
        <v>-6.2206088606550525</v>
      </c>
      <c r="AF860" s="49">
        <v>1159.5999999999999</v>
      </c>
      <c r="AG860" s="23">
        <f t="shared" si="5703"/>
        <v>-1.853575962759213</v>
      </c>
      <c r="AH860" s="49">
        <v>1162.2</v>
      </c>
      <c r="AI860" s="23">
        <f t="shared" si="5704"/>
        <v>-1.0472541507024258</v>
      </c>
      <c r="AJ860" s="49">
        <v>1027.4000000000001</v>
      </c>
      <c r="AK860" s="23">
        <f t="shared" si="5705"/>
        <v>-12.007536827680699</v>
      </c>
      <c r="AL860" s="49">
        <v>1017.6</v>
      </c>
      <c r="AM860" s="23">
        <f t="shared" si="5706"/>
        <v>-10.477698601214048</v>
      </c>
      <c r="AN860" s="158">
        <v>702.4</v>
      </c>
      <c r="AO860" s="23">
        <f t="shared" si="5707"/>
        <v>-39.427388754743006</v>
      </c>
      <c r="AP860" s="158">
        <v>781.1</v>
      </c>
      <c r="AQ860" s="23">
        <f t="shared" si="5708"/>
        <v>-32.791257959043193</v>
      </c>
      <c r="AR860" s="158">
        <v>802</v>
      </c>
      <c r="AS860" s="23">
        <f t="shared" si="5709"/>
        <v>-21.938874829667132</v>
      </c>
      <c r="AT860" s="510">
        <v>773.3</v>
      </c>
      <c r="AU860" s="576">
        <f t="shared" si="5710"/>
        <v>-24.00746855345912</v>
      </c>
      <c r="AV860" s="510">
        <v>0</v>
      </c>
      <c r="AW860" s="576" t="str">
        <f t="shared" si="5711"/>
        <v>NM</v>
      </c>
      <c r="AX860" s="510">
        <v>0</v>
      </c>
      <c r="AY860" s="576" t="str">
        <f t="shared" si="5712"/>
        <v>NM</v>
      </c>
      <c r="AZ860" s="510">
        <v>0</v>
      </c>
      <c r="BA860" s="576" t="str">
        <f t="shared" si="5713"/>
        <v>NM</v>
      </c>
      <c r="BB860" s="510">
        <v>0</v>
      </c>
      <c r="BC860" s="23" t="str">
        <f t="shared" si="5714"/>
        <v>NM</v>
      </c>
      <c r="BD860" s="287"/>
      <c r="BE860" s="23" t="str">
        <f t="shared" si="5715"/>
        <v>NA</v>
      </c>
      <c r="BF860" s="48">
        <f t="shared" ref="BF860:BJ864" si="5729">BD860</f>
        <v>0</v>
      </c>
      <c r="BG860" s="23" t="str">
        <f t="shared" si="5716"/>
        <v>NA</v>
      </c>
      <c r="BH860" s="48">
        <f t="shared" si="5729"/>
        <v>0</v>
      </c>
      <c r="BI860" s="23" t="str">
        <f t="shared" si="5717"/>
        <v>NA</v>
      </c>
      <c r="BJ860" s="48">
        <f t="shared" si="5729"/>
        <v>0</v>
      </c>
      <c r="BK860" s="23" t="str">
        <f t="shared" si="5718"/>
        <v>NA</v>
      </c>
      <c r="BL860" s="48">
        <f t="shared" ref="BL860:BL864" si="5730">BJ860</f>
        <v>0</v>
      </c>
      <c r="BM860" s="23" t="str">
        <f t="shared" si="5719"/>
        <v>NA</v>
      </c>
      <c r="BN860" s="48"/>
      <c r="BO860" s="137"/>
      <c r="BP860" s="48"/>
      <c r="BQ860" s="48"/>
      <c r="BR860" s="48"/>
      <c r="BS860" s="48"/>
      <c r="BT860" s="48"/>
      <c r="BU860" s="36">
        <f t="shared" ref="BU860:BU867" si="5731">H860</f>
        <v>1307.5999999999999</v>
      </c>
      <c r="BV860" s="23" t="str">
        <f t="shared" si="5720"/>
        <v>NA</v>
      </c>
      <c r="BW860" s="56">
        <f t="shared" ref="BW860:BW867" si="5732">P860</f>
        <v>1236.5999999999999</v>
      </c>
      <c r="BX860" s="23">
        <f t="shared" si="5721"/>
        <v>-5.4297950443560676</v>
      </c>
      <c r="BY860" s="56">
        <f t="shared" ref="BY860:BY867" si="5733">X860</f>
        <v>1181.5</v>
      </c>
      <c r="BZ860" s="23">
        <f t="shared" si="5728"/>
        <v>-4.4557658094775965</v>
      </c>
      <c r="CA860" s="56">
        <f t="shared" ref="CA860:CA867" si="5734">AF860</f>
        <v>1159.5999999999999</v>
      </c>
      <c r="CB860" s="23">
        <f t="shared" si="5728"/>
        <v>-1.853575962759213</v>
      </c>
      <c r="CC860" s="56">
        <f t="shared" ref="CC860:CC867" si="5735">AN860</f>
        <v>702.4</v>
      </c>
      <c r="CD860" s="23">
        <f t="shared" si="5728"/>
        <v>-39.427388754743006</v>
      </c>
      <c r="CE860" s="56">
        <f t="shared" ref="CE860:CE867" si="5736">AV860</f>
        <v>0</v>
      </c>
      <c r="CF860" s="23" t="str">
        <f t="shared" si="5728"/>
        <v>NM</v>
      </c>
      <c r="CG860" s="56">
        <f t="shared" ref="CG860:CG867" si="5737">BD860</f>
        <v>0</v>
      </c>
      <c r="CH860" s="23" t="str">
        <f t="shared" si="5728"/>
        <v>NA</v>
      </c>
      <c r="CI860" s="56">
        <f t="shared" ref="CI860:CI867" si="5738">BL860</f>
        <v>0</v>
      </c>
      <c r="CJ860" s="23" t="str">
        <f t="shared" si="5728"/>
        <v>NA</v>
      </c>
      <c r="CK860" s="48">
        <f>CI860</f>
        <v>0</v>
      </c>
      <c r="CL860" s="23" t="str">
        <f t="shared" si="5728"/>
        <v>NA</v>
      </c>
      <c r="CM860" s="48">
        <f>CK860</f>
        <v>0</v>
      </c>
      <c r="CN860" s="23" t="str">
        <f t="shared" si="5728"/>
        <v>NA</v>
      </c>
      <c r="CO860" s="48">
        <f>CM860</f>
        <v>0</v>
      </c>
      <c r="CP860" s="23" t="str">
        <f t="shared" si="5728"/>
        <v>NA</v>
      </c>
      <c r="CQ860" s="48">
        <f>CO860</f>
        <v>0</v>
      </c>
      <c r="CR860" s="23" t="str">
        <f t="shared" si="5728"/>
        <v>NA</v>
      </c>
      <c r="CS860" s="23" t="str">
        <f t="shared" si="5722"/>
        <v>NA</v>
      </c>
    </row>
    <row r="861" spans="1:97" ht="12.75" customHeight="1" x14ac:dyDescent="0.2">
      <c r="A861" s="19" t="s">
        <v>305</v>
      </c>
      <c r="B861" s="48">
        <v>972.1</v>
      </c>
      <c r="C861" s="125"/>
      <c r="D861" s="48">
        <v>805</v>
      </c>
      <c r="E861" s="125"/>
      <c r="F861" s="48">
        <v>1222.5</v>
      </c>
      <c r="G861" s="125"/>
      <c r="H861" s="48">
        <v>1781.8</v>
      </c>
      <c r="I861" s="125"/>
      <c r="J861" s="48">
        <v>832.8</v>
      </c>
      <c r="K861" s="23">
        <f t="shared" si="5695"/>
        <v>-14.329801460755077</v>
      </c>
      <c r="L861" s="48">
        <v>1736.7</v>
      </c>
      <c r="M861" s="23" t="str">
        <f t="shared" si="5696"/>
        <v>NM</v>
      </c>
      <c r="N861" s="48">
        <v>1299.8</v>
      </c>
      <c r="O861" s="23">
        <f t="shared" si="5697"/>
        <v>6.3231083844580649</v>
      </c>
      <c r="P861" s="48">
        <v>1509.8</v>
      </c>
      <c r="Q861" s="23">
        <f t="shared" si="5698"/>
        <v>-15.265461892468291</v>
      </c>
      <c r="R861" s="48">
        <v>1348.8</v>
      </c>
      <c r="S861" s="23">
        <f t="shared" si="5723"/>
        <v>61.959654178674349</v>
      </c>
      <c r="T861" s="48">
        <v>470.6</v>
      </c>
      <c r="U861" s="23" t="str">
        <f t="shared" si="5724"/>
        <v>NM</v>
      </c>
      <c r="V861" s="48">
        <v>576.70000000000005</v>
      </c>
      <c r="W861" s="23" t="str">
        <f t="shared" si="5725"/>
        <v>NM</v>
      </c>
      <c r="X861" s="48">
        <v>769.4</v>
      </c>
      <c r="Y861" s="23">
        <f t="shared" si="5699"/>
        <v>-49.039607895085446</v>
      </c>
      <c r="Z861" s="49">
        <v>864.5</v>
      </c>
      <c r="AA861" s="23">
        <f t="shared" si="5700"/>
        <v>-35.905990510083029</v>
      </c>
      <c r="AB861" s="49">
        <v>904.9</v>
      </c>
      <c r="AC861" s="23">
        <f t="shared" si="5701"/>
        <v>92.28644283892902</v>
      </c>
      <c r="AD861" s="158">
        <v>927.1</v>
      </c>
      <c r="AE861" s="23">
        <f t="shared" si="5702"/>
        <v>60.759493670886066</v>
      </c>
      <c r="AF861" s="49">
        <v>1445</v>
      </c>
      <c r="AG861" s="23">
        <f t="shared" si="5703"/>
        <v>87.80868208994022</v>
      </c>
      <c r="AH861" s="49">
        <v>1971.9</v>
      </c>
      <c r="AI861" s="23" t="str">
        <f t="shared" si="5704"/>
        <v>NM</v>
      </c>
      <c r="AJ861" s="49">
        <v>1251.4000000000001</v>
      </c>
      <c r="AK861" s="23">
        <f t="shared" si="5705"/>
        <v>38.291523925295621</v>
      </c>
      <c r="AL861" s="49">
        <v>1881.7</v>
      </c>
      <c r="AM861" s="23" t="str">
        <f t="shared" si="5706"/>
        <v>NM</v>
      </c>
      <c r="AN861" s="158">
        <v>1485</v>
      </c>
      <c r="AO861" s="23">
        <f t="shared" si="5707"/>
        <v>2.7681660899653959</v>
      </c>
      <c r="AP861" s="158">
        <v>2557.9</v>
      </c>
      <c r="AQ861" s="23">
        <f t="shared" si="5708"/>
        <v>29.71753131497541</v>
      </c>
      <c r="AR861" s="158">
        <v>3012.3</v>
      </c>
      <c r="AS861" s="23" t="str">
        <f t="shared" si="5709"/>
        <v>NM</v>
      </c>
      <c r="AT861" s="510">
        <v>2878</v>
      </c>
      <c r="AU861" s="576">
        <f t="shared" si="5710"/>
        <v>52.946803422437164</v>
      </c>
      <c r="AV861" s="510">
        <v>969</v>
      </c>
      <c r="AW861" s="576">
        <f t="shared" si="5711"/>
        <v>-34.747474747474747</v>
      </c>
      <c r="AX861" s="510">
        <v>831</v>
      </c>
      <c r="AY861" s="576" t="str">
        <f t="shared" si="5712"/>
        <v>NM</v>
      </c>
      <c r="AZ861" s="510">
        <v>1000</v>
      </c>
      <c r="BA861" s="576" t="str">
        <f t="shared" si="5713"/>
        <v>NM</v>
      </c>
      <c r="BB861" s="510">
        <v>2139</v>
      </c>
      <c r="BC861" s="23">
        <f t="shared" si="5714"/>
        <v>-25.677553856845037</v>
      </c>
      <c r="BD861" s="287">
        <v>1866</v>
      </c>
      <c r="BE861" s="23">
        <f t="shared" si="5715"/>
        <v>92.569659442724458</v>
      </c>
      <c r="BF861" s="48">
        <f t="shared" si="5729"/>
        <v>1866</v>
      </c>
      <c r="BG861" s="23" t="str">
        <f t="shared" si="5716"/>
        <v>NM</v>
      </c>
      <c r="BH861" s="48">
        <f t="shared" si="5729"/>
        <v>1866</v>
      </c>
      <c r="BI861" s="23">
        <f t="shared" si="5717"/>
        <v>86.600000000000009</v>
      </c>
      <c r="BJ861" s="48">
        <f t="shared" si="5729"/>
        <v>1866</v>
      </c>
      <c r="BK861" s="23">
        <f t="shared" si="5718"/>
        <v>-12.762973352033658</v>
      </c>
      <c r="BL861" s="48">
        <f t="shared" si="5730"/>
        <v>1866</v>
      </c>
      <c r="BM861" s="23">
        <f t="shared" si="5719"/>
        <v>0</v>
      </c>
      <c r="BN861" s="48"/>
      <c r="BO861" s="137"/>
      <c r="BP861" s="48"/>
      <c r="BQ861" s="48"/>
      <c r="BR861" s="48"/>
      <c r="BS861" s="48"/>
      <c r="BT861" s="48"/>
      <c r="BU861" s="36">
        <f t="shared" si="5731"/>
        <v>1781.8</v>
      </c>
      <c r="BV861" s="23" t="str">
        <f t="shared" si="5720"/>
        <v>NA</v>
      </c>
      <c r="BW861" s="56">
        <f t="shared" si="5732"/>
        <v>1509.8</v>
      </c>
      <c r="BX861" s="23">
        <f t="shared" si="5721"/>
        <v>-15.265461892468291</v>
      </c>
      <c r="BY861" s="56">
        <f t="shared" si="5733"/>
        <v>769.4</v>
      </c>
      <c r="BZ861" s="23">
        <f t="shared" si="5728"/>
        <v>-49.039607895085446</v>
      </c>
      <c r="CA861" s="56">
        <f t="shared" si="5734"/>
        <v>1445</v>
      </c>
      <c r="CB861" s="23">
        <f t="shared" si="5728"/>
        <v>87.80868208994022</v>
      </c>
      <c r="CC861" s="56">
        <f t="shared" si="5735"/>
        <v>1485</v>
      </c>
      <c r="CD861" s="23">
        <f t="shared" si="5728"/>
        <v>2.7681660899653959</v>
      </c>
      <c r="CE861" s="56">
        <f t="shared" si="5736"/>
        <v>969</v>
      </c>
      <c r="CF861" s="23">
        <f t="shared" si="5728"/>
        <v>-34.747474747474747</v>
      </c>
      <c r="CG861" s="56">
        <f t="shared" si="5737"/>
        <v>1866</v>
      </c>
      <c r="CH861" s="23">
        <f t="shared" si="5728"/>
        <v>92.569659442724458</v>
      </c>
      <c r="CI861" s="56">
        <f t="shared" si="5738"/>
        <v>1866</v>
      </c>
      <c r="CJ861" s="23">
        <f t="shared" si="5728"/>
        <v>0</v>
      </c>
      <c r="CK861" s="48">
        <f>CI861</f>
        <v>1866</v>
      </c>
      <c r="CL861" s="23">
        <f t="shared" si="5728"/>
        <v>0</v>
      </c>
      <c r="CM861" s="48">
        <f>CK861</f>
        <v>1866</v>
      </c>
      <c r="CN861" s="23">
        <f t="shared" si="5728"/>
        <v>0</v>
      </c>
      <c r="CO861" s="48">
        <f>CM861</f>
        <v>1866</v>
      </c>
      <c r="CP861" s="23">
        <f t="shared" si="5728"/>
        <v>0</v>
      </c>
      <c r="CQ861" s="48">
        <f>CO861</f>
        <v>1866</v>
      </c>
      <c r="CR861" s="23">
        <f t="shared" si="5728"/>
        <v>0</v>
      </c>
      <c r="CS861" s="23">
        <f t="shared" si="5722"/>
        <v>0</v>
      </c>
    </row>
    <row r="862" spans="1:97" ht="12.75" customHeight="1" x14ac:dyDescent="0.2">
      <c r="A862" s="19" t="s">
        <v>308</v>
      </c>
      <c r="B862" s="48">
        <v>5536</v>
      </c>
      <c r="C862" s="125"/>
      <c r="D862" s="48">
        <v>3819.6</v>
      </c>
      <c r="E862" s="125"/>
      <c r="F862" s="48">
        <v>3138.2</v>
      </c>
      <c r="G862" s="125"/>
      <c r="H862" s="48">
        <v>1054.5999999999999</v>
      </c>
      <c r="I862" s="125"/>
      <c r="J862" s="48">
        <v>1180</v>
      </c>
      <c r="K862" s="23" t="str">
        <f t="shared" si="5695"/>
        <v>NM</v>
      </c>
      <c r="L862" s="48">
        <v>889.6</v>
      </c>
      <c r="M862" s="23" t="str">
        <f t="shared" si="5696"/>
        <v>NM</v>
      </c>
      <c r="N862" s="48">
        <v>774.9</v>
      </c>
      <c r="O862" s="23" t="str">
        <f t="shared" si="5697"/>
        <v>NM</v>
      </c>
      <c r="P862" s="48">
        <v>1064.5999999999999</v>
      </c>
      <c r="Q862" s="23">
        <f t="shared" si="5698"/>
        <v>0.94822681585435831</v>
      </c>
      <c r="R862" s="48">
        <v>321.2</v>
      </c>
      <c r="S862" s="23" t="str">
        <f t="shared" si="5723"/>
        <v>NM</v>
      </c>
      <c r="T862" s="48">
        <v>138.6</v>
      </c>
      <c r="U862" s="23" t="str">
        <f t="shared" si="5724"/>
        <v>NM</v>
      </c>
      <c r="V862" s="48">
        <v>0</v>
      </c>
      <c r="W862" s="23" t="str">
        <f t="shared" si="5725"/>
        <v>NM</v>
      </c>
      <c r="X862" s="48">
        <v>0</v>
      </c>
      <c r="Y862" s="23" t="str">
        <f t="shared" si="5699"/>
        <v>NM</v>
      </c>
      <c r="Z862" s="49">
        <v>0</v>
      </c>
      <c r="AA862" s="23" t="str">
        <f t="shared" si="5700"/>
        <v>NM</v>
      </c>
      <c r="AB862" s="49">
        <v>0</v>
      </c>
      <c r="AC862" s="23" t="str">
        <f t="shared" si="5701"/>
        <v>NM</v>
      </c>
      <c r="AD862" s="158">
        <v>0</v>
      </c>
      <c r="AE862" s="23" t="str">
        <f t="shared" si="5702"/>
        <v>NA</v>
      </c>
      <c r="AF862" s="49">
        <v>0</v>
      </c>
      <c r="AG862" s="23" t="str">
        <f t="shared" si="5703"/>
        <v>NA</v>
      </c>
      <c r="AH862" s="49">
        <v>0</v>
      </c>
      <c r="AI862" s="23" t="str">
        <f t="shared" si="5704"/>
        <v>NA</v>
      </c>
      <c r="AJ862" s="49">
        <v>0</v>
      </c>
      <c r="AK862" s="23" t="str">
        <f t="shared" si="5705"/>
        <v>NA</v>
      </c>
      <c r="AL862" s="49">
        <v>0</v>
      </c>
      <c r="AM862" s="23" t="str">
        <f t="shared" si="5706"/>
        <v>NA</v>
      </c>
      <c r="AN862" s="158">
        <v>0</v>
      </c>
      <c r="AO862" s="23" t="str">
        <f t="shared" si="5707"/>
        <v>NA</v>
      </c>
      <c r="AP862" s="158">
        <v>0</v>
      </c>
      <c r="AQ862" s="23" t="str">
        <f t="shared" si="5708"/>
        <v>NA</v>
      </c>
      <c r="AR862" s="158">
        <v>0</v>
      </c>
      <c r="AS862" s="23" t="str">
        <f t="shared" si="5709"/>
        <v>NA</v>
      </c>
      <c r="AT862" s="510">
        <v>0</v>
      </c>
      <c r="AU862" s="576" t="str">
        <f t="shared" si="5710"/>
        <v>NA</v>
      </c>
      <c r="AV862" s="510">
        <f t="shared" ref="AV862:AV864" si="5739">AT862</f>
        <v>0</v>
      </c>
      <c r="AW862" s="576" t="str">
        <f t="shared" si="5711"/>
        <v>NA</v>
      </c>
      <c r="AX862" s="510">
        <v>735.5</v>
      </c>
      <c r="AY862" s="576" t="str">
        <f t="shared" si="5712"/>
        <v>NA</v>
      </c>
      <c r="AZ862" s="510">
        <v>735.9</v>
      </c>
      <c r="BA862" s="576" t="str">
        <f t="shared" si="5713"/>
        <v>NA</v>
      </c>
      <c r="BB862" s="510">
        <v>336.6</v>
      </c>
      <c r="BC862" s="23" t="str">
        <f t="shared" si="5714"/>
        <v>NA</v>
      </c>
      <c r="BD862" s="287">
        <v>337</v>
      </c>
      <c r="BE862" s="23" t="str">
        <f t="shared" si="5715"/>
        <v>NA</v>
      </c>
      <c r="BF862" s="48">
        <f t="shared" si="5729"/>
        <v>337</v>
      </c>
      <c r="BG862" s="23" t="str">
        <f t="shared" si="5716"/>
        <v>NM</v>
      </c>
      <c r="BH862" s="48">
        <f t="shared" si="5729"/>
        <v>337</v>
      </c>
      <c r="BI862" s="23" t="str">
        <f t="shared" si="5717"/>
        <v>NM</v>
      </c>
      <c r="BJ862" s="48">
        <f t="shared" si="5729"/>
        <v>337</v>
      </c>
      <c r="BK862" s="23">
        <f t="shared" si="5718"/>
        <v>0.11883541295305555</v>
      </c>
      <c r="BL862" s="48">
        <f t="shared" si="5730"/>
        <v>337</v>
      </c>
      <c r="BM862" s="23">
        <f t="shared" si="5719"/>
        <v>0</v>
      </c>
      <c r="BN862" s="48"/>
      <c r="BO862" s="137"/>
      <c r="BP862" s="48"/>
      <c r="BQ862" s="48"/>
      <c r="BR862" s="48"/>
      <c r="BS862" s="48"/>
      <c r="BT862" s="48"/>
      <c r="BU862" s="36">
        <f t="shared" si="5731"/>
        <v>1054.5999999999999</v>
      </c>
      <c r="BV862" s="23" t="str">
        <f t="shared" si="5720"/>
        <v>NA</v>
      </c>
      <c r="BW862" s="56">
        <f t="shared" si="5732"/>
        <v>1064.5999999999999</v>
      </c>
      <c r="BX862" s="23">
        <f t="shared" si="5721"/>
        <v>0.94822681585435831</v>
      </c>
      <c r="BY862" s="56">
        <f t="shared" si="5733"/>
        <v>0</v>
      </c>
      <c r="BZ862" s="23" t="str">
        <f t="shared" si="5728"/>
        <v>NM</v>
      </c>
      <c r="CA862" s="56">
        <f t="shared" si="5734"/>
        <v>0</v>
      </c>
      <c r="CB862" s="23" t="str">
        <f t="shared" si="5728"/>
        <v>NA</v>
      </c>
      <c r="CC862" s="56">
        <f t="shared" si="5735"/>
        <v>0</v>
      </c>
      <c r="CD862" s="23" t="str">
        <f t="shared" si="5728"/>
        <v>NA</v>
      </c>
      <c r="CE862" s="56">
        <f t="shared" si="5736"/>
        <v>0</v>
      </c>
      <c r="CF862" s="23" t="str">
        <f t="shared" si="5728"/>
        <v>NA</v>
      </c>
      <c r="CG862" s="56">
        <f t="shared" si="5737"/>
        <v>337</v>
      </c>
      <c r="CH862" s="23" t="str">
        <f t="shared" si="5728"/>
        <v>NA</v>
      </c>
      <c r="CI862" s="56">
        <f t="shared" si="5738"/>
        <v>337</v>
      </c>
      <c r="CJ862" s="23">
        <f t="shared" si="5728"/>
        <v>0</v>
      </c>
      <c r="CK862" s="48">
        <f>CI862</f>
        <v>337</v>
      </c>
      <c r="CL862" s="23">
        <f t="shared" si="5728"/>
        <v>0</v>
      </c>
      <c r="CM862" s="48">
        <f>CK862</f>
        <v>337</v>
      </c>
      <c r="CN862" s="23">
        <f t="shared" si="5728"/>
        <v>0</v>
      </c>
      <c r="CO862" s="48">
        <f>CM862</f>
        <v>337</v>
      </c>
      <c r="CP862" s="23">
        <f t="shared" si="5728"/>
        <v>0</v>
      </c>
      <c r="CQ862" s="48">
        <f>CO862</f>
        <v>337</v>
      </c>
      <c r="CR862" s="23">
        <f t="shared" si="5728"/>
        <v>0</v>
      </c>
      <c r="CS862" s="23">
        <f t="shared" si="5722"/>
        <v>0</v>
      </c>
    </row>
    <row r="863" spans="1:97" ht="12.75" customHeight="1" x14ac:dyDescent="0.2">
      <c r="A863" s="19" t="s">
        <v>309</v>
      </c>
      <c r="B863" s="48">
        <v>2784.3</v>
      </c>
      <c r="C863" s="125"/>
      <c r="D863" s="48">
        <v>1784.5</v>
      </c>
      <c r="E863" s="125"/>
      <c r="F863" s="48">
        <v>1284.8</v>
      </c>
      <c r="G863" s="125"/>
      <c r="H863" s="48">
        <v>1343.1</v>
      </c>
      <c r="I863" s="125"/>
      <c r="J863" s="48">
        <v>1343.3</v>
      </c>
      <c r="K863" s="23" t="str">
        <f t="shared" si="5695"/>
        <v>NM</v>
      </c>
      <c r="L863" s="48">
        <v>3543.6</v>
      </c>
      <c r="M863" s="23">
        <f t="shared" si="5696"/>
        <v>98.576632109834676</v>
      </c>
      <c r="N863" s="48">
        <v>3642.7</v>
      </c>
      <c r="O863" s="23" t="str">
        <f t="shared" si="5697"/>
        <v>NM</v>
      </c>
      <c r="P863" s="48">
        <v>3171.1</v>
      </c>
      <c r="Q863" s="23" t="str">
        <f t="shared" si="5698"/>
        <v>NM</v>
      </c>
      <c r="R863" s="48">
        <v>3440.8</v>
      </c>
      <c r="S863" s="23" t="str">
        <f t="shared" si="5723"/>
        <v>NM</v>
      </c>
      <c r="T863" s="48">
        <v>3265.7</v>
      </c>
      <c r="U863" s="23">
        <f t="shared" si="5724"/>
        <v>-7.8423072581555449</v>
      </c>
      <c r="V863" s="48">
        <v>3514.5</v>
      </c>
      <c r="W863" s="23">
        <f t="shared" si="5725"/>
        <v>-3.519367502127535</v>
      </c>
      <c r="X863" s="48">
        <v>3514.7</v>
      </c>
      <c r="Y863" s="23">
        <f t="shared" si="5699"/>
        <v>10.835356816246723</v>
      </c>
      <c r="Z863" s="49">
        <v>3515</v>
      </c>
      <c r="AA863" s="23">
        <f t="shared" si="5700"/>
        <v>2.1564752383166574</v>
      </c>
      <c r="AB863" s="49">
        <v>3515.2</v>
      </c>
      <c r="AC863" s="23">
        <f t="shared" si="5701"/>
        <v>7.6400159230792797</v>
      </c>
      <c r="AD863" s="158">
        <v>3515.5</v>
      </c>
      <c r="AE863" s="23">
        <f t="shared" si="5702"/>
        <v>2.8453549580320647E-2</v>
      </c>
      <c r="AF863" s="49">
        <v>3515.7</v>
      </c>
      <c r="AG863" s="23">
        <f t="shared" si="5703"/>
        <v>2.8451930463480046E-2</v>
      </c>
      <c r="AH863" s="49">
        <v>3516</v>
      </c>
      <c r="AI863" s="23">
        <f t="shared" si="5704"/>
        <v>2.844950213372055E-2</v>
      </c>
      <c r="AJ863" s="49">
        <v>3486</v>
      </c>
      <c r="AK863" s="23">
        <f t="shared" si="5705"/>
        <v>-0.8306781975421007</v>
      </c>
      <c r="AL863" s="49">
        <v>3485.6</v>
      </c>
      <c r="AM863" s="23">
        <f t="shared" si="5706"/>
        <v>-0.85051912956904951</v>
      </c>
      <c r="AN863" s="158">
        <v>3485.9</v>
      </c>
      <c r="AO863" s="23">
        <f t="shared" si="5707"/>
        <v>-0.84762636174872119</v>
      </c>
      <c r="AP863" s="158">
        <v>3455.9</v>
      </c>
      <c r="AQ863" s="23">
        <f t="shared" si="5708"/>
        <v>-1.7093287827076198</v>
      </c>
      <c r="AR863" s="158">
        <v>3547.5</v>
      </c>
      <c r="AS863" s="23">
        <f t="shared" si="5709"/>
        <v>1.7641996557659301</v>
      </c>
      <c r="AT863" s="510">
        <v>3548.5</v>
      </c>
      <c r="AU863" s="576">
        <f t="shared" si="5710"/>
        <v>1.8045673628643621</v>
      </c>
      <c r="AV863" s="510">
        <v>3549.5</v>
      </c>
      <c r="AW863" s="576">
        <f t="shared" si="5711"/>
        <v>1.8244929573424384</v>
      </c>
      <c r="AX863" s="510">
        <v>2725.7</v>
      </c>
      <c r="AY863" s="576">
        <f t="shared" si="5712"/>
        <v>-21.129083596168876</v>
      </c>
      <c r="AZ863" s="510">
        <v>2726.2</v>
      </c>
      <c r="BA863" s="576">
        <f t="shared" si="5713"/>
        <v>-23.151515151515156</v>
      </c>
      <c r="BB863" s="510">
        <v>3122.2</v>
      </c>
      <c r="BC863" s="23">
        <f t="shared" si="5714"/>
        <v>-12.013526842327749</v>
      </c>
      <c r="BD863" s="287">
        <v>3123</v>
      </c>
      <c r="BE863" s="23">
        <f t="shared" si="5715"/>
        <v>-12.015776869981687</v>
      </c>
      <c r="BF863" s="48">
        <f t="shared" si="5729"/>
        <v>3123</v>
      </c>
      <c r="BG863" s="23">
        <f t="shared" si="5716"/>
        <v>14.576072201636281</v>
      </c>
      <c r="BH863" s="48">
        <f t="shared" si="5729"/>
        <v>3123</v>
      </c>
      <c r="BI863" s="23">
        <f t="shared" si="5717"/>
        <v>14.555058322940372</v>
      </c>
      <c r="BJ863" s="48">
        <f t="shared" si="5729"/>
        <v>3123</v>
      </c>
      <c r="BK863" s="23">
        <f t="shared" si="5718"/>
        <v>2.5622958170523624E-2</v>
      </c>
      <c r="BL863" s="48">
        <f t="shared" si="5730"/>
        <v>3123</v>
      </c>
      <c r="BM863" s="23">
        <f t="shared" si="5719"/>
        <v>0</v>
      </c>
      <c r="BN863" s="48"/>
      <c r="BO863" s="137"/>
      <c r="BP863" s="48"/>
      <c r="BQ863" s="48"/>
      <c r="BR863" s="48"/>
      <c r="BS863" s="48"/>
      <c r="BT863" s="48"/>
      <c r="BU863" s="36">
        <f t="shared" si="5731"/>
        <v>1343.1</v>
      </c>
      <c r="BV863" s="23" t="str">
        <f t="shared" si="5720"/>
        <v>NA</v>
      </c>
      <c r="BW863" s="56">
        <f t="shared" si="5732"/>
        <v>3171.1</v>
      </c>
      <c r="BX863" s="23" t="str">
        <f t="shared" si="5721"/>
        <v>NM</v>
      </c>
      <c r="BY863" s="56">
        <f t="shared" si="5733"/>
        <v>3514.7</v>
      </c>
      <c r="BZ863" s="23">
        <f t="shared" si="5728"/>
        <v>10.835356816246723</v>
      </c>
      <c r="CA863" s="56">
        <f t="shared" si="5734"/>
        <v>3515.7</v>
      </c>
      <c r="CB863" s="23">
        <f t="shared" si="5728"/>
        <v>2.8451930463480046E-2</v>
      </c>
      <c r="CC863" s="56">
        <f t="shared" si="5735"/>
        <v>3485.9</v>
      </c>
      <c r="CD863" s="23">
        <f t="shared" si="5728"/>
        <v>-0.84762636174872119</v>
      </c>
      <c r="CE863" s="56">
        <f t="shared" si="5736"/>
        <v>3549.5</v>
      </c>
      <c r="CF863" s="23">
        <f t="shared" si="5728"/>
        <v>1.8244929573424384</v>
      </c>
      <c r="CG863" s="56">
        <f t="shared" si="5737"/>
        <v>3123</v>
      </c>
      <c r="CH863" s="23">
        <f t="shared" si="5728"/>
        <v>-12.015776869981687</v>
      </c>
      <c r="CI863" s="56">
        <f t="shared" si="5738"/>
        <v>3123</v>
      </c>
      <c r="CJ863" s="23">
        <f t="shared" si="5728"/>
        <v>0</v>
      </c>
      <c r="CK863" s="48">
        <f>CI863</f>
        <v>3123</v>
      </c>
      <c r="CL863" s="23">
        <f t="shared" si="5728"/>
        <v>0</v>
      </c>
      <c r="CM863" s="48">
        <f>CK863</f>
        <v>3123</v>
      </c>
      <c r="CN863" s="23">
        <f t="shared" si="5728"/>
        <v>0</v>
      </c>
      <c r="CO863" s="48">
        <f>CM863</f>
        <v>3123</v>
      </c>
      <c r="CP863" s="23">
        <f t="shared" si="5728"/>
        <v>0</v>
      </c>
      <c r="CQ863" s="48">
        <f>CO863</f>
        <v>3123</v>
      </c>
      <c r="CR863" s="23">
        <f t="shared" si="5728"/>
        <v>0</v>
      </c>
      <c r="CS863" s="23">
        <f t="shared" si="5722"/>
        <v>0</v>
      </c>
    </row>
    <row r="864" spans="1:97" ht="12.75" customHeight="1" x14ac:dyDescent="0.2">
      <c r="A864" s="19" t="s">
        <v>306</v>
      </c>
      <c r="B864" s="48">
        <v>0</v>
      </c>
      <c r="C864" s="59"/>
      <c r="D864" s="48">
        <v>0</v>
      </c>
      <c r="E864" s="59"/>
      <c r="F864" s="48">
        <v>0</v>
      </c>
      <c r="G864" s="59"/>
      <c r="H864" s="48">
        <v>0</v>
      </c>
      <c r="I864" s="59"/>
      <c r="J864" s="48">
        <v>0</v>
      </c>
      <c r="K864" s="23" t="str">
        <f t="shared" si="5695"/>
        <v>NA</v>
      </c>
      <c r="L864" s="48">
        <v>0</v>
      </c>
      <c r="M864" s="23" t="str">
        <f t="shared" si="5696"/>
        <v>NA</v>
      </c>
      <c r="N864" s="48">
        <v>0</v>
      </c>
      <c r="O864" s="23" t="str">
        <f t="shared" si="5697"/>
        <v>NA</v>
      </c>
      <c r="P864" s="48">
        <v>0</v>
      </c>
      <c r="Q864" s="23" t="str">
        <f t="shared" si="5698"/>
        <v>NA</v>
      </c>
      <c r="R864" s="48">
        <v>0</v>
      </c>
      <c r="S864" s="23" t="str">
        <f t="shared" si="5723"/>
        <v>NA</v>
      </c>
      <c r="T864" s="48">
        <v>0</v>
      </c>
      <c r="U864" s="23" t="str">
        <f t="shared" si="5724"/>
        <v>NA</v>
      </c>
      <c r="V864" s="48">
        <v>0</v>
      </c>
      <c r="W864" s="23" t="str">
        <f t="shared" si="5725"/>
        <v>NA</v>
      </c>
      <c r="X864" s="48">
        <v>0</v>
      </c>
      <c r="Y864" s="23" t="str">
        <f t="shared" si="5699"/>
        <v>NA</v>
      </c>
      <c r="Z864" s="49">
        <v>0</v>
      </c>
      <c r="AA864" s="23" t="str">
        <f t="shared" si="5700"/>
        <v>NA</v>
      </c>
      <c r="AB864" s="49">
        <v>0</v>
      </c>
      <c r="AC864" s="23" t="str">
        <f t="shared" si="5701"/>
        <v>NA</v>
      </c>
      <c r="AD864" s="158">
        <v>0</v>
      </c>
      <c r="AE864" s="23" t="str">
        <f t="shared" si="5702"/>
        <v>NA</v>
      </c>
      <c r="AF864" s="49">
        <v>0</v>
      </c>
      <c r="AG864" s="23" t="str">
        <f t="shared" si="5703"/>
        <v>NA</v>
      </c>
      <c r="AH864" s="49">
        <v>0</v>
      </c>
      <c r="AI864" s="23" t="str">
        <f t="shared" si="5704"/>
        <v>NA</v>
      </c>
      <c r="AJ864" s="49">
        <v>0</v>
      </c>
      <c r="AK864" s="23" t="str">
        <f t="shared" si="5705"/>
        <v>NA</v>
      </c>
      <c r="AL864" s="49">
        <v>0</v>
      </c>
      <c r="AM864" s="23" t="str">
        <f t="shared" si="5706"/>
        <v>NA</v>
      </c>
      <c r="AN864" s="158">
        <v>0</v>
      </c>
      <c r="AO864" s="23" t="str">
        <f t="shared" si="5707"/>
        <v>NA</v>
      </c>
      <c r="AP864" s="158">
        <v>0</v>
      </c>
      <c r="AQ864" s="23" t="str">
        <f t="shared" si="5708"/>
        <v>NA</v>
      </c>
      <c r="AR864" s="158">
        <v>0</v>
      </c>
      <c r="AS864" s="23" t="str">
        <f t="shared" si="5709"/>
        <v>NA</v>
      </c>
      <c r="AT864" s="510">
        <v>0</v>
      </c>
      <c r="AU864" s="576" t="str">
        <f t="shared" si="5710"/>
        <v>NA</v>
      </c>
      <c r="AV864" s="510">
        <f t="shared" si="5739"/>
        <v>0</v>
      </c>
      <c r="AW864" s="576" t="str">
        <f t="shared" si="5711"/>
        <v>NA</v>
      </c>
      <c r="AX864" s="510">
        <f t="shared" ref="AX864" si="5740">AV864</f>
        <v>0</v>
      </c>
      <c r="AY864" s="576" t="str">
        <f t="shared" si="5712"/>
        <v>NA</v>
      </c>
      <c r="AZ864" s="510">
        <f t="shared" ref="AZ864" si="5741">AX864</f>
        <v>0</v>
      </c>
      <c r="BA864" s="576" t="str">
        <f t="shared" si="5713"/>
        <v>NA</v>
      </c>
      <c r="BB864" s="510">
        <f t="shared" ref="BB864:BD864" si="5742">AZ864</f>
        <v>0</v>
      </c>
      <c r="BC864" s="23" t="str">
        <f t="shared" si="5714"/>
        <v>NA</v>
      </c>
      <c r="BD864" s="287">
        <f t="shared" si="5742"/>
        <v>0</v>
      </c>
      <c r="BE864" s="23" t="str">
        <f t="shared" si="5715"/>
        <v>NA</v>
      </c>
      <c r="BF864" s="48">
        <f t="shared" si="5729"/>
        <v>0</v>
      </c>
      <c r="BG864" s="23" t="str">
        <f t="shared" si="5716"/>
        <v>NA</v>
      </c>
      <c r="BH864" s="48">
        <f t="shared" si="5729"/>
        <v>0</v>
      </c>
      <c r="BI864" s="23" t="str">
        <f t="shared" si="5717"/>
        <v>NA</v>
      </c>
      <c r="BJ864" s="48">
        <f t="shared" si="5729"/>
        <v>0</v>
      </c>
      <c r="BK864" s="23" t="str">
        <f t="shared" si="5718"/>
        <v>NA</v>
      </c>
      <c r="BL864" s="48">
        <f t="shared" si="5730"/>
        <v>0</v>
      </c>
      <c r="BM864" s="23" t="str">
        <f t="shared" si="5719"/>
        <v>NA</v>
      </c>
      <c r="BO864" s="137"/>
      <c r="BQ864" s="5"/>
      <c r="BR864" s="5"/>
      <c r="BS864" s="5"/>
      <c r="BT864" s="5"/>
      <c r="BU864" s="36">
        <f t="shared" si="5731"/>
        <v>0</v>
      </c>
      <c r="BV864" s="23" t="str">
        <f t="shared" si="5720"/>
        <v>NA</v>
      </c>
      <c r="BW864" s="56">
        <f t="shared" si="5732"/>
        <v>0</v>
      </c>
      <c r="BX864" s="23" t="str">
        <f t="shared" si="5721"/>
        <v>NA</v>
      </c>
      <c r="BY864" s="56">
        <f t="shared" si="5733"/>
        <v>0</v>
      </c>
      <c r="BZ864" s="23" t="str">
        <f t="shared" si="5728"/>
        <v>NA</v>
      </c>
      <c r="CA864" s="56">
        <f t="shared" si="5734"/>
        <v>0</v>
      </c>
      <c r="CB864" s="23" t="str">
        <f t="shared" si="5728"/>
        <v>NA</v>
      </c>
      <c r="CC864" s="56">
        <f t="shared" si="5735"/>
        <v>0</v>
      </c>
      <c r="CD864" s="23" t="str">
        <f t="shared" si="5728"/>
        <v>NA</v>
      </c>
      <c r="CE864" s="56">
        <f t="shared" si="5736"/>
        <v>0</v>
      </c>
      <c r="CF864" s="23" t="str">
        <f t="shared" si="5728"/>
        <v>NA</v>
      </c>
      <c r="CG864" s="56">
        <f t="shared" si="5737"/>
        <v>0</v>
      </c>
      <c r="CH864" s="23" t="str">
        <f t="shared" si="5728"/>
        <v>NA</v>
      </c>
      <c r="CI864" s="56">
        <f t="shared" si="5738"/>
        <v>0</v>
      </c>
      <c r="CJ864" s="23" t="str">
        <f t="shared" si="5728"/>
        <v>NA</v>
      </c>
      <c r="CK864" s="48">
        <f>CI864</f>
        <v>0</v>
      </c>
      <c r="CL864" s="23" t="str">
        <f t="shared" si="5728"/>
        <v>NA</v>
      </c>
      <c r="CM864" s="48">
        <f>CK864</f>
        <v>0</v>
      </c>
      <c r="CN864" s="23" t="str">
        <f t="shared" si="5728"/>
        <v>NA</v>
      </c>
      <c r="CO864" s="48">
        <f>CM864</f>
        <v>0</v>
      </c>
      <c r="CP864" s="23" t="str">
        <f t="shared" si="5728"/>
        <v>NA</v>
      </c>
      <c r="CQ864" s="48">
        <f>CO864</f>
        <v>0</v>
      </c>
      <c r="CR864" s="23" t="str">
        <f t="shared" si="5728"/>
        <v>NA</v>
      </c>
      <c r="CS864" s="23" t="str">
        <f t="shared" si="5722"/>
        <v>NA</v>
      </c>
    </row>
    <row r="865" spans="1:97" ht="12.75" customHeight="1" x14ac:dyDescent="0.2">
      <c r="A865" s="19" t="s">
        <v>60</v>
      </c>
      <c r="B865" s="48">
        <v>3889.9</v>
      </c>
      <c r="C865" s="59"/>
      <c r="D865" s="48">
        <v>3727.2</v>
      </c>
      <c r="E865" s="59"/>
      <c r="F865" s="48">
        <v>4343.3999999999996</v>
      </c>
      <c r="G865" s="59"/>
      <c r="H865" s="48">
        <v>4830.1000000000004</v>
      </c>
      <c r="I865" s="59"/>
      <c r="J865" s="48">
        <v>4664.3</v>
      </c>
      <c r="K865" s="23">
        <f t="shared" si="5695"/>
        <v>19.907966785778552</v>
      </c>
      <c r="L865" s="48">
        <v>5413.3</v>
      </c>
      <c r="M865" s="23">
        <f t="shared" si="5696"/>
        <v>45.237711955355245</v>
      </c>
      <c r="N865" s="48">
        <v>5572</v>
      </c>
      <c r="O865" s="23">
        <f t="shared" si="5697"/>
        <v>28.286595754478071</v>
      </c>
      <c r="P865" s="48">
        <v>5506</v>
      </c>
      <c r="Q865" s="23">
        <f t="shared" si="5698"/>
        <v>13.993499099397511</v>
      </c>
      <c r="R865" s="48">
        <v>4743.3</v>
      </c>
      <c r="S865" s="23">
        <f t="shared" si="5723"/>
        <v>1.693716098878717</v>
      </c>
      <c r="T865" s="48">
        <v>3796.5</v>
      </c>
      <c r="U865" s="23">
        <f t="shared" si="5724"/>
        <v>-29.867178985092281</v>
      </c>
      <c r="V865" s="48">
        <v>3598.9</v>
      </c>
      <c r="W865" s="23" t="e">
        <f>W846-W877-W878-W858-W859-W860-W861-W862-W863-W864-W867</f>
        <v>#VALUE!</v>
      </c>
      <c r="X865" s="48">
        <v>3144.9</v>
      </c>
      <c r="Y865" s="23">
        <f t="shared" si="5699"/>
        <v>-42.882310207046856</v>
      </c>
      <c r="Z865" s="49">
        <v>2999.6</v>
      </c>
      <c r="AA865" s="23">
        <f t="shared" si="5700"/>
        <v>-36.761326502645844</v>
      </c>
      <c r="AB865" s="49">
        <v>3217.4</v>
      </c>
      <c r="AC865" s="23">
        <f t="shared" si="5701"/>
        <v>-15.253522981693667</v>
      </c>
      <c r="AD865" s="158">
        <v>2874.2</v>
      </c>
      <c r="AE865" s="23">
        <f t="shared" si="5702"/>
        <v>-20.13670843868961</v>
      </c>
      <c r="AF865" s="49">
        <v>3093.5</v>
      </c>
      <c r="AG865" s="23">
        <f t="shared" si="5703"/>
        <v>-1.634392190530698</v>
      </c>
      <c r="AH865" s="49">
        <v>2967.9</v>
      </c>
      <c r="AI865" s="23">
        <f t="shared" si="5704"/>
        <v>-1.0568075743432437</v>
      </c>
      <c r="AJ865" s="49">
        <v>2678.1</v>
      </c>
      <c r="AK865" s="23">
        <f t="shared" si="5705"/>
        <v>-16.761981724373719</v>
      </c>
      <c r="AL865" s="49">
        <v>2946.2</v>
      </c>
      <c r="AM865" s="23">
        <f t="shared" si="5706"/>
        <v>2.5050448820541416</v>
      </c>
      <c r="AN865" s="158">
        <v>2705.8</v>
      </c>
      <c r="AO865" s="23">
        <f t="shared" si="5707"/>
        <v>-12.532729917569085</v>
      </c>
      <c r="AP865" s="158">
        <v>2931.7</v>
      </c>
      <c r="AQ865" s="23">
        <f t="shared" si="5708"/>
        <v>-1.2197176454732395</v>
      </c>
      <c r="AR865" s="158">
        <v>3116.7</v>
      </c>
      <c r="AS865" s="23">
        <f t="shared" si="5709"/>
        <v>16.377282401702686</v>
      </c>
      <c r="AT865" s="510">
        <v>2896.1</v>
      </c>
      <c r="AU865" s="576">
        <f t="shared" si="5710"/>
        <v>-1.700495553594461</v>
      </c>
      <c r="AV865" s="510">
        <v>2994</v>
      </c>
      <c r="AW865" s="576">
        <f t="shared" si="5711"/>
        <v>10.651193731983133</v>
      </c>
      <c r="AX865" s="510">
        <v>2721</v>
      </c>
      <c r="AY865" s="510">
        <f t="shared" si="5712"/>
        <v>-7.1869563734352049</v>
      </c>
      <c r="AZ865" s="510">
        <v>2681</v>
      </c>
      <c r="BA865" s="510">
        <f t="shared" si="5713"/>
        <v>-13.979529630699128</v>
      </c>
      <c r="BB865" s="510">
        <v>2816</v>
      </c>
      <c r="BC865" s="23">
        <f t="shared" si="5714"/>
        <v>-2.7657884741548955</v>
      </c>
      <c r="BD865" s="287">
        <v>2775</v>
      </c>
      <c r="BE865" s="23">
        <f t="shared" si="5715"/>
        <v>-7.3146292585170354</v>
      </c>
      <c r="BF865" s="56">
        <f>BF846-BF877-BF878-BF858-BF859-BF860-BF861-BF862-BF863-BF864-BF867</f>
        <v>1883.2851562631113</v>
      </c>
      <c r="BG865" s="23">
        <f t="shared" si="5716"/>
        <v>-30.787021085515942</v>
      </c>
      <c r="BH865" s="56">
        <f>BH846-BH877-BH878-BH858-BH859-BH860-BH861-BH862-BH863-BH864-BH867</f>
        <v>2138.2057668386115</v>
      </c>
      <c r="BI865" s="23">
        <f t="shared" si="5717"/>
        <v>-20.245961699417702</v>
      </c>
      <c r="BJ865" s="56">
        <f>BJ846-BJ877-BJ878-BJ858-BJ859-BJ860-BJ861-BJ862-BJ863-BJ864-BJ867</f>
        <v>1921.4042202751152</v>
      </c>
      <c r="BK865" s="23">
        <f t="shared" si="5718"/>
        <v>-31.768316041366653</v>
      </c>
      <c r="BL865" s="56">
        <f>BL846-BL877-BL878-BL858-BL859-BL860-BL861-BL862-BL863-BL864-BL867</f>
        <v>1684.5486458108062</v>
      </c>
      <c r="BM865" s="23">
        <f t="shared" si="5719"/>
        <v>-39.29554429510609</v>
      </c>
      <c r="BO865" s="137"/>
      <c r="BQ865" s="5"/>
      <c r="BR865" s="5"/>
      <c r="BS865" s="5"/>
      <c r="BT865" s="5"/>
      <c r="BU865" s="56">
        <f t="shared" si="5731"/>
        <v>4830.1000000000004</v>
      </c>
      <c r="BV865" s="23" t="str">
        <f t="shared" si="5720"/>
        <v>NA</v>
      </c>
      <c r="BW865" s="56">
        <f t="shared" si="5732"/>
        <v>5506</v>
      </c>
      <c r="BX865" s="23">
        <f t="shared" si="5721"/>
        <v>13.993499099397511</v>
      </c>
      <c r="BY865" s="56">
        <f t="shared" si="5733"/>
        <v>3144.9</v>
      </c>
      <c r="BZ865" s="23">
        <f t="shared" si="5728"/>
        <v>-42.882310207046856</v>
      </c>
      <c r="CA865" s="56">
        <f t="shared" si="5734"/>
        <v>3093.5</v>
      </c>
      <c r="CB865" s="23">
        <f t="shared" si="5728"/>
        <v>-1.634392190530698</v>
      </c>
      <c r="CC865" s="56">
        <f t="shared" si="5735"/>
        <v>2705.8</v>
      </c>
      <c r="CD865" s="23">
        <f t="shared" si="5728"/>
        <v>-12.532729917569085</v>
      </c>
      <c r="CE865" s="56">
        <f t="shared" si="5736"/>
        <v>2994</v>
      </c>
      <c r="CF865" s="23">
        <f t="shared" si="5728"/>
        <v>10.651193731983133</v>
      </c>
      <c r="CG865" s="56">
        <f t="shared" si="5737"/>
        <v>2775</v>
      </c>
      <c r="CH865" s="23">
        <f t="shared" si="5728"/>
        <v>-7.3146292585170354</v>
      </c>
      <c r="CI865" s="56">
        <f t="shared" si="5738"/>
        <v>1684.5486458108062</v>
      </c>
      <c r="CJ865" s="23">
        <f t="shared" si="5728"/>
        <v>-39.29554429510609</v>
      </c>
      <c r="CK865" s="56">
        <f>CK846-CK877-CK878-CK858-CK859-CK860-CK861-CK862-CK863-CK864-CK867</f>
        <v>1177.4351003285265</v>
      </c>
      <c r="CL865" s="23">
        <f t="shared" si="5728"/>
        <v>-30.103823166127452</v>
      </c>
      <c r="CM865" s="56">
        <f>CM846-CM877-CM878-CM858-CM859-CM860-CM861-CM862-CM863-CM864-CM867</f>
        <v>622.61683498544153</v>
      </c>
      <c r="CN865" s="23">
        <f t="shared" si="5728"/>
        <v>-47.120921160604112</v>
      </c>
      <c r="CO865" s="56">
        <f>CO846-CO877-CO878-CO858-CO859-CO860-CO861-CO862-CO863-CO864-CO867</f>
        <v>20.617276068398496</v>
      </c>
      <c r="CP865" s="23" t="str">
        <f t="shared" si="5728"/>
        <v>NM</v>
      </c>
      <c r="CQ865" s="56">
        <f>CQ846-CQ877-CQ878-CQ858-CQ859-CQ860-CQ861-CQ862-CQ863-CQ864-CQ867</f>
        <v>-628.57136038236786</v>
      </c>
      <c r="CR865" s="23" t="str">
        <f t="shared" si="5728"/>
        <v>NM</v>
      </c>
      <c r="CS865" s="23" t="str">
        <f t="shared" si="5722"/>
        <v>NM</v>
      </c>
    </row>
    <row r="866" spans="1:97" ht="12.75" customHeight="1" x14ac:dyDescent="0.2">
      <c r="A866" s="647" t="s">
        <v>544</v>
      </c>
      <c r="B866" s="48"/>
      <c r="C866" s="59"/>
      <c r="D866" s="48"/>
      <c r="E866" s="59"/>
      <c r="F866" s="48"/>
      <c r="G866" s="59"/>
      <c r="H866" s="48"/>
      <c r="I866" s="59"/>
      <c r="J866" s="48"/>
      <c r="K866" s="23"/>
      <c r="L866" s="48"/>
      <c r="M866" s="23"/>
      <c r="N866" s="48"/>
      <c r="O866" s="23"/>
      <c r="P866" s="48"/>
      <c r="Q866" s="23"/>
      <c r="R866" s="48"/>
      <c r="S866" s="23"/>
      <c r="T866" s="48"/>
      <c r="U866" s="23"/>
      <c r="V866" s="48"/>
      <c r="W866" s="23"/>
      <c r="X866" s="48"/>
      <c r="Y866" s="23"/>
      <c r="Z866" s="49"/>
      <c r="AA866" s="23"/>
      <c r="AB866" s="49"/>
      <c r="AC866" s="23"/>
      <c r="AD866" s="158"/>
      <c r="AE866" s="23"/>
      <c r="AF866" s="49"/>
      <c r="AG866" s="23"/>
      <c r="AH866" s="49"/>
      <c r="AI866" s="23"/>
      <c r="AJ866" s="49"/>
      <c r="AK866" s="23"/>
      <c r="AL866" s="49"/>
      <c r="AM866" s="23"/>
      <c r="AN866" s="158"/>
      <c r="AO866" s="23"/>
      <c r="AP866" s="158"/>
      <c r="AQ866" s="23"/>
      <c r="AR866" s="158"/>
      <c r="AS866" s="23"/>
      <c r="AT866" s="510"/>
      <c r="AU866" s="576"/>
      <c r="AV866" s="510">
        <v>59576</v>
      </c>
      <c r="AW866" s="576"/>
      <c r="AX866" s="510">
        <v>58858</v>
      </c>
      <c r="AY866" s="510"/>
      <c r="AZ866" s="510">
        <v>59073</v>
      </c>
      <c r="BA866" s="510"/>
      <c r="BB866" s="510">
        <v>59087</v>
      </c>
      <c r="BC866" s="158"/>
      <c r="BD866" s="158">
        <v>58277</v>
      </c>
      <c r="BE866" s="23">
        <f t="shared" si="5715"/>
        <v>-2.1804082180743922</v>
      </c>
      <c r="BF866" s="56"/>
      <c r="BG866" s="23"/>
      <c r="BH866" s="56"/>
      <c r="BI866" s="23"/>
      <c r="BJ866" s="56"/>
      <c r="BK866" s="23"/>
      <c r="BL866" s="56"/>
      <c r="BM866" s="23"/>
      <c r="BO866" s="137"/>
      <c r="BQ866" s="5"/>
      <c r="BR866" s="5"/>
      <c r="BS866" s="5"/>
      <c r="BT866" s="5"/>
      <c r="BU866" s="56"/>
      <c r="BV866" s="23"/>
      <c r="BW866" s="56"/>
      <c r="BX866" s="23"/>
      <c r="BY866" s="56"/>
      <c r="BZ866" s="23"/>
      <c r="CA866" s="56"/>
      <c r="CB866" s="23"/>
      <c r="CC866" s="56"/>
      <c r="CD866" s="23"/>
      <c r="CE866" s="56">
        <f t="shared" si="5736"/>
        <v>59576</v>
      </c>
      <c r="CF866" s="23"/>
      <c r="CG866" s="56">
        <f t="shared" si="5737"/>
        <v>58277</v>
      </c>
      <c r="CH866" s="23">
        <f t="shared" si="5728"/>
        <v>-2.1804082180743922</v>
      </c>
      <c r="CI866" s="56"/>
      <c r="CJ866" s="23"/>
      <c r="CK866" s="56"/>
      <c r="CL866" s="23"/>
      <c r="CM866" s="56"/>
      <c r="CN866" s="23"/>
      <c r="CO866" s="56"/>
      <c r="CP866" s="23"/>
      <c r="CQ866" s="56"/>
      <c r="CR866" s="23"/>
      <c r="CS866" s="23"/>
    </row>
    <row r="867" spans="1:97" ht="12.75" customHeight="1" x14ac:dyDescent="0.2">
      <c r="A867" s="19" t="s">
        <v>307</v>
      </c>
      <c r="B867" s="48">
        <v>1886.5</v>
      </c>
      <c r="C867" s="59"/>
      <c r="D867" s="48">
        <v>1942.3</v>
      </c>
      <c r="E867" s="59"/>
      <c r="F867" s="48">
        <v>2299.9</v>
      </c>
      <c r="G867" s="59"/>
      <c r="H867" s="48">
        <v>2256.6</v>
      </c>
      <c r="I867" s="59"/>
      <c r="J867" s="48">
        <v>2691.4</v>
      </c>
      <c r="K867" s="23">
        <f t="shared" si="5695"/>
        <v>42.666313278558185</v>
      </c>
      <c r="L867" s="48">
        <v>2753.7</v>
      </c>
      <c r="M867" s="23">
        <f t="shared" si="5696"/>
        <v>41.775214951346328</v>
      </c>
      <c r="N867" s="48">
        <v>3097.4</v>
      </c>
      <c r="O867" s="23">
        <f t="shared" si="5697"/>
        <v>34.675420670463943</v>
      </c>
      <c r="P867" s="48">
        <v>4121.8</v>
      </c>
      <c r="Q867" s="23">
        <f t="shared" si="5698"/>
        <v>82.655322166090599</v>
      </c>
      <c r="R867" s="48">
        <v>5252.8</v>
      </c>
      <c r="S867" s="23">
        <f t="shared" si="5723"/>
        <v>95.16980010403509</v>
      </c>
      <c r="T867" s="48">
        <v>5732.6</v>
      </c>
      <c r="U867" s="23" t="str">
        <f t="shared" si="5724"/>
        <v>NM</v>
      </c>
      <c r="V867" s="48">
        <v>5150</v>
      </c>
      <c r="W867" s="23">
        <f t="shared" si="5725"/>
        <v>66.268483244011108</v>
      </c>
      <c r="X867" s="48">
        <v>6064.9</v>
      </c>
      <c r="Y867" s="23">
        <f t="shared" si="5699"/>
        <v>47.142025328739855</v>
      </c>
      <c r="Z867" s="49">
        <v>6493</v>
      </c>
      <c r="AA867" s="23">
        <f t="shared" si="5700"/>
        <v>23.61026500152299</v>
      </c>
      <c r="AB867" s="49">
        <v>6936.9</v>
      </c>
      <c r="AC867" s="23">
        <f t="shared" si="5701"/>
        <v>21.007919617625493</v>
      </c>
      <c r="AD867" s="158">
        <v>7507.7</v>
      </c>
      <c r="AE867" s="23">
        <f t="shared" si="5702"/>
        <v>45.780582524271843</v>
      </c>
      <c r="AF867" s="49">
        <v>8195.9</v>
      </c>
      <c r="AG867" s="23">
        <f t="shared" si="5703"/>
        <v>35.136605714851022</v>
      </c>
      <c r="AH867" s="49">
        <v>7993.9</v>
      </c>
      <c r="AI867" s="23">
        <f t="shared" si="5704"/>
        <v>23.115663021715683</v>
      </c>
      <c r="AJ867" s="49">
        <v>8669.6</v>
      </c>
      <c r="AK867" s="23">
        <f t="shared" si="5705"/>
        <v>24.978016116709199</v>
      </c>
      <c r="AL867" s="49">
        <v>9535.5</v>
      </c>
      <c r="AM867" s="23">
        <f t="shared" si="5706"/>
        <v>27.00960347376693</v>
      </c>
      <c r="AN867" s="158">
        <v>8907.7999999999993</v>
      </c>
      <c r="AO867" s="23">
        <f t="shared" si="5707"/>
        <v>8.686050342244279</v>
      </c>
      <c r="AP867" s="158">
        <v>3332.9</v>
      </c>
      <c r="AQ867" s="23" t="str">
        <f t="shared" si="5708"/>
        <v>NM</v>
      </c>
      <c r="AR867" s="158">
        <v>3291.3</v>
      </c>
      <c r="AS867" s="23" t="str">
        <f t="shared" si="5709"/>
        <v>NM</v>
      </c>
      <c r="AT867" s="510">
        <v>2989.2</v>
      </c>
      <c r="AU867" s="576" t="str">
        <f t="shared" si="5710"/>
        <v>NM</v>
      </c>
      <c r="AV867" s="510">
        <v>2495</v>
      </c>
      <c r="AW867" s="576" t="str">
        <f t="shared" si="5711"/>
        <v>NM</v>
      </c>
      <c r="AX867" s="510">
        <v>2544.8000000000002</v>
      </c>
      <c r="AY867" s="576">
        <f t="shared" si="5712"/>
        <v>-23.646073989618642</v>
      </c>
      <c r="AZ867" s="510">
        <v>2155.3000000000002</v>
      </c>
      <c r="BA867" s="576">
        <f t="shared" si="5713"/>
        <v>-34.515237140339686</v>
      </c>
      <c r="BB867" s="510">
        <v>2168.3000000000002</v>
      </c>
      <c r="BC867" s="23">
        <f t="shared" si="5714"/>
        <v>-27.462197243409602</v>
      </c>
      <c r="BD867" s="287">
        <v>1705</v>
      </c>
      <c r="BE867" s="23">
        <f t="shared" si="5715"/>
        <v>-31.663326653306612</v>
      </c>
      <c r="BF867" s="48">
        <f t="shared" ref="BF867:BJ867" si="5743">BD867</f>
        <v>1705</v>
      </c>
      <c r="BG867" s="23">
        <f t="shared" si="5716"/>
        <v>-33.000628733102801</v>
      </c>
      <c r="BH867" s="48">
        <f t="shared" si="5743"/>
        <v>1705</v>
      </c>
      <c r="BI867" s="23">
        <f t="shared" si="5717"/>
        <v>-20.892683153157343</v>
      </c>
      <c r="BJ867" s="48">
        <f t="shared" si="5743"/>
        <v>1705</v>
      </c>
      <c r="BK867" s="23">
        <f t="shared" si="5718"/>
        <v>-21.366969515288481</v>
      </c>
      <c r="BL867" s="48">
        <f t="shared" ref="BL867" si="5744">BJ867</f>
        <v>1705</v>
      </c>
      <c r="BM867" s="23">
        <f t="shared" si="5719"/>
        <v>0</v>
      </c>
      <c r="BO867" s="137"/>
      <c r="BQ867" s="5"/>
      <c r="BR867" s="5"/>
      <c r="BS867" s="5"/>
      <c r="BT867" s="5"/>
      <c r="BU867" s="36">
        <f t="shared" si="5731"/>
        <v>2256.6</v>
      </c>
      <c r="BV867" s="23" t="str">
        <f t="shared" si="5720"/>
        <v>NA</v>
      </c>
      <c r="BW867" s="56">
        <f t="shared" si="5732"/>
        <v>4121.8</v>
      </c>
      <c r="BX867" s="23">
        <f t="shared" si="5721"/>
        <v>82.655322166090599</v>
      </c>
      <c r="BY867" s="56">
        <f t="shared" si="5733"/>
        <v>6064.9</v>
      </c>
      <c r="BZ867" s="23">
        <f t="shared" si="5728"/>
        <v>47.142025328739855</v>
      </c>
      <c r="CA867" s="56">
        <f t="shared" si="5734"/>
        <v>8195.9</v>
      </c>
      <c r="CB867" s="23">
        <f t="shared" si="5728"/>
        <v>35.136605714851022</v>
      </c>
      <c r="CC867" s="56">
        <f t="shared" si="5735"/>
        <v>8907.7999999999993</v>
      </c>
      <c r="CD867" s="23">
        <f t="shared" si="5728"/>
        <v>8.686050342244279</v>
      </c>
      <c r="CE867" s="56">
        <f t="shared" si="5736"/>
        <v>2495</v>
      </c>
      <c r="CF867" s="23" t="str">
        <f t="shared" si="5728"/>
        <v>NM</v>
      </c>
      <c r="CG867" s="56">
        <f t="shared" si="5737"/>
        <v>1705</v>
      </c>
      <c r="CH867" s="23">
        <f t="shared" si="5728"/>
        <v>-31.663326653306612</v>
      </c>
      <c r="CI867" s="56">
        <f t="shared" si="5738"/>
        <v>1705</v>
      </c>
      <c r="CJ867" s="23">
        <f t="shared" si="5728"/>
        <v>0</v>
      </c>
      <c r="CK867" s="48">
        <f>CI867</f>
        <v>1705</v>
      </c>
      <c r="CL867" s="23">
        <f t="shared" si="5728"/>
        <v>0</v>
      </c>
      <c r="CM867" s="48">
        <f>CK867</f>
        <v>1705</v>
      </c>
      <c r="CN867" s="23">
        <f t="shared" si="5728"/>
        <v>0</v>
      </c>
      <c r="CO867" s="48">
        <f>CM867</f>
        <v>1705</v>
      </c>
      <c r="CP867" s="23">
        <f t="shared" si="5728"/>
        <v>0</v>
      </c>
      <c r="CQ867" s="48">
        <f>CO867</f>
        <v>1705</v>
      </c>
      <c r="CR867" s="23">
        <f t="shared" si="5728"/>
        <v>0</v>
      </c>
      <c r="CS867" s="23">
        <f t="shared" si="5722"/>
        <v>0</v>
      </c>
    </row>
    <row r="868" spans="1:97" ht="12.75" customHeight="1" x14ac:dyDescent="0.2">
      <c r="A868" s="19" t="s">
        <v>61</v>
      </c>
      <c r="B868" s="56">
        <f>B859+B858+B864+B865+B867+B860+B861+B862+B863</f>
        <v>199318.29999999996</v>
      </c>
      <c r="C868" s="59"/>
      <c r="D868" s="56">
        <f>D859+D858+D864+D865+D867+D860+D861+D862+D863</f>
        <v>194663.6</v>
      </c>
      <c r="E868" s="59"/>
      <c r="F868" s="56">
        <f>F859+F858+F864+F865+F867+F860+F861+F862+F863</f>
        <v>184884.69999999998</v>
      </c>
      <c r="G868" s="59"/>
      <c r="H868" s="56">
        <f>H859+H858+H864+H865+H867+H860+H861+H862+H863</f>
        <v>189646.7</v>
      </c>
      <c r="I868" s="59"/>
      <c r="J868" s="56">
        <f>J859+J858+J864+J865+J867+J860+J861+J862+J863</f>
        <v>196413.39999999997</v>
      </c>
      <c r="K868" s="23">
        <f t="shared" si="5695"/>
        <v>-1.4574176079165779</v>
      </c>
      <c r="L868" s="56">
        <f>L859+L858+L864+L865+L867+L860+L861+L862+L863</f>
        <v>196081.80000000002</v>
      </c>
      <c r="M868" s="23">
        <f t="shared" si="5696"/>
        <v>0.72853887424253472</v>
      </c>
      <c r="N868" s="56">
        <f>N859+N858+N864+N865+N867+N860+N861+N862+N863</f>
        <v>198259.09999999998</v>
      </c>
      <c r="O868" s="23">
        <f t="shared" si="5697"/>
        <v>7.2339138933616542</v>
      </c>
      <c r="P868" s="56">
        <f>P859+P858+P864+P865+P867+P860+P861+P862+P863</f>
        <v>200332.99999999997</v>
      </c>
      <c r="Q868" s="23">
        <f t="shared" si="5698"/>
        <v>5.634846269405136</v>
      </c>
      <c r="R868" s="56">
        <f>R859+R858+R864+R865+R867+R860+R861+R862+R863</f>
        <v>205251.09999999998</v>
      </c>
      <c r="S868" s="23">
        <f t="shared" si="5723"/>
        <v>4.4995402554000918</v>
      </c>
      <c r="T868" s="56">
        <f>T859+T858+T864+T865+T867+T860+T861+T862+T863</f>
        <v>202476.40000000002</v>
      </c>
      <c r="U868" s="23">
        <f t="shared" si="5724"/>
        <v>3.2611899727562621</v>
      </c>
      <c r="V868" s="56">
        <f>V859+V858+V864+V865+V867+V860+V861+V862+V863</f>
        <v>202793.7</v>
      </c>
      <c r="W868" s="23">
        <f t="shared" si="5725"/>
        <v>2.2872090108348342</v>
      </c>
      <c r="X868" s="56">
        <f>X859+X858+X864+X865+X867+X860+X861+X862+X863</f>
        <v>205509.19999999998</v>
      </c>
      <c r="Y868" s="23">
        <f t="shared" si="5699"/>
        <v>2.5837979763693619</v>
      </c>
      <c r="Z868" s="56">
        <f>Z859+Z858+Z864+Z865+Z867+Z860+Z861+Z862+Z863</f>
        <v>207142.7</v>
      </c>
      <c r="AA868" s="23">
        <f t="shared" si="5700"/>
        <v>0.92160285620883631</v>
      </c>
      <c r="AB868" s="56">
        <f>AB859+AB858+AB864+AB865+AB867+AB860+AB861+AB862+AB863</f>
        <v>210765.7</v>
      </c>
      <c r="AC868" s="23">
        <f t="shared" si="5701"/>
        <v>4.0939586045583454</v>
      </c>
      <c r="AD868" s="413">
        <f>AD859+AD858+AD864+AD865+AD867+AD860+AD861+AD862+AD863</f>
        <v>207105.60000000006</v>
      </c>
      <c r="AE868" s="23">
        <f t="shared" si="5702"/>
        <v>2.1262494840816215</v>
      </c>
      <c r="AF868" s="56">
        <f>AF859+AF858+AF864+AF865+AF867+AF860+AF861+AF862+AF863</f>
        <v>208369.2</v>
      </c>
      <c r="AG868" s="23">
        <f t="shared" si="5703"/>
        <v>1.3916651906581423</v>
      </c>
      <c r="AH868" s="56">
        <f>AH859+AH858+AH864+AH865+AH867+AH860+AH861+AH862+AH863</f>
        <v>210317.49999999997</v>
      </c>
      <c r="AI868" s="23">
        <f t="shared" si="5704"/>
        <v>1.5326632316755351</v>
      </c>
      <c r="AJ868" s="56">
        <f>AJ859+AJ858+AJ864+AJ865+AJ867+AJ860+AJ861+AJ862+AJ863</f>
        <v>209036.2</v>
      </c>
      <c r="AK868" s="23">
        <f t="shared" si="5705"/>
        <v>-0.82057943963367297</v>
      </c>
      <c r="AL868" s="56">
        <f>AL859+AL858+AL864+AL865+AL867+AL860+AL861+AL862+AL863</f>
        <v>201462.60000000003</v>
      </c>
      <c r="AM868" s="23">
        <f t="shared" si="5706"/>
        <v>-2.7246969661853804</v>
      </c>
      <c r="AN868" s="413">
        <f t="shared" ref="AN868:AP868" si="5745">AN859+AN858+AN864+AN865+AN867+AN860+AN861+AN862+AN863</f>
        <v>201973.8</v>
      </c>
      <c r="AO868" s="23">
        <f t="shared" si="5707"/>
        <v>-3.0692635955793968</v>
      </c>
      <c r="AP868" s="413">
        <f t="shared" si="5745"/>
        <v>198305.3</v>
      </c>
      <c r="AQ868" s="23">
        <f t="shared" si="5708"/>
        <v>-5.7114600544414866</v>
      </c>
      <c r="AR868" s="413">
        <f t="shared" ref="AR868:AT868" si="5746">AR859+AR858+AR864+AR865+AR867+AR860+AR861+AR862+AR863</f>
        <v>200699.82</v>
      </c>
      <c r="AS868" s="23">
        <f t="shared" si="5709"/>
        <v>-3.9880078187414458</v>
      </c>
      <c r="AT868" s="649">
        <f t="shared" si="5746"/>
        <v>202466.80000000002</v>
      </c>
      <c r="AU868" s="576">
        <f t="shared" si="5710"/>
        <v>0.4984548000472433</v>
      </c>
      <c r="AV868" s="649">
        <f>AV859+AV858+AV864+AV865+AV867+AV860+AV861+AV862+AV863+AV866</f>
        <v>200616.5</v>
      </c>
      <c r="AW868" s="576">
        <f t="shared" si="5711"/>
        <v>-0.67201785578129281</v>
      </c>
      <c r="AX868" s="649">
        <f>AX859+AX858+AX864+AX865+AX867+AX860+AX861+AX862+AX863+AX866</f>
        <v>203499</v>
      </c>
      <c r="AY868" s="576">
        <f t="shared" si="5712"/>
        <v>2.6190424562530623</v>
      </c>
      <c r="AZ868" s="649">
        <f>AZ859+AZ858+AZ864+AZ865+AZ867+AZ860+AZ861+AZ862+AZ863+AZ866</f>
        <v>205896.4</v>
      </c>
      <c r="BA868" s="576">
        <f t="shared" si="5713"/>
        <v>2.5892300252187583</v>
      </c>
      <c r="BB868" s="649">
        <f>BB859+BB858+BB864+BB865+BB867+BB860+BB861+BB862+BB863+BB866</f>
        <v>212382.1</v>
      </c>
      <c r="BC868" s="23">
        <f t="shared" si="5714"/>
        <v>4.8972473511706527</v>
      </c>
      <c r="BD868" s="413">
        <f>BD859+BD858+BD864+BD865+BD867+BD860+BD861+BD862+BD863+BD866</f>
        <v>211493</v>
      </c>
      <c r="BE868" s="23">
        <f t="shared" si="5715"/>
        <v>5.4215381087796777</v>
      </c>
      <c r="BF868" s="56">
        <f t="shared" ref="BF868" si="5747">BF859+BF858+BF864+BF865+BF867+BF860+BF861+BF862+BF863</f>
        <v>154416.43515626312</v>
      </c>
      <c r="BG868" s="23">
        <f t="shared" si="5716"/>
        <v>-24.119315005841248</v>
      </c>
      <c r="BH868" s="56">
        <f t="shared" ref="BH868" si="5748">BH859+BH858+BH864+BH865+BH867+BH860+BH861+BH862+BH863</f>
        <v>156797.58826683863</v>
      </c>
      <c r="BI868" s="23">
        <f t="shared" si="5717"/>
        <v>-23.846367266820291</v>
      </c>
      <c r="BJ868" s="56">
        <f t="shared" ref="BJ868" si="5749">BJ859+BJ858+BJ864+BJ865+BJ867+BJ860+BJ861+BJ862+BJ863</f>
        <v>158741.70576527514</v>
      </c>
      <c r="BK868" s="23">
        <f t="shared" si="5718"/>
        <v>-25.256551392384232</v>
      </c>
      <c r="BL868" s="56">
        <f t="shared" ref="BL868" si="5750">BL859+BL858+BL864+BL865+BL867+BL860+BL861+BL862+BL863</f>
        <v>160701.07113066083</v>
      </c>
      <c r="BM868" s="23">
        <f t="shared" si="5719"/>
        <v>-24.015891244315025</v>
      </c>
      <c r="BO868" s="137"/>
      <c r="BQ868" s="5"/>
      <c r="BR868" s="5"/>
      <c r="BS868" s="5"/>
      <c r="BT868" s="5"/>
      <c r="BU868" s="56">
        <f>BU859+BU858+BU864+BU865+BU867+BU860+BU861+BU862+BU863</f>
        <v>189646.7</v>
      </c>
      <c r="BV868" s="23" t="str">
        <f t="shared" si="5720"/>
        <v>NA</v>
      </c>
      <c r="BW868" s="56">
        <f>BW859+BW858+BW864+BW865+BW867+BW860+BW861+BW862+BW863</f>
        <v>200332.99999999997</v>
      </c>
      <c r="BX868" s="23">
        <f t="shared" si="5721"/>
        <v>5.634846269405136</v>
      </c>
      <c r="BY868" s="56">
        <f>BY859+BY858+BY864+BY865+BY867+BY860+BY861+BY862+BY863</f>
        <v>205509.19999999998</v>
      </c>
      <c r="BZ868" s="23">
        <f t="shared" si="5728"/>
        <v>2.5837979763693619</v>
      </c>
      <c r="CA868" s="56">
        <f>CA859+CA858+CA864+CA865+CA867+CA860+CA861+CA862+CA863</f>
        <v>208369.2</v>
      </c>
      <c r="CB868" s="23">
        <f t="shared" si="5728"/>
        <v>1.3916651906581423</v>
      </c>
      <c r="CC868" s="56">
        <f>CC859+CC858+CC864+CC865+CC867+CC860+CC861+CC862+CC863</f>
        <v>201973.8</v>
      </c>
      <c r="CD868" s="23">
        <f t="shared" si="5728"/>
        <v>-3.0692635955793968</v>
      </c>
      <c r="CE868" s="56">
        <f>CE859+CE858+CE864+CE865+CE867+CE860+CE861+CE862+CE863</f>
        <v>141040.5</v>
      </c>
      <c r="CF868" s="23">
        <f t="shared" si="5728"/>
        <v>-30.168912997626418</v>
      </c>
      <c r="CG868" s="56">
        <f>CG859+CG858+CG864+CG865+CG867+CG860+CG861+CG862+CG863</f>
        <v>153216</v>
      </c>
      <c r="CH868" s="23">
        <f t="shared" si="5728"/>
        <v>8.6326267986854823</v>
      </c>
      <c r="CI868" s="56">
        <f>CI859+CI858+CI864+CI865+CI867+CI860+CI861+CI862+CI863</f>
        <v>160701.07113066083</v>
      </c>
      <c r="CJ868" s="23">
        <f t="shared" si="5728"/>
        <v>4.8853064501493515</v>
      </c>
      <c r="CK868" s="56">
        <f>CK859+CK858+CK864+CK865+CK867+CK860+CK861+CK862+CK863</f>
        <v>162426.10729291505</v>
      </c>
      <c r="CL868" s="23">
        <f t="shared" si="5728"/>
        <v>1.0734440972404391</v>
      </c>
      <c r="CM868" s="56">
        <f>CM859+CM858+CM864+CM865+CM867+CM860+CM861+CM862+CM863</f>
        <v>164140.00612204359</v>
      </c>
      <c r="CN868" s="23">
        <f t="shared" si="5728"/>
        <v>1.0551867909003976</v>
      </c>
      <c r="CO868" s="56">
        <f>CO859+CO858+CO864+CO865+CO867+CO860+CO861+CO862+CO863</f>
        <v>165843.9416359938</v>
      </c>
      <c r="CP868" s="23">
        <f t="shared" si="5728"/>
        <v>1.0380988487860066</v>
      </c>
      <c r="CQ868" s="56">
        <f>CQ859+CQ858+CQ864+CQ865+CQ867+CQ860+CQ861+CQ862+CQ863</f>
        <v>167538.5688467389</v>
      </c>
      <c r="CR868" s="23">
        <f t="shared" si="5728"/>
        <v>1.0218203897158773</v>
      </c>
      <c r="CS868" s="23">
        <f t="shared" si="5722"/>
        <v>1.8033656734460335</v>
      </c>
    </row>
    <row r="869" spans="1:97" ht="12.75" customHeight="1" x14ac:dyDescent="0.2">
      <c r="A869" s="19"/>
      <c r="B869" s="37"/>
      <c r="C869" s="59"/>
      <c r="D869" s="37"/>
      <c r="E869" s="59"/>
      <c r="F869" s="37"/>
      <c r="G869" s="59"/>
      <c r="H869" s="37"/>
      <c r="I869" s="59"/>
      <c r="J869" s="37"/>
      <c r="K869" s="176" t="str">
        <f t="shared" si="5695"/>
        <v>NA</v>
      </c>
      <c r="L869" s="37"/>
      <c r="M869" s="176" t="str">
        <f t="shared" si="5696"/>
        <v>NA</v>
      </c>
      <c r="N869" s="37"/>
      <c r="O869" s="176" t="str">
        <f t="shared" si="5697"/>
        <v>NA</v>
      </c>
      <c r="P869" s="37"/>
      <c r="Q869" s="176" t="str">
        <f t="shared" si="5698"/>
        <v>NA</v>
      </c>
      <c r="R869" s="37"/>
      <c r="T869" s="37"/>
      <c r="V869" s="37"/>
      <c r="X869" s="37"/>
      <c r="Z869" s="37"/>
      <c r="AB869" s="37"/>
      <c r="AD869" s="411"/>
      <c r="AF869" s="37"/>
      <c r="AH869" s="37"/>
      <c r="AJ869" s="37"/>
      <c r="AL869" s="37"/>
      <c r="AN869" s="411"/>
      <c r="AP869" s="411"/>
      <c r="AR869" s="411"/>
      <c r="AT869" s="650"/>
      <c r="AU869" s="400"/>
      <c r="AV869" s="650"/>
      <c r="AW869" s="400"/>
      <c r="AX869" s="650"/>
      <c r="AY869" s="400"/>
      <c r="AZ869" s="650"/>
      <c r="BA869" s="400"/>
      <c r="BB869" s="650"/>
      <c r="BD869" s="411"/>
      <c r="BF869" s="37"/>
      <c r="BH869" s="37"/>
      <c r="BJ869" s="37"/>
      <c r="BL869" s="37"/>
      <c r="BQ869" s="5"/>
      <c r="CK869" s="37"/>
      <c r="CM869" s="37"/>
      <c r="CO869" s="37"/>
      <c r="CQ869" s="37"/>
    </row>
    <row r="870" spans="1:97" ht="12.75" customHeight="1" x14ac:dyDescent="0.2">
      <c r="A870" s="14" t="s">
        <v>311</v>
      </c>
      <c r="B870" s="49">
        <v>7685.2</v>
      </c>
      <c r="C870" s="59"/>
      <c r="D870" s="49">
        <v>5050.3</v>
      </c>
      <c r="E870" s="59"/>
      <c r="F870" s="49">
        <v>5134.3</v>
      </c>
      <c r="G870" s="59"/>
      <c r="H870" s="49">
        <v>4041.3</v>
      </c>
      <c r="I870" s="59"/>
      <c r="J870" s="49">
        <v>4043.2</v>
      </c>
      <c r="K870" s="23">
        <f>IF(ISERROR((J870/B870-1)*100),"NA",IF(((J870/B870-1)*100)&gt;100,"NM",IF(((J870/B870-1)*100)&lt;-50,"NM",(J870/B870-1)*100)))</f>
        <v>-47.389788164263777</v>
      </c>
      <c r="L870" s="49">
        <v>3933.8</v>
      </c>
      <c r="M870" s="23">
        <f>IF(ISERROR((L870/D870-1)*100),"NA",IF(((L870/D870-1)*100)&gt;100,"NM",IF(((L870/D870-1)*100)&lt;-50,"NM",(L870/D870-1)*100)))</f>
        <v>-22.10759756846128</v>
      </c>
      <c r="N870" s="49">
        <v>3893.2</v>
      </c>
      <c r="O870" s="23">
        <f>IF(ISERROR((N870/F870-1)*100),"NA",IF(((N870/F870-1)*100)&gt;100,"NM",IF(((N870/F870-1)*100)&lt;-50,"NM",(N870/F870-1)*100)))</f>
        <v>-24.172720721422593</v>
      </c>
      <c r="P870" s="49">
        <v>3808.3</v>
      </c>
      <c r="Q870" s="23">
        <f>IF(ISERROR((P870/H870-1)*100),"NA",IF(((P870/H870-1)*100)&gt;100,"NM",IF(((P870/H870-1)*100)&lt;-50,"NM",(P870/H870-1)*100)))</f>
        <v>-5.7654715066933875</v>
      </c>
      <c r="R870" s="49">
        <v>3707.3</v>
      </c>
      <c r="S870" s="23">
        <f>IF(ISERROR((R870/J870-1)*100),"NA",IF(((R870/J870-1)*100)&gt;100,"NM",IF(((R870/J870-1)*100)&lt;-50,"NM",(R870/J870-1)*100)))</f>
        <v>-8.3077760189948506</v>
      </c>
      <c r="T870" s="49">
        <v>3683.3</v>
      </c>
      <c r="U870" s="23">
        <f>IF(ISERROR((T870/L870-1)*100),"NA",IF(((T870/L870-1)*100)&gt;100,"NM",IF(((T870/L870-1)*100)&lt;-50,"NM",(T870/L870-1)*100)))</f>
        <v>-6.367888555595103</v>
      </c>
      <c r="V870" s="413">
        <f>V863</f>
        <v>3514.5</v>
      </c>
      <c r="W870" s="23">
        <f>IF(ISERROR((V870/N870-1)*100),"NA",IF(((V870/N870-1)*100)&gt;100,"NM",IF(((V870/N870-1)*100)&lt;-50,"NM",(V870/N870-1)*100)))</f>
        <v>-9.7272166855029258</v>
      </c>
      <c r="X870" s="413">
        <f>X863</f>
        <v>3514.7</v>
      </c>
      <c r="Y870" s="23">
        <f>IF(ISERROR((X870/P870-1)*100),"NA",IF(((X870/P870-1)*100)&gt;100,"NM",IF(((X870/P870-1)*100)&lt;-50,"NM",(X870/P870-1)*100)))</f>
        <v>-7.7094766693800443</v>
      </c>
      <c r="Z870" s="413">
        <f>Z863</f>
        <v>3515</v>
      </c>
      <c r="AA870" s="23">
        <f>IF(ISERROR((Z870/R870-1)*100),"NA",IF(((Z870/R870-1)*100)&gt;100,"NM",IF(((Z870/R870-1)*100)&lt;-50,"NM",(Z870/R870-1)*100)))</f>
        <v>-5.1870633614760076</v>
      </c>
      <c r="AB870" s="413">
        <f>AB863</f>
        <v>3515.2</v>
      </c>
      <c r="AC870" s="23">
        <f>IF(ISERROR((AB870/T870-1)*100),"NA",IF(((AB870/T870-1)*100)&gt;100,"NM",IF(((AB870/T870-1)*100)&lt;-50,"NM",(AB870/T870-1)*100)))</f>
        <v>-4.5638422067168172</v>
      </c>
      <c r="AD870" s="413">
        <f>AD863</f>
        <v>3515.5</v>
      </c>
      <c r="AE870" s="23">
        <f>IF(ISERROR((AD870/V870-1)*100),"NA",IF(((AD870/V870-1)*100)&gt;100,"NM",IF(((AD870/V870-1)*100)&lt;-50,"NM",(AD870/V870-1)*100)))</f>
        <v>2.8453549580320647E-2</v>
      </c>
      <c r="AF870" s="413">
        <f>AF863</f>
        <v>3515.7</v>
      </c>
      <c r="AG870" s="23">
        <f>IF(ISERROR((AF870/X870-1)*100),"NA",IF(((AF870/X870-1)*100)&gt;100,"NM",IF(((AF870/X870-1)*100)&lt;-50,"NM",(AF870/X870-1)*100)))</f>
        <v>2.8451930463480046E-2</v>
      </c>
      <c r="AH870" s="413">
        <f>AH863</f>
        <v>3516</v>
      </c>
      <c r="AI870" s="23">
        <f>IF(ISERROR((AH870/Z870-1)*100),"NA",IF(((AH870/Z870-1)*100)&gt;100,"NM",IF(((AH870/Z870-1)*100)&lt;-50,"NM",(AH870/Z870-1)*100)))</f>
        <v>2.844950213372055E-2</v>
      </c>
      <c r="AJ870" s="413">
        <f>AJ863</f>
        <v>3486</v>
      </c>
      <c r="AK870" s="23">
        <f>IF(ISERROR((AJ870/AB870-1)*100),"NA",IF(((AJ870/AB870-1)*100)&gt;100,"NM",IF(((AJ870/AB870-1)*100)&lt;-50,"NM",(AJ870/AB870-1)*100)))</f>
        <v>-0.8306781975421007</v>
      </c>
      <c r="AL870" s="413">
        <f>AL863</f>
        <v>3485.6</v>
      </c>
      <c r="AM870" s="23">
        <f>IF(ISERROR((AL870/AD870-1)*100),"NA",IF(((AL870/AD870-1)*100)&gt;100,"NM",IF(((AL870/AD870-1)*100)&lt;-50,"NM",(AL870/AD870-1)*100)))</f>
        <v>-0.85051912956904951</v>
      </c>
      <c r="AN870" s="413">
        <f t="shared" ref="AN870:AP870" si="5751">AN863</f>
        <v>3485.9</v>
      </c>
      <c r="AO870" s="23">
        <f>IF(ISERROR((AN870/AF870-1)*100),"NA",IF(((AN870/AF870-1)*100)&gt;100,"NM",IF(((AN870/AF870-1)*100)&lt;-50,"NM",(AN870/AF870-1)*100)))</f>
        <v>-0.84762636174872119</v>
      </c>
      <c r="AP870" s="413">
        <f t="shared" si="5751"/>
        <v>3455.9</v>
      </c>
      <c r="AQ870" s="23">
        <f t="shared" ref="AQ870" si="5752">IF(ISERROR((AP870/AH870-1)*100),"NA",IF(((AP870/AH870-1)*100)&gt;100,"NM",IF(((AP870/AH870-1)*100)&lt;-50,"NM",(AP870/AH870-1)*100)))</f>
        <v>-1.7093287827076198</v>
      </c>
      <c r="AR870" s="413">
        <f t="shared" ref="AR870:AT870" si="5753">AR863</f>
        <v>3547.5</v>
      </c>
      <c r="AS870" s="23">
        <f t="shared" ref="AS870" si="5754">IF(ISERROR((AR870/AJ870-1)*100),"NA",IF(((AR870/AJ870-1)*100)&gt;100,"NM",IF(((AR870/AJ870-1)*100)&lt;-50,"NM",(AR870/AJ870-1)*100)))</f>
        <v>1.7641996557659301</v>
      </c>
      <c r="AT870" s="649">
        <f t="shared" si="5753"/>
        <v>3548.5</v>
      </c>
      <c r="AU870" s="576">
        <f t="shared" ref="AU870" si="5755">IF(ISERROR((AT870/AL870-1)*100),"NA",IF(((AT870/AL870-1)*100)&gt;100,"NM",IF(((AT870/AL870-1)*100)&lt;-50,"NM",(AT870/AL870-1)*100)))</f>
        <v>1.8045673628643621</v>
      </c>
      <c r="AV870" s="649">
        <f t="shared" ref="AV870" si="5756">AV863</f>
        <v>3549.5</v>
      </c>
      <c r="AW870" s="576">
        <f t="shared" ref="AW870" si="5757">IF(ISERROR((AV870/AN870-1)*100),"NA",IF(((AV870/AN870-1)*100)&gt;100,"NM",IF(((AV870/AN870-1)*100)&lt;-50,"NM",(AV870/AN870-1)*100)))</f>
        <v>1.8244929573424384</v>
      </c>
      <c r="AX870" s="649">
        <f t="shared" ref="AX870" si="5758">AX863</f>
        <v>2725.7</v>
      </c>
      <c r="AY870" s="576">
        <f t="shared" ref="AY870" si="5759">IF(ISERROR((AX870/AP870-1)*100),"NA",IF(((AX870/AP870-1)*100)&gt;100,"NM",IF(((AX870/AP870-1)*100)&lt;-50,"NM",(AX870/AP870-1)*100)))</f>
        <v>-21.129083596168876</v>
      </c>
      <c r="AZ870" s="649">
        <f t="shared" ref="AZ870" si="5760">AZ863</f>
        <v>2726.2</v>
      </c>
      <c r="BA870" s="576">
        <f t="shared" ref="BA870" si="5761">IF(ISERROR((AZ870/AR870-1)*100),"NA",IF(((AZ870/AR870-1)*100)&gt;100,"NM",IF(((AZ870/AR870-1)*100)&lt;-50,"NM",(AZ870/AR870-1)*100)))</f>
        <v>-23.151515151515156</v>
      </c>
      <c r="BB870" s="649">
        <f t="shared" ref="BB870:BD870" si="5762">BB863</f>
        <v>3122.2</v>
      </c>
      <c r="BC870" s="23">
        <f t="shared" ref="BC870" si="5763">IF(ISERROR((BB870/AT870-1)*100),"NA",IF(((BB870/AT870-1)*100)&gt;100,"NM",IF(((BB870/AT870-1)*100)&lt;-50,"NM",(BB870/AT870-1)*100)))</f>
        <v>-12.013526842327749</v>
      </c>
      <c r="BD870" s="413">
        <f t="shared" si="5762"/>
        <v>3123</v>
      </c>
      <c r="BE870" s="23">
        <f t="shared" ref="BE870" si="5764">IF(ISERROR((BD870/AV870-1)*100),"NA",IF(((BD870/AV870-1)*100)&gt;100,"NM",IF(((BD870/AV870-1)*100)&lt;-50,"NM",(BD870/AV870-1)*100)))</f>
        <v>-12.015776869981687</v>
      </c>
      <c r="BF870" s="413">
        <f t="shared" ref="BF870" si="5765">BF863</f>
        <v>3123</v>
      </c>
      <c r="BG870" s="23">
        <f t="shared" ref="BG870" si="5766">IF(ISERROR((BF870/AX870-1)*100),"NA",IF(((BF870/AX870-1)*100)&gt;100,"NM",IF(((BF870/AX870-1)*100)&lt;-50,"NM",(BF870/AX870-1)*100)))</f>
        <v>14.576072201636281</v>
      </c>
      <c r="BH870" s="413">
        <f t="shared" ref="BH870" si="5767">BH863</f>
        <v>3123</v>
      </c>
      <c r="BI870" s="23">
        <f t="shared" ref="BI870" si="5768">IF(ISERROR((BH870/AZ870-1)*100),"NA",IF(((BH870/AZ870-1)*100)&gt;100,"NM",IF(((BH870/AZ870-1)*100)&lt;-50,"NM",(BH870/AZ870-1)*100)))</f>
        <v>14.555058322940372</v>
      </c>
      <c r="BJ870" s="413">
        <f t="shared" ref="BJ870" si="5769">BJ863</f>
        <v>3123</v>
      </c>
      <c r="BK870" s="23">
        <f t="shared" ref="BK870" si="5770">IF(ISERROR((BJ870/BB870-1)*100),"NA",IF(((BJ870/BB870-1)*100)&gt;100,"NM",IF(((BJ870/BB870-1)*100)&lt;-50,"NM",(BJ870/BB870-1)*100)))</f>
        <v>2.5622958170523624E-2</v>
      </c>
      <c r="BL870" s="413">
        <f t="shared" ref="BL870" si="5771">BL863</f>
        <v>3123</v>
      </c>
      <c r="BM870" s="23">
        <f t="shared" ref="BM870" si="5772">IF(ISERROR((BL870/BD870-1)*100),"NA",IF(((BL870/BD870-1)*100)&gt;100,"NM",IF(((BL870/BD870-1)*100)&lt;-50,"NM",(BL870/BD870-1)*100)))</f>
        <v>0</v>
      </c>
      <c r="BN870" s="13"/>
      <c r="BO870" s="137"/>
      <c r="BP870" s="13"/>
      <c r="BQ870" s="10"/>
      <c r="BR870" s="10"/>
      <c r="BS870" s="10"/>
      <c r="BT870" s="10"/>
      <c r="BU870" s="56">
        <f>H870</f>
        <v>4041.3</v>
      </c>
      <c r="BV870" s="23" t="str">
        <f>IF(ISERROR((BU870/BS870-1)*100),"NA",IF(((BU870/BS870-1)*100)&gt;100,"NM",IF(((BU870/BS870-1)*100)&lt;-50,"NM",(BU870/BS870-1)*100)))</f>
        <v>NA</v>
      </c>
      <c r="BW870" s="56">
        <f>P870</f>
        <v>3808.3</v>
      </c>
      <c r="BX870" s="23">
        <f>IF(ISERROR((BW870/BU870-1)*100),"NA",IF(((BW870/BU870-1)*100)&gt;100,"NM",IF(((BW870/BU870-1)*100)&lt;-50,"NM",(BW870/BU870-1)*100)))</f>
        <v>-5.7654715066933875</v>
      </c>
      <c r="BY870" s="56">
        <f>X870</f>
        <v>3514.7</v>
      </c>
      <c r="BZ870" s="23">
        <f>IF(ISERROR((BY870/BW870-1)*100),"NA",IF(((BY870/BW870-1)*100)&gt;100,"NM",IF(((BY870/BW870-1)*100)&lt;-50,"NM",(BY870/BW870-1)*100)))</f>
        <v>-7.7094766693800443</v>
      </c>
      <c r="CA870" s="56">
        <f>AF870</f>
        <v>3515.7</v>
      </c>
      <c r="CB870" s="23">
        <f>IF(ISERROR((CA870/BY870-1)*100),"NA",IF(((CA870/BY870-1)*100)&gt;100,"NM",IF(((CA870/BY870-1)*100)&lt;-50,"NM",(CA870/BY870-1)*100)))</f>
        <v>2.8451930463480046E-2</v>
      </c>
      <c r="CC870" s="56">
        <f>AN870</f>
        <v>3485.9</v>
      </c>
      <c r="CD870" s="23">
        <f>IF(ISERROR((CC870/CA870-1)*100),"NA",IF(((CC870/CA870-1)*100)&gt;100,"NM",IF(((CC870/CA870-1)*100)&lt;-50,"NM",(CC870/CA870-1)*100)))</f>
        <v>-0.84762636174872119</v>
      </c>
      <c r="CE870" s="56">
        <f>AV870</f>
        <v>3549.5</v>
      </c>
      <c r="CF870" s="23">
        <f>IF(ISERROR((CE870/CC870-1)*100),"NA",IF(((CE870/CC870-1)*100)&gt;100,"NM",IF(((CE870/CC870-1)*100)&lt;-50,"NM",(CE870/CC870-1)*100)))</f>
        <v>1.8244929573424384</v>
      </c>
      <c r="CG870" s="56">
        <f>BD870</f>
        <v>3123</v>
      </c>
      <c r="CH870" s="23">
        <f>IF(ISERROR((CG870/CE870-1)*100),"NA",IF(((CG870/CE870-1)*100)&gt;100,"NM",IF(((CG870/CE870-1)*100)&lt;-50,"NM",(CG870/CE870-1)*100)))</f>
        <v>-12.015776869981687</v>
      </c>
      <c r="CI870" s="56">
        <f>BL870</f>
        <v>3123</v>
      </c>
      <c r="CJ870" s="23">
        <f>IF(ISERROR((CI870/CG870-1)*100),"NA",IF(((CI870/CG870-1)*100)&gt;100,"NM",IF(((CI870/CG870-1)*100)&lt;-50,"NM",(CI870/CG870-1)*100)))</f>
        <v>0</v>
      </c>
      <c r="CK870" s="413">
        <f>CK863</f>
        <v>3123</v>
      </c>
      <c r="CL870" s="23">
        <f>IF(ISERROR((CK870/CI870-1)*100),"NA",IF(((CK870/CI870-1)*100)&gt;100,"NM",IF(((CK870/CI870-1)*100)&lt;-50,"NM",(CK870/CI870-1)*100)))</f>
        <v>0</v>
      </c>
      <c r="CM870" s="413">
        <f>CM863</f>
        <v>3123</v>
      </c>
      <c r="CN870" s="23">
        <f>IF(ISERROR((CM870/CK870-1)*100),"NA",IF(((CM870/CK870-1)*100)&gt;100,"NM",IF(((CM870/CK870-1)*100)&lt;-50,"NM",(CM870/CK870-1)*100)))</f>
        <v>0</v>
      </c>
      <c r="CO870" s="413">
        <f>CO863</f>
        <v>3123</v>
      </c>
      <c r="CP870" s="23">
        <f>IF(ISERROR((CO870/CM870-1)*100),"NA",IF(((CO870/CM870-1)*100)&gt;100,"NM",IF(((CO870/CM870-1)*100)&lt;-50,"NM",(CO870/CM870-1)*100)))</f>
        <v>0</v>
      </c>
      <c r="CQ870" s="413">
        <f>CQ863</f>
        <v>3123</v>
      </c>
      <c r="CR870" s="23">
        <f>IF(ISERROR((CQ870/CO870-1)*100),"NA",IF(((CQ870/CO870-1)*100)&gt;100,"NM",IF(((CQ870/CO870-1)*100)&lt;-50,"NM",(CQ870/CO870-1)*100)))</f>
        <v>0</v>
      </c>
      <c r="CS870" s="23">
        <f>IF(ISERROR(((CQ870/CG870)^0.2-1)*100),"NA",IF((((CQ870/CG870)^0.2-1)*100)&gt;100,"NM",IF((((CQ870/CG870)^0.2-1)*100)&lt;-50,"NM",((CQ870/CG870)^0.2-1)*100)))</f>
        <v>0</v>
      </c>
    </row>
    <row r="871" spans="1:97" ht="12.75" customHeight="1" x14ac:dyDescent="0.2">
      <c r="A871" s="19"/>
      <c r="B871" s="49"/>
      <c r="C871" s="59"/>
      <c r="D871" s="49"/>
      <c r="E871" s="59"/>
      <c r="F871" s="49"/>
      <c r="G871" s="59"/>
      <c r="H871" s="49"/>
      <c r="I871" s="59"/>
      <c r="J871" s="49"/>
      <c r="K871" s="23"/>
      <c r="L871" s="49"/>
      <c r="M871" s="23"/>
      <c r="N871" s="49"/>
      <c r="O871" s="23"/>
      <c r="P871" s="49"/>
      <c r="Q871" s="23"/>
      <c r="R871" s="49"/>
      <c r="S871" s="23"/>
      <c r="T871" s="49"/>
      <c r="U871" s="23"/>
      <c r="V871" s="49"/>
      <c r="W871" s="23"/>
      <c r="X871" s="49"/>
      <c r="Y871" s="23"/>
      <c r="Z871" s="49"/>
      <c r="AA871" s="23"/>
      <c r="AB871" s="49"/>
      <c r="AC871" s="23"/>
      <c r="AD871" s="158"/>
      <c r="AE871" s="23"/>
      <c r="AF871" s="49"/>
      <c r="AG871" s="23"/>
      <c r="AH871" s="49"/>
      <c r="AI871" s="23"/>
      <c r="AJ871" s="49"/>
      <c r="AK871" s="23"/>
      <c r="AL871" s="49"/>
      <c r="AM871" s="23"/>
      <c r="AN871" s="158"/>
      <c r="AO871" s="23"/>
      <c r="AP871" s="158"/>
      <c r="AQ871" s="23"/>
      <c r="AR871" s="158"/>
      <c r="AS871" s="23"/>
      <c r="AT871" s="510"/>
      <c r="AU871" s="576"/>
      <c r="AV871" s="510"/>
      <c r="AW871" s="576"/>
      <c r="AX871" s="510"/>
      <c r="AY871" s="576"/>
      <c r="AZ871" s="510"/>
      <c r="BA871" s="576"/>
      <c r="BB871" s="510"/>
      <c r="BC871" s="23"/>
      <c r="BD871" s="158"/>
      <c r="BE871" s="23"/>
      <c r="BF871" s="49"/>
      <c r="BG871" s="23"/>
      <c r="BH871" s="49"/>
      <c r="BI871" s="23"/>
      <c r="BJ871" s="49"/>
      <c r="BK871" s="23"/>
      <c r="BL871" s="49"/>
      <c r="BM871" s="23"/>
      <c r="BO871" s="137"/>
      <c r="BQ871" s="5"/>
      <c r="BR871" s="5"/>
      <c r="BS871" s="5"/>
      <c r="BT871" s="5"/>
      <c r="BU871" s="36"/>
      <c r="BV871" s="23"/>
      <c r="BW871" s="36"/>
      <c r="BX871" s="23"/>
      <c r="BY871" s="56"/>
      <c r="BZ871" s="23"/>
      <c r="CA871" s="56"/>
      <c r="CB871" s="23"/>
      <c r="CC871" s="56"/>
      <c r="CD871" s="23"/>
      <c r="CE871" s="56"/>
      <c r="CF871" s="23"/>
      <c r="CG871" s="56"/>
      <c r="CH871" s="23"/>
      <c r="CI871" s="56"/>
      <c r="CJ871" s="23"/>
      <c r="CK871" s="49"/>
      <c r="CL871" s="23"/>
      <c r="CM871" s="49"/>
      <c r="CN871" s="23"/>
      <c r="CO871" s="49"/>
      <c r="CP871" s="23"/>
      <c r="CQ871" s="49"/>
      <c r="CR871" s="23"/>
      <c r="CS871" s="23"/>
    </row>
    <row r="872" spans="1:97" ht="12.75" customHeight="1" x14ac:dyDescent="0.2">
      <c r="A872" s="20" t="s">
        <v>62</v>
      </c>
      <c r="B872" s="37"/>
      <c r="C872" s="59"/>
      <c r="D872" s="37"/>
      <c r="E872" s="59"/>
      <c r="F872" s="37"/>
      <c r="G872" s="59"/>
      <c r="H872" s="37"/>
      <c r="I872" s="59"/>
      <c r="J872" s="37"/>
      <c r="L872" s="37"/>
      <c r="N872" s="37"/>
      <c r="P872" s="37"/>
      <c r="R872" s="37"/>
      <c r="T872" s="37"/>
      <c r="V872" s="37"/>
      <c r="X872" s="37"/>
      <c r="Z872" s="37"/>
      <c r="AB872" s="37"/>
      <c r="AD872" s="411"/>
      <c r="AF872" s="37"/>
      <c r="AH872" s="37"/>
      <c r="AJ872" s="37"/>
      <c r="AL872" s="37"/>
      <c r="AN872" s="411"/>
      <c r="AP872" s="411"/>
      <c r="AR872" s="411"/>
      <c r="AT872" s="650"/>
      <c r="AU872" s="400"/>
      <c r="AV872" s="650"/>
      <c r="AW872" s="400"/>
      <c r="AX872" s="650"/>
      <c r="AY872" s="400"/>
      <c r="AZ872" s="650"/>
      <c r="BA872" s="400"/>
      <c r="BB872" s="650"/>
      <c r="BD872" s="411"/>
      <c r="BF872" s="37"/>
      <c r="BH872" s="37"/>
      <c r="BJ872" s="37"/>
      <c r="BL872" s="37"/>
      <c r="BQ872" s="5"/>
      <c r="CK872" s="37"/>
      <c r="CM872" s="37"/>
      <c r="CO872" s="37"/>
      <c r="CQ872" s="37"/>
    </row>
    <row r="873" spans="1:97" ht="12.75" customHeight="1" x14ac:dyDescent="0.2">
      <c r="A873" s="19" t="s">
        <v>321</v>
      </c>
      <c r="B873" s="49">
        <v>0</v>
      </c>
      <c r="C873" s="59"/>
      <c r="D873" s="49">
        <v>0</v>
      </c>
      <c r="E873" s="49"/>
      <c r="F873" s="49">
        <v>0</v>
      </c>
      <c r="G873" s="49"/>
      <c r="H873" s="49">
        <v>0</v>
      </c>
      <c r="I873" s="49"/>
      <c r="J873" s="49">
        <v>0</v>
      </c>
      <c r="K873" s="23" t="str">
        <f>IF(ISERROR((J873/B873-1)*100),"NA",IF(((J873/B873-1)*100)&gt;100,"NM",IF(((J873/B873-1)*100)&lt;-50,"NM",(J873/B873-1)*100)))</f>
        <v>NA</v>
      </c>
      <c r="L873" s="49">
        <v>0</v>
      </c>
      <c r="M873" s="23" t="str">
        <f>IF(ISERROR((L873/D873-1)*100),"NA",IF(((L873/D873-1)*100)&gt;100,"NM",IF(((L873/D873-1)*100)&lt;-50,"NM",(L873/D873-1)*100)))</f>
        <v>NA</v>
      </c>
      <c r="N873" s="49">
        <v>0</v>
      </c>
      <c r="O873" s="23" t="str">
        <f>IF(ISERROR((N873/F873-1)*100),"NA",IF(((N873/F873-1)*100)&gt;100,"NM",IF(((N873/F873-1)*100)&lt;-50,"NM",(N873/F873-1)*100)))</f>
        <v>NA</v>
      </c>
      <c r="P873" s="49">
        <v>0</v>
      </c>
      <c r="Q873" s="23" t="str">
        <f>IF(ISERROR((P873/H873-1)*100),"NA",IF(((P873/H873-1)*100)&gt;100,"NM",IF(((P873/H873-1)*100)&lt;-50,"NM",(P873/H873-1)*100)))</f>
        <v>NA</v>
      </c>
      <c r="R873" s="49">
        <v>2.2999999999999998</v>
      </c>
      <c r="S873" s="23" t="str">
        <f>IF(ISERROR((R873/J873-1)*100),"NA",IF(((R873/J873-1)*100)&gt;100,"NM",IF(((R873/J873-1)*100)&lt;-50,"NM",(R873/J873-1)*100)))</f>
        <v>NA</v>
      </c>
      <c r="T873" s="49">
        <v>2.6</v>
      </c>
      <c r="U873" s="23" t="str">
        <f>IF(ISERROR((T873/L873-1)*100),"NA",IF(((T873/L873-1)*100)&gt;100,"NM",IF(((T873/L873-1)*100)&lt;-50,"NM",(T873/L873-1)*100)))</f>
        <v>NA</v>
      </c>
      <c r="V873" s="49">
        <v>2.6</v>
      </c>
      <c r="W873" s="23" t="str">
        <f>IF(ISERROR((V873/N873-1)*100),"NA",IF(((V873/N873-1)*100)&gt;100,"NM",IF(((V873/N873-1)*100)&lt;-50,"NM",(V873/N873-1)*100)))</f>
        <v>NA</v>
      </c>
      <c r="X873" s="49">
        <v>2.6</v>
      </c>
      <c r="Y873" s="23" t="str">
        <f>IF(ISERROR((X873/P873-1)*100),"NA",IF(((X873/P873-1)*100)&gt;100,"NM",IF(((X873/P873-1)*100)&lt;-50,"NM",(X873/P873-1)*100)))</f>
        <v>NA</v>
      </c>
      <c r="Z873" s="49">
        <v>2.6</v>
      </c>
      <c r="AA873" s="23">
        <f t="shared" ref="AA873:AA883" si="5773">IF(ISERROR((Z873/R873-1)*100),"NA",IF(((Z873/R873-1)*100)&gt;100,"NM",IF(((Z873/R873-1)*100)&lt;-50,"NM",(Z873/R873-1)*100)))</f>
        <v>13.043478260869579</v>
      </c>
      <c r="AB873" s="49">
        <v>2.6</v>
      </c>
      <c r="AC873" s="23">
        <f t="shared" ref="AC873:AC883" si="5774">IF(ISERROR((AB873/T873-1)*100),"NA",IF(((AB873/T873-1)*100)&gt;100,"NM",IF(((AB873/T873-1)*100)&lt;-50,"NM",(AB873/T873-1)*100)))</f>
        <v>0</v>
      </c>
      <c r="AD873" s="158">
        <v>2.6</v>
      </c>
      <c r="AE873" s="23">
        <f t="shared" ref="AE873:AE883" si="5775">IF(ISERROR((AD873/V873-1)*100),"NA",IF(((AD873/V873-1)*100)&gt;100,"NM",IF(((AD873/V873-1)*100)&lt;-50,"NM",(AD873/V873-1)*100)))</f>
        <v>0</v>
      </c>
      <c r="AF873" s="49">
        <v>2.6</v>
      </c>
      <c r="AG873" s="23">
        <f t="shared" ref="AG873:AG883" si="5776">IF(ISERROR((AF873/X873-1)*100),"NA",IF(((AF873/X873-1)*100)&gt;100,"NM",IF(((AF873/X873-1)*100)&lt;-50,"NM",(AF873/X873-1)*100)))</f>
        <v>0</v>
      </c>
      <c r="AH873" s="49">
        <v>2.7</v>
      </c>
      <c r="AI873" s="23">
        <f t="shared" ref="AI873:AI883" si="5777">IF(ISERROR((AH873/Z873-1)*100),"NA",IF(((AH873/Z873-1)*100)&gt;100,"NM",IF(((AH873/Z873-1)*100)&lt;-50,"NM",(AH873/Z873-1)*100)))</f>
        <v>3.8461538461538547</v>
      </c>
      <c r="AJ873" s="49">
        <v>2.7</v>
      </c>
      <c r="AK873" s="23">
        <f t="shared" ref="AK873:AK883" si="5778">IF(ISERROR((AJ873/AB873-1)*100),"NA",IF(((AJ873/AB873-1)*100)&gt;100,"NM",IF(((AJ873/AB873-1)*100)&lt;-50,"NM",(AJ873/AB873-1)*100)))</f>
        <v>3.8461538461538547</v>
      </c>
      <c r="AL873" s="49">
        <v>2.7</v>
      </c>
      <c r="AM873" s="23">
        <f t="shared" ref="AM873:AM883" si="5779">IF(ISERROR((AL873/AD873-1)*100),"NA",IF(((AL873/AD873-1)*100)&gt;100,"NM",IF(((AL873/AD873-1)*100)&lt;-50,"NM",(AL873/AD873-1)*100)))</f>
        <v>3.8461538461538547</v>
      </c>
      <c r="AN873" s="158">
        <v>2.7</v>
      </c>
      <c r="AO873" s="23">
        <f t="shared" ref="AO873:AO883" si="5780">IF(ISERROR((AN873/AF873-1)*100),"NA",IF(((AN873/AF873-1)*100)&gt;100,"NM",IF(((AN873/AF873-1)*100)&lt;-50,"NM",(AN873/AF873-1)*100)))</f>
        <v>3.8461538461538547</v>
      </c>
      <c r="AP873" s="158">
        <v>2.7</v>
      </c>
      <c r="AQ873" s="23">
        <f t="shared" ref="AQ873:AQ883" si="5781">IF(ISERROR((AP873/AH873-1)*100),"NA",IF(((AP873/AH873-1)*100)&gt;100,"NM",IF(((AP873/AH873-1)*100)&lt;-50,"NM",(AP873/AH873-1)*100)))</f>
        <v>0</v>
      </c>
      <c r="AR873" s="158">
        <v>2.7</v>
      </c>
      <c r="AS873" s="23">
        <f t="shared" ref="AS873:AS883" si="5782">IF(ISERROR((AR873/AJ873-1)*100),"NA",IF(((AR873/AJ873-1)*100)&gt;100,"NM",IF(((AR873/AJ873-1)*100)&lt;-50,"NM",(AR873/AJ873-1)*100)))</f>
        <v>0</v>
      </c>
      <c r="AT873" s="510">
        <v>2.7</v>
      </c>
      <c r="AU873" s="576">
        <f t="shared" ref="AU873:AU883" si="5783">IF(ISERROR((AT873/AL873-1)*100),"NA",IF(((AT873/AL873-1)*100)&gt;100,"NM",IF(((AT873/AL873-1)*100)&lt;-50,"NM",(AT873/AL873-1)*100)))</f>
        <v>0</v>
      </c>
      <c r="AV873" s="510">
        <v>2.7</v>
      </c>
      <c r="AW873" s="576">
        <f t="shared" ref="AW873:AW883" si="5784">IF(ISERROR((AV873/AN873-1)*100),"NA",IF(((AV873/AN873-1)*100)&gt;100,"NM",IF(((AV873/AN873-1)*100)&lt;-50,"NM",(AV873/AN873-1)*100)))</f>
        <v>0</v>
      </c>
      <c r="AX873" s="510">
        <v>2.7</v>
      </c>
      <c r="AY873" s="510">
        <f t="shared" ref="AY873:AY883" si="5785">IF(ISERROR((AX873/AP873-1)*100),"NA",IF(((AX873/AP873-1)*100)&gt;100,"NM",IF(((AX873/AP873-1)*100)&lt;-50,"NM",(AX873/AP873-1)*100)))</f>
        <v>0</v>
      </c>
      <c r="AZ873" s="510">
        <v>2.7</v>
      </c>
      <c r="BA873" s="576">
        <f t="shared" ref="BA873:BA883" si="5786">IF(ISERROR((AZ873/AR873-1)*100),"NA",IF(((AZ873/AR873-1)*100)&gt;100,"NM",IF(((AZ873/AR873-1)*100)&lt;-50,"NM",(AZ873/AR873-1)*100)))</f>
        <v>0</v>
      </c>
      <c r="BB873" s="510">
        <v>2.7</v>
      </c>
      <c r="BC873" s="23">
        <f t="shared" ref="BC873:BC883" si="5787">IF(ISERROR((BB873/AT873-1)*100),"NA",IF(((BB873/AT873-1)*100)&gt;100,"NM",IF(((BB873/AT873-1)*100)&lt;-50,"NM",(BB873/AT873-1)*100)))</f>
        <v>0</v>
      </c>
      <c r="BD873" s="158">
        <v>3</v>
      </c>
      <c r="BE873" s="23">
        <f t="shared" ref="BE873:BE883" si="5788">IF(ISERROR((BD873/AV873-1)*100),"NA",IF(((BD873/AV873-1)*100)&gt;100,"NM",IF(((BD873/AV873-1)*100)&lt;-50,"NM",(BD873/AV873-1)*100)))</f>
        <v>11.111111111111093</v>
      </c>
      <c r="BF873" s="56">
        <f t="shared" ref="BF873:BJ873" si="5789">BD873</f>
        <v>3</v>
      </c>
      <c r="BG873" s="23">
        <f t="shared" ref="BG873:BG883" si="5790">IF(ISERROR((BF873/AX873-1)*100),"NA",IF(((BF873/AX873-1)*100)&gt;100,"NM",IF(((BF873/AX873-1)*100)&lt;-50,"NM",(BF873/AX873-1)*100)))</f>
        <v>11.111111111111093</v>
      </c>
      <c r="BH873" s="56">
        <f t="shared" si="5789"/>
        <v>3</v>
      </c>
      <c r="BI873" s="23">
        <f t="shared" ref="BI873:BI883" si="5791">IF(ISERROR((BH873/AZ873-1)*100),"NA",IF(((BH873/AZ873-1)*100)&gt;100,"NM",IF(((BH873/AZ873-1)*100)&lt;-50,"NM",(BH873/AZ873-1)*100)))</f>
        <v>11.111111111111093</v>
      </c>
      <c r="BJ873" s="56">
        <f t="shared" si="5789"/>
        <v>3</v>
      </c>
      <c r="BK873" s="23">
        <f t="shared" ref="BK873:BK883" si="5792">IF(ISERROR((BJ873/BB873-1)*100),"NA",IF(((BJ873/BB873-1)*100)&gt;100,"NM",IF(((BJ873/BB873-1)*100)&lt;-50,"NM",(BJ873/BB873-1)*100)))</f>
        <v>11.111111111111093</v>
      </c>
      <c r="BL873" s="56">
        <f t="shared" ref="BL873" si="5793">BJ873</f>
        <v>3</v>
      </c>
      <c r="BM873" s="23">
        <f t="shared" ref="BM873:BM883" si="5794">IF(ISERROR((BL873/BD873-1)*100),"NA",IF(((BL873/BD873-1)*100)&gt;100,"NM",IF(((BL873/BD873-1)*100)&lt;-50,"NM",(BL873/BD873-1)*100)))</f>
        <v>0</v>
      </c>
      <c r="BQ873" s="5"/>
      <c r="BR873" s="5"/>
      <c r="BS873" s="5"/>
      <c r="BT873" s="5"/>
      <c r="BU873" s="36">
        <f>H873</f>
        <v>0</v>
      </c>
      <c r="BV873" s="23" t="str">
        <f t="shared" ref="BV873:CR883" si="5795">IF(ISERROR((BU873/BS873-1)*100),"NA",IF(((BU873/BS873-1)*100)&gt;100,"NM",IF(((BU873/BS873-1)*100)&lt;-50,"NM",(BU873/BS873-1)*100)))</f>
        <v>NA</v>
      </c>
      <c r="BW873" s="36">
        <f>P873</f>
        <v>0</v>
      </c>
      <c r="BX873" s="23" t="str">
        <f t="shared" si="5795"/>
        <v>NA</v>
      </c>
      <c r="BY873" s="56">
        <f>X873</f>
        <v>2.6</v>
      </c>
      <c r="BZ873" s="23" t="str">
        <f t="shared" si="5795"/>
        <v>NA</v>
      </c>
      <c r="CA873" s="56">
        <f>AF873</f>
        <v>2.6</v>
      </c>
      <c r="CB873" s="23">
        <f t="shared" si="5795"/>
        <v>0</v>
      </c>
      <c r="CC873" s="56">
        <f>AN873</f>
        <v>2.7</v>
      </c>
      <c r="CD873" s="23">
        <f t="shared" si="5795"/>
        <v>3.8461538461538547</v>
      </c>
      <c r="CE873" s="56">
        <f>AV873</f>
        <v>2.7</v>
      </c>
      <c r="CF873" s="23">
        <f t="shared" si="5795"/>
        <v>0</v>
      </c>
      <c r="CG873" s="56">
        <f>BD873</f>
        <v>3</v>
      </c>
      <c r="CH873" s="23">
        <f t="shared" si="5795"/>
        <v>11.111111111111093</v>
      </c>
      <c r="CI873" s="56">
        <f>BL873</f>
        <v>3</v>
      </c>
      <c r="CJ873" s="23">
        <f t="shared" si="5795"/>
        <v>0</v>
      </c>
      <c r="CK873" s="56">
        <f>CI873</f>
        <v>3</v>
      </c>
      <c r="CL873" s="23">
        <f t="shared" si="5795"/>
        <v>0</v>
      </c>
      <c r="CM873" s="56">
        <f>CK873</f>
        <v>3</v>
      </c>
      <c r="CN873" s="23">
        <f t="shared" si="5795"/>
        <v>0</v>
      </c>
      <c r="CO873" s="56">
        <f>CM873</f>
        <v>3</v>
      </c>
      <c r="CP873" s="23">
        <f t="shared" si="5795"/>
        <v>0</v>
      </c>
      <c r="CQ873" s="56">
        <f>CO873</f>
        <v>3</v>
      </c>
      <c r="CR873" s="23">
        <f t="shared" si="5795"/>
        <v>0</v>
      </c>
      <c r="CS873" s="23">
        <f t="shared" ref="CS873:CS883" si="5796">IF(ISERROR(((CQ873/CG873)^0.2-1)*100),"NA",IF((((CQ873/CG873)^0.2-1)*100)&gt;100,"NM",IF((((CQ873/CG873)^0.2-1)*100)&lt;-50,"NM",((CQ873/CG873)^0.2-1)*100)))</f>
        <v>0</v>
      </c>
    </row>
    <row r="874" spans="1:97" ht="12.75" customHeight="1" x14ac:dyDescent="0.2">
      <c r="A874" s="19" t="s">
        <v>452</v>
      </c>
      <c r="B874" s="49"/>
      <c r="C874" s="59"/>
      <c r="D874" s="49"/>
      <c r="E874" s="49"/>
      <c r="F874" s="49"/>
      <c r="G874" s="49"/>
      <c r="H874" s="49"/>
      <c r="I874" s="49"/>
      <c r="J874" s="49"/>
      <c r="K874" s="23"/>
      <c r="L874" s="49"/>
      <c r="M874" s="23"/>
      <c r="N874" s="49"/>
      <c r="O874" s="23"/>
      <c r="P874" s="49"/>
      <c r="Q874" s="23"/>
      <c r="R874" s="49"/>
      <c r="S874" s="23"/>
      <c r="T874" s="49"/>
      <c r="U874" s="23"/>
      <c r="V874" s="49"/>
      <c r="W874" s="23"/>
      <c r="X874" s="49"/>
      <c r="Y874" s="23"/>
      <c r="Z874" s="49">
        <v>-269.8</v>
      </c>
      <c r="AA874" s="23" t="str">
        <f t="shared" si="5773"/>
        <v>NA</v>
      </c>
      <c r="AB874" s="49">
        <v>-304.2</v>
      </c>
      <c r="AC874" s="23" t="str">
        <f>IF(ISERROR((AB874/T874-1)*100),"NA",IF(((AB874/T874-1)*100)&gt;100,"NM",IF(((AB874/T874-1)*100)&lt;-50,"NM",(AB874/T874-1)*100)))</f>
        <v>NA</v>
      </c>
      <c r="AD874" s="158">
        <v>-624.20000000000005</v>
      </c>
      <c r="AE874" s="23" t="str">
        <f>IF(ISERROR((AD874/V874-1)*100),"NA",IF(((AD874/V874-1)*100)&gt;100,"NM",IF(((AD874/V874-1)*100)&lt;-50,"NM",(AD874/V874-1)*100)))</f>
        <v>NA</v>
      </c>
      <c r="AF874" s="49">
        <v>-807</v>
      </c>
      <c r="AG874" s="23" t="str">
        <f>IF(ISERROR((AF874/X874-1)*100),"NA",IF(((AF874/X874-1)*100)&gt;100,"NM",IF(((AF874/X874-1)*100)&lt;-50,"NM",(AF874/X874-1)*100)))</f>
        <v>NA</v>
      </c>
      <c r="AH874" s="49">
        <v>-1440.7</v>
      </c>
      <c r="AI874" s="23" t="str">
        <f t="shared" si="5777"/>
        <v>NM</v>
      </c>
      <c r="AJ874" s="49">
        <v>-1570.5</v>
      </c>
      <c r="AK874" s="23" t="str">
        <f t="shared" si="5778"/>
        <v>NM</v>
      </c>
      <c r="AL874" s="49">
        <v>-2052</v>
      </c>
      <c r="AM874" s="23" t="str">
        <f t="shared" si="5779"/>
        <v>NM</v>
      </c>
      <c r="AN874" s="158">
        <v>-2302.3000000000002</v>
      </c>
      <c r="AO874" s="23" t="str">
        <f t="shared" si="5780"/>
        <v>NM</v>
      </c>
      <c r="AP874" s="158">
        <v>-2529</v>
      </c>
      <c r="AQ874" s="23">
        <f t="shared" si="5781"/>
        <v>75.539668216839033</v>
      </c>
      <c r="AR874" s="158">
        <v>-2645.8</v>
      </c>
      <c r="AS874" s="23">
        <f t="shared" si="5782"/>
        <v>68.46864056033111</v>
      </c>
      <c r="AT874" s="510">
        <v>-2795.8</v>
      </c>
      <c r="AU874" s="576">
        <f t="shared" si="5783"/>
        <v>36.247563352826532</v>
      </c>
      <c r="AV874" s="510">
        <v>-2796</v>
      </c>
      <c r="AW874" s="576">
        <f t="shared" si="5784"/>
        <v>21.443773617686656</v>
      </c>
      <c r="AX874" s="546">
        <v>-3050.4</v>
      </c>
      <c r="AY874" s="576">
        <f t="shared" si="5785"/>
        <v>20.616844602609731</v>
      </c>
      <c r="AZ874" s="546">
        <v>-3426</v>
      </c>
      <c r="BA874" s="576">
        <f t="shared" si="5786"/>
        <v>29.488245521203417</v>
      </c>
      <c r="BB874" s="546">
        <v>-3426</v>
      </c>
      <c r="BC874" s="23">
        <f t="shared" si="5787"/>
        <v>22.540954288575719</v>
      </c>
      <c r="BD874" s="595">
        <v>-3827</v>
      </c>
      <c r="BE874" s="23">
        <f t="shared" si="5788"/>
        <v>36.874105865522175</v>
      </c>
      <c r="BF874" s="56">
        <f>BD874-BF745</f>
        <v>-4176</v>
      </c>
      <c r="BG874" s="23">
        <f t="shared" si="5790"/>
        <v>36.900078678206128</v>
      </c>
      <c r="BH874" s="56">
        <f>BF874-BH745</f>
        <v>-4426</v>
      </c>
      <c r="BI874" s="23">
        <f t="shared" si="5791"/>
        <v>29.188558085230596</v>
      </c>
      <c r="BJ874" s="56">
        <f>BH874-BJ745</f>
        <v>-4676</v>
      </c>
      <c r="BK874" s="23">
        <f t="shared" si="5792"/>
        <v>36.485697606538238</v>
      </c>
      <c r="BL874" s="56">
        <f>BJ874-BL745</f>
        <v>-4926</v>
      </c>
      <c r="BM874" s="23">
        <f t="shared" si="5794"/>
        <v>28.717010713352487</v>
      </c>
      <c r="BQ874" s="5"/>
      <c r="BR874" s="5"/>
      <c r="BS874" s="5"/>
      <c r="BT874" s="5"/>
      <c r="BU874" s="36"/>
      <c r="BV874" s="23"/>
      <c r="BW874" s="36"/>
      <c r="BX874" s="23"/>
      <c r="BY874" s="56"/>
      <c r="BZ874" s="23"/>
      <c r="CA874" s="56">
        <f>AF874</f>
        <v>-807</v>
      </c>
      <c r="CB874" s="23" t="str">
        <f t="shared" si="5795"/>
        <v>NA</v>
      </c>
      <c r="CC874" s="56">
        <f>AN874</f>
        <v>-2302.3000000000002</v>
      </c>
      <c r="CD874" s="23" t="str">
        <f t="shared" si="5795"/>
        <v>NM</v>
      </c>
      <c r="CE874" s="56">
        <f>AV874</f>
        <v>-2796</v>
      </c>
      <c r="CF874" s="23">
        <f t="shared" si="5795"/>
        <v>21.443773617686656</v>
      </c>
      <c r="CG874" s="56">
        <f>BD874</f>
        <v>-3827</v>
      </c>
      <c r="CH874" s="23">
        <f t="shared" si="5795"/>
        <v>36.874105865522175</v>
      </c>
      <c r="CI874" s="56">
        <f>BL874</f>
        <v>-4926</v>
      </c>
      <c r="CJ874" s="23">
        <f t="shared" si="5795"/>
        <v>28.717010713352487</v>
      </c>
      <c r="CK874" s="56">
        <f>CI874-CK745</f>
        <v>-5526</v>
      </c>
      <c r="CL874" s="23">
        <f t="shared" si="5795"/>
        <v>12.180267965895242</v>
      </c>
      <c r="CM874" s="56">
        <f>CK874-CM745</f>
        <v>-6126</v>
      </c>
      <c r="CN874" s="23">
        <f t="shared" si="5795"/>
        <v>10.857763300760048</v>
      </c>
      <c r="CO874" s="56">
        <f>CM874-CO745</f>
        <v>-6726</v>
      </c>
      <c r="CP874" s="23">
        <f t="shared" si="5795"/>
        <v>9.7943192948090072</v>
      </c>
      <c r="CQ874" s="56">
        <f>CO874-CQ745</f>
        <v>-7326</v>
      </c>
      <c r="CR874" s="23">
        <f t="shared" si="5795"/>
        <v>8.9206066012488918</v>
      </c>
      <c r="CS874" s="23">
        <f t="shared" si="5796"/>
        <v>13.867999406870823</v>
      </c>
    </row>
    <row r="875" spans="1:97" ht="12.75" customHeight="1" x14ac:dyDescent="0.2">
      <c r="A875" s="19" t="s">
        <v>84</v>
      </c>
      <c r="B875" s="49">
        <v>18831.7</v>
      </c>
      <c r="C875" s="59"/>
      <c r="D875" s="49">
        <v>21544.1</v>
      </c>
      <c r="E875" s="49"/>
      <c r="F875" s="49">
        <v>21557.4</v>
      </c>
      <c r="G875" s="49"/>
      <c r="H875" s="49">
        <v>22867.5</v>
      </c>
      <c r="I875" s="49"/>
      <c r="J875" s="49">
        <v>22873.4</v>
      </c>
      <c r="K875" s="23">
        <f t="shared" ref="K875:K883" si="5797">IF(ISERROR((J875/B875-1)*100),"NA",IF(((J875/B875-1)*100)&gt;100,"NM",IF(((J875/B875-1)*100)&lt;-50,"NM",(J875/B875-1)*100)))</f>
        <v>21.462215307168229</v>
      </c>
      <c r="L875" s="49">
        <v>22888.6</v>
      </c>
      <c r="M875" s="23">
        <f t="shared" ref="M875:M883" si="5798">IF(ISERROR((L875/D875-1)*100),"NA",IF(((L875/D875-1)*100)&gt;100,"NM",IF(((L875/D875-1)*100)&lt;-50,"NM",(L875/D875-1)*100)))</f>
        <v>6.240687705682757</v>
      </c>
      <c r="N875" s="49">
        <v>22900</v>
      </c>
      <c r="O875" s="23">
        <f t="shared" ref="O875:O883" si="5799">IF(ISERROR((N875/F875-1)*100),"NA",IF(((N875/F875-1)*100)&gt;100,"NM",IF(((N875/F875-1)*100)&lt;-50,"NM",(N875/F875-1)*100)))</f>
        <v>6.2280237876552791</v>
      </c>
      <c r="P875" s="49">
        <v>22919.9</v>
      </c>
      <c r="Q875" s="23">
        <f t="shared" ref="Q875:Q883" si="5800">IF(ISERROR((P875/H875-1)*100),"NA",IF(((P875/H875-1)*100)&gt;100,"NM",IF(((P875/H875-1)*100)&lt;-50,"NM",(P875/H875-1)*100)))</f>
        <v>0.22914616814255773</v>
      </c>
      <c r="R875" s="49">
        <v>22909.9</v>
      </c>
      <c r="S875" s="23">
        <f t="shared" ref="S875:S883" si="5801">IF(ISERROR((R875/J875-1)*100),"NA",IF(((R875/J875-1)*100)&gt;100,"NM",IF(((R875/J875-1)*100)&lt;-50,"NM",(R875/J875-1)*100)))</f>
        <v>0.15957400299038138</v>
      </c>
      <c r="T875" s="49">
        <v>23498.7</v>
      </c>
      <c r="U875" s="23">
        <f t="shared" ref="U875:U883" si="5802">IF(ISERROR((T875/L875-1)*100),"NA",IF(((T875/L875-1)*100)&gt;100,"NM",IF(((T875/L875-1)*100)&lt;-50,"NM",(T875/L875-1)*100)))</f>
        <v>2.6655190793670291</v>
      </c>
      <c r="V875" s="49">
        <v>23524.7</v>
      </c>
      <c r="W875" s="23">
        <f t="shared" ref="W875:W883" si="5803">IF(ISERROR((V875/N875-1)*100),"NA",IF(((V875/N875-1)*100)&gt;100,"NM",IF(((V875/N875-1)*100)&lt;-50,"NM",(V875/N875-1)*100)))</f>
        <v>2.7279475982532775</v>
      </c>
      <c r="X875" s="49">
        <v>23563.7</v>
      </c>
      <c r="Y875" s="23">
        <f t="shared" ref="Y875:Y883" si="5804">IF(ISERROR((X875/P875-1)*100),"NA",IF(((X875/P875-1)*100)&gt;100,"NM",IF(((X875/P875-1)*100)&lt;-50,"NM",(X875/P875-1)*100)))</f>
        <v>2.8089127788515578</v>
      </c>
      <c r="Z875" s="49">
        <v>23579.5</v>
      </c>
      <c r="AA875" s="23">
        <f t="shared" si="5773"/>
        <v>2.922753918611587</v>
      </c>
      <c r="AB875" s="49">
        <v>23599.9</v>
      </c>
      <c r="AC875" s="23">
        <f t="shared" si="5774"/>
        <v>0.43066212173439311</v>
      </c>
      <c r="AD875" s="158">
        <v>23621.5</v>
      </c>
      <c r="AE875" s="23">
        <f t="shared" si="5775"/>
        <v>0.41148239935047126</v>
      </c>
      <c r="AF875" s="49">
        <v>23650.1</v>
      </c>
      <c r="AG875" s="23">
        <f t="shared" si="5776"/>
        <v>0.36666567644298986</v>
      </c>
      <c r="AH875" s="49">
        <v>23654.2</v>
      </c>
      <c r="AI875" s="23">
        <f t="shared" si="5777"/>
        <v>0.31680061069998544</v>
      </c>
      <c r="AJ875" s="49">
        <v>23674.1</v>
      </c>
      <c r="AK875" s="23">
        <f t="shared" si="5778"/>
        <v>0.31440811189875628</v>
      </c>
      <c r="AL875" s="49">
        <v>23593.4</v>
      </c>
      <c r="AM875" s="23">
        <f t="shared" si="5779"/>
        <v>-0.11895942255994996</v>
      </c>
      <c r="AN875" s="158">
        <v>23716.799999999999</v>
      </c>
      <c r="AO875" s="23">
        <f t="shared" si="5780"/>
        <v>0.28202840579956145</v>
      </c>
      <c r="AP875" s="158">
        <v>23735.1</v>
      </c>
      <c r="AQ875" s="23">
        <f t="shared" si="5781"/>
        <v>0.34201114389833531</v>
      </c>
      <c r="AR875" s="158">
        <v>23604.5</v>
      </c>
      <c r="AS875" s="23">
        <f t="shared" si="5782"/>
        <v>-0.29399216865687583</v>
      </c>
      <c r="AT875" s="510">
        <v>23792.3</v>
      </c>
      <c r="AU875" s="576">
        <f t="shared" si="5783"/>
        <v>0.84303237346037285</v>
      </c>
      <c r="AV875" s="510">
        <v>23608.799999999999</v>
      </c>
      <c r="AW875" s="576">
        <f t="shared" si="5784"/>
        <v>-0.45537340619308253</v>
      </c>
      <c r="AX875" s="546">
        <v>23697.200000000001</v>
      </c>
      <c r="AY875" s="576">
        <f t="shared" si="5785"/>
        <v>-0.1596791250089491</v>
      </c>
      <c r="AZ875" s="546">
        <v>23872.799999999999</v>
      </c>
      <c r="BA875" s="576">
        <f t="shared" si="5786"/>
        <v>1.1366476731131669</v>
      </c>
      <c r="BB875" s="546">
        <v>23899.9</v>
      </c>
      <c r="BC875" s="23">
        <f t="shared" si="5787"/>
        <v>0.45224715559235573</v>
      </c>
      <c r="BD875" s="595">
        <v>23821</v>
      </c>
      <c r="BE875" s="23">
        <f t="shared" si="5788"/>
        <v>0.89881739012571682</v>
      </c>
      <c r="BF875" s="56">
        <f t="shared" ref="BF875" si="5805">BF877-BF879-BF876-BF873-BF874</f>
        <v>24170</v>
      </c>
      <c r="BG875" s="23">
        <f t="shared" si="5790"/>
        <v>1.9951724254342329</v>
      </c>
      <c r="BH875" s="56">
        <f t="shared" ref="BH875" si="5806">BH877-BH879-BH876-BH873-BH874</f>
        <v>24420</v>
      </c>
      <c r="BI875" s="23">
        <f t="shared" si="5791"/>
        <v>2.2921483864481784</v>
      </c>
      <c r="BJ875" s="56">
        <f t="shared" ref="BJ875" si="5807">BJ877-BJ879-BJ876-BJ873-BJ874</f>
        <v>24670</v>
      </c>
      <c r="BK875" s="23">
        <f t="shared" si="5792"/>
        <v>3.222189214180804</v>
      </c>
      <c r="BL875" s="56">
        <f t="shared" ref="BL875" si="5808">BL877-BL879-BL876-BL873-BL874</f>
        <v>24920</v>
      </c>
      <c r="BM875" s="23">
        <f t="shared" si="5794"/>
        <v>4.6135762562445004</v>
      </c>
      <c r="BQ875" s="5"/>
      <c r="BR875" s="5"/>
      <c r="BS875" s="5"/>
      <c r="BT875" s="5"/>
      <c r="BU875" s="36">
        <f>H875</f>
        <v>22867.5</v>
      </c>
      <c r="BV875" s="23" t="str">
        <f t="shared" si="5795"/>
        <v>NA</v>
      </c>
      <c r="BW875" s="36">
        <f>P875</f>
        <v>22919.9</v>
      </c>
      <c r="BX875" s="23">
        <f t="shared" si="5795"/>
        <v>0.22914616814255773</v>
      </c>
      <c r="BY875" s="56">
        <f>X875</f>
        <v>23563.7</v>
      </c>
      <c r="BZ875" s="23">
        <f t="shared" si="5795"/>
        <v>2.8089127788515578</v>
      </c>
      <c r="CA875" s="56">
        <f>AF875</f>
        <v>23650.1</v>
      </c>
      <c r="CB875" s="23">
        <f t="shared" si="5795"/>
        <v>0.36666567644298986</v>
      </c>
      <c r="CC875" s="56">
        <f>AN875</f>
        <v>23716.799999999999</v>
      </c>
      <c r="CD875" s="23">
        <f t="shared" si="5795"/>
        <v>0.28202840579956145</v>
      </c>
      <c r="CE875" s="56">
        <f>AV875</f>
        <v>23608.799999999999</v>
      </c>
      <c r="CF875" s="23">
        <f t="shared" si="5795"/>
        <v>-0.45537340619308253</v>
      </c>
      <c r="CG875" s="56">
        <f>BD875</f>
        <v>23821</v>
      </c>
      <c r="CH875" s="23">
        <f t="shared" si="5795"/>
        <v>0.89881739012571682</v>
      </c>
      <c r="CI875" s="56">
        <f>BL875</f>
        <v>24920</v>
      </c>
      <c r="CJ875" s="23">
        <f t="shared" si="5795"/>
        <v>4.6135762562445004</v>
      </c>
      <c r="CK875" s="56">
        <f>CK877-CK879-CK876-CK873-CK874</f>
        <v>25520</v>
      </c>
      <c r="CL875" s="23">
        <f t="shared" si="5795"/>
        <v>2.4077046548956593</v>
      </c>
      <c r="CM875" s="56">
        <f>CM877-CM879-CM876-CM873-CM874</f>
        <v>26120</v>
      </c>
      <c r="CN875" s="23">
        <f t="shared" si="5795"/>
        <v>2.3510971786833812</v>
      </c>
      <c r="CO875" s="56">
        <f>CO877-CO879-CO876-CO873-CO874</f>
        <v>26720</v>
      </c>
      <c r="CP875" s="23">
        <f t="shared" si="5795"/>
        <v>2.297090352220521</v>
      </c>
      <c r="CQ875" s="56">
        <f>CQ877-CQ879-CQ876-CQ873-CQ874</f>
        <v>27320</v>
      </c>
      <c r="CR875" s="23">
        <f t="shared" si="5795"/>
        <v>2.2455089820359264</v>
      </c>
      <c r="CS875" s="23">
        <f t="shared" si="5796"/>
        <v>2.7789416232304687</v>
      </c>
    </row>
    <row r="876" spans="1:97" ht="12.75" customHeight="1" x14ac:dyDescent="0.2">
      <c r="A876" s="19" t="s">
        <v>85</v>
      </c>
      <c r="B876" s="49">
        <v>-12730.1</v>
      </c>
      <c r="C876" s="59"/>
      <c r="D876" s="49">
        <v>-12418</v>
      </c>
      <c r="E876" s="49"/>
      <c r="F876" s="49">
        <v>-11456.3</v>
      </c>
      <c r="G876" s="49"/>
      <c r="H876" s="49">
        <v>-13108.6</v>
      </c>
      <c r="I876" s="49"/>
      <c r="J876" s="49">
        <v>-13630.5</v>
      </c>
      <c r="K876" s="23">
        <f t="shared" si="5797"/>
        <v>7.0730002120957369</v>
      </c>
      <c r="L876" s="49">
        <v>-13068.3</v>
      </c>
      <c r="M876" s="23">
        <f t="shared" si="5798"/>
        <v>5.2367531003382206</v>
      </c>
      <c r="N876" s="49">
        <v>-12691</v>
      </c>
      <c r="O876" s="23">
        <f t="shared" si="5799"/>
        <v>10.777476148494713</v>
      </c>
      <c r="P876" s="49">
        <v>-12755.7</v>
      </c>
      <c r="Q876" s="23">
        <f t="shared" si="5800"/>
        <v>-2.6921257800222698</v>
      </c>
      <c r="R876" s="49">
        <v>-12973.9</v>
      </c>
      <c r="S876" s="23">
        <f t="shared" si="5801"/>
        <v>-4.8171380360221612</v>
      </c>
      <c r="T876" s="49">
        <v>-13117.5</v>
      </c>
      <c r="U876" s="23">
        <f t="shared" si="5802"/>
        <v>0.3764835518009324</v>
      </c>
      <c r="V876" s="49">
        <v>-12707.3</v>
      </c>
      <c r="W876" s="23">
        <f t="shared" si="5803"/>
        <v>0.12843747537625294</v>
      </c>
      <c r="X876" s="49">
        <v>-12143.2</v>
      </c>
      <c r="Y876" s="23">
        <f t="shared" si="5804"/>
        <v>-4.8017748927930199</v>
      </c>
      <c r="Z876" s="49">
        <v>-11888.3</v>
      </c>
      <c r="AA876" s="23">
        <f t="shared" si="5773"/>
        <v>-8.3675687341508755</v>
      </c>
      <c r="AB876" s="49">
        <v>-11583.9</v>
      </c>
      <c r="AC876" s="23">
        <f t="shared" si="5774"/>
        <v>-11.69125214408233</v>
      </c>
      <c r="AD876" s="158">
        <v>-11181</v>
      </c>
      <c r="AE876" s="23">
        <f t="shared" si="5775"/>
        <v>-12.011206157090804</v>
      </c>
      <c r="AF876" s="49">
        <v>-9803.2000000000007</v>
      </c>
      <c r="AG876" s="23">
        <f t="shared" si="5776"/>
        <v>-19.270044139930164</v>
      </c>
      <c r="AH876" s="49">
        <v>-9603</v>
      </c>
      <c r="AI876" s="23">
        <f t="shared" si="5777"/>
        <v>-19.223101705037728</v>
      </c>
      <c r="AJ876" s="49">
        <v>-9359.7000000000007</v>
      </c>
      <c r="AK876" s="23">
        <f t="shared" si="5778"/>
        <v>-19.20078729961411</v>
      </c>
      <c r="AL876" s="49">
        <v>-9303.7000000000007</v>
      </c>
      <c r="AM876" s="23">
        <f t="shared" si="5779"/>
        <v>-16.790090331812891</v>
      </c>
      <c r="AN876" s="158">
        <v>-9406.2999999999993</v>
      </c>
      <c r="AO876" s="23">
        <f t="shared" si="5780"/>
        <v>-4.0486779826995445</v>
      </c>
      <c r="AP876" s="158">
        <v>-9223.7000000000007</v>
      </c>
      <c r="AQ876" s="23">
        <f t="shared" si="5781"/>
        <v>-3.9498073518691945</v>
      </c>
      <c r="AR876" s="158">
        <v>-9062.2000000000007</v>
      </c>
      <c r="AS876" s="23">
        <f t="shared" si="5782"/>
        <v>-3.1785206790815979</v>
      </c>
      <c r="AT876" s="510">
        <v>-9310.2999999999993</v>
      </c>
      <c r="AU876" s="576">
        <f t="shared" si="5783"/>
        <v>7.0939518686108372E-2</v>
      </c>
      <c r="AV876" s="510">
        <v>-9742</v>
      </c>
      <c r="AW876" s="576">
        <f t="shared" si="5784"/>
        <v>3.568884683669471</v>
      </c>
      <c r="AX876" s="546">
        <v>-9871</v>
      </c>
      <c r="AY876" s="576">
        <f t="shared" si="5785"/>
        <v>7.0177911250365765</v>
      </c>
      <c r="AZ876" s="546">
        <v>-9703</v>
      </c>
      <c r="BA876" s="576">
        <f t="shared" si="5786"/>
        <v>7.0711306305312194</v>
      </c>
      <c r="BB876" s="546">
        <v>-9555</v>
      </c>
      <c r="BC876" s="23">
        <f t="shared" si="5787"/>
        <v>2.6282719139018251</v>
      </c>
      <c r="BD876" s="595">
        <v>-12719</v>
      </c>
      <c r="BE876" s="416">
        <f t="shared" si="5788"/>
        <v>30.558406897967561</v>
      </c>
      <c r="BF876" s="56">
        <f>BD876+BF694-BF734+BF740-BF745</f>
        <v>-12858.200156263136</v>
      </c>
      <c r="BG876" s="56">
        <f t="shared" si="5790"/>
        <v>30.262386346501223</v>
      </c>
      <c r="BH876" s="56">
        <f>BF876+BH694-BH734+BH740-BH745</f>
        <v>-12879.454991838627</v>
      </c>
      <c r="BI876" s="23">
        <f t="shared" si="5791"/>
        <v>32.736833884763762</v>
      </c>
      <c r="BJ876" s="56">
        <f>BH876+BJ694-BJ734+BJ740-BJ745</f>
        <v>-12939.694793650166</v>
      </c>
      <c r="BK876" s="23">
        <f t="shared" si="5792"/>
        <v>35.423284077971374</v>
      </c>
      <c r="BL876" s="56">
        <f>BJ876+BL694-BL734+BL740-BL745</f>
        <v>-12990.882539986475</v>
      </c>
      <c r="BM876" s="23">
        <f t="shared" si="5794"/>
        <v>2.1376094031486215</v>
      </c>
      <c r="BQ876" s="5"/>
      <c r="BR876" s="5"/>
      <c r="BS876" s="5"/>
      <c r="BT876" s="5"/>
      <c r="BU876" s="36">
        <f>H876</f>
        <v>-13108.6</v>
      </c>
      <c r="BV876" s="23" t="str">
        <f t="shared" si="5795"/>
        <v>NA</v>
      </c>
      <c r="BW876" s="36">
        <f>P876</f>
        <v>-12755.7</v>
      </c>
      <c r="BX876" s="23">
        <f t="shared" si="5795"/>
        <v>-2.6921257800222698</v>
      </c>
      <c r="BY876" s="56">
        <f>X876</f>
        <v>-12143.2</v>
      </c>
      <c r="BZ876" s="23">
        <f t="shared" si="5795"/>
        <v>-4.8017748927930199</v>
      </c>
      <c r="CA876" s="56">
        <f>AF876</f>
        <v>-9803.2000000000007</v>
      </c>
      <c r="CB876" s="23">
        <f t="shared" si="5795"/>
        <v>-19.270044139930164</v>
      </c>
      <c r="CC876" s="56">
        <f>AN876</f>
        <v>-9406.2999999999993</v>
      </c>
      <c r="CD876" s="23">
        <f t="shared" si="5795"/>
        <v>-4.0486779826995445</v>
      </c>
      <c r="CE876" s="56">
        <f>AV876</f>
        <v>-9742</v>
      </c>
      <c r="CF876" s="23">
        <f t="shared" si="5795"/>
        <v>3.568884683669471</v>
      </c>
      <c r="CG876" s="56">
        <f>BD876</f>
        <v>-12719</v>
      </c>
      <c r="CH876" s="23">
        <f t="shared" si="5795"/>
        <v>30.558406897967561</v>
      </c>
      <c r="CI876" s="56">
        <f>BL876</f>
        <v>-12990.882539986475</v>
      </c>
      <c r="CJ876" s="23">
        <f t="shared" si="5795"/>
        <v>2.1376094031486215</v>
      </c>
      <c r="CK876" s="56">
        <f>CI876+CK694-CK734+CK740-CK745</f>
        <v>-12783.116244360834</v>
      </c>
      <c r="CL876" s="23">
        <f t="shared" si="5795"/>
        <v>-1.5993239488243161</v>
      </c>
      <c r="CM876" s="56">
        <f>CK876+CM694-CM734+CM740-CM745</f>
        <v>-12539.258382451122</v>
      </c>
      <c r="CN876" s="23">
        <f t="shared" si="5795"/>
        <v>-1.9076558270154753</v>
      </c>
      <c r="CO876" s="56">
        <f>CM876+CO694-CO734+CO740-CO745</f>
        <v>-12260.149036744402</v>
      </c>
      <c r="CP876" s="23">
        <f t="shared" si="5795"/>
        <v>-2.2258839972333466</v>
      </c>
      <c r="CQ876" s="56">
        <f>CO876+CQ694-CQ734+CQ740-CQ745</f>
        <v>-11946.104678502084</v>
      </c>
      <c r="CR876" s="23">
        <f t="shared" si="5795"/>
        <v>-2.5615052255980597</v>
      </c>
      <c r="CS876" s="23">
        <f t="shared" si="5796"/>
        <v>-1.2460058870557789</v>
      </c>
    </row>
    <row r="877" spans="1:97" ht="12.75" customHeight="1" x14ac:dyDescent="0.2">
      <c r="A877" s="19" t="s">
        <v>63</v>
      </c>
      <c r="B877" s="56">
        <f>SUM(B873:B876)+B879</f>
        <v>7152</v>
      </c>
      <c r="C877" s="59"/>
      <c r="D877" s="56">
        <f>SUM(D873:D876)+D879</f>
        <v>10369.499999999998</v>
      </c>
      <c r="E877" s="56"/>
      <c r="F877" s="56">
        <f>SUM(F873:F876)+F879</f>
        <v>12386.400000000001</v>
      </c>
      <c r="G877" s="56"/>
      <c r="H877" s="56">
        <f>SUM(H873:H876)+H879</f>
        <v>12353.9</v>
      </c>
      <c r="I877" s="56"/>
      <c r="J877" s="56">
        <f>SUM(J873:J876)+J879</f>
        <v>11829.900000000001</v>
      </c>
      <c r="K877" s="23">
        <f t="shared" si="5797"/>
        <v>65.406879194630889</v>
      </c>
      <c r="L877" s="56">
        <f>SUM(L873:L876)+L879</f>
        <v>12841.8</v>
      </c>
      <c r="M877" s="23">
        <f t="shared" si="5798"/>
        <v>23.842036742369466</v>
      </c>
      <c r="N877" s="56">
        <f>SUM(N873:N876)+N879</f>
        <v>13910.5</v>
      </c>
      <c r="O877" s="23">
        <f t="shared" si="5799"/>
        <v>12.304624426790657</v>
      </c>
      <c r="P877" s="56">
        <f>SUM(P873:P876)+P879</f>
        <v>13874.900000000001</v>
      </c>
      <c r="Q877" s="23">
        <f t="shared" si="5800"/>
        <v>12.311901504787981</v>
      </c>
      <c r="R877" s="56">
        <f>SUM(R873:R876)+R879</f>
        <v>13391.100000000002</v>
      </c>
      <c r="S877" s="23">
        <f t="shared" si="5801"/>
        <v>13.197068445210869</v>
      </c>
      <c r="T877" s="56">
        <f>SUM(T873:T876)+T879</f>
        <v>12471.599999999999</v>
      </c>
      <c r="U877" s="23">
        <f t="shared" si="5802"/>
        <v>-2.8827734429752949</v>
      </c>
      <c r="V877" s="56">
        <f>SUM(V873:V876)+V879</f>
        <v>12770</v>
      </c>
      <c r="W877" s="23">
        <f t="shared" si="5803"/>
        <v>-8.1988426009129807</v>
      </c>
      <c r="X877" s="56">
        <f>SUM(X873:X876)+X879</f>
        <v>13272.199999999999</v>
      </c>
      <c r="Y877" s="23">
        <f t="shared" si="5804"/>
        <v>-4.3438150905592332</v>
      </c>
      <c r="Z877" s="56">
        <f>SUM(Z873:Z876)+Z879</f>
        <v>14001.5</v>
      </c>
      <c r="AA877" s="23">
        <f t="shared" si="5773"/>
        <v>4.5582513759138354</v>
      </c>
      <c r="AB877" s="56">
        <f>SUM(AB873:AB876)+AB879</f>
        <v>14867.100000000002</v>
      </c>
      <c r="AC877" s="23">
        <f t="shared" si="5774"/>
        <v>19.207639757529126</v>
      </c>
      <c r="AD877" s="413">
        <f>SUM(AD873:AD876)+AD879</f>
        <v>14639.100000000002</v>
      </c>
      <c r="AE877" s="23">
        <f t="shared" si="5775"/>
        <v>14.636648394675046</v>
      </c>
      <c r="AF877" s="56">
        <f>SUM(AF873:AF876)+AF879</f>
        <v>16146.199999999997</v>
      </c>
      <c r="AG877" s="23">
        <f t="shared" si="5776"/>
        <v>21.654284896249298</v>
      </c>
      <c r="AH877" s="56">
        <f>SUM(AH873:AH876)+AH879</f>
        <v>16144.400000000001</v>
      </c>
      <c r="AI877" s="23">
        <f t="shared" si="5777"/>
        <v>15.304788772631506</v>
      </c>
      <c r="AJ877" s="56">
        <f>SUM(AJ873:AJ876)+AJ879</f>
        <v>14855.8</v>
      </c>
      <c r="AK877" s="23">
        <f t="shared" si="5778"/>
        <v>-7.6006753166402152E-2</v>
      </c>
      <c r="AL877" s="56">
        <f>SUM(AL873:AL876)+AL879</f>
        <v>14286.100000000002</v>
      </c>
      <c r="AM877" s="23">
        <f t="shared" si="5779"/>
        <v>-2.4113504245479533</v>
      </c>
      <c r="AN877" s="413">
        <f t="shared" ref="AN877:AP877" si="5809">SUM(AN873:AN876)+AN879</f>
        <v>13435.799999999997</v>
      </c>
      <c r="AO877" s="23">
        <f t="shared" si="5780"/>
        <v>-16.786612329836125</v>
      </c>
      <c r="AP877" s="413">
        <f t="shared" si="5809"/>
        <v>14461.3</v>
      </c>
      <c r="AQ877" s="23">
        <f t="shared" si="5781"/>
        <v>-10.425286786749599</v>
      </c>
      <c r="AR877" s="413">
        <f t="shared" ref="AR877:AT877" si="5810">SUM(AR873:AR876)+AR879</f>
        <v>15338.900000000001</v>
      </c>
      <c r="AS877" s="23">
        <f t="shared" si="5782"/>
        <v>3.2519285396949593</v>
      </c>
      <c r="AT877" s="649">
        <f t="shared" si="5810"/>
        <v>15205.999999999998</v>
      </c>
      <c r="AU877" s="576">
        <f t="shared" si="5783"/>
        <v>6.4391261435940983</v>
      </c>
      <c r="AV877" s="649">
        <f t="shared" ref="AV877" si="5811">SUM(AV873:AV876)+AV879</f>
        <v>12994.5</v>
      </c>
      <c r="AW877" s="576">
        <f t="shared" si="5784"/>
        <v>-3.2845085517795525</v>
      </c>
      <c r="AX877" s="649">
        <f t="shared" ref="AX877" si="5812">SUM(AX873:AX876)+AX879</f>
        <v>12890.5</v>
      </c>
      <c r="AY877" s="576">
        <f t="shared" si="5785"/>
        <v>-10.862094002613865</v>
      </c>
      <c r="AZ877" s="649">
        <f t="shared" ref="AZ877" si="5813">SUM(AZ873:AZ876)+AZ879</f>
        <v>13352.5</v>
      </c>
      <c r="BA877" s="576">
        <f t="shared" si="5786"/>
        <v>-12.950081166185324</v>
      </c>
      <c r="BB877" s="649">
        <f t="shared" ref="BB877:BD877" si="5814">SUM(BB873:BB876)+BB879</f>
        <v>13652.600000000002</v>
      </c>
      <c r="BC877" s="23">
        <f t="shared" si="5787"/>
        <v>-10.215704327239228</v>
      </c>
      <c r="BD877" s="413">
        <f t="shared" si="5814"/>
        <v>10009</v>
      </c>
      <c r="BE877" s="23">
        <f t="shared" si="5788"/>
        <v>-22.975104852052798</v>
      </c>
      <c r="BF877" s="56">
        <f>BD877+BF694-BF734+BF740-BF745+BF879-BD879</f>
        <v>9869.7998437368642</v>
      </c>
      <c r="BG877" s="23">
        <f t="shared" si="5790"/>
        <v>-23.433537537435601</v>
      </c>
      <c r="BH877" s="56">
        <f>BF877+BH694-BH734+BH740-BH745+BH879-BF879</f>
        <v>9348.5450081613726</v>
      </c>
      <c r="BI877" s="23">
        <f t="shared" si="5791"/>
        <v>-29.986556763442263</v>
      </c>
      <c r="BJ877" s="56">
        <f>BH877+BJ694-BJ734+BJ740-BJ745+BJ879-BH879</f>
        <v>9288.3052063498344</v>
      </c>
      <c r="BK877" s="23">
        <f t="shared" si="5792"/>
        <v>-31.966766723189476</v>
      </c>
      <c r="BL877" s="56">
        <f>BJ877+BL694-BL734+BL740-BL745+BL879-BJ879</f>
        <v>9237.1174600135255</v>
      </c>
      <c r="BM877" s="23">
        <f t="shared" si="5794"/>
        <v>-7.7118847036314779</v>
      </c>
      <c r="BN877" s="48"/>
      <c r="BO877" s="137"/>
      <c r="BP877" s="48"/>
      <c r="BQ877" s="48">
        <v>967</v>
      </c>
      <c r="BR877" s="48"/>
      <c r="BS877" s="48">
        <v>6831</v>
      </c>
      <c r="BT877" s="48"/>
      <c r="BU877" s="56">
        <f>SUM(BU873:BU876)+BU879</f>
        <v>12353.9</v>
      </c>
      <c r="BV877" s="23">
        <f t="shared" si="5795"/>
        <v>80.850534328795192</v>
      </c>
      <c r="BW877" s="56">
        <f>SUM(BW873:BW876)+BW879</f>
        <v>13874.900000000001</v>
      </c>
      <c r="BX877" s="23">
        <f t="shared" si="5795"/>
        <v>12.311901504787981</v>
      </c>
      <c r="BY877" s="56">
        <f>SUM(BY873:BY876)+BY879</f>
        <v>13272.199999999999</v>
      </c>
      <c r="BZ877" s="23">
        <f t="shared" si="5795"/>
        <v>-4.3438150905592332</v>
      </c>
      <c r="CA877" s="56">
        <f>SUM(CA873:CA876)+CA879</f>
        <v>16146.199999999997</v>
      </c>
      <c r="CB877" s="23">
        <f t="shared" si="5795"/>
        <v>21.654284896249298</v>
      </c>
      <c r="CC877" s="56">
        <f>SUM(CC873:CC876)+CC879</f>
        <v>13435.799999999997</v>
      </c>
      <c r="CD877" s="23">
        <f t="shared" si="5795"/>
        <v>-16.786612329836125</v>
      </c>
      <c r="CE877" s="56">
        <f>SUM(CE873:CE876)+CE879</f>
        <v>12994.5</v>
      </c>
      <c r="CF877" s="23">
        <f t="shared" si="5795"/>
        <v>-3.2845085517795525</v>
      </c>
      <c r="CG877" s="56">
        <f>SUM(CG873:CG876)+CG879</f>
        <v>10009</v>
      </c>
      <c r="CH877" s="23">
        <f t="shared" si="5795"/>
        <v>-22.975104852052798</v>
      </c>
      <c r="CI877" s="56">
        <f>SUM(CI873:CI876)+CI879</f>
        <v>9237.1174600135255</v>
      </c>
      <c r="CJ877" s="23">
        <f t="shared" si="5795"/>
        <v>-7.7118847036314779</v>
      </c>
      <c r="CK877" s="56">
        <f>CI877+CK694-CK734+CK740-CK745+CK879-CI879</f>
        <v>9444.8837556391663</v>
      </c>
      <c r="CL877" s="23">
        <f t="shared" si="5795"/>
        <v>2.2492546676497138</v>
      </c>
      <c r="CM877" s="56">
        <f>CK877+CM694-CM734+CM740-CM745+CM879-CK879</f>
        <v>9688.7416175488779</v>
      </c>
      <c r="CN877" s="23">
        <f t="shared" si="5795"/>
        <v>2.581904322158679</v>
      </c>
      <c r="CO877" s="56">
        <f>CM877+CO694-CO734+CO740-CO745+CO879-CM879</f>
        <v>9967.8509632555979</v>
      </c>
      <c r="CP877" s="23">
        <f t="shared" si="5795"/>
        <v>2.8807595116498774</v>
      </c>
      <c r="CQ877" s="56">
        <f>CO877+CQ694-CQ734+CQ740-CQ745+CQ879-CO879</f>
        <v>10281.895321497916</v>
      </c>
      <c r="CR877" s="23">
        <f t="shared" si="5795"/>
        <v>3.1505723691092058</v>
      </c>
      <c r="CS877" s="23">
        <f t="shared" si="5796"/>
        <v>0.53944830253922493</v>
      </c>
    </row>
    <row r="878" spans="1:97" ht="12.75" customHeight="1" x14ac:dyDescent="0.2">
      <c r="A878" s="19" t="s">
        <v>310</v>
      </c>
      <c r="B878" s="49">
        <v>1239.5999999999999</v>
      </c>
      <c r="C878" s="59"/>
      <c r="D878" s="49">
        <v>1596.9</v>
      </c>
      <c r="E878" s="49"/>
      <c r="F878" s="49">
        <v>1665.5</v>
      </c>
      <c r="G878" s="49"/>
      <c r="H878" s="49">
        <v>1572.2</v>
      </c>
      <c r="I878" s="49"/>
      <c r="J878" s="49">
        <v>1632.9</v>
      </c>
      <c r="K878" s="23">
        <f t="shared" si="5797"/>
        <v>31.727976766698962</v>
      </c>
      <c r="L878" s="49">
        <v>2241.1</v>
      </c>
      <c r="M878" s="23">
        <f t="shared" si="5798"/>
        <v>40.340660028805807</v>
      </c>
      <c r="N878" s="49">
        <v>2041</v>
      </c>
      <c r="O878" s="23">
        <f t="shared" si="5799"/>
        <v>22.545782047433207</v>
      </c>
      <c r="P878" s="49">
        <v>2186.3000000000002</v>
      </c>
      <c r="Q878" s="23">
        <f t="shared" si="5800"/>
        <v>39.059916041216148</v>
      </c>
      <c r="R878" s="49">
        <v>2207.8000000000002</v>
      </c>
      <c r="S878" s="23">
        <f t="shared" si="5801"/>
        <v>35.207299895890756</v>
      </c>
      <c r="T878" s="49">
        <v>2175.5</v>
      </c>
      <c r="U878" s="23">
        <f t="shared" si="5802"/>
        <v>-2.9271339966980503</v>
      </c>
      <c r="V878" s="49">
        <v>2094.5</v>
      </c>
      <c r="W878" s="23">
        <f t="shared" si="5803"/>
        <v>2.6212640862322445</v>
      </c>
      <c r="X878" s="49">
        <v>2241.8000000000002</v>
      </c>
      <c r="Y878" s="23">
        <f t="shared" si="5804"/>
        <v>2.5385354251475034</v>
      </c>
      <c r="Z878" s="49">
        <v>2366.5</v>
      </c>
      <c r="AA878" s="23">
        <f t="shared" si="5773"/>
        <v>7.1881511006431698</v>
      </c>
      <c r="AB878" s="49">
        <v>2445.1999999999998</v>
      </c>
      <c r="AC878" s="23">
        <f t="shared" si="5774"/>
        <v>12.397150080441266</v>
      </c>
      <c r="AD878" s="158">
        <v>2559.1</v>
      </c>
      <c r="AE878" s="23">
        <f t="shared" si="5775"/>
        <v>22.181904989257582</v>
      </c>
      <c r="AF878" s="49">
        <v>2415.3000000000002</v>
      </c>
      <c r="AG878" s="23">
        <f t="shared" si="5776"/>
        <v>7.7393166205727448</v>
      </c>
      <c r="AH878" s="49">
        <v>2564.6999999999998</v>
      </c>
      <c r="AI878" s="23">
        <f t="shared" si="5777"/>
        <v>8.3752376927952668</v>
      </c>
      <c r="AJ878" s="49">
        <v>2693.1</v>
      </c>
      <c r="AK878" s="23">
        <f t="shared" si="5778"/>
        <v>10.138230001635872</v>
      </c>
      <c r="AL878" s="49">
        <v>2962.5</v>
      </c>
      <c r="AM878" s="23">
        <f t="shared" si="5779"/>
        <v>15.763354304247601</v>
      </c>
      <c r="AN878" s="158">
        <v>2840</v>
      </c>
      <c r="AO878" s="23">
        <f t="shared" si="5780"/>
        <v>17.583737009895238</v>
      </c>
      <c r="AP878" s="158">
        <v>1241.0999999999999</v>
      </c>
      <c r="AQ878" s="23" t="str">
        <f t="shared" si="5781"/>
        <v>NM</v>
      </c>
      <c r="AR878" s="158">
        <v>1026.7</v>
      </c>
      <c r="AS878" s="23" t="str">
        <f t="shared" si="5782"/>
        <v>NM</v>
      </c>
      <c r="AT878" s="510">
        <v>949.4</v>
      </c>
      <c r="AU878" s="576" t="str">
        <f t="shared" si="5783"/>
        <v>NM</v>
      </c>
      <c r="AV878" s="510">
        <v>973</v>
      </c>
      <c r="AW878" s="576" t="str">
        <f t="shared" si="5784"/>
        <v>NM</v>
      </c>
      <c r="AX878" s="546">
        <v>987.3</v>
      </c>
      <c r="AY878" s="510">
        <f t="shared" si="5785"/>
        <v>-20.449601160261054</v>
      </c>
      <c r="AZ878" s="546">
        <v>939.8</v>
      </c>
      <c r="BA878" s="576">
        <f t="shared" si="5786"/>
        <v>-8.464010908736741</v>
      </c>
      <c r="BB878" s="546">
        <v>958.3</v>
      </c>
      <c r="BC878" s="23">
        <f t="shared" si="5787"/>
        <v>0.93743416894880305</v>
      </c>
      <c r="BD878" s="595">
        <v>1030</v>
      </c>
      <c r="BE878" s="23">
        <f t="shared" si="5788"/>
        <v>5.8581706063720373</v>
      </c>
      <c r="BF878" s="56">
        <f t="shared" ref="BF878:BJ879" si="5815">BD878</f>
        <v>1030</v>
      </c>
      <c r="BG878" s="23">
        <f t="shared" si="5790"/>
        <v>4.3249265674060622</v>
      </c>
      <c r="BH878" s="56">
        <f t="shared" si="5815"/>
        <v>1030</v>
      </c>
      <c r="BI878" s="23">
        <f t="shared" si="5791"/>
        <v>9.5977867631410909</v>
      </c>
      <c r="BJ878" s="56">
        <f t="shared" si="5815"/>
        <v>1030</v>
      </c>
      <c r="BK878" s="23">
        <f t="shared" si="5792"/>
        <v>7.4819993738912682</v>
      </c>
      <c r="BL878" s="56">
        <f t="shared" ref="BL878:BL879" si="5816">BJ878</f>
        <v>1030</v>
      </c>
      <c r="BM878" s="23">
        <f t="shared" si="5794"/>
        <v>0</v>
      </c>
      <c r="BQ878" s="5"/>
      <c r="BR878" s="5"/>
      <c r="BS878" s="5"/>
      <c r="BT878" s="5"/>
      <c r="BU878" s="36">
        <f>H878</f>
        <v>1572.2</v>
      </c>
      <c r="BV878" s="23" t="str">
        <f t="shared" si="5795"/>
        <v>NA</v>
      </c>
      <c r="BW878" s="36">
        <f>P878</f>
        <v>2186.3000000000002</v>
      </c>
      <c r="BX878" s="23">
        <f t="shared" si="5795"/>
        <v>39.059916041216148</v>
      </c>
      <c r="BY878" s="36">
        <f>X878</f>
        <v>2241.8000000000002</v>
      </c>
      <c r="BZ878" s="23">
        <f t="shared" si="5795"/>
        <v>2.5385354251475034</v>
      </c>
      <c r="CA878" s="36">
        <f>AF878</f>
        <v>2415.3000000000002</v>
      </c>
      <c r="CB878" s="23">
        <f t="shared" si="5795"/>
        <v>7.7393166205727448</v>
      </c>
      <c r="CC878" s="36">
        <f>AN878</f>
        <v>2840</v>
      </c>
      <c r="CD878" s="23">
        <f t="shared" si="5795"/>
        <v>17.583737009895238</v>
      </c>
      <c r="CE878" s="36">
        <f>AV878</f>
        <v>973</v>
      </c>
      <c r="CF878" s="23" t="str">
        <f t="shared" si="5795"/>
        <v>NM</v>
      </c>
      <c r="CG878" s="36">
        <f>BD878</f>
        <v>1030</v>
      </c>
      <c r="CH878" s="23">
        <f t="shared" si="5795"/>
        <v>5.8581706063720373</v>
      </c>
      <c r="CI878" s="36">
        <f>BL878</f>
        <v>1030</v>
      </c>
      <c r="CJ878" s="23">
        <f t="shared" si="5795"/>
        <v>0</v>
      </c>
      <c r="CK878" s="56">
        <f>CI878</f>
        <v>1030</v>
      </c>
      <c r="CL878" s="23">
        <f t="shared" si="5795"/>
        <v>0</v>
      </c>
      <c r="CM878" s="56">
        <f>CK878</f>
        <v>1030</v>
      </c>
      <c r="CN878" s="23">
        <f t="shared" si="5795"/>
        <v>0</v>
      </c>
      <c r="CO878" s="56">
        <f>CM878</f>
        <v>1030</v>
      </c>
      <c r="CP878" s="23">
        <f t="shared" si="5795"/>
        <v>0</v>
      </c>
      <c r="CQ878" s="56">
        <f>CO878</f>
        <v>1030</v>
      </c>
      <c r="CR878" s="23">
        <f t="shared" si="5795"/>
        <v>0</v>
      </c>
      <c r="CS878" s="23">
        <f t="shared" si="5796"/>
        <v>0</v>
      </c>
    </row>
    <row r="879" spans="1:97" ht="12.75" customHeight="1" x14ac:dyDescent="0.2">
      <c r="A879" s="19" t="s">
        <v>64</v>
      </c>
      <c r="B879" s="49">
        <v>1050.4000000000001</v>
      </c>
      <c r="C879" s="59"/>
      <c r="D879" s="49">
        <v>1243.4000000000001</v>
      </c>
      <c r="E879" s="49"/>
      <c r="F879" s="49">
        <v>2285.3000000000002</v>
      </c>
      <c r="G879" s="49"/>
      <c r="H879" s="49">
        <v>2595</v>
      </c>
      <c r="I879" s="49"/>
      <c r="J879" s="49">
        <v>2587</v>
      </c>
      <c r="K879" s="23" t="str">
        <f t="shared" si="5797"/>
        <v>NM</v>
      </c>
      <c r="L879" s="49">
        <v>3021.5</v>
      </c>
      <c r="M879" s="23" t="str">
        <f t="shared" si="5798"/>
        <v>NM</v>
      </c>
      <c r="N879" s="49">
        <v>3701.5</v>
      </c>
      <c r="O879" s="23">
        <f t="shared" si="5799"/>
        <v>61.969982059248217</v>
      </c>
      <c r="P879" s="49">
        <v>3710.7</v>
      </c>
      <c r="Q879" s="23">
        <f t="shared" si="5800"/>
        <v>42.994219653179179</v>
      </c>
      <c r="R879" s="49">
        <v>3452.8</v>
      </c>
      <c r="S879" s="23">
        <f t="shared" si="5801"/>
        <v>33.467336683417081</v>
      </c>
      <c r="T879" s="49">
        <v>2087.8000000000002</v>
      </c>
      <c r="U879" s="23">
        <f t="shared" si="5802"/>
        <v>-30.901869932152902</v>
      </c>
      <c r="V879" s="49">
        <v>1950</v>
      </c>
      <c r="W879" s="23">
        <f t="shared" si="5803"/>
        <v>-47.318654599486699</v>
      </c>
      <c r="X879" s="49">
        <v>1849.1</v>
      </c>
      <c r="Y879" s="23" t="str">
        <f t="shared" si="5804"/>
        <v>NM</v>
      </c>
      <c r="Z879" s="49">
        <v>2577.5</v>
      </c>
      <c r="AA879" s="23">
        <f t="shared" si="5773"/>
        <v>-25.350440222428183</v>
      </c>
      <c r="AB879" s="49">
        <v>3152.7</v>
      </c>
      <c r="AC879" s="23">
        <f t="shared" si="5774"/>
        <v>51.005843471596869</v>
      </c>
      <c r="AD879" s="158">
        <v>2820.2</v>
      </c>
      <c r="AE879" s="23">
        <f t="shared" si="5775"/>
        <v>44.625641025641016</v>
      </c>
      <c r="AF879" s="49">
        <v>3103.7</v>
      </c>
      <c r="AG879" s="23">
        <f t="shared" si="5776"/>
        <v>67.849223946784917</v>
      </c>
      <c r="AH879" s="49">
        <v>3531.2</v>
      </c>
      <c r="AI879" s="23">
        <f t="shared" si="5777"/>
        <v>37.000969932104752</v>
      </c>
      <c r="AJ879" s="49">
        <v>2109.1999999999998</v>
      </c>
      <c r="AK879" s="23">
        <f t="shared" si="5778"/>
        <v>-33.098613886509973</v>
      </c>
      <c r="AL879" s="49">
        <v>2045.7</v>
      </c>
      <c r="AM879" s="23">
        <f t="shared" si="5779"/>
        <v>-27.462591305581164</v>
      </c>
      <c r="AN879" s="158">
        <v>1424.9</v>
      </c>
      <c r="AO879" s="23" t="str">
        <f t="shared" si="5780"/>
        <v>NM</v>
      </c>
      <c r="AP879" s="158">
        <v>2476.1999999999998</v>
      </c>
      <c r="AQ879" s="23">
        <f t="shared" si="5781"/>
        <v>-29.87652922519257</v>
      </c>
      <c r="AR879" s="158">
        <v>3439.7</v>
      </c>
      <c r="AS879" s="23">
        <f t="shared" si="5782"/>
        <v>63.080788924710809</v>
      </c>
      <c r="AT879" s="510">
        <v>3517.1</v>
      </c>
      <c r="AU879" s="576">
        <f t="shared" si="5783"/>
        <v>71.92647993351909</v>
      </c>
      <c r="AV879" s="510">
        <v>1921</v>
      </c>
      <c r="AW879" s="576">
        <f t="shared" si="5784"/>
        <v>34.816478349357837</v>
      </c>
      <c r="AX879" s="546">
        <v>2112</v>
      </c>
      <c r="AY879" s="576">
        <f t="shared" si="5785"/>
        <v>-14.708020353767859</v>
      </c>
      <c r="AZ879" s="546">
        <v>2606</v>
      </c>
      <c r="BA879" s="576">
        <f t="shared" si="5786"/>
        <v>-24.23757885862139</v>
      </c>
      <c r="BB879" s="546">
        <v>2731</v>
      </c>
      <c r="BC879" s="23">
        <f t="shared" si="5787"/>
        <v>-22.350800375309198</v>
      </c>
      <c r="BD879" s="595">
        <v>2731</v>
      </c>
      <c r="BE879" s="23">
        <f t="shared" si="5788"/>
        <v>42.165538781884429</v>
      </c>
      <c r="BF879" s="49">
        <f t="shared" si="5815"/>
        <v>2731</v>
      </c>
      <c r="BG879" s="23">
        <f t="shared" si="5790"/>
        <v>29.30871212121211</v>
      </c>
      <c r="BH879" s="49">
        <f>BF879-500</f>
        <v>2231</v>
      </c>
      <c r="BI879" s="23">
        <f t="shared" si="5791"/>
        <v>-14.389869531849575</v>
      </c>
      <c r="BJ879" s="49">
        <f t="shared" si="5815"/>
        <v>2231</v>
      </c>
      <c r="BK879" s="23">
        <f t="shared" si="5792"/>
        <v>-18.308311973636027</v>
      </c>
      <c r="BL879" s="49">
        <f t="shared" si="5816"/>
        <v>2231</v>
      </c>
      <c r="BM879" s="23">
        <f t="shared" si="5794"/>
        <v>-18.308311973636027</v>
      </c>
      <c r="BO879" s="137"/>
      <c r="BQ879" s="5"/>
      <c r="BR879" s="5"/>
      <c r="BS879" s="5"/>
      <c r="BT879" s="5"/>
      <c r="BU879" s="36">
        <f>H879</f>
        <v>2595</v>
      </c>
      <c r="BV879" s="23" t="str">
        <f t="shared" si="5795"/>
        <v>NA</v>
      </c>
      <c r="BW879" s="36">
        <f>P879</f>
        <v>3710.7</v>
      </c>
      <c r="BX879" s="23">
        <f t="shared" si="5795"/>
        <v>42.994219653179179</v>
      </c>
      <c r="BY879" s="56">
        <f>X879</f>
        <v>1849.1</v>
      </c>
      <c r="BZ879" s="23" t="str">
        <f t="shared" si="5795"/>
        <v>NM</v>
      </c>
      <c r="CA879" s="56">
        <f>AF879</f>
        <v>3103.7</v>
      </c>
      <c r="CB879" s="23">
        <f t="shared" si="5795"/>
        <v>67.849223946784917</v>
      </c>
      <c r="CC879" s="56">
        <f>AN879</f>
        <v>1424.9</v>
      </c>
      <c r="CD879" s="23" t="str">
        <f t="shared" si="5795"/>
        <v>NM</v>
      </c>
      <c r="CE879" s="56">
        <f>AV879</f>
        <v>1921</v>
      </c>
      <c r="CF879" s="23">
        <f t="shared" si="5795"/>
        <v>34.816478349357837</v>
      </c>
      <c r="CG879" s="56">
        <f>BD879</f>
        <v>2731</v>
      </c>
      <c r="CH879" s="23">
        <f t="shared" si="5795"/>
        <v>42.165538781884429</v>
      </c>
      <c r="CI879" s="56">
        <f>BL879</f>
        <v>2231</v>
      </c>
      <c r="CJ879" s="23">
        <f t="shared" si="5795"/>
        <v>-18.308311973636027</v>
      </c>
      <c r="CK879" s="49">
        <f>CI879</f>
        <v>2231</v>
      </c>
      <c r="CL879" s="23">
        <f t="shared" si="5795"/>
        <v>0</v>
      </c>
      <c r="CM879" s="49">
        <f>CK879</f>
        <v>2231</v>
      </c>
      <c r="CN879" s="23">
        <f t="shared" si="5795"/>
        <v>0</v>
      </c>
      <c r="CO879" s="49">
        <f>CM879</f>
        <v>2231</v>
      </c>
      <c r="CP879" s="23">
        <f t="shared" si="5795"/>
        <v>0</v>
      </c>
      <c r="CQ879" s="49">
        <f>CO879</f>
        <v>2231</v>
      </c>
      <c r="CR879" s="23">
        <f t="shared" si="5795"/>
        <v>0</v>
      </c>
      <c r="CS879" s="23">
        <f t="shared" si="5796"/>
        <v>-3.9636658510930789</v>
      </c>
    </row>
    <row r="880" spans="1:97" ht="12.75" customHeight="1" x14ac:dyDescent="0.2">
      <c r="A880" s="19" t="s">
        <v>65</v>
      </c>
      <c r="B880" s="56">
        <f>B877-B879</f>
        <v>6101.6</v>
      </c>
      <c r="C880" s="59"/>
      <c r="D880" s="56">
        <f>D877-D879</f>
        <v>9126.0999999999985</v>
      </c>
      <c r="E880" s="59"/>
      <c r="F880" s="56">
        <f>F877-F879</f>
        <v>10101.100000000002</v>
      </c>
      <c r="G880" s="59"/>
      <c r="H880" s="56">
        <f>H877-H879</f>
        <v>9758.9</v>
      </c>
      <c r="I880" s="59"/>
      <c r="J880" s="56">
        <f>J877-J879</f>
        <v>9242.9000000000015</v>
      </c>
      <c r="K880" s="23">
        <f t="shared" si="5797"/>
        <v>51.483217516716941</v>
      </c>
      <c r="L880" s="56">
        <f>L877-L879</f>
        <v>9820.2999999999993</v>
      </c>
      <c r="M880" s="23">
        <f t="shared" si="5798"/>
        <v>7.606754254281678</v>
      </c>
      <c r="N880" s="56">
        <f>N877-N879</f>
        <v>10209</v>
      </c>
      <c r="O880" s="23">
        <f t="shared" si="5799"/>
        <v>1.0682004930155919</v>
      </c>
      <c r="P880" s="56">
        <f>P877-P879</f>
        <v>10164.200000000001</v>
      </c>
      <c r="Q880" s="23">
        <f t="shared" si="5800"/>
        <v>4.1531320128293192</v>
      </c>
      <c r="R880" s="56">
        <f>R877-R879</f>
        <v>9938.3000000000029</v>
      </c>
      <c r="S880" s="23">
        <f t="shared" si="5801"/>
        <v>7.5236127189518553</v>
      </c>
      <c r="T880" s="56">
        <f>T877-T879</f>
        <v>10383.799999999999</v>
      </c>
      <c r="U880" s="23">
        <f t="shared" si="5802"/>
        <v>5.7381139069071274</v>
      </c>
      <c r="V880" s="56">
        <f>V877-V879</f>
        <v>10820</v>
      </c>
      <c r="W880" s="23">
        <f t="shared" si="5803"/>
        <v>5.9849152708394637</v>
      </c>
      <c r="X880" s="56">
        <f>X877-X879</f>
        <v>11423.099999999999</v>
      </c>
      <c r="Y880" s="23">
        <f t="shared" si="5804"/>
        <v>12.385627988429949</v>
      </c>
      <c r="Z880" s="56">
        <f>Z877-Z879</f>
        <v>11424</v>
      </c>
      <c r="AA880" s="23">
        <f t="shared" si="5773"/>
        <v>14.949236791000441</v>
      </c>
      <c r="AB880" s="56">
        <f>AB877-AB879</f>
        <v>11714.400000000001</v>
      </c>
      <c r="AC880" s="23">
        <f t="shared" si="5774"/>
        <v>12.814191336504965</v>
      </c>
      <c r="AD880" s="56">
        <f>AD877-AD879</f>
        <v>11818.900000000001</v>
      </c>
      <c r="AE880" s="23">
        <f t="shared" si="5775"/>
        <v>9.2319778188539878</v>
      </c>
      <c r="AF880" s="56">
        <f>AF877-AF879</f>
        <v>13042.499999999996</v>
      </c>
      <c r="AG880" s="23">
        <f t="shared" si="5776"/>
        <v>14.176537017096912</v>
      </c>
      <c r="AH880" s="56">
        <f>AH877-AH879</f>
        <v>12613.2</v>
      </c>
      <c r="AI880" s="23">
        <f t="shared" si="5777"/>
        <v>10.409663865546225</v>
      </c>
      <c r="AJ880" s="56">
        <f>AJ877-AJ879</f>
        <v>12746.599999999999</v>
      </c>
      <c r="AK880" s="23">
        <f t="shared" si="5778"/>
        <v>8.8113774499760655</v>
      </c>
      <c r="AL880" s="56">
        <f>AL877-AL879</f>
        <v>12240.400000000001</v>
      </c>
      <c r="AM880" s="23">
        <f t="shared" si="5779"/>
        <v>3.5663217389097168</v>
      </c>
      <c r="AN880" s="413">
        <f t="shared" ref="AN880:AP880" si="5817">AN877-AN879</f>
        <v>12010.899999999998</v>
      </c>
      <c r="AO880" s="23">
        <f t="shared" si="5780"/>
        <v>-7.9095265478244077</v>
      </c>
      <c r="AP880" s="413">
        <f t="shared" si="5817"/>
        <v>11985.099999999999</v>
      </c>
      <c r="AQ880" s="23">
        <f t="shared" si="5781"/>
        <v>-4.9797038023657976</v>
      </c>
      <c r="AR880" s="413">
        <f t="shared" ref="AR880:AT880" si="5818">AR877-AR879</f>
        <v>11899.2</v>
      </c>
      <c r="AS880" s="23">
        <f t="shared" si="5782"/>
        <v>-6.6480473224232224</v>
      </c>
      <c r="AT880" s="649">
        <f t="shared" si="5818"/>
        <v>11688.899999999998</v>
      </c>
      <c r="AU880" s="576">
        <f t="shared" si="5783"/>
        <v>-4.5055717133427269</v>
      </c>
      <c r="AV880" s="649">
        <f t="shared" ref="AV880" si="5819">AV877-AV879</f>
        <v>11073.5</v>
      </c>
      <c r="AW880" s="576">
        <f t="shared" si="5784"/>
        <v>-7.8045775087628559</v>
      </c>
      <c r="AX880" s="649">
        <f t="shared" ref="AX880" si="5820">AX877-AX879</f>
        <v>10778.5</v>
      </c>
      <c r="AY880" s="576">
        <f t="shared" si="5785"/>
        <v>-10.067500479762359</v>
      </c>
      <c r="AZ880" s="649">
        <f t="shared" ref="AZ880" si="5821">AZ877-AZ879</f>
        <v>10746.5</v>
      </c>
      <c r="BA880" s="576">
        <f t="shared" si="5786"/>
        <v>-9.6872058625790061</v>
      </c>
      <c r="BB880" s="649">
        <f t="shared" ref="BB880:BD880" si="5822">BB877-BB879</f>
        <v>10921.600000000002</v>
      </c>
      <c r="BC880" s="23">
        <f t="shared" si="5787"/>
        <v>-6.5643473722933336</v>
      </c>
      <c r="BD880" s="413">
        <f t="shared" si="5822"/>
        <v>7278</v>
      </c>
      <c r="BE880" s="23">
        <f t="shared" si="5788"/>
        <v>-34.275522644150449</v>
      </c>
      <c r="BF880" s="56">
        <f t="shared" ref="BF880" si="5823">BF877-BF879</f>
        <v>7138.7998437368642</v>
      </c>
      <c r="BG880" s="23">
        <f t="shared" si="5790"/>
        <v>-33.768151006755446</v>
      </c>
      <c r="BH880" s="56">
        <f t="shared" ref="BH880" si="5824">BH877-BH879</f>
        <v>7117.5450081613726</v>
      </c>
      <c r="BI880" s="23">
        <f t="shared" si="5791"/>
        <v>-33.768715319765761</v>
      </c>
      <c r="BJ880" s="56">
        <f t="shared" ref="BJ880" si="5825">BJ877-BJ879</f>
        <v>7057.3052063498344</v>
      </c>
      <c r="BK880" s="23">
        <f t="shared" si="5792"/>
        <v>-35.382130765182453</v>
      </c>
      <c r="BL880" s="56">
        <f t="shared" ref="BL880" si="5826">BL877-BL879</f>
        <v>7006.1174600135255</v>
      </c>
      <c r="BM880" s="23">
        <f t="shared" si="5794"/>
        <v>-3.7356765593085206</v>
      </c>
      <c r="BO880" s="137"/>
      <c r="BQ880" s="5"/>
      <c r="BR880" s="5"/>
      <c r="BS880" s="5"/>
      <c r="BT880" s="5"/>
      <c r="BU880" s="36">
        <f>BU877-BU879</f>
        <v>9758.9</v>
      </c>
      <c r="BV880" s="23" t="str">
        <f t="shared" si="5795"/>
        <v>NA</v>
      </c>
      <c r="BW880" s="36">
        <f>BW877-BW879</f>
        <v>10164.200000000001</v>
      </c>
      <c r="BX880" s="23">
        <f t="shared" si="5795"/>
        <v>4.1531320128293192</v>
      </c>
      <c r="BY880" s="36">
        <f>BY877-BY879</f>
        <v>11423.099999999999</v>
      </c>
      <c r="BZ880" s="23">
        <f t="shared" si="5795"/>
        <v>12.385627988429949</v>
      </c>
      <c r="CA880" s="36">
        <f>CA877-CA879</f>
        <v>13042.499999999996</v>
      </c>
      <c r="CB880" s="23">
        <f t="shared" si="5795"/>
        <v>14.176537017096912</v>
      </c>
      <c r="CC880" s="36">
        <f>CC877-CC879</f>
        <v>12010.899999999998</v>
      </c>
      <c r="CD880" s="23">
        <f t="shared" si="5795"/>
        <v>-7.9095265478244077</v>
      </c>
      <c r="CE880" s="36">
        <f>CE877-CE879</f>
        <v>11073.5</v>
      </c>
      <c r="CF880" s="23">
        <f t="shared" si="5795"/>
        <v>-7.8045775087628559</v>
      </c>
      <c r="CG880" s="36">
        <f>CG877-CG879</f>
        <v>7278</v>
      </c>
      <c r="CH880" s="23">
        <f t="shared" si="5795"/>
        <v>-34.275522644150449</v>
      </c>
      <c r="CI880" s="36">
        <f>CI877-CI879</f>
        <v>7006.1174600135255</v>
      </c>
      <c r="CJ880" s="23">
        <f t="shared" si="5795"/>
        <v>-3.7356765593085206</v>
      </c>
      <c r="CK880" s="56">
        <f>CK877-CK879</f>
        <v>7213.8837556391663</v>
      </c>
      <c r="CL880" s="23">
        <f t="shared" si="5795"/>
        <v>2.9654983207381136</v>
      </c>
      <c r="CM880" s="56">
        <f>CM877-CM879</f>
        <v>7457.7416175488779</v>
      </c>
      <c r="CN880" s="23">
        <f t="shared" si="5795"/>
        <v>3.3803963325453656</v>
      </c>
      <c r="CO880" s="56">
        <f>CO877-CO879</f>
        <v>7736.8509632555979</v>
      </c>
      <c r="CP880" s="23">
        <f t="shared" si="5795"/>
        <v>3.7425451298814805</v>
      </c>
      <c r="CQ880" s="56">
        <f>CQ877-CQ879</f>
        <v>8050.8953214979156</v>
      </c>
      <c r="CR880" s="23">
        <f t="shared" si="5795"/>
        <v>4.0590720919118084</v>
      </c>
      <c r="CS880" s="23">
        <f t="shared" si="5796"/>
        <v>2.0390544954195455</v>
      </c>
    </row>
    <row r="881" spans="1:97" ht="12.75" customHeight="1" x14ac:dyDescent="0.2">
      <c r="A881" s="19" t="s">
        <v>66</v>
      </c>
      <c r="B881" s="56">
        <f>AVERAGE(B877)</f>
        <v>7152</v>
      </c>
      <c r="C881" s="59"/>
      <c r="D881" s="56">
        <f>AVERAGE(B877,D877)</f>
        <v>8760.75</v>
      </c>
      <c r="E881" s="59"/>
      <c r="F881" s="56">
        <f>AVERAGE(D877,F877)</f>
        <v>11377.95</v>
      </c>
      <c r="G881" s="59"/>
      <c r="H881" s="56">
        <f>AVERAGE(F877,H877)</f>
        <v>12370.150000000001</v>
      </c>
      <c r="I881" s="59"/>
      <c r="J881" s="56">
        <f>AVERAGE(H877,J877)</f>
        <v>12091.900000000001</v>
      </c>
      <c r="K881" s="23">
        <f t="shared" si="5797"/>
        <v>69.070190156599566</v>
      </c>
      <c r="L881" s="56">
        <f>AVERAGE(J877,L877)</f>
        <v>12335.85</v>
      </c>
      <c r="M881" s="23">
        <f t="shared" si="5798"/>
        <v>40.80814998715865</v>
      </c>
      <c r="N881" s="56">
        <f>AVERAGE(L877,N877)</f>
        <v>13376.15</v>
      </c>
      <c r="O881" s="23">
        <f t="shared" si="5799"/>
        <v>17.562038855857143</v>
      </c>
      <c r="P881" s="56">
        <f>AVERAGE(N877,P877)</f>
        <v>13892.7</v>
      </c>
      <c r="Q881" s="23">
        <f t="shared" si="5800"/>
        <v>12.308258186036536</v>
      </c>
      <c r="R881" s="56">
        <f>AVERAGE(P877,R877)</f>
        <v>13633.000000000002</v>
      </c>
      <c r="S881" s="23">
        <f t="shared" si="5801"/>
        <v>12.744895343163609</v>
      </c>
      <c r="T881" s="56">
        <f>AVERAGE(R877,T877)</f>
        <v>12931.35</v>
      </c>
      <c r="U881" s="23">
        <f t="shared" si="5802"/>
        <v>4.8273933291990367</v>
      </c>
      <c r="V881" s="56">
        <f>AVERAGE(T877,V877)</f>
        <v>12620.8</v>
      </c>
      <c r="W881" s="23">
        <f t="shared" si="5803"/>
        <v>-5.6469910998306672</v>
      </c>
      <c r="X881" s="56">
        <f>AVERAGE(V877,X877)</f>
        <v>13021.099999999999</v>
      </c>
      <c r="Y881" s="23">
        <f t="shared" si="5804"/>
        <v>-6.2737984696999316</v>
      </c>
      <c r="Z881" s="56">
        <f>AVERAGE(X877,Z877)</f>
        <v>13636.849999999999</v>
      </c>
      <c r="AA881" s="23">
        <f t="shared" si="5773"/>
        <v>2.8240299273796232E-2</v>
      </c>
      <c r="AB881" s="56">
        <f>AVERAGE(Z877,AB877)</f>
        <v>14434.300000000001</v>
      </c>
      <c r="AC881" s="23">
        <f t="shared" si="5774"/>
        <v>11.6225297436076</v>
      </c>
      <c r="AD881" s="56">
        <f>AVERAGE(AB877,AD877)</f>
        <v>14753.100000000002</v>
      </c>
      <c r="AE881" s="23">
        <f t="shared" si="5775"/>
        <v>16.895125507099419</v>
      </c>
      <c r="AF881" s="56">
        <f>AVERAGE(AD877,AF877)</f>
        <v>15392.65</v>
      </c>
      <c r="AG881" s="23">
        <f t="shared" si="5776"/>
        <v>18.213130995077222</v>
      </c>
      <c r="AH881" s="56">
        <f>AVERAGE(AF877,AH877)</f>
        <v>16145.3</v>
      </c>
      <c r="AI881" s="23">
        <f t="shared" si="5777"/>
        <v>18.394643924366715</v>
      </c>
      <c r="AJ881" s="56">
        <f>AVERAGE(AH877,AJ877)</f>
        <v>15500.1</v>
      </c>
      <c r="AK881" s="23">
        <f t="shared" si="5778"/>
        <v>7.3838010849157865</v>
      </c>
      <c r="AL881" s="56">
        <f>AVERAGE(AJ877,AL877)</f>
        <v>14570.95</v>
      </c>
      <c r="AM881" s="23">
        <f t="shared" si="5779"/>
        <v>-1.2346557672624825</v>
      </c>
      <c r="AN881" s="413">
        <f t="shared" ref="AN881:AP881" si="5827">AVERAGE(AL877,AN877)</f>
        <v>13860.95</v>
      </c>
      <c r="AO881" s="23">
        <f t="shared" si="5780"/>
        <v>-9.9508531669335589</v>
      </c>
      <c r="AP881" s="413">
        <f t="shared" si="5827"/>
        <v>13948.55</v>
      </c>
      <c r="AQ881" s="23">
        <f t="shared" si="5781"/>
        <v>-13.606126860448553</v>
      </c>
      <c r="AR881" s="413">
        <f t="shared" ref="AR881:AT881" si="5828">AVERAGE(AP877,AR877)</f>
        <v>14900.1</v>
      </c>
      <c r="AS881" s="23">
        <f t="shared" si="5782"/>
        <v>-3.8709427681111741</v>
      </c>
      <c r="AT881" s="649">
        <f t="shared" si="5828"/>
        <v>15272.45</v>
      </c>
      <c r="AU881" s="576">
        <f t="shared" si="5783"/>
        <v>4.8143738054142071</v>
      </c>
      <c r="AV881" s="649">
        <f t="shared" ref="AV881" si="5829">AVERAGE(AT877,AV877)</f>
        <v>14100.25</v>
      </c>
      <c r="AW881" s="576">
        <f t="shared" si="5784"/>
        <v>1.7264328924063488</v>
      </c>
      <c r="AX881" s="649">
        <f t="shared" ref="AX881" si="5830">AVERAGE(AV877,AX877)</f>
        <v>12942.5</v>
      </c>
      <c r="AY881" s="576">
        <f t="shared" si="5785"/>
        <v>-7.2125776514404656</v>
      </c>
      <c r="AZ881" s="649">
        <f t="shared" ref="AZ881" si="5831">AVERAGE(AX877,AZ877)</f>
        <v>13121.5</v>
      </c>
      <c r="BA881" s="576">
        <f t="shared" si="5786"/>
        <v>-11.936832638707129</v>
      </c>
      <c r="BB881" s="649">
        <f t="shared" ref="BB881:BD881" si="5832">AVERAGE(AZ877,BB877)</f>
        <v>13502.550000000001</v>
      </c>
      <c r="BC881" s="23">
        <f t="shared" si="5787"/>
        <v>-11.588841345036316</v>
      </c>
      <c r="BD881" s="413">
        <f t="shared" si="5832"/>
        <v>11830.800000000001</v>
      </c>
      <c r="BE881" s="23">
        <f t="shared" si="5788"/>
        <v>-16.095104696725226</v>
      </c>
      <c r="BF881" s="56">
        <f t="shared" ref="BF881:BJ881" si="5833">AVERAGE(BD877,BF877)</f>
        <v>9939.399921868433</v>
      </c>
      <c r="BG881" s="23">
        <f t="shared" si="5790"/>
        <v>-23.20340025599047</v>
      </c>
      <c r="BH881" s="56">
        <f t="shared" si="5833"/>
        <v>9609.1724259491184</v>
      </c>
      <c r="BI881" s="23">
        <f t="shared" si="5791"/>
        <v>-26.767729101481397</v>
      </c>
      <c r="BJ881" s="56">
        <f t="shared" si="5833"/>
        <v>9318.4251072556035</v>
      </c>
      <c r="BK881" s="23">
        <f t="shared" si="5792"/>
        <v>-30.987664498516189</v>
      </c>
      <c r="BL881" s="56">
        <f t="shared" ref="BL881" si="5834">AVERAGE(BJ877,BL877)</f>
        <v>9262.7113331816799</v>
      </c>
      <c r="BM881" s="23">
        <f t="shared" si="5794"/>
        <v>-21.706804838373738</v>
      </c>
      <c r="BO881" s="137"/>
      <c r="BQ881" s="5"/>
      <c r="BR881" s="5"/>
      <c r="BS881" s="5"/>
      <c r="BT881" s="5"/>
      <c r="BU881" s="56">
        <f>AVERAGE(BU877)</f>
        <v>12353.9</v>
      </c>
      <c r="BV881" s="23" t="str">
        <f t="shared" si="5795"/>
        <v>NA</v>
      </c>
      <c r="BW881" s="56">
        <f>AVERAGE(BU877,BW877)</f>
        <v>13114.400000000001</v>
      </c>
      <c r="BX881" s="23">
        <f t="shared" si="5795"/>
        <v>6.1559507523939905</v>
      </c>
      <c r="BY881" s="56">
        <f>AVERAGE(BW877,BY877)</f>
        <v>13573.55</v>
      </c>
      <c r="BZ881" s="23">
        <f t="shared" si="5795"/>
        <v>3.5011132800585543</v>
      </c>
      <c r="CA881" s="56">
        <f>AVERAGE(BY877,CA877)</f>
        <v>14709.199999999997</v>
      </c>
      <c r="CB881" s="23">
        <f t="shared" si="5795"/>
        <v>8.3666395305575847</v>
      </c>
      <c r="CC881" s="56">
        <f>AVERAGE(CA877,CC877)</f>
        <v>14790.999999999996</v>
      </c>
      <c r="CD881" s="23">
        <f t="shared" si="5795"/>
        <v>0.55611454055963794</v>
      </c>
      <c r="CE881" s="56">
        <f>AVERAGE(CC877,CE877)</f>
        <v>13215.149999999998</v>
      </c>
      <c r="CF881" s="23">
        <f t="shared" si="5795"/>
        <v>-10.65411398823608</v>
      </c>
      <c r="CG881" s="56">
        <f>AVERAGE(CE877,CG877)</f>
        <v>11501.75</v>
      </c>
      <c r="CH881" s="23">
        <f t="shared" si="5795"/>
        <v>-12.96542226157098</v>
      </c>
      <c r="CI881" s="56">
        <f>AVERAGE(CG877,CI877)</f>
        <v>9623.0587300067637</v>
      </c>
      <c r="CJ881" s="23">
        <f t="shared" si="5795"/>
        <v>-16.333960223385457</v>
      </c>
      <c r="CK881" s="56">
        <f>AVERAGE(CI877,CK877)</f>
        <v>9341.0006078263468</v>
      </c>
      <c r="CL881" s="23">
        <f t="shared" si="5795"/>
        <v>-2.9310651643525643</v>
      </c>
      <c r="CM881" s="56">
        <f>AVERAGE(CK877,CM877)</f>
        <v>9566.8126865940212</v>
      </c>
      <c r="CN881" s="23">
        <f t="shared" si="5795"/>
        <v>2.4174292267840958</v>
      </c>
      <c r="CO881" s="56">
        <f>AVERAGE(CM877,CO877)</f>
        <v>9828.2962904022388</v>
      </c>
      <c r="CP881" s="23">
        <f t="shared" si="5795"/>
        <v>2.7332363700883766</v>
      </c>
      <c r="CQ881" s="56">
        <f>AVERAGE(CO877,CQ877)</f>
        <v>10124.873142376757</v>
      </c>
      <c r="CR881" s="23">
        <f t="shared" si="5795"/>
        <v>3.0175815137374107</v>
      </c>
      <c r="CS881" s="23">
        <f t="shared" si="5796"/>
        <v>-2.5178423105857273</v>
      </c>
    </row>
    <row r="882" spans="1:97" ht="12.75" customHeight="1" x14ac:dyDescent="0.2">
      <c r="A882" s="19" t="s">
        <v>67</v>
      </c>
      <c r="B882" s="56">
        <f>AVERAGE(B880)</f>
        <v>6101.6</v>
      </c>
      <c r="C882" s="59"/>
      <c r="D882" s="56">
        <f>AVERAGE(B880,D880)</f>
        <v>7613.8499999999995</v>
      </c>
      <c r="E882" s="59"/>
      <c r="F882" s="56">
        <f>AVERAGE(D880,F880)</f>
        <v>9613.6</v>
      </c>
      <c r="G882" s="59"/>
      <c r="H882" s="56">
        <f>AVERAGE(F880,H880)</f>
        <v>9930</v>
      </c>
      <c r="I882" s="59"/>
      <c r="J882" s="56">
        <f>AVERAGE(H880,J880)</f>
        <v>9500.9000000000015</v>
      </c>
      <c r="K882" s="23">
        <f t="shared" si="5797"/>
        <v>55.711616625147521</v>
      </c>
      <c r="L882" s="56">
        <f>AVERAGE(J880,L880)</f>
        <v>9531.6</v>
      </c>
      <c r="M882" s="23">
        <f t="shared" si="5798"/>
        <v>25.187651450974236</v>
      </c>
      <c r="N882" s="56">
        <f>AVERAGE(L880,N880)</f>
        <v>10014.65</v>
      </c>
      <c r="O882" s="23">
        <f t="shared" si="5799"/>
        <v>4.1716942664558498</v>
      </c>
      <c r="P882" s="56">
        <f>AVERAGE(N880,P880)</f>
        <v>10186.6</v>
      </c>
      <c r="Q882" s="23">
        <f t="shared" si="5800"/>
        <v>2.5840886203424063</v>
      </c>
      <c r="R882" s="56">
        <f>AVERAGE(P880,R880)</f>
        <v>10051.250000000002</v>
      </c>
      <c r="S882" s="23">
        <f t="shared" si="5801"/>
        <v>5.7926091212411546</v>
      </c>
      <c r="T882" s="56">
        <f>AVERAGE(R880,T880)</f>
        <v>10161.050000000001</v>
      </c>
      <c r="U882" s="23">
        <f t="shared" si="5802"/>
        <v>6.6038230727265113</v>
      </c>
      <c r="V882" s="56">
        <f>AVERAGE(T880,V880)</f>
        <v>10601.9</v>
      </c>
      <c r="W882" s="23">
        <f t="shared" si="5803"/>
        <v>5.8639093727688829</v>
      </c>
      <c r="X882" s="56">
        <f>AVERAGE(V880,X880)</f>
        <v>11121.55</v>
      </c>
      <c r="Y882" s="23">
        <f t="shared" si="5804"/>
        <v>9.1782341507470555</v>
      </c>
      <c r="Z882" s="56">
        <f>AVERAGE(X880,Z880)</f>
        <v>11423.55</v>
      </c>
      <c r="AA882" s="23">
        <f t="shared" si="5773"/>
        <v>13.653028230319574</v>
      </c>
      <c r="AB882" s="56">
        <f>AVERAGE(Z880,AB880)</f>
        <v>11569.2</v>
      </c>
      <c r="AC882" s="23">
        <f t="shared" si="5774"/>
        <v>13.858311887058905</v>
      </c>
      <c r="AD882" s="56">
        <f>AVERAGE(AB880,AD880)</f>
        <v>11766.650000000001</v>
      </c>
      <c r="AE882" s="23">
        <f t="shared" si="5775"/>
        <v>10.986238315773612</v>
      </c>
      <c r="AF882" s="56">
        <f>AVERAGE(AD880,AF880)</f>
        <v>12430.699999999999</v>
      </c>
      <c r="AG882" s="23">
        <f t="shared" si="5776"/>
        <v>11.771290872225549</v>
      </c>
      <c r="AH882" s="56">
        <f>AVERAGE(AF880,AH880)</f>
        <v>12827.849999999999</v>
      </c>
      <c r="AI882" s="23">
        <f t="shared" si="5777"/>
        <v>12.293026248407891</v>
      </c>
      <c r="AJ882" s="56">
        <f>AVERAGE(AH880,AJ880)</f>
        <v>12679.9</v>
      </c>
      <c r="AK882" s="23">
        <f t="shared" si="5778"/>
        <v>9.60049095875255</v>
      </c>
      <c r="AL882" s="56">
        <f>AVERAGE(AJ880,AL880)</f>
        <v>12493.5</v>
      </c>
      <c r="AM882" s="23">
        <f t="shared" si="5779"/>
        <v>6.1772042170031183</v>
      </c>
      <c r="AN882" s="413">
        <f t="shared" ref="AN882:AP882" si="5835">AVERAGE(AL880,AN880)</f>
        <v>12125.65</v>
      </c>
      <c r="AO882" s="23">
        <f t="shared" si="5780"/>
        <v>-2.4540050037407335</v>
      </c>
      <c r="AP882" s="413">
        <f t="shared" si="5835"/>
        <v>11997.999999999998</v>
      </c>
      <c r="AQ882" s="23">
        <f t="shared" si="5781"/>
        <v>-6.4691277182068685</v>
      </c>
      <c r="AR882" s="413">
        <f t="shared" ref="AR882:AT882" si="5836">AVERAGE(AP880,AR880)</f>
        <v>11942.15</v>
      </c>
      <c r="AS882" s="23">
        <f t="shared" si="5782"/>
        <v>-5.818263550974379</v>
      </c>
      <c r="AT882" s="649">
        <f t="shared" si="5836"/>
        <v>11794.05</v>
      </c>
      <c r="AU882" s="576">
        <f t="shared" si="5783"/>
        <v>-5.5985112258374432</v>
      </c>
      <c r="AV882" s="649">
        <f t="shared" ref="AV882" si="5837">AVERAGE(AT880,AV880)</f>
        <v>11381.199999999999</v>
      </c>
      <c r="AW882" s="576">
        <f t="shared" si="5784"/>
        <v>-6.1394646884909365</v>
      </c>
      <c r="AX882" s="649">
        <f t="shared" ref="AX882" si="5838">AVERAGE(AV880,AX880)</f>
        <v>10926</v>
      </c>
      <c r="AY882" s="576">
        <f t="shared" si="5785"/>
        <v>-8.934822470411719</v>
      </c>
      <c r="AZ882" s="649">
        <f t="shared" ref="AZ882" si="5839">AVERAGE(AX880,AZ880)</f>
        <v>10762.5</v>
      </c>
      <c r="BA882" s="576">
        <f t="shared" si="5786"/>
        <v>-9.8780370368819703</v>
      </c>
      <c r="BB882" s="649">
        <f t="shared" ref="BB882:BD882" si="5840">AVERAGE(AZ880,BB880)</f>
        <v>10834.050000000001</v>
      </c>
      <c r="BC882" s="23">
        <f t="shared" si="5787"/>
        <v>-8.1396975593625456</v>
      </c>
      <c r="BD882" s="413">
        <f t="shared" si="5840"/>
        <v>9099.8000000000011</v>
      </c>
      <c r="BE882" s="23">
        <f t="shared" si="5788"/>
        <v>-20.045337925702022</v>
      </c>
      <c r="BF882" s="56">
        <f t="shared" ref="BF882:BJ882" si="5841">AVERAGE(BD880,BF880)</f>
        <v>7208.3999218684321</v>
      </c>
      <c r="BG882" s="23">
        <f t="shared" si="5790"/>
        <v>-34.025261560786824</v>
      </c>
      <c r="BH882" s="56">
        <f t="shared" si="5841"/>
        <v>7128.1724259491184</v>
      </c>
      <c r="BI882" s="23">
        <f t="shared" si="5791"/>
        <v>-33.768432743794484</v>
      </c>
      <c r="BJ882" s="56">
        <f t="shared" si="5841"/>
        <v>7087.4251072556035</v>
      </c>
      <c r="BK882" s="23">
        <f t="shared" si="5792"/>
        <v>-34.581942050704924</v>
      </c>
      <c r="BL882" s="56">
        <f t="shared" ref="BL882" si="5842">AVERAGE(BJ880,BL880)</f>
        <v>7031.7113331816799</v>
      </c>
      <c r="BM882" s="23">
        <f t="shared" si="5794"/>
        <v>-22.726748574895282</v>
      </c>
      <c r="BO882" s="137"/>
      <c r="BQ882" s="5"/>
      <c r="BR882" s="5"/>
      <c r="BS882" s="5"/>
      <c r="BT882" s="5"/>
      <c r="BU882" s="56">
        <f>AVERAGE(BU880)</f>
        <v>9758.9</v>
      </c>
      <c r="BV882" s="23" t="str">
        <f t="shared" si="5795"/>
        <v>NA</v>
      </c>
      <c r="BW882" s="56">
        <f>AVERAGE(BU880,BW880)</f>
        <v>9961.5499999999993</v>
      </c>
      <c r="BX882" s="23">
        <f t="shared" si="5795"/>
        <v>2.0765660064146596</v>
      </c>
      <c r="BY882" s="56">
        <f>AVERAGE(BW880,BY880)</f>
        <v>10793.65</v>
      </c>
      <c r="BZ882" s="23">
        <f t="shared" si="5795"/>
        <v>8.3531177377014654</v>
      </c>
      <c r="CA882" s="56">
        <f>AVERAGE(BY880,CA880)</f>
        <v>12232.799999999997</v>
      </c>
      <c r="CB882" s="23">
        <f t="shared" si="5795"/>
        <v>13.333302450978103</v>
      </c>
      <c r="CC882" s="56">
        <f>AVERAGE(CA880,CC880)</f>
        <v>12526.699999999997</v>
      </c>
      <c r="CD882" s="23">
        <f t="shared" si="5795"/>
        <v>2.4025570597083323</v>
      </c>
      <c r="CE882" s="56">
        <f>AVERAGE(CC880,CE880)</f>
        <v>11542.199999999999</v>
      </c>
      <c r="CF882" s="23">
        <f t="shared" si="5795"/>
        <v>-7.8592127216265961</v>
      </c>
      <c r="CG882" s="56">
        <f>AVERAGE(CE880,CG880)</f>
        <v>9175.75</v>
      </c>
      <c r="CH882" s="23">
        <f t="shared" si="5795"/>
        <v>-20.502590494013262</v>
      </c>
      <c r="CI882" s="56">
        <f>AVERAGE(CG880,CI880)</f>
        <v>7142.0587300067627</v>
      </c>
      <c r="CJ882" s="23">
        <f t="shared" si="5795"/>
        <v>-22.163760673440724</v>
      </c>
      <c r="CK882" s="56">
        <f>AVERAGE(CI880,CK880)</f>
        <v>7110.0006078263459</v>
      </c>
      <c r="CL882" s="23">
        <f t="shared" si="5795"/>
        <v>-0.44886388354281603</v>
      </c>
      <c r="CM882" s="56">
        <f>AVERAGE(CK880,CM880)</f>
        <v>7335.8126865940221</v>
      </c>
      <c r="CN882" s="23">
        <f t="shared" si="5795"/>
        <v>3.1759783328163538</v>
      </c>
      <c r="CO882" s="56">
        <f>AVERAGE(CM880,CO880)</f>
        <v>7597.2962904022379</v>
      </c>
      <c r="CP882" s="23">
        <f t="shared" si="5795"/>
        <v>3.5644803783781098</v>
      </c>
      <c r="CQ882" s="56">
        <f>AVERAGE(CO880,CQ880)</f>
        <v>7893.8731423767567</v>
      </c>
      <c r="CR882" s="23">
        <f t="shared" si="5795"/>
        <v>3.9037157514731691</v>
      </c>
      <c r="CS882" s="23">
        <f t="shared" si="5796"/>
        <v>-2.9647086688487367</v>
      </c>
    </row>
    <row r="883" spans="1:97" ht="12.75" customHeight="1" x14ac:dyDescent="0.2">
      <c r="A883" s="19" t="s">
        <v>68</v>
      </c>
      <c r="B883" s="56">
        <f>B868+B877+B878</f>
        <v>207709.89999999997</v>
      </c>
      <c r="C883" s="60"/>
      <c r="D883" s="56">
        <f>D868+D877+D878</f>
        <v>206630</v>
      </c>
      <c r="E883" s="60"/>
      <c r="F883" s="56">
        <f>F868+F877+F878</f>
        <v>198936.59999999998</v>
      </c>
      <c r="G883" s="60"/>
      <c r="H883" s="56">
        <f>H868+H877+H878</f>
        <v>203572.80000000002</v>
      </c>
      <c r="I883" s="60"/>
      <c r="J883" s="56">
        <f>J868+J877+J878</f>
        <v>209876.19999999995</v>
      </c>
      <c r="K883" s="23">
        <f t="shared" si="5797"/>
        <v>1.0429449920297484</v>
      </c>
      <c r="L883" s="56">
        <f>L868+L877+L878</f>
        <v>211164.7</v>
      </c>
      <c r="M883" s="23">
        <f t="shared" si="5798"/>
        <v>2.1945990417654881</v>
      </c>
      <c r="N883" s="56">
        <f>N868+N877+N878</f>
        <v>214210.59999999998</v>
      </c>
      <c r="O883" s="23">
        <f t="shared" si="5799"/>
        <v>7.6778229848102342</v>
      </c>
      <c r="P883" s="56">
        <f>P868+P877+P878</f>
        <v>216394.19999999995</v>
      </c>
      <c r="Q883" s="23">
        <f t="shared" si="5800"/>
        <v>6.2981891490414998</v>
      </c>
      <c r="R883" s="56">
        <f>R868+R877+R878</f>
        <v>220849.99999999997</v>
      </c>
      <c r="S883" s="23">
        <f t="shared" si="5801"/>
        <v>5.2287014916412744</v>
      </c>
      <c r="T883" s="56">
        <f>T868+T877+T878</f>
        <v>217123.50000000003</v>
      </c>
      <c r="U883" s="23">
        <f t="shared" si="5802"/>
        <v>2.8218731634596095</v>
      </c>
      <c r="V883" s="56">
        <f>V868+V877+V878</f>
        <v>217658.2</v>
      </c>
      <c r="W883" s="23">
        <f t="shared" si="5803"/>
        <v>1.609444163827578</v>
      </c>
      <c r="X883" s="56">
        <f>X868+X877+X878</f>
        <v>221023.19999999998</v>
      </c>
      <c r="Y883" s="23">
        <f t="shared" si="5804"/>
        <v>2.1391516038784975</v>
      </c>
      <c r="Z883" s="56">
        <f>Z868+Z877+Z878</f>
        <v>223510.7</v>
      </c>
      <c r="AA883" s="23">
        <f t="shared" si="5773"/>
        <v>1.2047543581616749</v>
      </c>
      <c r="AB883" s="56">
        <f>AB868+AB877+AB878</f>
        <v>228078.00000000003</v>
      </c>
      <c r="AC883" s="23">
        <f t="shared" si="5774"/>
        <v>5.0452852869449893</v>
      </c>
      <c r="AD883" s="56">
        <f>AD868+AD877+AD878</f>
        <v>224303.80000000008</v>
      </c>
      <c r="AE883" s="23">
        <f t="shared" si="5775"/>
        <v>3.0532274915441082</v>
      </c>
      <c r="AF883" s="56">
        <f>AF868+AF877+AF878</f>
        <v>226930.7</v>
      </c>
      <c r="AG883" s="23">
        <f t="shared" si="5776"/>
        <v>2.67279633993176</v>
      </c>
      <c r="AH883" s="56">
        <f>AH868+AH877+AH878</f>
        <v>229026.59999999998</v>
      </c>
      <c r="AI883" s="23">
        <f t="shared" si="5777"/>
        <v>2.4678460583765993</v>
      </c>
      <c r="AJ883" s="56">
        <f>AJ868+AJ877+AJ878</f>
        <v>226585.1</v>
      </c>
      <c r="AK883" s="23">
        <f t="shared" si="5778"/>
        <v>-0.65455677443682081</v>
      </c>
      <c r="AL883" s="56">
        <f>AL868+AL877+AL878</f>
        <v>218711.20000000004</v>
      </c>
      <c r="AM883" s="23">
        <f t="shared" si="5779"/>
        <v>-2.493314870278629</v>
      </c>
      <c r="AN883" s="413">
        <f t="shared" ref="AN883:AP883" si="5843">AN868+AN877+AN878</f>
        <v>218249.59999999998</v>
      </c>
      <c r="AO883" s="23">
        <f t="shared" si="5780"/>
        <v>-3.8254409826436131</v>
      </c>
      <c r="AP883" s="413">
        <f t="shared" si="5843"/>
        <v>214007.69999999998</v>
      </c>
      <c r="AQ883" s="23">
        <f t="shared" si="5781"/>
        <v>-6.5577098904668674</v>
      </c>
      <c r="AR883" s="413">
        <f t="shared" ref="AR883:AT883" si="5844">AR868+AR877+AR878</f>
        <v>217065.42</v>
      </c>
      <c r="AS883" s="23">
        <f t="shared" si="5782"/>
        <v>-4.2013706991324673</v>
      </c>
      <c r="AT883" s="649">
        <f t="shared" si="5844"/>
        <v>218622.2</v>
      </c>
      <c r="AU883" s="576">
        <f t="shared" si="5783"/>
        <v>-4.0692932049213315E-2</v>
      </c>
      <c r="AV883" s="649">
        <f t="shared" ref="AV883" si="5845">AV868+AV877+AV878</f>
        <v>214584</v>
      </c>
      <c r="AW883" s="576">
        <f t="shared" si="5784"/>
        <v>-1.6795448880547625</v>
      </c>
      <c r="AX883" s="649">
        <f t="shared" ref="AX883" si="5846">AX868+AX877+AX878</f>
        <v>217376.8</v>
      </c>
      <c r="AY883" s="576">
        <f t="shared" si="5785"/>
        <v>1.5742891494091138</v>
      </c>
      <c r="AZ883" s="649">
        <f t="shared" ref="AZ883" si="5847">AZ868+AZ877+AZ878</f>
        <v>220188.69999999998</v>
      </c>
      <c r="BA883" s="576">
        <f t="shared" si="5786"/>
        <v>1.4388657576135166</v>
      </c>
      <c r="BB883" s="649">
        <f t="shared" ref="BB883:BD883" si="5848">BB868+BB877+BB878</f>
        <v>226993</v>
      </c>
      <c r="BC883" s="23">
        <f t="shared" si="5787"/>
        <v>3.8288883745566604</v>
      </c>
      <c r="BD883" s="413">
        <f t="shared" si="5848"/>
        <v>222532</v>
      </c>
      <c r="BE883" s="23">
        <f t="shared" si="5788"/>
        <v>3.7039108228013262</v>
      </c>
      <c r="BF883" s="56">
        <f t="shared" ref="BF883" si="5849">BF868+BF877+BF878</f>
        <v>165316.23499999999</v>
      </c>
      <c r="BG883" s="23">
        <f t="shared" si="5790"/>
        <v>-23.949457807824935</v>
      </c>
      <c r="BH883" s="56">
        <f t="shared" ref="BH883" si="5850">BH868+BH877+BH878</f>
        <v>167176.133275</v>
      </c>
      <c r="BI883" s="23">
        <f t="shared" si="5791"/>
        <v>-24.075970622016474</v>
      </c>
      <c r="BJ883" s="56">
        <f t="shared" ref="BJ883" si="5851">BJ868+BJ877+BJ878</f>
        <v>169060.01097162499</v>
      </c>
      <c r="BK883" s="23">
        <f t="shared" si="5792"/>
        <v>-25.521927560926994</v>
      </c>
      <c r="BL883" s="56">
        <f t="shared" ref="BL883" si="5852">BL868+BL877+BL878</f>
        <v>170968.18859067434</v>
      </c>
      <c r="BM883" s="23">
        <f t="shared" si="5794"/>
        <v>-23.171414182825689</v>
      </c>
      <c r="BQ883" s="5"/>
      <c r="BR883" s="5"/>
      <c r="BS883" s="5"/>
      <c r="BT883" s="5"/>
      <c r="BU883" s="56">
        <f>BU868+BU877+BU878</f>
        <v>203572.80000000002</v>
      </c>
      <c r="BV883" s="23" t="str">
        <f t="shared" si="5795"/>
        <v>NA</v>
      </c>
      <c r="BW883" s="56">
        <f>BW868+BW877+BW878</f>
        <v>216394.19999999995</v>
      </c>
      <c r="BX883" s="23">
        <f t="shared" si="5795"/>
        <v>6.2981891490414998</v>
      </c>
      <c r="BY883" s="56">
        <f>BY868+BY877+BY878</f>
        <v>221023.19999999998</v>
      </c>
      <c r="BZ883" s="23">
        <f t="shared" si="5795"/>
        <v>2.1391516038784975</v>
      </c>
      <c r="CA883" s="56">
        <f>CA868+CA877+CA878</f>
        <v>226930.7</v>
      </c>
      <c r="CB883" s="23">
        <f t="shared" si="5795"/>
        <v>2.67279633993176</v>
      </c>
      <c r="CC883" s="56">
        <f>CC868+CC877+CC878</f>
        <v>218249.59999999998</v>
      </c>
      <c r="CD883" s="23">
        <f t="shared" si="5795"/>
        <v>-3.8254409826436131</v>
      </c>
      <c r="CE883" s="56">
        <f>CE868+CE877+CE878</f>
        <v>155008</v>
      </c>
      <c r="CF883" s="23">
        <f t="shared" si="5795"/>
        <v>-28.976731228831564</v>
      </c>
      <c r="CG883" s="56">
        <f>CG868+CG877+CG878</f>
        <v>164255</v>
      </c>
      <c r="CH883" s="23">
        <f t="shared" si="5795"/>
        <v>5.9654985549132844</v>
      </c>
      <c r="CI883" s="56">
        <f>CI868+CI877+CI878</f>
        <v>170968.18859067434</v>
      </c>
      <c r="CJ883" s="23">
        <f t="shared" si="5795"/>
        <v>4.0870528085442448</v>
      </c>
      <c r="CK883" s="56">
        <f>CK868+CK877+CK878</f>
        <v>172900.99104855422</v>
      </c>
      <c r="CL883" s="23">
        <f t="shared" si="5795"/>
        <v>1.1305041445501374</v>
      </c>
      <c r="CM883" s="56">
        <f>CM868+CM877+CM878</f>
        <v>174858.74773959248</v>
      </c>
      <c r="CN883" s="23">
        <f t="shared" si="5795"/>
        <v>1.1322992882605742</v>
      </c>
      <c r="CO883" s="56">
        <f>CO868+CO877+CO878</f>
        <v>176841.7925992494</v>
      </c>
      <c r="CP883" s="23">
        <f t="shared" si="5795"/>
        <v>1.134083873579006</v>
      </c>
      <c r="CQ883" s="56">
        <f>CQ868+CQ877+CQ878</f>
        <v>178850.46416823682</v>
      </c>
      <c r="CR883" s="23">
        <f t="shared" si="5795"/>
        <v>1.135857954991093</v>
      </c>
      <c r="CS883" s="23">
        <f t="shared" si="5796"/>
        <v>1.7171760857981999</v>
      </c>
    </row>
    <row r="884" spans="1:97" ht="12.75" customHeight="1" x14ac:dyDescent="0.2">
      <c r="A884" s="19"/>
      <c r="B884" s="35"/>
      <c r="C884" s="60"/>
      <c r="D884" s="35"/>
      <c r="E884" s="60"/>
      <c r="F884" s="35"/>
      <c r="G884" s="60"/>
      <c r="H884" s="35"/>
      <c r="I884" s="60"/>
      <c r="J884" s="35"/>
      <c r="L884" s="35"/>
      <c r="N884" s="35"/>
      <c r="P884" s="35"/>
      <c r="R884" s="35"/>
      <c r="T884" s="35"/>
      <c r="V884" s="35"/>
      <c r="X884" s="35"/>
      <c r="Z884" s="35"/>
      <c r="AB884" s="35"/>
      <c r="AD884" s="35"/>
      <c r="AF884" s="35"/>
      <c r="AH884" s="35"/>
      <c r="AJ884" s="35"/>
      <c r="AL884" s="35"/>
      <c r="AN884" s="409"/>
      <c r="AP884" s="409"/>
      <c r="AR884" s="409"/>
      <c r="AT884" s="650"/>
      <c r="AU884" s="400"/>
      <c r="AV884" s="650"/>
      <c r="AW884" s="400"/>
      <c r="AX884" s="650"/>
      <c r="AY884" s="400"/>
      <c r="AZ884" s="650"/>
      <c r="BA884" s="400"/>
      <c r="BB884" s="650"/>
      <c r="BD884" s="409"/>
      <c r="BF884" s="35"/>
      <c r="BH884" s="35"/>
      <c r="BJ884" s="35"/>
      <c r="BL884" s="35"/>
      <c r="BQ884" s="5"/>
    </row>
    <row r="885" spans="1:97" ht="12.75" customHeight="1" x14ac:dyDescent="0.2">
      <c r="A885" s="20" t="s">
        <v>69</v>
      </c>
      <c r="B885" s="35"/>
      <c r="C885" s="60"/>
      <c r="D885" s="35"/>
      <c r="E885" s="60"/>
      <c r="F885" s="35"/>
      <c r="G885" s="60"/>
      <c r="H885" s="35"/>
      <c r="I885" s="60"/>
      <c r="J885" s="35"/>
      <c r="L885" s="35"/>
      <c r="N885" s="35"/>
      <c r="P885" s="35"/>
      <c r="R885" s="35"/>
      <c r="T885" s="35"/>
      <c r="V885" s="35"/>
      <c r="X885" s="35"/>
      <c r="Z885" s="35"/>
      <c r="AB885" s="35"/>
      <c r="AD885" s="35"/>
      <c r="AF885" s="35"/>
      <c r="AH885" s="35"/>
      <c r="AJ885" s="35"/>
      <c r="AL885" s="35"/>
      <c r="AN885" s="409"/>
      <c r="AP885" s="409"/>
      <c r="AR885" s="409"/>
      <c r="AT885" s="650"/>
      <c r="AU885" s="400"/>
      <c r="AV885" s="650"/>
      <c r="AW885" s="400"/>
      <c r="AX885" s="650"/>
      <c r="AY885" s="400"/>
      <c r="AZ885" s="650"/>
      <c r="BA885" s="400"/>
      <c r="BB885" s="650"/>
      <c r="BD885" s="409"/>
      <c r="BF885" s="35"/>
      <c r="BH885" s="35"/>
      <c r="BJ885" s="35"/>
      <c r="BL885" s="35"/>
    </row>
    <row r="886" spans="1:97" ht="12.75" customHeight="1" x14ac:dyDescent="0.2">
      <c r="A886" s="19" t="s">
        <v>70</v>
      </c>
      <c r="B886" s="35">
        <f>B677/B882*400</f>
        <v>10.673066424544379</v>
      </c>
      <c r="C886" s="59"/>
      <c r="D886" s="35">
        <f>D677/D882*400</f>
        <v>10.2658112150883</v>
      </c>
      <c r="E886" s="59"/>
      <c r="F886" s="35">
        <f>F677/F882*400</f>
        <v>8.2984185324956261</v>
      </c>
      <c r="G886" s="59"/>
      <c r="H886" s="35">
        <f>H677/H882*400</f>
        <v>6.8595140970795585</v>
      </c>
      <c r="I886" s="59"/>
      <c r="J886" s="35">
        <f>J677/J882*400</f>
        <v>6.5680514477575711</v>
      </c>
      <c r="K886" s="23">
        <f t="shared" ref="K886:Y889" si="5853">IF(ISERROR((J886/B886-1)*100),"NA",IF(((J886/B886-1)*100)&gt;100,"NM",IF(((J886/B886-1)*100)&lt;-50,"NM",(J886/B886-1)*100)))</f>
        <v>-38.46143941676111</v>
      </c>
      <c r="L886" s="35">
        <f>L677/L882*400</f>
        <v>5.429476688069161</v>
      </c>
      <c r="M886" s="23">
        <f t="shared" si="5853"/>
        <v>-47.111079930155718</v>
      </c>
      <c r="N886" s="35">
        <f>N677/N882*400</f>
        <v>7.0114881698311997</v>
      </c>
      <c r="O886" s="23">
        <f t="shared" si="5853"/>
        <v>-15.508139986251102</v>
      </c>
      <c r="P886" s="35">
        <f>P677/P882*400</f>
        <v>5.3228358824337905</v>
      </c>
      <c r="Q886" s="23">
        <f t="shared" si="5853"/>
        <v>-22.40214383843907</v>
      </c>
      <c r="R886" s="35">
        <f>R677/R882*400</f>
        <v>6.6340007461758486</v>
      </c>
      <c r="S886" s="23">
        <f t="shared" si="5853"/>
        <v>1.0040922934730245</v>
      </c>
      <c r="T886" s="35">
        <f>T677/T882*400</f>
        <v>6.9599106391563828</v>
      </c>
      <c r="U886" s="23">
        <f t="shared" si="5853"/>
        <v>28.187503861103735</v>
      </c>
      <c r="V886" s="35">
        <f>V677/V882*400</f>
        <v>10.672803931370787</v>
      </c>
      <c r="W886" s="23">
        <f t="shared" si="5853"/>
        <v>52.218811083407026</v>
      </c>
      <c r="X886" s="35">
        <f>X677/X882*400</f>
        <v>7.1279632784998466</v>
      </c>
      <c r="Y886" s="23">
        <f t="shared" si="5853"/>
        <v>33.912888466527114</v>
      </c>
      <c r="Z886" s="35">
        <f>Z677/Z882*400</f>
        <v>5.2598360404602813</v>
      </c>
      <c r="AA886" s="23">
        <f>IF(ISERROR((Z886/R886-1)*100),"NA",IF(((Z886/R886-1)*100)&gt;100,"NM",IF(((Z886/R886-1)*100)&lt;-50,"NM",(Z886/R886-1)*100)))</f>
        <v>-20.713966704144561</v>
      </c>
      <c r="AB886" s="35">
        <f>AB677/AB882*400</f>
        <v>7.3757908930608851</v>
      </c>
      <c r="AC886" s="23">
        <f>IF(ISERROR((AB886/T886-1)*100),"NA",IF(((AB886/T886-1)*100)&gt;100,"NM",IF(((AB886/T886-1)*100)&lt;-50,"NM",(AB886/T886-1)*100)))</f>
        <v>5.9753677233262747</v>
      </c>
      <c r="AD886" s="35">
        <f>AD677/AD882*400</f>
        <v>6.5051650214802024</v>
      </c>
      <c r="AE886" s="23">
        <f>IF(ISERROR((AD886/V886-1)*100),"NA",IF(((AD886/V886-1)*100)&gt;100,"NM",IF(((AD886/V886-1)*100)&lt;-50,"NM",(AD886/V886-1)*100)))</f>
        <v>-39.049147128436978</v>
      </c>
      <c r="AF886" s="35">
        <f>AF677/AF882*400</f>
        <v>7.8853161929738445</v>
      </c>
      <c r="AG886" s="23">
        <f>IF(ISERROR((AF886/X886-1)*100),"NA",IF(((AF886/X886-1)*100)&gt;100,"NM",IF(((AF886/X886-1)*100)&lt;-50,"NM",(AF886/X886-1)*100)))</f>
        <v>10.625095625259595</v>
      </c>
      <c r="AH886" s="35">
        <f>AH677/AH882*400</f>
        <v>6.142759698624479</v>
      </c>
      <c r="AI886" s="23">
        <f>IF(ISERROR((AH886/Z886-1)*100),"NA",IF(((AH886/Z886-1)*100)&gt;100,"NM",IF(((AH886/Z886-1)*100)&lt;-50,"NM",(AH886/Z886-1)*100)))</f>
        <v>16.786144118799086</v>
      </c>
      <c r="AJ886" s="35">
        <f>AJ677/AJ882*400</f>
        <v>5.6309592346942834</v>
      </c>
      <c r="AK886" s="23">
        <f>IF(ISERROR((AJ886/AB886-1)*100),"NA",IF(((AJ886/AB886-1)*100)&gt;100,"NM",IF(((AJ886/AB886-1)*100)&lt;-50,"NM",(AJ886/AB886-1)*100)))</f>
        <v>-23.656197466337236</v>
      </c>
      <c r="AL886" s="35">
        <f>AL677/AL882*400</f>
        <v>2.9848481210229254</v>
      </c>
      <c r="AM886" s="23" t="str">
        <f>IF(ISERROR((AL886/AD886-1)*100),"NA",IF(((AL886/AD886-1)*100)&gt;100,"NM",IF(((AL886/AD886-1)*100)&lt;-50,"NM",(AL886/AD886-1)*100)))</f>
        <v>NM</v>
      </c>
      <c r="AN886" s="409">
        <f>AN677/AN882*400</f>
        <v>6.4670842387830758</v>
      </c>
      <c r="AO886" s="23">
        <f>IF(ISERROR((AN886/AF886-1)*100),"NA",IF(((AN886/AF886-1)*100)&gt;100,"NM",IF(((AN886/AF886-1)*100)&lt;-50,"NM",(AN886/AF886-1)*100)))</f>
        <v>-17.985733475779632</v>
      </c>
      <c r="AP886" s="409">
        <f>AP677/AP882*400</f>
        <v>1.9768628104684056</v>
      </c>
      <c r="AQ886" s="23" t="str">
        <f t="shared" ref="AQ886:AQ889" si="5854">IF(ISERROR((AP886/AH886-1)*100),"NA",IF(((AP886/AH886-1)*100)&gt;100,"NM",IF(((AP886/AH886-1)*100)&lt;-50,"NM",(AP886/AH886-1)*100)))</f>
        <v>NM</v>
      </c>
      <c r="AR886" s="409">
        <f>AR677/AR882*400</f>
        <v>2.9723291032184336</v>
      </c>
      <c r="AS886" s="23">
        <f t="shared" ref="AS886:AS889" si="5855">IF(ISERROR((AR886/AJ886-1)*100),"NA",IF(((AR886/AJ886-1)*100)&gt;100,"NM",IF(((AR886/AJ886-1)*100)&lt;-50,"NM",(AR886/AJ886-1)*100)))</f>
        <v>-47.214515692017656</v>
      </c>
      <c r="AT886" s="650">
        <f>AT677/AT882*400</f>
        <v>-0.85100537983135749</v>
      </c>
      <c r="AU886" s="576" t="str">
        <f t="shared" ref="AU886:AU889" si="5856">IF(ISERROR((AT886/AL886-1)*100),"NA",IF(((AT886/AL886-1)*100)&gt;100,"NM",IF(((AT886/AL886-1)*100)&lt;-50,"NM",(AT886/AL886-1)*100)))</f>
        <v>NM</v>
      </c>
      <c r="AV886" s="650">
        <f>AV677/AV882*400</f>
        <v>3.5752996169120967</v>
      </c>
      <c r="AW886" s="576">
        <f t="shared" ref="AW886:AW889" si="5857">IF(ISERROR((AV886/AN886-1)*100),"NA",IF(((AV886/AN886-1)*100)&gt;100,"NM",IF(((AV886/AN886-1)*100)&lt;-50,"NM",(AV886/AN886-1)*100)))</f>
        <v>-44.715431485010804</v>
      </c>
      <c r="AX886" s="650">
        <f>AX677/AX882*400</f>
        <v>3.619696137653297</v>
      </c>
      <c r="AY886" s="576">
        <f t="shared" ref="AY886:AY889" si="5858">IF(ISERROR((AX886/AP886-1)*100),"NA",IF(((AX886/AP886-1)*100)&gt;100,"NM",IF(((AX886/AP886-1)*100)&lt;-50,"NM",(AX886/AP886-1)*100)))</f>
        <v>83.103051890365222</v>
      </c>
      <c r="AZ886" s="650">
        <f>AZ677/AZ882*400</f>
        <v>2.7042044134727035</v>
      </c>
      <c r="BA886" s="576">
        <f t="shared" ref="BA886:BA889" si="5859">IF(ISERROR((AZ886/AR886-1)*100),"NA",IF(((AZ886/AR886-1)*100)&gt;100,"NM",IF(((AZ886/AR886-1)*100)&lt;-50,"NM",(AZ886/AR886-1)*100)))</f>
        <v>-9.0206932151424617</v>
      </c>
      <c r="BB886" s="650">
        <f>BB677/BB882*400</f>
        <v>1.0594745270697492</v>
      </c>
      <c r="BC886" s="23" t="str">
        <f t="shared" ref="BC886:BC889" si="5860">IF(ISERROR((BB886/AT886-1)*100),"NA",IF(((BB886/AT886-1)*100)&gt;100,"NM",IF(((BB886/AT886-1)*100)&lt;-50,"NM",(BB886/AT886-1)*100)))</f>
        <v>NM</v>
      </c>
      <c r="BD886" s="409">
        <f>BD677/BD882*400</f>
        <v>6.9794940548143876</v>
      </c>
      <c r="BE886" s="23">
        <f t="shared" ref="BE886:BE889" si="5861">IF(ISERROR((BD886/AV886-1)*100),"NA",IF(((BD886/AV886-1)*100)&gt;100,"NM",IF(((BD886/AV886-1)*100)&lt;-50,"NM",(BD886/AV886-1)*100)))</f>
        <v>95.214242235799375</v>
      </c>
      <c r="BF886" s="35">
        <f>BF677/BF882*400</f>
        <v>8.2497632453167462</v>
      </c>
      <c r="BG886" s="23" t="str">
        <f t="shared" ref="BG886:BG889" si="5862">IF(ISERROR((BF886/AX886-1)*100),"NA",IF(((BF886/AX886-1)*100)&gt;100,"NM",IF(((BF886/AX886-1)*100)&lt;-50,"NM",(BF886/AX886-1)*100)))</f>
        <v>NM</v>
      </c>
      <c r="BH886" s="35">
        <f>BH677/BH882*400</f>
        <v>9.7367882062751114</v>
      </c>
      <c r="BI886" s="23" t="str">
        <f t="shared" ref="BI886:BI889" si="5863">IF(ISERROR((BH886/AZ886-1)*100),"NA",IF(((BH886/AZ886-1)*100)&gt;100,"NM",IF(((BH886/AZ886-1)*100)&lt;-50,"NM",(BH886/AZ886-1)*100)))</f>
        <v>NM</v>
      </c>
      <c r="BJ886" s="35">
        <f>BJ677/BJ882*400</f>
        <v>10.392466361853687</v>
      </c>
      <c r="BK886" s="23" t="str">
        <f t="shared" ref="BK886:BK889" si="5864">IF(ISERROR((BJ886/BB886-1)*100),"NA",IF(((BJ886/BB886-1)*100)&gt;100,"NM",IF(((BJ886/BB886-1)*100)&lt;-50,"NM",(BJ886/BB886-1)*100)))</f>
        <v>NM</v>
      </c>
      <c r="BL886" s="35">
        <f>BL677/BL882*400</f>
        <v>10.939043336255507</v>
      </c>
      <c r="BM886" s="23">
        <f t="shared" ref="BM886:BM889" si="5865">IF(ISERROR((BL886/BD886-1)*100),"NA",IF(((BL886/BD886-1)*100)&gt;100,"NM",IF(((BL886/BD886-1)*100)&lt;-50,"NM",(BL886/BD886-1)*100)))</f>
        <v>56.731179227953632</v>
      </c>
      <c r="BO886" s="138"/>
      <c r="BQ886" s="6"/>
      <c r="BR886" s="6"/>
      <c r="BS886" s="6"/>
      <c r="BT886" s="6"/>
      <c r="BU886" s="35">
        <f>BU677/BU882*100</f>
        <v>7.4592879372675132</v>
      </c>
      <c r="BV886" s="23" t="str">
        <f t="shared" ref="BV886:CR889" si="5866">IF(ISERROR((BU886/BS886-1)*100),"NA",IF(((BU886/BS886-1)*100)&gt;100,"NM",IF(((BU886/BS886-1)*100)&lt;-50,"NM",(BU886/BS886-1)*100)))</f>
        <v>NA</v>
      </c>
      <c r="BW886" s="35">
        <f>BW677/BW882*100</f>
        <v>5.9878532959228288</v>
      </c>
      <c r="BX886" s="23">
        <f t="shared" si="5866"/>
        <v>-19.726207832696975</v>
      </c>
      <c r="BY886" s="35">
        <f>BY677/BY882*100</f>
        <v>7.639352767599469</v>
      </c>
      <c r="BZ886" s="23">
        <f t="shared" si="5866"/>
        <v>27.580827219016157</v>
      </c>
      <c r="CA886" s="35">
        <f>CA677/CA882*100</f>
        <v>6.5394267869988916</v>
      </c>
      <c r="CB886" s="23">
        <f t="shared" si="5866"/>
        <v>-14.398156677168473</v>
      </c>
      <c r="CC886" s="35">
        <f>CC677/CC882*100</f>
        <v>5.3068086567092694</v>
      </c>
      <c r="CD886" s="23">
        <f t="shared" si="5866"/>
        <v>-18.84902408786354</v>
      </c>
      <c r="CE886" s="35">
        <f>CE677/CE882*100</f>
        <v>1.9465266586959156</v>
      </c>
      <c r="CF886" s="23" t="str">
        <f t="shared" si="5866"/>
        <v>NM</v>
      </c>
      <c r="CG886" s="35">
        <f>CG677/CG882*100</f>
        <v>3.9136637332098214</v>
      </c>
      <c r="CH886" s="23" t="str">
        <f t="shared" si="5866"/>
        <v>NM</v>
      </c>
      <c r="CI886" s="35">
        <f>CI677/CI882*100</f>
        <v>9.7818125881965035</v>
      </c>
      <c r="CJ886" s="23" t="str">
        <f t="shared" si="5866"/>
        <v>NM</v>
      </c>
      <c r="CK886" s="35">
        <f>CK677/CK882*100</f>
        <v>11.104726033648831</v>
      </c>
      <c r="CL886" s="23">
        <f t="shared" si="5866"/>
        <v>13.524215819148466</v>
      </c>
      <c r="CM886" s="35">
        <f>CM677/CM882*100</f>
        <v>11.270417611600768</v>
      </c>
      <c r="CN886" s="23">
        <f t="shared" si="5866"/>
        <v>1.4920816366821521</v>
      </c>
      <c r="CO886" s="35">
        <f>CO677/CO882*100</f>
        <v>11.361146794077866</v>
      </c>
      <c r="CP886" s="23">
        <f t="shared" si="5866"/>
        <v>0.80502059110665325</v>
      </c>
      <c r="CQ886" s="35">
        <f>CQ677/CQ882*100</f>
        <v>11.390427360301475</v>
      </c>
      <c r="CR886" s="23">
        <f t="shared" si="5866"/>
        <v>0.25772544580509038</v>
      </c>
      <c r="CS886" s="23">
        <f>IF(ISERROR(((CQ886/CG886)^0.2-1)*100),"NA",IF((((CQ886/CG886)^0.2-1)*100)&gt;100,"NM",IF((((CQ886/CG886)^0.2-1)*100)&lt;-50,"NM",((CQ886/CG886)^0.2-1)*100)))</f>
        <v>23.820143271238472</v>
      </c>
    </row>
    <row r="887" spans="1:97" ht="12.75" customHeight="1" x14ac:dyDescent="0.2">
      <c r="A887" s="19" t="s">
        <v>71</v>
      </c>
      <c r="B887" s="35">
        <f>B675/B882*400</f>
        <v>9.4836042558178715</v>
      </c>
      <c r="C887" s="59"/>
      <c r="D887" s="35">
        <f>D675/D882*400</f>
        <v>9.113242364080083</v>
      </c>
      <c r="E887" s="59"/>
      <c r="F887" s="35">
        <f>F675/F882*400</f>
        <v>6.8166034236517001</v>
      </c>
      <c r="G887" s="59"/>
      <c r="H887" s="35">
        <f>H675/H882*400</f>
        <v>3.7555632379095591</v>
      </c>
      <c r="I887" s="59"/>
      <c r="J887" s="35">
        <f>J675/J882*400</f>
        <v>5.9517953724480783</v>
      </c>
      <c r="K887" s="23">
        <f t="shared" si="5853"/>
        <v>-37.241209018218449</v>
      </c>
      <c r="L887" s="35">
        <f>L675/L882*400</f>
        <v>7.8071443439555939</v>
      </c>
      <c r="M887" s="23">
        <f t="shared" si="5853"/>
        <v>-14.331869689678012</v>
      </c>
      <c r="N887" s="35">
        <f>N675/N882*400</f>
        <v>6.7273820785562224</v>
      </c>
      <c r="O887" s="23">
        <f t="shared" si="5853"/>
        <v>-1.3088827316241503</v>
      </c>
      <c r="P887" s="35">
        <f>P675/P882*400</f>
        <v>6.5652451091064865</v>
      </c>
      <c r="Q887" s="23">
        <f t="shared" si="5853"/>
        <v>74.813861282785027</v>
      </c>
      <c r="R887" s="35">
        <f>R675/R882*400</f>
        <v>6.1091752779475952</v>
      </c>
      <c r="S887" s="23">
        <f t="shared" si="5853"/>
        <v>2.6442425461745023</v>
      </c>
      <c r="T887" s="35">
        <f>T675/T882*400</f>
        <v>6.570513874058288</v>
      </c>
      <c r="U887" s="23">
        <f t="shared" si="5853"/>
        <v>-15.839728528328333</v>
      </c>
      <c r="V887" s="35">
        <f>V675/V882*400</f>
        <v>6.3149058187683291</v>
      </c>
      <c r="W887" s="23">
        <f t="shared" si="5853"/>
        <v>-6.1313041978495075</v>
      </c>
      <c r="X887" s="35">
        <f>X675/X882*400</f>
        <v>6.3845417230511918</v>
      </c>
      <c r="Y887" s="23">
        <f t="shared" si="5853"/>
        <v>-2.7524240611313311</v>
      </c>
      <c r="Z887" s="35">
        <f>Z675/Z882*400</f>
        <v>5.751452044241943</v>
      </c>
      <c r="AA887" s="23">
        <f>IF(ISERROR((Z887/R887-1)*100),"NA",IF(((Z887/R887-1)*100)&gt;100,"NM",IF(((Z887/R887-1)*100)&lt;-50,"NM",(Z887/R887-1)*100)))</f>
        <v>-5.8555077801897841</v>
      </c>
      <c r="AB887" s="35">
        <f>AB675/AB882*400</f>
        <v>7.0162154686581619</v>
      </c>
      <c r="AC887" s="23">
        <f>IF(ISERROR((AB887/T887-1)*100),"NA",IF(((AB887/T887-1)*100)&gt;100,"NM",IF(((AB887/T887-1)*100)&lt;-50,"NM",(AB887/T887-1)*100)))</f>
        <v>6.7833597667237733</v>
      </c>
      <c r="AD887" s="35">
        <f>AD675/AD882*400</f>
        <v>6.3436407133721158</v>
      </c>
      <c r="AE887" s="23">
        <f>IF(ISERROR((AD887/V887-1)*100),"NA",IF(((AD887/V887-1)*100)&gt;100,"NM",IF(((AD887/V887-1)*100)&lt;-50,"NM",(AD887/V887-1)*100)))</f>
        <v>0.45503282912604526</v>
      </c>
      <c r="AF887" s="35">
        <f>AF675/AF882*400</f>
        <v>7.3080357501991013</v>
      </c>
      <c r="AG887" s="23">
        <f>IF(ISERROR((AF887/X887-1)*100),"NA",IF(((AF887/X887-1)*100)&gt;100,"NM",IF(((AF887/X887-1)*100)&lt;-50,"NM",(AF887/X887-1)*100)))</f>
        <v>14.464531163038096</v>
      </c>
      <c r="AH887" s="35">
        <f>AH675/AH882*400</f>
        <v>6.0382246440362204</v>
      </c>
      <c r="AI887" s="23">
        <f>IF(ISERROR((AH887/Z887-1)*100),"NA",IF(((AH887/Z887-1)*100)&gt;100,"NM",IF(((AH887/Z887-1)*100)&lt;-50,"NM",(AH887/Z887-1)*100)))</f>
        <v>4.9860904270492723</v>
      </c>
      <c r="AJ887" s="35">
        <f>AJ675/AJ882*400</f>
        <v>5.8111499302045004</v>
      </c>
      <c r="AK887" s="23">
        <f>IF(ISERROR((AJ887/AB887-1)*100),"NA",IF(((AJ887/AB887-1)*100)&gt;100,"NM",IF(((AJ887/AB887-1)*100)&lt;-50,"NM",(AJ887/AB887-1)*100)))</f>
        <v>-17.175435159264396</v>
      </c>
      <c r="AL887" s="35">
        <f>AL675/AL882*400</f>
        <v>5.0161123784367767</v>
      </c>
      <c r="AM887" s="23">
        <f>IF(ISERROR((AL887/AD887-1)*100),"NA",IF(((AL887/AD887-1)*100)&gt;100,"NM",IF(((AL887/AD887-1)*100)&lt;-50,"NM",(AL887/AD887-1)*100)))</f>
        <v>-20.92691555082822</v>
      </c>
      <c r="AN887" s="409">
        <f>AN675/AN882*400</f>
        <v>5.4172765996049703</v>
      </c>
      <c r="AO887" s="23">
        <f>IF(ISERROR((AN887/AF887-1)*100),"NA",IF(((AN887/AF887-1)*100)&gt;100,"NM",IF(((AN887/AF887-1)*100)&lt;-50,"NM",(AN887/AF887-1)*100)))</f>
        <v>-25.872330339142348</v>
      </c>
      <c r="AP887" s="409">
        <f>AP675/AP882*400</f>
        <v>2.2217036172695392</v>
      </c>
      <c r="AQ887" s="23" t="str">
        <f t="shared" si="5854"/>
        <v>NM</v>
      </c>
      <c r="AR887" s="409">
        <f>AR675/AR882*400</f>
        <v>3.5365156190468232</v>
      </c>
      <c r="AS887" s="23">
        <f t="shared" si="5855"/>
        <v>-39.142585176384024</v>
      </c>
      <c r="AT887" s="650">
        <f>AT675/AT882*400</f>
        <v>3.060390620694331</v>
      </c>
      <c r="AU887" s="576">
        <f t="shared" si="5856"/>
        <v>-38.988794711810812</v>
      </c>
      <c r="AV887" s="650">
        <f>AV675/AV882*400</f>
        <v>3.5561803676237971</v>
      </c>
      <c r="AW887" s="576">
        <f t="shared" si="5857"/>
        <v>-34.354831210148753</v>
      </c>
      <c r="AX887" s="650">
        <f>AX675/AX882*400</f>
        <v>3.3085118066996086</v>
      </c>
      <c r="AY887" s="576">
        <f t="shared" si="5858"/>
        <v>48.917784576763232</v>
      </c>
      <c r="AZ887" s="650">
        <f>AZ675/AZ882*400</f>
        <v>4.5996747967479665</v>
      </c>
      <c r="BA887" s="576">
        <f t="shared" si="5859"/>
        <v>30.062335140702423</v>
      </c>
      <c r="BB887" s="650">
        <f>BB675/BB882*400</f>
        <v>4.3734706780936037</v>
      </c>
      <c r="BC887" s="23">
        <f t="shared" si="5860"/>
        <v>42.905635918507869</v>
      </c>
      <c r="BD887" s="409">
        <f>BD675/BD882*400</f>
        <v>6.4115694850436249</v>
      </c>
      <c r="BE887" s="23">
        <f t="shared" si="5861"/>
        <v>80.29370904287876</v>
      </c>
      <c r="BF887" s="35">
        <f>BF675/BF882*400</f>
        <v>8.2497632453167462</v>
      </c>
      <c r="BG887" s="23" t="str">
        <f t="shared" si="5862"/>
        <v>NM</v>
      </c>
      <c r="BH887" s="35">
        <f>BH675/BH882*400</f>
        <v>9.7367882062751114</v>
      </c>
      <c r="BI887" s="23" t="str">
        <f t="shared" si="5863"/>
        <v>NM</v>
      </c>
      <c r="BJ887" s="35">
        <f>BJ675/BJ882*400</f>
        <v>10.392466361853687</v>
      </c>
      <c r="BK887" s="23" t="str">
        <f t="shared" si="5864"/>
        <v>NM</v>
      </c>
      <c r="BL887" s="35">
        <f>BL675/BL882*400</f>
        <v>10.939043336255507</v>
      </c>
      <c r="BM887" s="23">
        <f t="shared" si="5865"/>
        <v>70.614127504555555</v>
      </c>
      <c r="BO887" s="138"/>
      <c r="BQ887" s="6"/>
      <c r="BR887" s="6"/>
      <c r="BS887" s="6"/>
      <c r="BT887" s="6"/>
      <c r="BU887" s="35">
        <f>BU675/BU882*100</f>
        <v>5.8937697718734388</v>
      </c>
      <c r="BV887" s="23" t="str">
        <f t="shared" si="5866"/>
        <v>NA</v>
      </c>
      <c r="BW887" s="35">
        <f>BW675/BW882*100</f>
        <v>6.6557663802934837</v>
      </c>
      <c r="BX887" s="23">
        <f t="shared" si="5866"/>
        <v>12.928849241049178</v>
      </c>
      <c r="BY887" s="35">
        <f>BY675/BY882*100</f>
        <v>6.1640008826686845</v>
      </c>
      <c r="BZ887" s="23">
        <f t="shared" si="5866"/>
        <v>-7.3885630823946506</v>
      </c>
      <c r="CA887" s="35">
        <f>CA675/CA882*100</f>
        <v>6.3836856647701294</v>
      </c>
      <c r="CB887" s="23">
        <f t="shared" si="5866"/>
        <v>3.5639966035555304</v>
      </c>
      <c r="CC887" s="35">
        <f>CC675/CC882*100</f>
        <v>5.578066050915246</v>
      </c>
      <c r="CD887" s="23">
        <f t="shared" si="5866"/>
        <v>-12.619976235685993</v>
      </c>
      <c r="CE887" s="35">
        <f>CE675/CE882*100</f>
        <v>3.1505605517145776</v>
      </c>
      <c r="CF887" s="23">
        <f t="shared" si="5866"/>
        <v>-43.518765770125015</v>
      </c>
      <c r="CG887" s="35">
        <f>CG675/CG882*100</f>
        <v>5.2142658638258474</v>
      </c>
      <c r="CH887" s="23">
        <f t="shared" si="5866"/>
        <v>65.502797938232732</v>
      </c>
      <c r="CI887" s="35">
        <f>CI675/CI882*100</f>
        <v>9.7818125881965035</v>
      </c>
      <c r="CJ887" s="23">
        <f t="shared" si="5866"/>
        <v>87.597119971541389</v>
      </c>
      <c r="CK887" s="35">
        <f>CK675/CK882*100</f>
        <v>11.104726033648831</v>
      </c>
      <c r="CL887" s="23">
        <f t="shared" si="5866"/>
        <v>13.524215819148466</v>
      </c>
      <c r="CM887" s="35">
        <f>CM675/CM882*100</f>
        <v>11.270417611600768</v>
      </c>
      <c r="CN887" s="23">
        <f t="shared" si="5866"/>
        <v>1.4920816366821521</v>
      </c>
      <c r="CO887" s="35">
        <f>CO675/CO882*100</f>
        <v>11.361146794077866</v>
      </c>
      <c r="CP887" s="23">
        <f t="shared" si="5866"/>
        <v>0.80502059110665325</v>
      </c>
      <c r="CQ887" s="35">
        <f>CQ675/CQ882*100</f>
        <v>11.390427360301475</v>
      </c>
      <c r="CR887" s="23">
        <f t="shared" si="5866"/>
        <v>0.25772544580509038</v>
      </c>
      <c r="CS887" s="23">
        <f>IF(ISERROR(((CQ887/CG887)^0.2-1)*100),"NA",IF((((CQ887/CG887)^0.2-1)*100)&gt;100,"NM",IF((((CQ887/CG887)^0.2-1)*100)&lt;-50,"NM",((CQ887/CG887)^0.2-1)*100)))</f>
        <v>16.914767281838561</v>
      </c>
    </row>
    <row r="888" spans="1:97" ht="12.75" customHeight="1" x14ac:dyDescent="0.2">
      <c r="A888" s="19" t="s">
        <v>72</v>
      </c>
      <c r="B888" s="35">
        <f>+B694/B882*400</f>
        <v>19.319522748131636</v>
      </c>
      <c r="C888" s="59"/>
      <c r="D888" s="35">
        <f>+D694/D882*400</f>
        <v>19.24913151690669</v>
      </c>
      <c r="E888" s="59"/>
      <c r="F888" s="35">
        <f>+F694/F882*400</f>
        <v>43.326121328118496</v>
      </c>
      <c r="G888" s="59"/>
      <c r="H888" s="35">
        <f>+H694/H882*400</f>
        <v>-72.120845921450154</v>
      </c>
      <c r="I888" s="59"/>
      <c r="J888" s="35">
        <f>+J694/J882*400</f>
        <v>-21.267290467218903</v>
      </c>
      <c r="K888" s="23" t="str">
        <f t="shared" si="5853"/>
        <v>NM</v>
      </c>
      <c r="L888" s="35">
        <f>+L694/L882*400</f>
        <v>26.634772755885688</v>
      </c>
      <c r="M888" s="23">
        <f t="shared" si="5853"/>
        <v>38.368698517603875</v>
      </c>
      <c r="N888" s="35">
        <f>+N694/N882*400</f>
        <v>14.6220586840279</v>
      </c>
      <c r="O888" s="23" t="str">
        <f t="shared" si="5853"/>
        <v>NM</v>
      </c>
      <c r="P888" s="35">
        <f>+P694/P882*400</f>
        <v>-0.91025464826340197</v>
      </c>
      <c r="Q888" s="23" t="str">
        <f t="shared" si="5853"/>
        <v>NM</v>
      </c>
      <c r="R888" s="35">
        <f>+R694/R882*400</f>
        <v>-8.4407412013431138</v>
      </c>
      <c r="S888" s="23" t="str">
        <f t="shared" si="5853"/>
        <v>NM</v>
      </c>
      <c r="T888" s="35">
        <f>+T694/T882*400</f>
        <v>-3.2358860550828905</v>
      </c>
      <c r="U888" s="23" t="str">
        <f t="shared" si="5853"/>
        <v>NM</v>
      </c>
      <c r="V888" s="35">
        <f>+V694/V882*400</f>
        <v>13.084447127401692</v>
      </c>
      <c r="W888" s="23">
        <f t="shared" si="5853"/>
        <v>-10.515698164347997</v>
      </c>
      <c r="X888" s="35">
        <f>+X694/X882*400</f>
        <v>19.713079561751737</v>
      </c>
      <c r="Y888" s="23" t="str">
        <f t="shared" si="5853"/>
        <v>NM</v>
      </c>
      <c r="Z888" s="35">
        <f>+Z694/Z882*400</f>
        <v>9.0374708387497815</v>
      </c>
      <c r="AA888" s="23" t="str">
        <f>IF(ISERROR((Z888/R888-1)*100),"NA",IF(((Z888/R888-1)*100)&gt;100,"NM",IF(((Z888/R888-1)*100)&lt;-50,"NM",(Z888/R888-1)*100)))</f>
        <v>NM</v>
      </c>
      <c r="AB888" s="35">
        <f>+AB694/AB882*400</f>
        <v>8.5814058016111794</v>
      </c>
      <c r="AC888" s="23" t="str">
        <f>IF(ISERROR((AB888/T888-1)*100),"NA",IF(((AB888/T888-1)*100)&gt;100,"NM",IF(((AB888/T888-1)*100)&lt;-50,"NM",(AB888/T888-1)*100)))</f>
        <v>NM</v>
      </c>
      <c r="AD888" s="35">
        <f>+AD694/AD882*400</f>
        <v>13.798319827648479</v>
      </c>
      <c r="AE888" s="23">
        <f>IF(ISERROR((AD888/V888-1)*100),"NA",IF(((AD888/V888-1)*100)&gt;100,"NM",IF(((AD888/V888-1)*100)&lt;-50,"NM",(AD888/V888-1)*100)))</f>
        <v>5.4558873851978218</v>
      </c>
      <c r="AF888" s="35">
        <f>+AF694/AF882*400</f>
        <v>44.370791669013009</v>
      </c>
      <c r="AG888" s="23" t="str">
        <f>IF(ISERROR((AF888/X888-1)*100),"NA",IF(((AF888/X888-1)*100)&gt;100,"NM",IF(((AF888/X888-1)*100)&lt;-50,"NM",(AF888/X888-1)*100)))</f>
        <v>NM</v>
      </c>
      <c r="AH888" s="35">
        <f>+AH694/AH882*400</f>
        <v>5.9152546997353417</v>
      </c>
      <c r="AI888" s="23">
        <f>IF(ISERROR((AH888/Z888-1)*100),"NA",IF(((AH888/Z888-1)*100)&gt;100,"NM",IF(((AH888/Z888-1)*100)&lt;-50,"NM",(AH888/Z888-1)*100)))</f>
        <v>-34.547454644361089</v>
      </c>
      <c r="AJ888" s="35">
        <f>+AJ694/AJ882*400</f>
        <v>8.9969163794667164</v>
      </c>
      <c r="AK888" s="23">
        <f>IF(ISERROR((AJ888/AB888-1)*100),"NA",IF(((AJ888/AB888-1)*100)&gt;100,"NM",IF(((AJ888/AB888-1)*100)&lt;-50,"NM",(AJ888/AB888-1)*100)))</f>
        <v>4.8419872857839108</v>
      </c>
      <c r="AL888" s="35">
        <f>+AL694/AL882*400</f>
        <v>1.2934726057549888</v>
      </c>
      <c r="AM888" s="23" t="str">
        <f>IF(ISERROR((AL888/AD888-1)*100),"NA",IF(((AL888/AD888-1)*100)&gt;100,"NM",IF(((AL888/AD888-1)*100)&lt;-50,"NM",(AL888/AD888-1)*100)))</f>
        <v>NM</v>
      </c>
      <c r="AN888" s="409">
        <f>+AN694/AN882*400</f>
        <v>-3.5264088935438496</v>
      </c>
      <c r="AO888" s="23" t="str">
        <f>IF(ISERROR((AN888/AF888-1)*100),"NA",IF(((AN888/AF888-1)*100)&gt;100,"NM",IF(((AN888/AF888-1)*100)&lt;-50,"NM",(AN888/AF888-1)*100)))</f>
        <v>NM</v>
      </c>
      <c r="AP888" s="409">
        <f>+AP694/AP882*400</f>
        <v>5.0675112518753069</v>
      </c>
      <c r="AQ888" s="23">
        <f t="shared" si="5854"/>
        <v>-14.331478370626449</v>
      </c>
      <c r="AR888" s="409">
        <f>+AR694/AR882*400</f>
        <v>3.8552521949565195</v>
      </c>
      <c r="AS888" s="23" t="str">
        <f t="shared" si="5855"/>
        <v>NM</v>
      </c>
      <c r="AT888" s="650">
        <f>+AT694/AT882*400</f>
        <v>-11.58211131884298</v>
      </c>
      <c r="AU888" s="576" t="str">
        <f t="shared" si="5856"/>
        <v>NM</v>
      </c>
      <c r="AV888" s="650">
        <f>+AV694/AV882*400</f>
        <v>-20.950339155800801</v>
      </c>
      <c r="AW888" s="576" t="str">
        <f t="shared" si="5857"/>
        <v>NM</v>
      </c>
      <c r="AX888" s="650">
        <f>+AX694/AX882*400</f>
        <v>-8.010250777960831</v>
      </c>
      <c r="AY888" s="576" t="str">
        <f t="shared" si="5858"/>
        <v>NM</v>
      </c>
      <c r="AZ888" s="650">
        <f>+AZ694/AZ882*400</f>
        <v>4.8241579558652683</v>
      </c>
      <c r="BA888" s="576">
        <f t="shared" si="5859"/>
        <v>25.132098029184213</v>
      </c>
      <c r="BB888" s="650">
        <f>+BB694/BB882*400</f>
        <v>6.3503491307498132</v>
      </c>
      <c r="BC888" s="23" t="str">
        <f t="shared" si="5860"/>
        <v>NM</v>
      </c>
      <c r="BD888" s="409">
        <f>+BD694/BD882*400</f>
        <v>6.0440888810743063</v>
      </c>
      <c r="BE888" s="23" t="str">
        <f t="shared" si="5861"/>
        <v>NM</v>
      </c>
      <c r="BF888" s="35">
        <f>+BF694/BF882*400</f>
        <v>11.737198804255231</v>
      </c>
      <c r="BG888" s="23" t="str">
        <f t="shared" si="5862"/>
        <v>NM</v>
      </c>
      <c r="BH888" s="35">
        <f>+BH694/BH882*400</f>
        <v>12.929203249441176</v>
      </c>
      <c r="BI888" s="23" t="str">
        <f t="shared" si="5863"/>
        <v>NM</v>
      </c>
      <c r="BJ888" s="35">
        <f>+BJ694/BJ882*400</f>
        <v>10.800669918061446</v>
      </c>
      <c r="BK888" s="23">
        <f t="shared" si="5864"/>
        <v>70.079938845601149</v>
      </c>
      <c r="BL888" s="35">
        <f>+BL694/BL882*400</f>
        <v>11.399885591583965</v>
      </c>
      <c r="BM888" s="23">
        <f t="shared" si="5865"/>
        <v>88.612143465992403</v>
      </c>
      <c r="BO888" s="138"/>
      <c r="BQ888" s="6"/>
      <c r="BR888" s="6"/>
      <c r="BS888" s="6"/>
      <c r="BT888" s="6"/>
      <c r="BU888" s="35">
        <f>+BU694/BU882*100</f>
        <v>-0.90174097490497029</v>
      </c>
      <c r="BV888" s="23" t="str">
        <f t="shared" si="5866"/>
        <v>NA</v>
      </c>
      <c r="BW888" s="35">
        <f>+BW694/BW882*100</f>
        <v>4.7426354332408183</v>
      </c>
      <c r="BX888" s="23" t="str">
        <f t="shared" si="5866"/>
        <v>NM</v>
      </c>
      <c r="BY888" s="35">
        <f>+BY694/BY882*100</f>
        <v>5.5643827620869679</v>
      </c>
      <c r="BZ888" s="23">
        <f t="shared" si="5866"/>
        <v>17.326807856378281</v>
      </c>
      <c r="CA888" s="35">
        <f>+CA694/CA882*100</f>
        <v>18.729154404551704</v>
      </c>
      <c r="CB888" s="23" t="str">
        <f t="shared" si="5866"/>
        <v>NM</v>
      </c>
      <c r="CC888" s="35">
        <f>+CC694/CC882*100</f>
        <v>3.2602361356143272</v>
      </c>
      <c r="CD888" s="23" t="str">
        <f t="shared" si="5866"/>
        <v>NM</v>
      </c>
      <c r="CE888" s="35">
        <f>+CE694/CE882*100</f>
        <v>-5.8091178458179513</v>
      </c>
      <c r="CF888" s="23" t="str">
        <f t="shared" si="5866"/>
        <v>NM</v>
      </c>
      <c r="CG888" s="35">
        <f>+CG694/CG882*100</f>
        <v>2.4030733182573663</v>
      </c>
      <c r="CH888" s="23" t="str">
        <f t="shared" si="5866"/>
        <v>NM</v>
      </c>
      <c r="CI888" s="35">
        <f>+CI694/CI882*100</f>
        <v>11.673022776275696</v>
      </c>
      <c r="CJ888" s="23" t="str">
        <f t="shared" si="5866"/>
        <v>NM</v>
      </c>
      <c r="CK888" s="35">
        <f>+CK694/CK882*100</f>
        <v>11.454099280359802</v>
      </c>
      <c r="CL888" s="23">
        <f t="shared" si="5866"/>
        <v>-1.8754653367149654</v>
      </c>
      <c r="CM888" s="35">
        <f>+CM694/CM882*100</f>
        <v>11.597363464092336</v>
      </c>
      <c r="CN888" s="23">
        <f t="shared" si="5866"/>
        <v>1.2507677838814235</v>
      </c>
      <c r="CO888" s="35">
        <f>+CO694/CO882*100</f>
        <v>11.665831243449274</v>
      </c>
      <c r="CP888" s="23">
        <f t="shared" si="5866"/>
        <v>0.59037366181484696</v>
      </c>
      <c r="CQ888" s="35">
        <f>+CQ694/CQ882*100</f>
        <v>11.673173791804858</v>
      </c>
      <c r="CR888" s="23">
        <f t="shared" si="5866"/>
        <v>6.2940635796593369E-2</v>
      </c>
      <c r="CS888" s="23">
        <f>IF(ISERROR(((CQ888/CG888)^0.2-1)*100),"NA",IF((((CQ888/CG888)^0.2-1)*100)&gt;100,"NM",IF((((CQ888/CG888)^0.2-1)*100)&lt;-50,"NM",((CQ888/CG888)^0.2-1)*100)))</f>
        <v>37.177974499537612</v>
      </c>
    </row>
    <row r="889" spans="1:97" ht="12.75" customHeight="1" x14ac:dyDescent="0.2">
      <c r="A889" s="19" t="s">
        <v>73</v>
      </c>
      <c r="B889" s="35">
        <f>B694/B881*400</f>
        <v>16.482102908277405</v>
      </c>
      <c r="C889" s="59"/>
      <c r="D889" s="35">
        <f>D694/D881*400</f>
        <v>16.729161316097365</v>
      </c>
      <c r="E889" s="59"/>
      <c r="F889" s="35">
        <f>F694/F881*400</f>
        <v>36.607649005312901</v>
      </c>
      <c r="G889" s="59"/>
      <c r="H889" s="35">
        <f>H694/H881*400</f>
        <v>-57.894205001556166</v>
      </c>
      <c r="I889" s="59"/>
      <c r="J889" s="35">
        <f>J694/J881*400</f>
        <v>-16.710227507670432</v>
      </c>
      <c r="K889" s="23" t="str">
        <f t="shared" si="5853"/>
        <v>NM</v>
      </c>
      <c r="L889" s="35">
        <f>L694/L881*400</f>
        <v>20.580016780359685</v>
      </c>
      <c r="M889" s="23">
        <f t="shared" si="5853"/>
        <v>23.01881960189418</v>
      </c>
      <c r="N889" s="35">
        <f>N694/N881*400</f>
        <v>10.947454985178846</v>
      </c>
      <c r="O889" s="23" t="str">
        <f t="shared" si="5853"/>
        <v>NM</v>
      </c>
      <c r="P889" s="35">
        <f>P694/P881*400</f>
        <v>-0.66742965730203418</v>
      </c>
      <c r="Q889" s="23" t="str">
        <f t="shared" si="5853"/>
        <v>NM</v>
      </c>
      <c r="R889" s="35">
        <f>R694/R881*400</f>
        <v>-6.2231350399765271</v>
      </c>
      <c r="S889" s="23" t="str">
        <f t="shared" si="5853"/>
        <v>NM</v>
      </c>
      <c r="T889" s="35">
        <f>T694/T881*400</f>
        <v>-2.5426579591457976</v>
      </c>
      <c r="U889" s="23" t="str">
        <f t="shared" si="5853"/>
        <v>NM</v>
      </c>
      <c r="V889" s="35">
        <f>V694/V881*400</f>
        <v>10.991379310344827</v>
      </c>
      <c r="W889" s="23">
        <f t="shared" si="5853"/>
        <v>0.40122864378477896</v>
      </c>
      <c r="X889" s="35">
        <f>X694/X881*400</f>
        <v>16.83728717235871</v>
      </c>
      <c r="Y889" s="23" t="str">
        <f t="shared" si="5853"/>
        <v>NM</v>
      </c>
      <c r="Z889" s="35">
        <f>Z694/Z881*400</f>
        <v>7.5706633130085095</v>
      </c>
      <c r="AA889" s="23" t="str">
        <f>IF(ISERROR((Z889/R889-1)*100),"NA",IF(((Z889/R889-1)*100)&gt;100,"NM",IF(((Z889/R889-1)*100)&lt;-50,"NM",(Z889/R889-1)*100)))</f>
        <v>NM</v>
      </c>
      <c r="AB889" s="35">
        <f>AB694/AB881*400</f>
        <v>6.8780612845790952</v>
      </c>
      <c r="AC889" s="23" t="str">
        <f>IF(ISERROR((AB889/T889-1)*100),"NA",IF(((AB889/T889-1)*100)&gt;100,"NM",IF(((AB889/T889-1)*100)&lt;-50,"NM",(AB889/T889-1)*100)))</f>
        <v>NM</v>
      </c>
      <c r="AD889" s="35">
        <f>AD694/AD881*400</f>
        <v>11.005144681456775</v>
      </c>
      <c r="AE889" s="23">
        <f>IF(ISERROR((AD889/V889-1)*100),"NA",IF(((AD889/V889-1)*100)&gt;100,"NM",IF(((AD889/V889-1)*100)&lt;-50,"NM",(AD889/V889-1)*100)))</f>
        <v>0.12523788619498433</v>
      </c>
      <c r="AF889" s="35">
        <f>AF694/AF881*400</f>
        <v>35.832686379538281</v>
      </c>
      <c r="AG889" s="23" t="str">
        <f>IF(ISERROR((AF889/X889-1)*100),"NA",IF(((AF889/X889-1)*100)&gt;100,"NM",IF(((AF889/X889-1)*100)&lt;-50,"NM",(AF889/X889-1)*100)))</f>
        <v>NM</v>
      </c>
      <c r="AH889" s="35">
        <f>AH694/AH881*400</f>
        <v>4.6998197617882607</v>
      </c>
      <c r="AI889" s="23">
        <f>IF(ISERROR((AH889/Z889-1)*100),"NA",IF(((AH889/Z889-1)*100)&gt;100,"NM",IF(((AH889/Z889-1)*100)&lt;-50,"NM",(AH889/Z889-1)*100)))</f>
        <v>-37.920634329191991</v>
      </c>
      <c r="AJ889" s="35">
        <f>AJ694/AJ881*400</f>
        <v>7.3599525164353796</v>
      </c>
      <c r="AK889" s="23">
        <f>IF(ISERROR((AJ889/AB889-1)*100),"NA",IF(((AJ889/AB889-1)*100)&gt;100,"NM",IF(((AJ889/AB889-1)*100)&lt;-50,"NM",(AJ889/AB889-1)*100)))</f>
        <v>7.0062073005471071</v>
      </c>
      <c r="AL889" s="35">
        <f>AL694/AL881*400</f>
        <v>1.10905603272264</v>
      </c>
      <c r="AM889" s="23" t="str">
        <f>IF(ISERROR((AL889/AD889-1)*100),"NA",IF(((AL889/AD889-1)*100)&gt;100,"NM",IF(((AL889/AD889-1)*100)&lt;-50,"NM",(AL889/AD889-1)*100)))</f>
        <v>NM</v>
      </c>
      <c r="AN889" s="409">
        <f>AN694/AN881*400</f>
        <v>-3.0849256364102011</v>
      </c>
      <c r="AO889" s="23" t="str">
        <f>IF(ISERROR((AN889/AF889-1)*100),"NA",IF(((AN889/AF889-1)*100)&gt;100,"NM",IF(((AN889/AF889-1)*100)&lt;-50,"NM",(AN889/AF889-1)*100)))</f>
        <v>NM</v>
      </c>
      <c r="AP889" s="409">
        <f>AP694/AP881*400</f>
        <v>4.3588760122019794</v>
      </c>
      <c r="AQ889" s="23">
        <f t="shared" si="5854"/>
        <v>-7.2544005274056245</v>
      </c>
      <c r="AR889" s="409">
        <f>AR694/AR881*400</f>
        <v>3.0899121482406158</v>
      </c>
      <c r="AS889" s="23" t="str">
        <f t="shared" si="5855"/>
        <v>NM</v>
      </c>
      <c r="AT889" s="650">
        <f>AT694/AT881*400</f>
        <v>-8.9442099990505799</v>
      </c>
      <c r="AU889" s="576" t="str">
        <f t="shared" si="5856"/>
        <v>NM</v>
      </c>
      <c r="AV889" s="650">
        <f>AV694/AV881*400</f>
        <v>-16.910338469176082</v>
      </c>
      <c r="AW889" s="576" t="str">
        <f t="shared" si="5857"/>
        <v>NM</v>
      </c>
      <c r="AX889" s="650">
        <f>AX694/AX881*400</f>
        <v>-6.762217500482909</v>
      </c>
      <c r="AY889" s="576" t="str">
        <f t="shared" si="5858"/>
        <v>NM</v>
      </c>
      <c r="AZ889" s="650">
        <f>AZ694/AZ881*400</f>
        <v>3.956864687726247</v>
      </c>
      <c r="BA889" s="576">
        <f t="shared" si="5859"/>
        <v>28.057514191116105</v>
      </c>
      <c r="BB889" s="650">
        <f>BB694/BB881*400</f>
        <v>5.0953338443479206</v>
      </c>
      <c r="BC889" s="23" t="str">
        <f t="shared" si="5860"/>
        <v>NM</v>
      </c>
      <c r="BD889" s="409">
        <f>BD694/BD881*400</f>
        <v>4.6488825776785996</v>
      </c>
      <c r="BE889" s="23" t="str">
        <f t="shared" si="5861"/>
        <v>NM</v>
      </c>
      <c r="BF889" s="35">
        <f>BF694/BF881*400</f>
        <v>8.512226453168326</v>
      </c>
      <c r="BG889" s="23" t="str">
        <f t="shared" si="5862"/>
        <v>NM</v>
      </c>
      <c r="BH889" s="35">
        <f>BH694/BH881*400</f>
        <v>9.5910018060744022</v>
      </c>
      <c r="BI889" s="23" t="str">
        <f t="shared" si="5863"/>
        <v>NM</v>
      </c>
      <c r="BJ889" s="35">
        <f>BJ694/BJ881*400</f>
        <v>8.2147936235325574</v>
      </c>
      <c r="BK889" s="23">
        <f t="shared" si="5864"/>
        <v>61.221891920682417</v>
      </c>
      <c r="BL889" s="35">
        <f>BL694/BL881*400</f>
        <v>8.6541296417342686</v>
      </c>
      <c r="BM889" s="23">
        <f t="shared" si="5865"/>
        <v>86.155049028054236</v>
      </c>
      <c r="BO889" s="138"/>
      <c r="BQ889" s="6"/>
      <c r="BR889" s="6"/>
      <c r="BS889" s="6"/>
      <c r="BT889" s="6"/>
      <c r="BU889" s="35">
        <f>BU694/BU881*100</f>
        <v>-0.712325662341456</v>
      </c>
      <c r="BV889" s="23" t="str">
        <f t="shared" si="5866"/>
        <v>NA</v>
      </c>
      <c r="BW889" s="35">
        <f>BW694/BW881*100</f>
        <v>3.6024522662111922</v>
      </c>
      <c r="BX889" s="23" t="str">
        <f t="shared" si="5866"/>
        <v>NM</v>
      </c>
      <c r="BY889" s="35">
        <f>BY694/BY881*100</f>
        <v>4.4247820209156785</v>
      </c>
      <c r="BZ889" s="23">
        <f t="shared" si="5866"/>
        <v>22.826943813175227</v>
      </c>
      <c r="CA889" s="35">
        <f>CA694/CA881*100</f>
        <v>15.575966062056407</v>
      </c>
      <c r="CB889" s="23" t="str">
        <f t="shared" si="5866"/>
        <v>NM</v>
      </c>
      <c r="CC889" s="35">
        <f>CC694/CC881*100</f>
        <v>2.7611385301872753</v>
      </c>
      <c r="CD889" s="23" t="str">
        <f t="shared" si="5866"/>
        <v>NM</v>
      </c>
      <c r="CE889" s="35">
        <f>CE694/CE881*100</f>
        <v>-5.0737222051963062</v>
      </c>
      <c r="CF889" s="23" t="str">
        <f t="shared" si="5866"/>
        <v>NM</v>
      </c>
      <c r="CG889" s="35">
        <f>CG694/CG881*100</f>
        <v>1.9170995718042931</v>
      </c>
      <c r="CH889" s="23" t="str">
        <f t="shared" si="5866"/>
        <v>NM</v>
      </c>
      <c r="CI889" s="35">
        <f>CI694/CI881*100</f>
        <v>8.6635046676898977</v>
      </c>
      <c r="CJ889" s="23" t="str">
        <f t="shared" si="5866"/>
        <v>NM</v>
      </c>
      <c r="CK889" s="35">
        <f>CK694/CK881*100</f>
        <v>8.718407830658764</v>
      </c>
      <c r="CL889" s="23">
        <f t="shared" si="5866"/>
        <v>0.63372924785998208</v>
      </c>
      <c r="CM889" s="35">
        <f>CM694/CM881*100</f>
        <v>8.8928349302947787</v>
      </c>
      <c r="CN889" s="23">
        <f t="shared" si="5866"/>
        <v>2.0006760755402198</v>
      </c>
      <c r="CO889" s="35">
        <f>CO694/CO881*100</f>
        <v>9.0177151574953616</v>
      </c>
      <c r="CP889" s="23">
        <f t="shared" si="5866"/>
        <v>1.4042791548413813</v>
      </c>
      <c r="CQ889" s="35">
        <f>CQ694/CQ881*100</f>
        <v>9.1010081593766756</v>
      </c>
      <c r="CR889" s="23">
        <f t="shared" si="5866"/>
        <v>0.92365971231729294</v>
      </c>
      <c r="CS889" s="23">
        <f>IF(ISERROR(((CQ889/CG889)^0.2-1)*100),"NA",IF((((CQ889/CG889)^0.2-1)*100)&gt;100,"NM",IF((((CQ889/CG889)^0.2-1)*100)&lt;-50,"NM",((CQ889/CG889)^0.2-1)*100)))</f>
        <v>36.549139199299276</v>
      </c>
    </row>
    <row r="890" spans="1:97" ht="12.75" customHeight="1" x14ac:dyDescent="0.2">
      <c r="A890" s="19"/>
      <c r="B890" s="35"/>
      <c r="C890" s="60"/>
      <c r="D890" s="35"/>
      <c r="E890" s="60"/>
      <c r="F890" s="35"/>
      <c r="G890" s="60"/>
      <c r="H890" s="35"/>
      <c r="I890" s="60"/>
      <c r="J890" s="35"/>
      <c r="L890" s="35"/>
      <c r="N890" s="35"/>
      <c r="P890" s="37"/>
      <c r="R890" s="37"/>
      <c r="T890" s="37"/>
      <c r="V890" s="37"/>
      <c r="X890" s="37"/>
      <c r="Z890" s="37"/>
      <c r="AB890" s="37"/>
      <c r="AD890" s="37"/>
      <c r="AF890" s="37"/>
      <c r="AH890" s="37"/>
      <c r="AJ890" s="37"/>
      <c r="AL890" s="37"/>
      <c r="AN890" s="411"/>
      <c r="AP890" s="411"/>
      <c r="AR890" s="409"/>
      <c r="AT890" s="409"/>
      <c r="AV890" s="409"/>
      <c r="AX890" s="409"/>
      <c r="AZ890" s="409"/>
      <c r="BB890" s="409"/>
      <c r="BD890" s="409"/>
      <c r="BF890" s="35"/>
      <c r="BH890" s="35"/>
      <c r="BJ890" s="35"/>
      <c r="BL890" s="35"/>
    </row>
    <row r="891" spans="1:97" ht="12.75" customHeight="1" x14ac:dyDescent="0.2">
      <c r="A891" s="20" t="s">
        <v>74</v>
      </c>
      <c r="B891" s="35"/>
      <c r="C891" s="60"/>
      <c r="D891" s="35"/>
      <c r="E891" s="60"/>
      <c r="F891" s="35"/>
      <c r="G891" s="60"/>
      <c r="H891" s="35"/>
      <c r="I891" s="60"/>
      <c r="J891" s="35"/>
      <c r="L891" s="35"/>
      <c r="N891" s="35"/>
      <c r="P891" s="35"/>
      <c r="R891" s="35"/>
      <c r="T891" s="35"/>
      <c r="V891" s="35"/>
      <c r="X891" s="35"/>
      <c r="Z891" s="35"/>
      <c r="AB891" s="35"/>
      <c r="AD891" s="35"/>
      <c r="AF891" s="35"/>
      <c r="AH891" s="35"/>
      <c r="AJ891" s="35"/>
      <c r="AL891" s="35"/>
      <c r="AN891" s="409"/>
      <c r="AP891" s="409"/>
      <c r="AR891" s="409"/>
      <c r="AT891" s="409"/>
      <c r="AV891" s="409"/>
      <c r="AX891" s="409"/>
      <c r="AZ891" s="409"/>
      <c r="BB891" s="409"/>
      <c r="BD891" s="409"/>
      <c r="BF891" s="35"/>
      <c r="BH891" s="35"/>
      <c r="BJ891" s="35"/>
      <c r="BL891" s="35"/>
    </row>
    <row r="892" spans="1:97" ht="12.75" customHeight="1" x14ac:dyDescent="0.2">
      <c r="A892" s="19" t="s">
        <v>75</v>
      </c>
      <c r="B892" s="56">
        <f>+B880+B870</f>
        <v>13786.8</v>
      </c>
      <c r="C892" s="59"/>
      <c r="D892" s="56">
        <f>+D880+D870</f>
        <v>14176.399999999998</v>
      </c>
      <c r="E892" s="59"/>
      <c r="F892" s="56">
        <f>+F880+F870</f>
        <v>15235.400000000001</v>
      </c>
      <c r="G892" s="59"/>
      <c r="H892" s="56">
        <f>+H880+H870</f>
        <v>13800.2</v>
      </c>
      <c r="I892" s="59"/>
      <c r="J892" s="56">
        <f>+J880+J870</f>
        <v>13286.100000000002</v>
      </c>
      <c r="K892" s="23">
        <f>IF(ISERROR((J892/B892-1)*100),"NA",IF(((J892/B892-1)*100)&gt;100,"NM",IF(((J892/B892-1)*100)&lt;-50,"NM",(J892/B892-1)*100)))</f>
        <v>-3.6317347027591373</v>
      </c>
      <c r="L892" s="56">
        <f>+L880+L870</f>
        <v>13754.099999999999</v>
      </c>
      <c r="M892" s="23">
        <f>IF(ISERROR((L892/D892-1)*100),"NA",IF(((L892/D892-1)*100)&gt;100,"NM",IF(((L892/D892-1)*100)&lt;-50,"NM",(L892/D892-1)*100)))</f>
        <v>-2.9788945007194978</v>
      </c>
      <c r="N892" s="56">
        <f>+N880+N870</f>
        <v>14102.2</v>
      </c>
      <c r="O892" s="23">
        <f>IF(ISERROR((N892/F892-1)*100),"NA",IF(((N892/F892-1)*100)&gt;100,"NM",IF(((N892/F892-1)*100)&lt;-50,"NM",(N892/F892-1)*100)))</f>
        <v>-7.4379405857411101</v>
      </c>
      <c r="P892" s="56">
        <f>+P880+P870</f>
        <v>13972.5</v>
      </c>
      <c r="Q892" s="23">
        <f>IF(ISERROR((P892/H892-1)*100),"NA",IF(((P892/H892-1)*100)&gt;100,"NM",IF(((P892/H892-1)*100)&lt;-50,"NM",(P892/H892-1)*100)))</f>
        <v>1.2485326299618738</v>
      </c>
      <c r="R892" s="56">
        <f>+R880+R870</f>
        <v>13645.600000000002</v>
      </c>
      <c r="S892" s="23">
        <f>IF(ISERROR((R892/J892-1)*100),"NA",IF(((R892/J892-1)*100)&gt;100,"NM",IF(((R892/J892-1)*100)&lt;-50,"NM",(R892/J892-1)*100)))</f>
        <v>2.7058354219823721</v>
      </c>
      <c r="T892" s="56">
        <f>+T880+T870</f>
        <v>14067.099999999999</v>
      </c>
      <c r="U892" s="23">
        <f>IF(ISERROR((T892/L892-1)*100),"NA",IF(((T892/L892-1)*100)&gt;100,"NM",IF(((T892/L892-1)*100)&lt;-50,"NM",(T892/L892-1)*100)))</f>
        <v>2.2756850684523267</v>
      </c>
      <c r="V892" s="56">
        <f>+V880+V870</f>
        <v>14334.5</v>
      </c>
      <c r="W892" s="23">
        <f>IF(ISERROR((V892/N892-1)*100),"NA",IF(((V892/N892-1)*100)&gt;100,"NM",IF(((V892/N892-1)*100)&lt;-50,"NM",(V892/N892-1)*100)))</f>
        <v>1.6472607110947113</v>
      </c>
      <c r="X892" s="56">
        <f>+X880+X870</f>
        <v>14937.8</v>
      </c>
      <c r="Y892" s="23">
        <f>IF(ISERROR((X892/P892-1)*100),"NA",IF(((X892/P892-1)*100)&gt;100,"NM",IF(((X892/P892-1)*100)&lt;-50,"NM",(X892/P892-1)*100)))</f>
        <v>6.9085704061549347</v>
      </c>
      <c r="Z892" s="56">
        <f>+Z880+Z870</f>
        <v>14939</v>
      </c>
      <c r="AA892" s="23">
        <f>IF(ISERROR((Z892/R892-1)*100),"NA",IF(((Z892/R892-1)*100)&gt;100,"NM",IF(((Z892/R892-1)*100)&lt;-50,"NM",(Z892/R892-1)*100)))</f>
        <v>9.4785132203787157</v>
      </c>
      <c r="AB892" s="56">
        <f>+AB880+AB870</f>
        <v>15229.600000000002</v>
      </c>
      <c r="AC892" s="23">
        <f>IF(ISERROR((AB892/T892-1)*100),"NA",IF(((AB892/T892-1)*100)&gt;100,"NM",IF(((AB892/T892-1)*100)&lt;-50,"NM",(AB892/T892-1)*100)))</f>
        <v>8.2639634324061397</v>
      </c>
      <c r="AD892" s="56">
        <f>+AD880+AD870</f>
        <v>15334.400000000001</v>
      </c>
      <c r="AE892" s="23">
        <f>IF(ISERROR((AD892/V892-1)*100),"NA",IF(((AD892/V892-1)*100)&gt;100,"NM",IF(((AD892/V892-1)*100)&lt;-50,"NM",(AD892/V892-1)*100)))</f>
        <v>6.9754787401025586</v>
      </c>
      <c r="AF892" s="56">
        <f>+AF880+AF870</f>
        <v>16558.199999999997</v>
      </c>
      <c r="AG892" s="23">
        <f>IF(ISERROR((AF892/X892-1)*100),"NA",IF(((AF892/X892-1)*100)&gt;100,"NM",IF(((AF892/X892-1)*100)&lt;-50,"NM",(AF892/X892-1)*100)))</f>
        <v>10.847648248068653</v>
      </c>
      <c r="AH892" s="56">
        <f>+AH880+AH870</f>
        <v>16129.2</v>
      </c>
      <c r="AI892" s="23">
        <f>IF(ISERROR((AH892/Z892-1)*100),"NA",IF(((AH892/Z892-1)*100)&gt;100,"NM",IF(((AH892/Z892-1)*100)&lt;-50,"NM",(AH892/Z892-1)*100)))</f>
        <v>7.967066068679296</v>
      </c>
      <c r="AJ892" s="56">
        <f>+AJ880+AJ870</f>
        <v>16232.599999999999</v>
      </c>
      <c r="AK892" s="23">
        <f>IF(ISERROR((AJ892/AB892-1)*100),"NA",IF(((AJ892/AB892-1)*100)&gt;100,"NM",IF(((AJ892/AB892-1)*100)&lt;-50,"NM",(AJ892/AB892-1)*100)))</f>
        <v>6.5858591164573932</v>
      </c>
      <c r="AL892" s="56">
        <f>+AL880+AL870</f>
        <v>15726.000000000002</v>
      </c>
      <c r="AM892" s="23">
        <f>IF(ISERROR((AL892/AD892-1)*100),"NA",IF(((AL892/AD892-1)*100)&gt;100,"NM",IF(((AL892/AD892-1)*100)&lt;-50,"NM",(AL892/AD892-1)*100)))</f>
        <v>2.553735392320533</v>
      </c>
      <c r="AN892" s="413">
        <f t="shared" ref="AN892:AP892" si="5867">+AN880+AN870</f>
        <v>15496.799999999997</v>
      </c>
      <c r="AO892" s="23">
        <f>IF(ISERROR((AN892/AF892-1)*100),"NA",IF(((AN892/AF892-1)*100)&gt;100,"NM",IF(((AN892/AF892-1)*100)&lt;-50,"NM",(AN892/AF892-1)*100)))</f>
        <v>-6.41011704170743</v>
      </c>
      <c r="AP892" s="413">
        <f t="shared" si="5867"/>
        <v>15440.999999999998</v>
      </c>
      <c r="AQ892" s="23">
        <f t="shared" ref="AQ892:AQ893" si="5868">IF(ISERROR((AP892/AH892-1)*100),"NA",IF(((AP892/AH892-1)*100)&gt;100,"NM",IF(((AP892/AH892-1)*100)&lt;-50,"NM",(AP892/AH892-1)*100)))</f>
        <v>-4.2667956253255142</v>
      </c>
      <c r="AR892" s="413">
        <f t="shared" ref="AR892:AT892" si="5869">+AR880+AR870</f>
        <v>15446.7</v>
      </c>
      <c r="AS892" s="23">
        <f t="shared" ref="AS892:AS893" si="5870">IF(ISERROR((AR892/AJ892-1)*100),"NA",IF(((AR892/AJ892-1)*100)&gt;100,"NM",IF(((AR892/AJ892-1)*100)&lt;-50,"NM",(AR892/AJ892-1)*100)))</f>
        <v>-4.8414918127718138</v>
      </c>
      <c r="AT892" s="413">
        <f t="shared" si="5869"/>
        <v>15237.399999999998</v>
      </c>
      <c r="AU892" s="23">
        <f t="shared" ref="AU892:AU893" si="5871">IF(ISERROR((AT892/AL892-1)*100),"NA",IF(((AT892/AL892-1)*100)&gt;100,"NM",IF(((AT892/AL892-1)*100)&lt;-50,"NM",(AT892/AL892-1)*100)))</f>
        <v>-3.1069566323286502</v>
      </c>
      <c r="AV892" s="413">
        <f t="shared" ref="AV892" si="5872">+AV880+AV870</f>
        <v>14623</v>
      </c>
      <c r="AW892" s="23">
        <f t="shared" ref="AW892:AW893" si="5873">IF(ISERROR((AV892/AN892-1)*100),"NA",IF(((AV892/AN892-1)*100)&gt;100,"NM",IF(((AV892/AN892-1)*100)&lt;-50,"NM",(AV892/AN892-1)*100)))</f>
        <v>-5.6385834494863341</v>
      </c>
      <c r="AX892" s="413">
        <f t="shared" ref="AX892" si="5874">+AX880+AX870</f>
        <v>13504.2</v>
      </c>
      <c r="AY892" s="23">
        <f t="shared" ref="AY892:AY893" si="5875">IF(ISERROR((AX892/AP892-1)*100),"NA",IF(((AX892/AP892-1)*100)&gt;100,"NM",IF(((AX892/AP892-1)*100)&lt;-50,"NM",(AX892/AP892-1)*100)))</f>
        <v>-12.543229065475014</v>
      </c>
      <c r="AZ892" s="413">
        <f t="shared" ref="AZ892" si="5876">+AZ880+AZ870</f>
        <v>13472.7</v>
      </c>
      <c r="BA892" s="23">
        <f t="shared" ref="BA892:BA893" si="5877">IF(ISERROR((AZ892/AR892-1)*100),"NA",IF(((AZ892/AR892-1)*100)&gt;100,"NM",IF(((AZ892/AR892-1)*100)&lt;-50,"NM",(AZ892/AR892-1)*100)))</f>
        <v>-12.779428615820853</v>
      </c>
      <c r="BB892" s="413">
        <f t="shared" ref="BB892:BD892" si="5878">+BB880+BB870</f>
        <v>14043.800000000003</v>
      </c>
      <c r="BC892" s="23">
        <f t="shared" ref="BC892:BC893" si="5879">IF(ISERROR((BB892/AT892-1)*100),"NA",IF(((BB892/AT892-1)*100)&gt;100,"NM",IF(((BB892/AT892-1)*100)&lt;-50,"NM",(BB892/AT892-1)*100)))</f>
        <v>-7.8333573969312065</v>
      </c>
      <c r="BD892" s="413">
        <f t="shared" si="5878"/>
        <v>10401</v>
      </c>
      <c r="BE892" s="23">
        <f t="shared" ref="BE892:BE893" si="5880">IF(ISERROR((BD892/AV892-1)*100),"NA",IF(((BD892/AV892-1)*100)&gt;100,"NM",IF(((BD892/AV892-1)*100)&lt;-50,"NM",(BD892/AV892-1)*100)))</f>
        <v>-28.872324420433561</v>
      </c>
      <c r="BF892" s="56">
        <f t="shared" ref="BF892" si="5881">+BF880+BF870</f>
        <v>10261.799843736864</v>
      </c>
      <c r="BG892" s="23">
        <f t="shared" ref="BG892:BG893" si="5882">IF(ISERROR((BF892/AX892-1)*100),"NA",IF(((BF892/AX892-1)*100)&gt;100,"NM",IF(((BF892/AX892-1)*100)&lt;-50,"NM",(BF892/AX892-1)*100)))</f>
        <v>-24.010309061352299</v>
      </c>
      <c r="BH892" s="56">
        <f t="shared" ref="BH892" si="5883">+BH880+BH870</f>
        <v>10240.545008161373</v>
      </c>
      <c r="BI892" s="23">
        <f t="shared" ref="BI892:BI893" si="5884">IF(ISERROR((BH892/AZ892-1)*100),"NA",IF(((BH892/AZ892-1)*100)&gt;100,"NM",IF(((BH892/AZ892-1)*100)&lt;-50,"NM",(BH892/AZ892-1)*100)))</f>
        <v>-23.990402754003494</v>
      </c>
      <c r="BJ892" s="56">
        <f t="shared" ref="BJ892" si="5885">+BJ880+BJ870</f>
        <v>10180.305206349834</v>
      </c>
      <c r="BK892" s="23">
        <f t="shared" ref="BK892:BK893" si="5886">IF(ISERROR((BJ892/BB892-1)*100),"NA",IF(((BJ892/BB892-1)*100)&gt;100,"NM",IF(((BJ892/BB892-1)*100)&lt;-50,"NM",(BJ892/BB892-1)*100)))</f>
        <v>-27.510323371524571</v>
      </c>
      <c r="BL892" s="56">
        <f t="shared" ref="BL892" si="5887">+BL880+BL870</f>
        <v>10129.117460013525</v>
      </c>
      <c r="BM892" s="23">
        <f t="shared" ref="BM892:BM893" si="5888">IF(ISERROR((BL892/BD892-1)*100),"NA",IF(((BL892/BD892-1)*100)&gt;100,"NM",IF(((BL892/BD892-1)*100)&lt;-50,"NM",(BL892/BD892-1)*100)))</f>
        <v>-2.6140038456540227</v>
      </c>
      <c r="BO892" s="137"/>
      <c r="BQ892" s="5"/>
      <c r="BR892" s="5"/>
      <c r="BS892" s="5"/>
      <c r="BT892" s="5"/>
      <c r="BU892" s="56">
        <f>+BU880+BU870</f>
        <v>13800.2</v>
      </c>
      <c r="BV892" s="23" t="str">
        <f>IF(ISERROR((BU892/BS892-1)*100),"NA",IF(((BU892/BS892-1)*100)&gt;100,"NM",IF(((BU892/BS892-1)*100)&lt;-50,"NM",(BU892/BS892-1)*100)))</f>
        <v>NA</v>
      </c>
      <c r="BW892" s="56">
        <f>+BW880+BW870</f>
        <v>13972.5</v>
      </c>
      <c r="BX892" s="23">
        <f>IF(ISERROR((BW892/BU892-1)*100),"NA",IF(((BW892/BU892-1)*100)&gt;100,"NM",IF(((BW892/BU892-1)*100)&lt;-50,"NM",(BW892/BU892-1)*100)))</f>
        <v>1.2485326299618738</v>
      </c>
      <c r="BY892" s="56">
        <f>+BY880+BY870</f>
        <v>14937.8</v>
      </c>
      <c r="BZ892" s="23">
        <f>IF(ISERROR((BY892/BW892-1)*100),"NA",IF(((BY892/BW892-1)*100)&gt;100,"NM",IF(((BY892/BW892-1)*100)&lt;-50,"NM",(BY892/BW892-1)*100)))</f>
        <v>6.9085704061549347</v>
      </c>
      <c r="CA892" s="56">
        <f>+CA880+CA870</f>
        <v>16558.199999999997</v>
      </c>
      <c r="CB892" s="23">
        <f>IF(ISERROR((CA892/BY892-1)*100),"NA",IF(((CA892/BY892-1)*100)&gt;100,"NM",IF(((CA892/BY892-1)*100)&lt;-50,"NM",(CA892/BY892-1)*100)))</f>
        <v>10.847648248068653</v>
      </c>
      <c r="CC892" s="56">
        <f>+CC880+CC870</f>
        <v>15496.799999999997</v>
      </c>
      <c r="CD892" s="23">
        <f>IF(ISERROR((CC892/CA892-1)*100),"NA",IF(((CC892/CA892-1)*100)&gt;100,"NM",IF(((CC892/CA892-1)*100)&lt;-50,"NM",(CC892/CA892-1)*100)))</f>
        <v>-6.41011704170743</v>
      </c>
      <c r="CE892" s="56">
        <f>+CE880+CE870</f>
        <v>14623</v>
      </c>
      <c r="CF892" s="23">
        <f>IF(ISERROR((CE892/CC892-1)*100),"NA",IF(((CE892/CC892-1)*100)&gt;100,"NM",IF(((CE892/CC892-1)*100)&lt;-50,"NM",(CE892/CC892-1)*100)))</f>
        <v>-5.6385834494863341</v>
      </c>
      <c r="CG892" s="56">
        <f>+CG880+CG870</f>
        <v>10401</v>
      </c>
      <c r="CH892" s="23">
        <f>IF(ISERROR((CG892/CE892-1)*100),"NA",IF(((CG892/CE892-1)*100)&gt;100,"NM",IF(((CG892/CE892-1)*100)&lt;-50,"NM",(CG892/CE892-1)*100)))</f>
        <v>-28.872324420433561</v>
      </c>
      <c r="CI892" s="56">
        <f>+CI880+CI870</f>
        <v>10129.117460013525</v>
      </c>
      <c r="CJ892" s="23">
        <f>IF(ISERROR((CI892/CG892-1)*100),"NA",IF(((CI892/CG892-1)*100)&gt;100,"NM",IF(((CI892/CG892-1)*100)&lt;-50,"NM",(CI892/CG892-1)*100)))</f>
        <v>-2.6140038456540227</v>
      </c>
      <c r="CK892" s="56">
        <f>+CK880+CK870</f>
        <v>10336.883755639166</v>
      </c>
      <c r="CL892" s="23">
        <f>IF(ISERROR((CK892/CI892-1)*100),"NA",IF(((CK892/CI892-1)*100)&gt;100,"NM",IF(((CK892/CI892-1)*100)&lt;-50,"NM",(CK892/CI892-1)*100)))</f>
        <v>2.0511786584155534</v>
      </c>
      <c r="CM892" s="56">
        <f>+CM880+CM870</f>
        <v>10580.741617548878</v>
      </c>
      <c r="CN892" s="23">
        <f>IF(ISERROR((CM892/CK892-1)*100),"NA",IF(((CM892/CK892-1)*100)&gt;100,"NM",IF(((CM892/CK892-1)*100)&lt;-50,"NM",(CM892/CK892-1)*100)))</f>
        <v>2.3591042298088949</v>
      </c>
      <c r="CO892" s="56">
        <f>+CO880+CO870</f>
        <v>10859.850963255598</v>
      </c>
      <c r="CP892" s="23">
        <f>IF(ISERROR((CO892/CM892-1)*100),"NA",IF(((CO892/CM892-1)*100)&gt;100,"NM",IF(((CO892/CM892-1)*100)&lt;-50,"NM",(CO892/CM892-1)*100)))</f>
        <v>2.6378996463140014</v>
      </c>
      <c r="CQ892" s="56">
        <f>+CQ880+CQ870</f>
        <v>11173.895321497916</v>
      </c>
      <c r="CR892" s="23">
        <f>IF(ISERROR((CQ892/CO892-1)*100),"NA",IF(((CQ892/CO892-1)*100)&gt;100,"NM",IF(((CQ892/CO892-1)*100)&lt;-50,"NM",(CQ892/CO892-1)*100)))</f>
        <v>2.8917925237177622</v>
      </c>
      <c r="CS892" s="23">
        <f t="shared" ref="CS892:CS899" si="5889">IF(ISERROR(((CQ892/CG892)^0.2-1)*100),"NA",IF((((CQ892/CG892)^0.2-1)*100)&gt;100,"NM",IF((((CQ892/CG892)^0.2-1)*100)&lt;-50,"NM",((CQ892/CG892)^0.2-1)*100)))</f>
        <v>1.4438913957297128</v>
      </c>
    </row>
    <row r="893" spans="1:97" ht="12.75" customHeight="1" x14ac:dyDescent="0.2">
      <c r="A893" s="19" t="s">
        <v>76</v>
      </c>
      <c r="B893" s="37">
        <f>+B870/(B870+B880)*100</f>
        <v>55.74317463080628</v>
      </c>
      <c r="C893" s="59"/>
      <c r="D893" s="37">
        <f>+D870/(D870+D880)*100</f>
        <v>35.624700205976133</v>
      </c>
      <c r="E893" s="59"/>
      <c r="F893" s="37">
        <f>+F870/(F870+F880)*100</f>
        <v>33.699804402903759</v>
      </c>
      <c r="G893" s="59"/>
      <c r="H893" s="37">
        <f>+H870/(H870+H880)*100</f>
        <v>29.284358197707277</v>
      </c>
      <c r="I893" s="59"/>
      <c r="J893" s="37">
        <f>+J870/(J870+J880)*100</f>
        <v>30.431804668036509</v>
      </c>
      <c r="K893" s="23">
        <f>IF(ISERROR((J893/B893-1)*100),"NA",IF(((J893/B893-1)*100)&gt;100,"NM",IF(((J893/B893-1)*100)&lt;-50,"NM",(J893/B893-1)*100)))</f>
        <v>-45.40711958084556</v>
      </c>
      <c r="L893" s="37">
        <f>+L870/(L870+L880)*100</f>
        <v>28.600926269257897</v>
      </c>
      <c r="M893" s="23">
        <f>IF(ISERROR((L893/D893-1)*100),"NA",IF(((L893/D893-1)*100)&gt;100,"NM",IF(((L893/D893-1)*100)&lt;-50,"NM",(L893/D893-1)*100)))</f>
        <v>-19.716022580142244</v>
      </c>
      <c r="N893" s="37">
        <f>+N870/(N870+N880)*100</f>
        <v>27.60704003630639</v>
      </c>
      <c r="O893" s="23">
        <f>IF(ISERROR((N893/F893-1)*100),"NA",IF(((N893/F893-1)*100)&gt;100,"NM",IF(((N893/F893-1)*100)&lt;-50,"NM",(N893/F893-1)*100)))</f>
        <v>-18.079524420243764</v>
      </c>
      <c r="P893" s="37">
        <f>+P870/(P870+P880)*100</f>
        <v>27.25568080157452</v>
      </c>
      <c r="Q893" s="23">
        <f>IF(ISERROR((P893/H893-1)*100),"NA",IF(((P893/H893-1)*100)&gt;100,"NM",IF(((P893/H893-1)*100)&lt;-50,"NM",(P893/H893-1)*100)))</f>
        <v>-6.9275118902608739</v>
      </c>
      <c r="R893" s="37">
        <f>+R870/(R870+R880)*100</f>
        <v>27.168464560004686</v>
      </c>
      <c r="S893" s="23">
        <f>IF(ISERROR((R893/J893-1)*100),"NA",IF(((R893/J893-1)*100)&gt;100,"NM",IF(((R893/J893-1)*100)&lt;-50,"NM",(R893/J893-1)*100)))</f>
        <v>-10.723452465700834</v>
      </c>
      <c r="T893" s="37">
        <f>+T870/(T870+T880)*100</f>
        <v>26.183790546736716</v>
      </c>
      <c r="U893" s="23">
        <f>IF(ISERROR((T893/L893-1)*100),"NA",IF(((T893/L893-1)*100)&gt;100,"NM",IF(((T893/L893-1)*100)&lt;-50,"NM",(T893/L893-1)*100)))</f>
        <v>-8.4512497943791125</v>
      </c>
      <c r="V893" s="37">
        <f>+V870/(V870+V880)*100</f>
        <v>24.517771809271338</v>
      </c>
      <c r="W893" s="23">
        <f>IF(ISERROR((V893/N893-1)*100),"NA",IF(((V893/N893-1)*100)&gt;100,"NM",IF(((V893/N893-1)*100)&lt;-50,"NM",(V893/N893-1)*100)))</f>
        <v>-11.190146509630573</v>
      </c>
      <c r="X893" s="37">
        <f>+X870/(X870+X880)*100</f>
        <v>23.528899837994885</v>
      </c>
      <c r="Y893" s="23">
        <f>IF(ISERROR((X893/P893-1)*100),"NA",IF(((X893/P893-1)*100)&gt;100,"NM",IF(((X893/P893-1)*100)&lt;-50,"NM",(X893/P893-1)*100)))</f>
        <v>-13.673409924012415</v>
      </c>
      <c r="Z893" s="37">
        <f>+Z870/(Z870+Z880)*100</f>
        <v>23.529018006560008</v>
      </c>
      <c r="AA893" s="23">
        <f>IF(ISERROR((Z893/R893-1)*100),"NA",IF(((Z893/R893-1)*100)&gt;100,"NM",IF(((Z893/R893-1)*100)&lt;-50,"NM",(Z893/R893-1)*100)))</f>
        <v>-13.395849240602242</v>
      </c>
      <c r="AB893" s="37">
        <f>+AB870/(AB870+AB880)*100</f>
        <v>23.081367862583384</v>
      </c>
      <c r="AC893" s="23">
        <f>IF(ISERROR((AB893/T893-1)*100),"NA",IF(((AB893/T893-1)*100)&gt;100,"NM",IF(((AB893/T893-1)*100)&lt;-50,"NM",(AB893/T893-1)*100)))</f>
        <v>-11.848638487294904</v>
      </c>
      <c r="AD893" s="37">
        <f>+AD870/(AD870+AD880)*100</f>
        <v>22.925579090150247</v>
      </c>
      <c r="AE893" s="23">
        <f>IF(ISERROR((AD893/V893-1)*100),"NA",IF(((AD893/V893-1)*100)&gt;100,"NM",IF(((AD893/V893-1)*100)&lt;-50,"NM",(AD893/V893-1)*100)))</f>
        <v>-6.4940351493075195</v>
      </c>
      <c r="AF893" s="37">
        <f>+AF870/(AF870+AF880)*100</f>
        <v>21.232380331195422</v>
      </c>
      <c r="AG893" s="23">
        <f>IF(ISERROR((AF893/X893-1)*100),"NA",IF(((AF893/X893-1)*100)&gt;100,"NM",IF(((AF893/X893-1)*100)&lt;-50,"NM",(AF893/X893-1)*100)))</f>
        <v>-9.7604202602409877</v>
      </c>
      <c r="AH893" s="37">
        <f>+AH870/(AH870+AH880)*100</f>
        <v>21.798973290677775</v>
      </c>
      <c r="AI893" s="23">
        <f>IF(ISERROR((AH893/Z893-1)*100),"NA",IF(((AH893/Z893-1)*100)&gt;100,"NM",IF(((AH893/Z893-1)*100)&lt;-50,"NM",(AH893/Z893-1)*100)))</f>
        <v>-7.3528130897765775</v>
      </c>
      <c r="AJ893" s="37">
        <f>+AJ870/(AJ870+AJ880)*100</f>
        <v>21.475302785752131</v>
      </c>
      <c r="AK893" s="23">
        <f>IF(ISERROR((AJ893/AB893-1)*100),"NA",IF(((AJ893/AB893-1)*100)&gt;100,"NM",IF(((AJ893/AB893-1)*100)&lt;-50,"NM",(AJ893/AB893-1)*100)))</f>
        <v>-6.9582751178053233</v>
      </c>
      <c r="AL893" s="37">
        <f>+AL870/(AL870+AL880)*100</f>
        <v>22.164568230955105</v>
      </c>
      <c r="AM893" s="23">
        <f>IF(ISERROR((AL893/AD893-1)*100),"NA",IF(((AL893/AD893-1)*100)&gt;100,"NM",IF(((AL893/AD893-1)*100)&lt;-50,"NM",(AL893/AD893-1)*100)))</f>
        <v>-3.3194836920045545</v>
      </c>
      <c r="AN893" s="411">
        <f t="shared" ref="AN893:AP893" si="5890">+AN870/(AN870+AN880)*100</f>
        <v>22.494321408290748</v>
      </c>
      <c r="AO893" s="23">
        <f>IF(ISERROR((AN893/AF893-1)*100),"NA",IF(((AN893/AF893-1)*100)&gt;100,"NM",IF(((AN893/AF893-1)*100)&lt;-50,"NM",(AN893/AF893-1)*100)))</f>
        <v>5.9434743415990532</v>
      </c>
      <c r="AP893" s="411">
        <f t="shared" si="5890"/>
        <v>22.381322453208995</v>
      </c>
      <c r="AQ893" s="23">
        <f t="shared" si="5868"/>
        <v>2.6714522503693328</v>
      </c>
      <c r="AR893" s="411">
        <f t="shared" ref="AR893:AT893" si="5891">+AR870/(AR870+AR880)*100</f>
        <v>22.966070422808755</v>
      </c>
      <c r="AS893" s="23">
        <f t="shared" si="5870"/>
        <v>6.9417770353658481</v>
      </c>
      <c r="AT893" s="411">
        <f t="shared" si="5891"/>
        <v>23.288093769278227</v>
      </c>
      <c r="AU893" s="23">
        <f t="shared" si="5871"/>
        <v>5.0690161279749235</v>
      </c>
      <c r="AV893" s="411">
        <f t="shared" ref="AV893" si="5892">+AV870/(AV870+AV880)*100</f>
        <v>24.273404910073175</v>
      </c>
      <c r="AW893" s="23">
        <f t="shared" si="5873"/>
        <v>7.909033882332217</v>
      </c>
      <c r="AX893" s="411">
        <f t="shared" ref="AX893" si="5893">+AX870/(AX870+AX880)*100</f>
        <v>20.184090875431345</v>
      </c>
      <c r="AY893" s="23">
        <f t="shared" si="5875"/>
        <v>-9.8172553582177358</v>
      </c>
      <c r="AZ893" s="411">
        <f t="shared" ref="AZ893" si="5894">+AZ870/(AZ870+AZ880)*100</f>
        <v>20.234993728057475</v>
      </c>
      <c r="BA893" s="23">
        <f t="shared" si="5877"/>
        <v>-11.891789254634133</v>
      </c>
      <c r="BB893" s="411">
        <f t="shared" ref="BB893:BD893" si="5895">+BB870/(BB870+BB880)*100</f>
        <v>22.231874563864476</v>
      </c>
      <c r="BC893" s="23">
        <f t="shared" si="5879"/>
        <v>-4.5354472370216943</v>
      </c>
      <c r="BD893" s="411">
        <f t="shared" si="5895"/>
        <v>30.025959042399769</v>
      </c>
      <c r="BE893" s="23">
        <f t="shared" si="5880"/>
        <v>23.698999599101779</v>
      </c>
      <c r="BF893" s="37">
        <f t="shared" ref="BF893" si="5896">+BF870/(BF870+BF880)*100</f>
        <v>30.433257786703727</v>
      </c>
      <c r="BG893" s="23">
        <f t="shared" si="5882"/>
        <v>50.778442162822216</v>
      </c>
      <c r="BH893" s="37">
        <f t="shared" ref="BH893" si="5897">+BH870/(BH870+BH880)*100</f>
        <v>30.496423750015971</v>
      </c>
      <c r="BI893" s="23">
        <f t="shared" si="5884"/>
        <v>50.711308142043961</v>
      </c>
      <c r="BJ893" s="37">
        <f t="shared" ref="BJ893" si="5898">+BJ870/(BJ870+BJ880)*100</f>
        <v>30.676879884230473</v>
      </c>
      <c r="BK893" s="23">
        <f t="shared" si="5886"/>
        <v>37.986024507768889</v>
      </c>
      <c r="BL893" s="37">
        <f t="shared" ref="BL893" si="5899">+BL870/(BL870+BL880)*100</f>
        <v>30.831906257663537</v>
      </c>
      <c r="BM893" s="23">
        <f t="shared" si="5888"/>
        <v>2.6841681030926878</v>
      </c>
      <c r="BO893" s="138"/>
      <c r="BQ893" s="6"/>
      <c r="BR893" s="47"/>
      <c r="BS893" s="47">
        <v>56.2</v>
      </c>
      <c r="BT893" s="47"/>
      <c r="BU893" s="37">
        <f>+BU870/(BU870+BU880)*100</f>
        <v>29.284358197707277</v>
      </c>
      <c r="BV893" s="23">
        <f>IF(ISERROR((BU893/BS893-1)*100),"NA",IF(((BU893/BS893-1)*100)&gt;100,"NM",IF(((BU893/BS893-1)*100)&lt;-50,"NM",(BU893/BS893-1)*100)))</f>
        <v>-47.892601071695239</v>
      </c>
      <c r="BW893" s="37">
        <f>+BW870/(BW870+BW880)*100</f>
        <v>27.25568080157452</v>
      </c>
      <c r="BX893" s="23">
        <f>IF(ISERROR((BW893/BU893-1)*100),"NA",IF(((BW893/BU893-1)*100)&gt;100,"NM",IF(((BW893/BU893-1)*100)&lt;-50,"NM",(BW893/BU893-1)*100)))</f>
        <v>-6.9275118902608739</v>
      </c>
      <c r="BY893" s="37">
        <f>+BY870/(BY870+BY880)*100</f>
        <v>23.528899837994885</v>
      </c>
      <c r="BZ893" s="23">
        <f>IF(ISERROR((BY893/BW893-1)*100),"NA",IF(((BY893/BW893-1)*100)&gt;100,"NM",IF(((BY893/BW893-1)*100)&lt;-50,"NM",(BY893/BW893-1)*100)))</f>
        <v>-13.673409924012415</v>
      </c>
      <c r="CA893" s="37">
        <f>+CA870/(CA870+CA880)*100</f>
        <v>21.232380331195422</v>
      </c>
      <c r="CB893" s="23">
        <f>IF(ISERROR((CA893/BY893-1)*100),"NA",IF(((CA893/BY893-1)*100)&gt;100,"NM",IF(((CA893/BY893-1)*100)&lt;-50,"NM",(CA893/BY893-1)*100)))</f>
        <v>-9.7604202602409877</v>
      </c>
      <c r="CC893" s="37">
        <f>+CC870/(CC870+CC880)*100</f>
        <v>22.494321408290748</v>
      </c>
      <c r="CD893" s="23">
        <f>IF(ISERROR((CC893/CA893-1)*100),"NA",IF(((CC893/CA893-1)*100)&gt;100,"NM",IF(((CC893/CA893-1)*100)&lt;-50,"NM",(CC893/CA893-1)*100)))</f>
        <v>5.9434743415990532</v>
      </c>
      <c r="CE893" s="37">
        <f>+CE870/(CE870+CE880)*100</f>
        <v>24.273404910073175</v>
      </c>
      <c r="CF893" s="23">
        <f>IF(ISERROR((CE893/CC893-1)*100),"NA",IF(((CE893/CC893-1)*100)&gt;100,"NM",IF(((CE893/CC893-1)*100)&lt;-50,"NM",(CE893/CC893-1)*100)))</f>
        <v>7.909033882332217</v>
      </c>
      <c r="CG893" s="37">
        <f>+CG870/(CG870+CG880)*100</f>
        <v>30.025959042399769</v>
      </c>
      <c r="CH893" s="23">
        <f>IF(ISERROR((CG893/CE893-1)*100),"NA",IF(((CG893/CE893-1)*100)&gt;100,"NM",IF(((CG893/CE893-1)*100)&lt;-50,"NM",(CG893/CE893-1)*100)))</f>
        <v>23.698999599101779</v>
      </c>
      <c r="CI893" s="37">
        <f>+CI870/(CI870+CI880)*100</f>
        <v>30.831906257663537</v>
      </c>
      <c r="CJ893" s="23">
        <f>IF(ISERROR((CI893/CG893-1)*100),"NA",IF(((CI893/CG893-1)*100)&gt;100,"NM",IF(((CI893/CG893-1)*100)&lt;-50,"NM",(CI893/CG893-1)*100)))</f>
        <v>2.6841681030926878</v>
      </c>
      <c r="CK893" s="37">
        <f>+CK870/(CK870+CK880)*100</f>
        <v>30.212200057839322</v>
      </c>
      <c r="CL893" s="23">
        <f>IF(ISERROR((CK893/CI893-1)*100),"NA",IF(((CK893/CI893-1)*100)&gt;100,"NM",IF(((CK893/CI893-1)*100)&lt;-50,"NM",(CK893/CI893-1)*100)))</f>
        <v>-2.0099509730125198</v>
      </c>
      <c r="CM893" s="37">
        <f>+CM870/(CM870+CM880)*100</f>
        <v>29.515889461096872</v>
      </c>
      <c r="CN893" s="23">
        <f>IF(ISERROR((CM893/CK893-1)*100),"NA",IF(((CM893/CK893-1)*100)&gt;100,"NM",IF(((CM893/CK893-1)*100)&lt;-50,"NM",(CM893/CK893-1)*100)))</f>
        <v>-2.3047331720609798</v>
      </c>
      <c r="CO893" s="37">
        <f>+CO870/(CO870+CO880)*100</f>
        <v>28.757300726931689</v>
      </c>
      <c r="CP893" s="23">
        <f>IF(ISERROR((CO893/CM893-1)*100),"NA",IF(((CO893/CM893-1)*100)&gt;100,"NM",IF(((CO893/CM893-1)*100)&lt;-50,"NM",(CO893/CM893-1)*100)))</f>
        <v>-2.5701029107221496</v>
      </c>
      <c r="CQ893" s="37">
        <f>+CQ870/(CQ870+CQ880)*100</f>
        <v>27.949071564967433</v>
      </c>
      <c r="CR893" s="23">
        <f>IF(ISERROR((CQ893/CO893-1)*100),"NA",IF(((CQ893/CO893-1)*100)&gt;100,"NM",IF(((CQ893/CO893-1)*100)&lt;-50,"NM",(CQ893/CO893-1)*100)))</f>
        <v>-2.8105181694168424</v>
      </c>
      <c r="CS893" s="23">
        <f t="shared" si="5889"/>
        <v>-1.4233399131911573</v>
      </c>
    </row>
    <row r="894" spans="1:97" ht="12.75" customHeight="1" x14ac:dyDescent="0.2">
      <c r="A894" s="19" t="s">
        <v>320</v>
      </c>
      <c r="B894" s="37">
        <f>+B870/(B870+B822)*100</f>
        <v>67.551508332747346</v>
      </c>
      <c r="C894" s="59"/>
      <c r="D894" s="37">
        <f>+D870/(D870+D822)*100</f>
        <v>42.921369322817526</v>
      </c>
      <c r="E894" s="59"/>
      <c r="F894" s="37">
        <f>+F870/(F870+F822)*100</f>
        <v>40.032279694980275</v>
      </c>
      <c r="G894" s="59"/>
      <c r="H894" s="37">
        <f>+H870/(H870+H822)*100</f>
        <v>36.912917191867159</v>
      </c>
      <c r="I894" s="59"/>
      <c r="J894" s="37">
        <f>+J870/(J870+J822)*100</f>
        <v>38.749868220546084</v>
      </c>
      <c r="K894" s="23"/>
      <c r="L894" s="37">
        <f>+L870/(L870+L822)*100</f>
        <v>36.082956494620312</v>
      </c>
      <c r="M894" s="23"/>
      <c r="N894" s="37">
        <f>+N870/(N870+N822)*100</f>
        <v>34.605607011430905</v>
      </c>
      <c r="O894" s="23"/>
      <c r="P894" s="37">
        <f>+P870/(P870+P822)*100</f>
        <v>33.670483179346625</v>
      </c>
      <c r="Q894" s="23"/>
      <c r="R894" s="37">
        <f>+R870/(R870+R822)*100</f>
        <v>38.391359277592521</v>
      </c>
      <c r="S894" s="23"/>
      <c r="T894" s="37">
        <f>+T870/(T870+T822)*100</f>
        <v>36.525817871699019</v>
      </c>
      <c r="U894" s="23"/>
      <c r="V894" s="37">
        <f>+V870/(V870+V822)*100</f>
        <v>32.271245581010973</v>
      </c>
      <c r="W894" s="23"/>
      <c r="X894" s="37">
        <f>+X870/(X870+X822)*100</f>
        <v>29.738213693437576</v>
      </c>
      <c r="Y894" s="23"/>
      <c r="Z894" s="37">
        <f>+Z870/(Z870+Z822)*100</f>
        <v>29.790660225442835</v>
      </c>
      <c r="AA894" s="23"/>
      <c r="AB894" s="37">
        <f>+AB870/(AB870+AB822)*100</f>
        <v>29.448921803528638</v>
      </c>
      <c r="AC894" s="23"/>
      <c r="AD894" s="37">
        <f>+AD870/(AD870+AD822)*100</f>
        <v>29.6406529290749</v>
      </c>
      <c r="AE894" s="23"/>
      <c r="AF894" s="37">
        <f>+AF870/(AF870+AF822)*100</f>
        <v>25.154906197678915</v>
      </c>
      <c r="AG894" s="23"/>
      <c r="AH894" s="37">
        <f>+AH870/(AH870+AH822)*100</f>
        <v>26.01900364088447</v>
      </c>
      <c r="AI894" s="23"/>
      <c r="AJ894" s="37">
        <f>+AJ870/(AJ870+AJ822)*100</f>
        <v>25.665189286292762</v>
      </c>
      <c r="AK894" s="23"/>
      <c r="AL894" s="37">
        <f>+AL870/(AL870+AL822)*100</f>
        <v>26.656469868461297</v>
      </c>
      <c r="AM894" s="23"/>
      <c r="AN894" s="411">
        <f>+AN870/(AN870+AN822)*100</f>
        <v>27.533015291292816</v>
      </c>
      <c r="AO894" s="23"/>
      <c r="AP894" s="411">
        <f>+AP870/(AP870+AP822)*100</f>
        <v>28.537572254335263</v>
      </c>
      <c r="AQ894" s="23"/>
      <c r="AR894" s="411">
        <f>+AR870/(AR870+AR822)*100</f>
        <v>29.138294988788221</v>
      </c>
      <c r="AS894" s="23"/>
      <c r="AT894" s="411">
        <f>+AT870/(AT870+AT822)*100</f>
        <v>28.715587421302217</v>
      </c>
      <c r="AU894" s="23"/>
      <c r="AV894" s="411">
        <f>+AV870/(AV870+AV822)*100</f>
        <v>28.678193423285126</v>
      </c>
      <c r="AW894" s="23"/>
      <c r="AX894" s="411">
        <f>+AX870/(AX870+AX822)*100</f>
        <v>23.352067305220949</v>
      </c>
      <c r="AY894" s="23"/>
      <c r="AZ894" s="411">
        <f>+AZ870/(AZ870+AZ822)*100</f>
        <v>23.419553806901643</v>
      </c>
      <c r="BA894" s="23"/>
      <c r="BB894" s="411">
        <f>+BB870/(BB870+BB822)*100</f>
        <v>25.567074468956246</v>
      </c>
      <c r="BC894" s="23"/>
      <c r="BD894" s="411">
        <f>+BD870/(BD870+BD822)*100</f>
        <v>36.445326175749798</v>
      </c>
      <c r="BE894" s="23"/>
      <c r="BF894" s="37">
        <f>+BF870/(BF870+BF822)*100</f>
        <v>37.047142967698257</v>
      </c>
      <c r="BG894" s="23"/>
      <c r="BH894" s="37">
        <f>+BH870/(BH870+BH822)*100</f>
        <v>37.140789482232677</v>
      </c>
      <c r="BI894" s="23"/>
      <c r="BJ894" s="37">
        <f>+BJ870/(BJ870+BJ822)*100</f>
        <v>37.408790440778375</v>
      </c>
      <c r="BK894" s="23"/>
      <c r="BL894" s="37">
        <f>+BL870/(BL870+BL822)*100</f>
        <v>37.639578022737901</v>
      </c>
      <c r="BM894" s="23"/>
      <c r="BO894" s="138"/>
      <c r="BQ894" s="6"/>
      <c r="BR894" s="47"/>
      <c r="BS894" s="47"/>
      <c r="BT894" s="47"/>
      <c r="BU894" s="37">
        <f>+BU870/(BU870+BU822)*100</f>
        <v>36.912917191867159</v>
      </c>
      <c r="BV894" s="23"/>
      <c r="BW894" s="37">
        <f>+BW870/(BW870+BW822)*100</f>
        <v>33.670483179346625</v>
      </c>
      <c r="BX894" s="23"/>
      <c r="BY894" s="37">
        <f>+BY870/(BY870+BY822)*100</f>
        <v>29.738213693437576</v>
      </c>
      <c r="BZ894" s="23"/>
      <c r="CA894" s="37">
        <f>+CA870/(CA870+CA822)*100</f>
        <v>25.154906197678915</v>
      </c>
      <c r="CB894" s="23"/>
      <c r="CC894" s="37">
        <f>+CC870/(CC870+CC822)*100</f>
        <v>27.533015291292816</v>
      </c>
      <c r="CD894" s="23"/>
      <c r="CE894" s="37">
        <f>+CE870/(CE870+CE822)*100</f>
        <v>28.678193423285126</v>
      </c>
      <c r="CF894" s="23"/>
      <c r="CG894" s="37">
        <f>+CG870/(CG870+CG822)*100</f>
        <v>36.445326175749798</v>
      </c>
      <c r="CH894" s="23"/>
      <c r="CI894" s="37">
        <f>+CI870/(CI870+CI822)*100</f>
        <v>37.639578022737901</v>
      </c>
      <c r="CJ894" s="23"/>
      <c r="CK894" s="37">
        <f>+CK870/(CK870+CK822)*100</f>
        <v>36.174623327507064</v>
      </c>
      <c r="CL894" s="23"/>
      <c r="CM894" s="37">
        <f>+CM870/(CM870+CM822)*100</f>
        <v>34.71448435805123</v>
      </c>
      <c r="CN894" s="23"/>
      <c r="CO894" s="37">
        <f>+CO870/(CO870+CO822)*100</f>
        <v>33.272006376664478</v>
      </c>
      <c r="CP894" s="23"/>
      <c r="CQ894" s="37">
        <f>+CQ870/(CQ870+CQ822)*100</f>
        <v>31.856086659974974</v>
      </c>
      <c r="CR894" s="23"/>
      <c r="CS894" s="23">
        <f t="shared" si="5889"/>
        <v>-2.6557918814541726</v>
      </c>
    </row>
    <row r="895" spans="1:97" ht="12.75" customHeight="1" x14ac:dyDescent="0.2">
      <c r="A895" s="19" t="s">
        <v>77</v>
      </c>
      <c r="B895" s="37">
        <f>B870/B880*100</f>
        <v>125.95384817097153</v>
      </c>
      <c r="C895" s="59"/>
      <c r="D895" s="37">
        <f>D870/D880*100</f>
        <v>55.33908241198322</v>
      </c>
      <c r="E895" s="59"/>
      <c r="F895" s="37">
        <f>F870/F880*100</f>
        <v>50.829117620853168</v>
      </c>
      <c r="G895" s="59"/>
      <c r="H895" s="37">
        <f>H870/H880*100</f>
        <v>41.411429566856924</v>
      </c>
      <c r="I895" s="59"/>
      <c r="J895" s="37">
        <f>J870/J880*100</f>
        <v>43.743846628222741</v>
      </c>
      <c r="K895" s="23" t="str">
        <f>IF(ISERROR((J895/B895-1)*100),"NA",IF(((J895/B895-1)*100)&gt;100,"NM",IF(((J895/B895-1)*100)&lt;-50,"NM",(J895/B895-1)*100)))</f>
        <v>NM</v>
      </c>
      <c r="L895" s="37">
        <f>L870/L880*100</f>
        <v>40.057839373542564</v>
      </c>
      <c r="M895" s="23">
        <f>IF(ISERROR((L895/D895-1)*100),"NA",IF(((L895/D895-1)*100)&gt;100,"NM",IF(((L895/D895-1)*100)&lt;-50,"NM",(L895/D895-1)*100)))</f>
        <v>-27.613835236147011</v>
      </c>
      <c r="N895" s="37">
        <f>N870/N880*100</f>
        <v>38.134978940150845</v>
      </c>
      <c r="O895" s="23">
        <f>IF(ISERROR((N895/F895-1)*100),"NA",IF(((N895/F895-1)*100)&gt;100,"NM",IF(((N895/F895-1)*100)&lt;-50,"NM",(N895/F895-1)*100)))</f>
        <v>-24.974147250383162</v>
      </c>
      <c r="P895" s="37">
        <f>P870/P880*100</f>
        <v>37.467779067708229</v>
      </c>
      <c r="Q895" s="23">
        <f>IF(ISERROR((P895/H895-1)*100),"NA",IF(((P895/H895-1)*100)&gt;100,"NM",IF(((P895/H895-1)*100)&lt;-50,"NM",(P895/H895-1)*100)))</f>
        <v>-9.5230967401930595</v>
      </c>
      <c r="R895" s="37">
        <f>R870/R880*100</f>
        <v>37.303160500286758</v>
      </c>
      <c r="S895" s="23">
        <f>IF(ISERROR((R895/J895-1)*100),"NA",IF(((R895/J895-1)*100)&gt;100,"NM",IF(((R895/J895-1)*100)&lt;-50,"NM",(R895/J895-1)*100)))</f>
        <v>-14.723639150153222</v>
      </c>
      <c r="T895" s="37">
        <f>T870/T880*100</f>
        <v>35.471599992295694</v>
      </c>
      <c r="U895" s="23">
        <f>IF(ISERROR((T895/L895-1)*100),"NA",IF(((T895/L895-1)*100)&gt;100,"NM",IF(((T895/L895-1)*100)&lt;-50,"NM",(T895/L895-1)*100)))</f>
        <v>-11.449043315790997</v>
      </c>
      <c r="V895" s="37">
        <f>V870/V880*100</f>
        <v>32.481515711645102</v>
      </c>
      <c r="W895" s="23">
        <f>IF(ISERROR((V895/N895-1)*100),"NA",IF(((V895/N895-1)*100)&gt;100,"NM",IF(((V895/N895-1)*100)&lt;-50,"NM",(V895/N895-1)*100)))</f>
        <v>-14.824875706312323</v>
      </c>
      <c r="X895" s="37">
        <f>X870/X880*100</f>
        <v>30.768355350123873</v>
      </c>
      <c r="Y895" s="23">
        <f>IF(ISERROR((X895/P895-1)*100),"NA",IF(((X895/P895-1)*100)&gt;100,"NM",IF(((X895/P895-1)*100)&lt;-50,"NM",(X895/P895-1)*100)))</f>
        <v>-17.880493277911647</v>
      </c>
      <c r="Z895" s="37">
        <f>Z870/Z880*100</f>
        <v>30.768557422969188</v>
      </c>
      <c r="AA895" s="23">
        <f>IF(ISERROR((Z895/R895-1)*100),"NA",IF(((Z895/R895-1)*100)&gt;100,"NM",IF(((Z895/R895-1)*100)&lt;-50,"NM",(Z895/R895-1)*100)))</f>
        <v>-17.517558806491309</v>
      </c>
      <c r="AB895" s="37">
        <f>AB870/AB880*100</f>
        <v>30.007512121832953</v>
      </c>
      <c r="AC895" s="23">
        <f>IF(ISERROR((AB895/T895-1)*100),"NA",IF(((AB895/T895-1)*100)&gt;100,"NM",IF(((AB895/T895-1)*100)&lt;-50,"NM",(AB895/T895-1)*100)))</f>
        <v>-15.404120117642062</v>
      </c>
      <c r="AD895" s="37">
        <f>AD870/AD880*100</f>
        <v>29.744730897122402</v>
      </c>
      <c r="AE895" s="23">
        <f>IF(ISERROR((AD895/V895-1)*100),"NA",IF(((AD895/V895-1)*100)&gt;100,"NM",IF(((AD895/V895-1)*100)&lt;-50,"NM",(AD895/V895-1)*100)))</f>
        <v>-8.4256684288335766</v>
      </c>
      <c r="AF895" s="37">
        <f>AF870/AF880*100</f>
        <v>26.955721679125936</v>
      </c>
      <c r="AG895" s="23">
        <f>IF(ISERROR((AF895/X895-1)*100),"NA",IF(((AF895/X895-1)*100)&gt;100,"NM",IF(((AF895/X895-1)*100)&lt;-50,"NM",(AF895/X895-1)*100)))</f>
        <v>-12.391411980304589</v>
      </c>
      <c r="AH895" s="37">
        <f>AH870/AH880*100</f>
        <v>27.875558938255157</v>
      </c>
      <c r="AI895" s="23">
        <f>IF(ISERROR((AH895/Z895-1)*100),"NA",IF(((AH895/Z895-1)*100)&gt;100,"NM",IF(((AH895/Z895-1)*100)&lt;-50,"NM",(AH895/Z895-1)*100)))</f>
        <v>-9.4024508362370085</v>
      </c>
      <c r="AJ895" s="37">
        <f>AJ870/AJ880*100</f>
        <v>27.348469395760439</v>
      </c>
      <c r="AK895" s="23">
        <f>IF(ISERROR((AJ895/AB895-1)*100),"NA",IF(((AJ895/AB895-1)*100)&gt;100,"NM",IF(((AJ895/AB895-1)*100)&lt;-50,"NM",(AJ895/AB895-1)*100)))</f>
        <v>-8.8612568588711476</v>
      </c>
      <c r="AL895" s="37">
        <f>AL870/AL880*100</f>
        <v>28.476193588444822</v>
      </c>
      <c r="AM895" s="23">
        <f>IF(ISERROR((AL895/AD895-1)*100),"NA",IF(((AL895/AD895-1)*100)&gt;100,"NM",IF(((AL895/AD895-1)*100)&lt;-50,"NM",(AL895/AD895-1)*100)))</f>
        <v>-4.2647462942766223</v>
      </c>
      <c r="AN895" s="411">
        <f t="shared" ref="AN895:AP895" si="5900">AN870/AN880*100</f>
        <v>29.022804286106791</v>
      </c>
      <c r="AO895" s="23">
        <f>IF(ISERROR((AN895/AF895-1)*100),"NA",IF(((AN895/AF895-1)*100)&gt;100,"NM",IF(((AN895/AF895-1)*100)&lt;-50,"NM",(AN895/AF895-1)*100)))</f>
        <v>7.6684372675563273</v>
      </c>
      <c r="AP895" s="411">
        <f t="shared" si="5900"/>
        <v>28.834970087859098</v>
      </c>
      <c r="AQ895" s="23">
        <f t="shared" ref="AQ895:AQ899" si="5901">IF(ISERROR((AP895/AH895-1)*100),"NA",IF(((AP895/AH895-1)*100)&gt;100,"NM",IF(((AP895/AH895-1)*100)&lt;-50,"NM",(AP895/AH895-1)*100)))</f>
        <v>3.4417647076747437</v>
      </c>
      <c r="AR895" s="411">
        <f t="shared" ref="AR895:AT895" si="5902">AR870/AR880*100</f>
        <v>29.812928600242035</v>
      </c>
      <c r="AS895" s="23">
        <f t="shared" ref="AS895:AS899" si="5903">IF(ISERROR((AR895/AJ895-1)*100),"NA",IF(((AR895/AJ895-1)*100)&gt;100,"NM",IF(((AR895/AJ895-1)*100)&lt;-50,"NM",(AR895/AJ895-1)*100)))</f>
        <v>9.0113240665074876</v>
      </c>
      <c r="AT895" s="411">
        <f t="shared" si="5902"/>
        <v>30.357860876558107</v>
      </c>
      <c r="AU895" s="23">
        <f t="shared" ref="AU895:AU899" si="5904">IF(ISERROR((AT895/AL895-1)*100),"NA",IF(((AT895/AL895-1)*100)&gt;100,"NM",IF(((AT895/AL895-1)*100)&lt;-50,"NM",(AT895/AL895-1)*100)))</f>
        <v>6.6078609919158371</v>
      </c>
      <c r="AV895" s="411">
        <f t="shared" ref="AV895" si="5905">AV870/AV880*100</f>
        <v>32.05400279947623</v>
      </c>
      <c r="AW895" s="23">
        <f t="shared" ref="AW895:AW899" si="5906">IF(ISERROR((AV895/AN895-1)*100),"NA",IF(((AV895/AN895-1)*100)&gt;100,"NM",IF(((AV895/AN895-1)*100)&lt;-50,"NM",(AV895/AN895-1)*100)))</f>
        <v>10.444195824386536</v>
      </c>
      <c r="AX895" s="411">
        <f t="shared" ref="AX895" si="5907">AX870/AX880*100</f>
        <v>25.28830542283249</v>
      </c>
      <c r="AY895" s="23">
        <f t="shared" ref="AY895:AY899" si="5908">IF(ISERROR((AX895/AP895-1)*100),"NA",IF(((AX895/AP895-1)*100)&gt;100,"NM",IF(((AX895/AP895-1)*100)&lt;-50,"NM",(AX895/AP895-1)*100)))</f>
        <v>-12.29987287734321</v>
      </c>
      <c r="AZ895" s="411">
        <f t="shared" ref="AZ895" si="5909">AZ870/AZ880*100</f>
        <v>25.368259433303862</v>
      </c>
      <c r="BA895" s="23">
        <f t="shared" ref="BA895:BA899" si="5910">IF(ISERROR((AZ895/AR895-1)*100),"NA",IF(((AZ895/AR895-1)*100)&gt;100,"NM",IF(((AZ895/AR895-1)*100)&lt;-50,"NM",(AZ895/AR895-1)*100)))</f>
        <v>-14.908529204011478</v>
      </c>
      <c r="BB895" s="411">
        <f t="shared" ref="BB895:BD895" si="5911">BB870/BB880*100</f>
        <v>28.58738646352182</v>
      </c>
      <c r="BC895" s="23">
        <f t="shared" ref="BC895:BC899" si="5912">IF(ISERROR((BB895/AT895-1)*100),"NA",IF(((BB895/AT895-1)*100)&gt;100,"NM",IF(((BB895/AT895-1)*100)&lt;-50,"NM",(BB895/AT895-1)*100)))</f>
        <v>-5.8320130665182042</v>
      </c>
      <c r="BD895" s="411">
        <f t="shared" si="5911"/>
        <v>42.910140148392415</v>
      </c>
      <c r="BE895" s="23">
        <f t="shared" ref="BE895:BE899" si="5913">IF(ISERROR((BD895/AV895-1)*100),"NA",IF(((BD895/AV895-1)*100)&gt;100,"NM",IF(((BD895/AV895-1)*100)&lt;-50,"NM",(BD895/AV895-1)*100)))</f>
        <v>33.868273540843319</v>
      </c>
      <c r="BF895" s="37">
        <f t="shared" ref="BF895" si="5914">BF870/BF880*100</f>
        <v>43.746849167369845</v>
      </c>
      <c r="BG895" s="23">
        <f t="shared" ref="BG895:BG899" si="5915">IF(ISERROR((BF895/AX895-1)*100),"NA",IF(((BF895/AX895-1)*100)&gt;100,"NM",IF(((BF895/AX895-1)*100)&lt;-50,"NM",(BF895/AX895-1)*100)))</f>
        <v>72.992410665332173</v>
      </c>
      <c r="BH895" s="37">
        <f t="shared" ref="BH895" si="5916">BH870/BH880*100</f>
        <v>43.877488606239858</v>
      </c>
      <c r="BI895" s="23">
        <f t="shared" ref="BI895:BI899" si="5917">IF(ISERROR((BH895/AZ895-1)*100),"NA",IF(((BH895/AZ895-1)*100)&gt;100,"NM",IF(((BH895/AZ895-1)*100)&lt;-50,"NM",(BH895/AZ895-1)*100)))</f>
        <v>72.962156594144489</v>
      </c>
      <c r="BJ895" s="37">
        <f t="shared" ref="BJ895" si="5918">BJ870/BJ880*100</f>
        <v>44.252018421848469</v>
      </c>
      <c r="BK895" s="23">
        <f t="shared" ref="BK895:BK899" si="5919">IF(ISERROR((BJ895/BB895-1)*100),"NA",IF(((BJ895/BB895-1)*100)&gt;100,"NM",IF(((BJ895/BB895-1)*100)&lt;-50,"NM",(BJ895/BB895-1)*100)))</f>
        <v>54.795607070674635</v>
      </c>
      <c r="BL895" s="37">
        <f t="shared" ref="BL895" si="5920">BL870/BL880*100</f>
        <v>44.575330314173335</v>
      </c>
      <c r="BM895" s="23">
        <f t="shared" ref="BM895:BM899" si="5921">IF(ISERROR((BL895/BD895-1)*100),"NA",IF(((BL895/BD895-1)*100)&gt;100,"NM",IF(((BL895/BD895-1)*100)&lt;-50,"NM",(BL895/BD895-1)*100)))</f>
        <v>3.8806449012339206</v>
      </c>
      <c r="BO895" s="138"/>
      <c r="BQ895" s="6"/>
      <c r="BR895" s="6"/>
      <c r="BS895" s="6"/>
      <c r="BT895" s="6"/>
      <c r="BU895" s="37">
        <f>BU870/BU880*100</f>
        <v>41.411429566856924</v>
      </c>
      <c r="BV895" s="23" t="str">
        <f>IF(ISERROR((BU895/BS895-1)*100),"NA",IF(((BU895/BS895-1)*100)&gt;100,"NM",IF(((BU895/BS895-1)*100)&lt;-50,"NM",(BU895/BS895-1)*100)))</f>
        <v>NA</v>
      </c>
      <c r="BW895" s="37">
        <f>BW870/BW880*100</f>
        <v>37.467779067708229</v>
      </c>
      <c r="BX895" s="23">
        <f>IF(ISERROR((BW895/BU895-1)*100),"NA",IF(((BW895/BU895-1)*100)&gt;100,"NM",IF(((BW895/BU895-1)*100)&lt;-50,"NM",(BW895/BU895-1)*100)))</f>
        <v>-9.5230967401930595</v>
      </c>
      <c r="BY895" s="37">
        <f>BY870/BY880*100</f>
        <v>30.768355350123873</v>
      </c>
      <c r="BZ895" s="23">
        <f>IF(ISERROR((BY895/BW895-1)*100),"NA",IF(((BY895/BW895-1)*100)&gt;100,"NM",IF(((BY895/BW895-1)*100)&lt;-50,"NM",(BY895/BW895-1)*100)))</f>
        <v>-17.880493277911647</v>
      </c>
      <c r="CA895" s="37">
        <f>CA870/CA880*100</f>
        <v>26.955721679125936</v>
      </c>
      <c r="CB895" s="23">
        <f>IF(ISERROR((CA895/BY895-1)*100),"NA",IF(((CA895/BY895-1)*100)&gt;100,"NM",IF(((CA895/BY895-1)*100)&lt;-50,"NM",(CA895/BY895-1)*100)))</f>
        <v>-12.391411980304589</v>
      </c>
      <c r="CC895" s="37">
        <f>CC870/CC880*100</f>
        <v>29.022804286106791</v>
      </c>
      <c r="CD895" s="23">
        <f>IF(ISERROR((CC895/CA895-1)*100),"NA",IF(((CC895/CA895-1)*100)&gt;100,"NM",IF(((CC895/CA895-1)*100)&lt;-50,"NM",(CC895/CA895-1)*100)))</f>
        <v>7.6684372675563273</v>
      </c>
      <c r="CE895" s="37">
        <f>CE870/CE880*100</f>
        <v>32.05400279947623</v>
      </c>
      <c r="CF895" s="23">
        <f>IF(ISERROR((CE895/CC895-1)*100),"NA",IF(((CE895/CC895-1)*100)&gt;100,"NM",IF(((CE895/CC895-1)*100)&lt;-50,"NM",(CE895/CC895-1)*100)))</f>
        <v>10.444195824386536</v>
      </c>
      <c r="CG895" s="37">
        <f>CG870/CG880*100</f>
        <v>42.910140148392415</v>
      </c>
      <c r="CH895" s="23">
        <f>IF(ISERROR((CG895/CE895-1)*100),"NA",IF(((CG895/CE895-1)*100)&gt;100,"NM",IF(((CG895/CE895-1)*100)&lt;-50,"NM",(CG895/CE895-1)*100)))</f>
        <v>33.868273540843319</v>
      </c>
      <c r="CI895" s="37">
        <f>CI870/CI880*100</f>
        <v>44.575330314173335</v>
      </c>
      <c r="CJ895" s="23">
        <f>IF(ISERROR((CI895/CG895-1)*100),"NA",IF(((CI895/CG895-1)*100)&gt;100,"NM",IF(((CI895/CG895-1)*100)&lt;-50,"NM",(CI895/CG895-1)*100)))</f>
        <v>3.8806449012339206</v>
      </c>
      <c r="CK895" s="37">
        <f>CK870/CK880*100</f>
        <v>43.291520986302544</v>
      </c>
      <c r="CL895" s="23">
        <f>IF(ISERROR((CK895/CI895-1)*100),"NA",IF(((CK895/CI895-1)*100)&gt;100,"NM",IF(((CK895/CI895-1)*100)&lt;-50,"NM",(CK895/CI895-1)*100)))</f>
        <v>-2.8800893203086098</v>
      </c>
      <c r="CM895" s="37">
        <f>CM870/CM880*100</f>
        <v>41.875947976680244</v>
      </c>
      <c r="CN895" s="23">
        <f>IF(ISERROR((CM895/CK895-1)*100),"NA",IF(((CM895/CK895-1)*100)&gt;100,"NM",IF(((CM895/CK895-1)*100)&lt;-50,"NM",(CM895/CK895-1)*100)))</f>
        <v>-3.2698620361945374</v>
      </c>
      <c r="CO895" s="37">
        <f>CO870/CO880*100</f>
        <v>40.365259907835544</v>
      </c>
      <c r="CP895" s="23">
        <f>IF(ISERROR((CO895/CM895-1)*100),"NA",IF(((CO895/CM895-1)*100)&gt;100,"NM",IF(((CO895/CM895-1)*100)&lt;-50,"NM",(CO895/CM895-1)*100)))</f>
        <v>-3.6075316305339999</v>
      </c>
      <c r="CQ895" s="37">
        <f>CQ870/CQ880*100</f>
        <v>38.790716749984369</v>
      </c>
      <c r="CR895" s="23">
        <f>IF(ISERROR((CQ895/CO895-1)*100),"NA",IF(((CQ895/CO895-1)*100)&gt;100,"NM",IF(((CQ895/CO895-1)*100)&lt;-50,"NM",(CQ895/CO895-1)*100)))</f>
        <v>-3.900738311722185</v>
      </c>
      <c r="CS895" s="23">
        <f t="shared" si="5889"/>
        <v>-1.9983079081853705</v>
      </c>
    </row>
    <row r="896" spans="1:97" ht="12.75" customHeight="1" x14ac:dyDescent="0.2">
      <c r="A896" s="19" t="s">
        <v>78</v>
      </c>
      <c r="B896" s="35">
        <f>B880/B849*100</f>
        <v>5.6543258613867264</v>
      </c>
      <c r="C896" s="59"/>
      <c r="D896" s="35">
        <f>D880/D849*100</f>
        <v>8.431231615201547</v>
      </c>
      <c r="E896" s="59"/>
      <c r="F896" s="35">
        <f>F880/F849*100</f>
        <v>9.0173739624453901</v>
      </c>
      <c r="G896" s="59"/>
      <c r="H896" s="35">
        <f>H880/H849*100</f>
        <v>8.6928675711474703</v>
      </c>
      <c r="I896" s="59"/>
      <c r="J896" s="35">
        <f>J880/J849*100</f>
        <v>8.3844117014743418</v>
      </c>
      <c r="K896" s="23">
        <f>IF(ISERROR((J896/B896-1)*100),"NA",IF(((J896/B896-1)*100)&gt;100,"NM",IF(((J896/B896-1)*100)&lt;-50,"NM",(J896/B896-1)*100)))</f>
        <v>48.28313590363291</v>
      </c>
      <c r="L896" s="35">
        <f>L880/L849*100</f>
        <v>8.5262238490817648</v>
      </c>
      <c r="M896" s="23">
        <f>IF(ISERROR((L896/D896-1)*100),"NA",IF(((L896/D896-1)*100)&gt;100,"NM",IF(((L896/D896-1)*100)&lt;-50,"NM",(L896/D896-1)*100)))</f>
        <v>1.1266709090157923</v>
      </c>
      <c r="N896" s="35">
        <f>N880/N849*100</f>
        <v>8.9398223594510924</v>
      </c>
      <c r="O896" s="23">
        <f>IF(ISERROR((N896/F896-1)*100),"NA",IF(((N896/F896-1)*100)&gt;100,"NM",IF(((N896/F896-1)*100)&lt;-50,"NM",(N896/F896-1)*100)))</f>
        <v>-0.86002425226320289</v>
      </c>
      <c r="P896" s="35">
        <f>P880/P849*100</f>
        <v>8.8371975749482043</v>
      </c>
      <c r="Q896" s="23">
        <f>IF(ISERROR((P896/H896-1)*100),"NA",IF(((P896/H896-1)*100)&gt;100,"NM",IF(((P896/H896-1)*100)&lt;-50,"NM",(P896/H896-1)*100)))</f>
        <v>1.660326729004602</v>
      </c>
      <c r="R896" s="35">
        <f>R880/R849*100</f>
        <v>8.6950093133004813</v>
      </c>
      <c r="S896" s="23">
        <f>IF(ISERROR((R896/J896-1)*100),"NA",IF(((R896/J896-1)*100)&gt;100,"NM",IF(((R896/J896-1)*100)&lt;-50,"NM",(R896/J896-1)*100)))</f>
        <v>3.7044651775809623</v>
      </c>
      <c r="T896" s="35">
        <f>T880/T849*100</f>
        <v>9.2049415460770074</v>
      </c>
      <c r="U896" s="23">
        <f>IF(ISERROR((T896/L896-1)*100),"NA",IF(((T896/L896-1)*100)&gt;100,"NM",IF(((T896/L896-1)*100)&lt;-50,"NM",(T896/L896-1)*100)))</f>
        <v>7.9603551233098147</v>
      </c>
      <c r="V896" s="35">
        <f>V880/V849*100</f>
        <v>9.6732722659595574</v>
      </c>
      <c r="W896" s="23">
        <f>IF(ISERROR((V896/N896-1)*100),"NA",IF(((V896/N896-1)*100)&gt;100,"NM",IF(((V896/N896-1)*100)&lt;-50,"NM",(V896/N896-1)*100)))</f>
        <v>8.2043006786714159</v>
      </c>
      <c r="X896" s="35">
        <f>X880/X849*100</f>
        <v>10.167694731501504</v>
      </c>
      <c r="Y896" s="23">
        <f>IF(ISERROR((X896/P896-1)*100),"NA",IF(((X896/P896-1)*100)&gt;100,"NM",IF(((X896/P896-1)*100)&lt;-50,"NM",(X896/P896-1)*100)))</f>
        <v>15.055645698416974</v>
      </c>
      <c r="Z896" s="35">
        <f>Z880/Z849*100</f>
        <v>10.101403090548326</v>
      </c>
      <c r="AA896" s="23">
        <f>IF(ISERROR((Z896/R896-1)*100),"NA",IF(((Z896/R896-1)*100)&gt;100,"NM",IF(((Z896/R896-1)*100)&lt;-50,"NM",(Z896/R896-1)*100)))</f>
        <v>16.174724219058945</v>
      </c>
      <c r="AB896" s="35">
        <f>AB880/AB849*100</f>
        <v>10.250872659526708</v>
      </c>
      <c r="AC896" s="23">
        <f>IF(ISERROR((AB896/T896-1)*100),"NA",IF(((AB896/T896-1)*100)&gt;100,"NM",IF(((AB896/T896-1)*100)&lt;-50,"NM",(AB896/T896-1)*100)))</f>
        <v>11.362713258026712</v>
      </c>
      <c r="AD896" s="35">
        <f>AD880/AD849*100</f>
        <v>10.329012281482166</v>
      </c>
      <c r="AE896" s="23">
        <f>IF(ISERROR((AD896/V896-1)*100),"NA",IF(((AD896/V896-1)*100)&gt;100,"NM",IF(((AD896/V896-1)*100)&lt;-50,"NM",(AD896/V896-1)*100)))</f>
        <v>6.7788851331123112</v>
      </c>
      <c r="AF896" s="35">
        <f>AF880/AF849*100</f>
        <v>11.069927482108175</v>
      </c>
      <c r="AG896" s="23">
        <f>IF(ISERROR((AF896/X896-1)*100),"NA",IF(((AF896/X896-1)*100)&gt;100,"NM",IF(((AF896/X896-1)*100)&lt;-50,"NM",(AF896/X896-1)*100)))</f>
        <v>8.8735231970662696</v>
      </c>
      <c r="AH896" s="35">
        <f>AH880/AH849*100</f>
        <v>10.648004322280006</v>
      </c>
      <c r="AI896" s="23">
        <f>IF(ISERROR((AH896/Z896-1)*100),"NA",IF(((AH896/Z896-1)*100)&gt;100,"NM",IF(((AH896/Z896-1)*100)&lt;-50,"NM",(AH896/Z896-1)*100)))</f>
        <v>5.4111416684591518</v>
      </c>
      <c r="AJ896" s="35">
        <f>AJ880/AJ849*100</f>
        <v>10.788909259268662</v>
      </c>
      <c r="AK896" s="23">
        <f>IF(ISERROR((AJ896/AB896-1)*100),"NA",IF(((AJ896/AB896-1)*100)&gt;100,"NM",IF(((AJ896/AB896-1)*100)&lt;-50,"NM",(AJ896/AB896-1)*100)))</f>
        <v>5.2486906979761105</v>
      </c>
      <c r="AL896" s="35">
        <f>AL880/AL849*100</f>
        <v>10.037722233156204</v>
      </c>
      <c r="AM896" s="23">
        <f>IF(ISERROR((AL896/AD896-1)*100),"NA",IF(((AL896/AD896-1)*100)&gt;100,"NM",IF(((AL896/AD896-1)*100)&lt;-50,"NM",(AL896/AD896-1)*100)))</f>
        <v>-2.8201152287153919</v>
      </c>
      <c r="AN896" s="409">
        <f t="shared" ref="AN896:AP896" si="5922">AN880/AN849*100</f>
        <v>9.9833014573198025</v>
      </c>
      <c r="AO896" s="23">
        <f>IF(ISERROR((AN896/AF896-1)*100),"NA",IF(((AN896/AF896-1)*100)&gt;100,"NM",IF(((AN896/AF896-1)*100)&lt;-50,"NM",(AN896/AF896-1)*100)))</f>
        <v>-9.8160175533637215</v>
      </c>
      <c r="AP896" s="409">
        <f t="shared" si="5922"/>
        <v>10.35369874918687</v>
      </c>
      <c r="AQ896" s="23">
        <f t="shared" si="5901"/>
        <v>-2.7639505412044851</v>
      </c>
      <c r="AR896" s="409">
        <f t="shared" ref="AR896:AT896" si="5923">AR880/AR849*100</f>
        <v>10.142654519666143</v>
      </c>
      <c r="AS896" s="23">
        <f t="shared" si="5903"/>
        <v>-5.9899914261242522</v>
      </c>
      <c r="AT896" s="409">
        <f t="shared" si="5923"/>
        <v>9.9794756909879148</v>
      </c>
      <c r="AU896" s="23">
        <f t="shared" si="5904"/>
        <v>-0.58027648918089758</v>
      </c>
      <c r="AV896" s="409">
        <f t="shared" ref="AV896" si="5924">AV880/AV849*100</f>
        <v>7.5377825094311621</v>
      </c>
      <c r="AW896" s="23">
        <f t="shared" si="5906"/>
        <v>-24.496094386647759</v>
      </c>
      <c r="AX896" s="409">
        <f t="shared" ref="AX896" si="5925">AX880/AX849*100</f>
        <v>7.4426309425905472</v>
      </c>
      <c r="AY896" s="23">
        <f t="shared" si="5908"/>
        <v>-28.116211192883554</v>
      </c>
      <c r="AZ896" s="409">
        <f t="shared" ref="AZ896" si="5926">AZ880/AZ849*100</f>
        <v>7.4197662046962041</v>
      </c>
      <c r="BA896" s="23">
        <f t="shared" si="5910"/>
        <v>-26.845914052286645</v>
      </c>
      <c r="BB896" s="409">
        <f t="shared" ref="BB896:BD896" si="5927">BB880/BB849*100</f>
        <v>7.4474526896912918</v>
      </c>
      <c r="BC896" s="23">
        <f t="shared" si="5912"/>
        <v>-25.372304915609909</v>
      </c>
      <c r="BD896" s="409">
        <f t="shared" si="5927"/>
        <v>5.1182874342456897</v>
      </c>
      <c r="BE896" s="23">
        <f t="shared" si="5913"/>
        <v>-32.098234091501524</v>
      </c>
      <c r="BF896" s="35">
        <f t="shared" ref="BF896" si="5928">BF880/BF849*100</f>
        <v>8.4779632315624998</v>
      </c>
      <c r="BG896" s="23">
        <f t="shared" si="5915"/>
        <v>13.910837403575261</v>
      </c>
      <c r="BH896" s="35">
        <f t="shared" ref="BH896" si="5929">BH880/BH849*100</f>
        <v>8.2974147527259046</v>
      </c>
      <c r="BI896" s="23">
        <f t="shared" si="5917"/>
        <v>11.828520250061381</v>
      </c>
      <c r="BJ896" s="35">
        <f t="shared" ref="BJ896" si="5930">BJ880/BJ849*100</f>
        <v>8.1237503867275382</v>
      </c>
      <c r="BK896" s="23">
        <f t="shared" si="5919"/>
        <v>9.0809263947708274</v>
      </c>
      <c r="BL896" s="35">
        <f t="shared" ref="BL896" si="5931">BL880/BL849*100</f>
        <v>7.9632060905579989</v>
      </c>
      <c r="BM896" s="23">
        <f t="shared" si="5921"/>
        <v>55.583409350506344</v>
      </c>
      <c r="BQ896" s="6"/>
      <c r="BR896" s="6"/>
      <c r="BS896" s="6"/>
      <c r="BT896" s="6"/>
      <c r="BU896" s="35">
        <f>BU880/BU849*100</f>
        <v>8.6928675711474703</v>
      </c>
      <c r="BV896" s="23" t="str">
        <f>IF(ISERROR((BU896/BS896-1)*100),"NA",IF(((BU896/BS896-1)*100)&gt;100,"NM",IF(((BU896/BS896-1)*100)&lt;-50,"NM",(BU896/BS896-1)*100)))</f>
        <v>NA</v>
      </c>
      <c r="BW896" s="35">
        <f>BW880/BW849*100</f>
        <v>8.8371975749482043</v>
      </c>
      <c r="BX896" s="23">
        <f>IF(ISERROR((BW896/BU896-1)*100),"NA",IF(((BW896/BU896-1)*100)&gt;100,"NM",IF(((BW896/BU896-1)*100)&lt;-50,"NM",(BW896/BU896-1)*100)))</f>
        <v>1.660326729004602</v>
      </c>
      <c r="BY896" s="35">
        <f>BY880/BY849*100</f>
        <v>10.167694731501504</v>
      </c>
      <c r="BZ896" s="23">
        <f>IF(ISERROR((BY896/BW896-1)*100),"NA",IF(((BY896/BW896-1)*100)&gt;100,"NM",IF(((BY896/BW896-1)*100)&lt;-50,"NM",(BY896/BW896-1)*100)))</f>
        <v>15.055645698416974</v>
      </c>
      <c r="CA896" s="35">
        <f>CA880/CA849*100</f>
        <v>11.069927482108175</v>
      </c>
      <c r="CB896" s="23">
        <f>IF(ISERROR((CA896/BY896-1)*100),"NA",IF(((CA896/BY896-1)*100)&gt;100,"NM",IF(((CA896/BY896-1)*100)&lt;-50,"NM",(CA896/BY896-1)*100)))</f>
        <v>8.8735231970662696</v>
      </c>
      <c r="CC896" s="35">
        <f>CC880/CC849*100</f>
        <v>9.9833014573198025</v>
      </c>
      <c r="CD896" s="23">
        <f>IF(ISERROR((CC896/CA896-1)*100),"NA",IF(((CC896/CA896-1)*100)&gt;100,"NM",IF(((CC896/CA896-1)*100)&lt;-50,"NM",(CC896/CA896-1)*100)))</f>
        <v>-9.8160175533637215</v>
      </c>
      <c r="CE896" s="35">
        <f>CE880/CE849*100</f>
        <v>13.151800051307875</v>
      </c>
      <c r="CF896" s="23">
        <f>IF(ISERROR((CE896/CC896-1)*100),"NA",IF(((CE896/CC896-1)*100)&gt;100,"NM",IF(((CE896/CC896-1)*100)&lt;-50,"NM",(CE896/CC896-1)*100)))</f>
        <v>31.737983747499833</v>
      </c>
      <c r="CG896" s="35">
        <f>CG880/CG849*100</f>
        <v>8.7534879245646113</v>
      </c>
      <c r="CH896" s="23">
        <f>IF(ISERROR((CG896/CE896-1)*100),"NA",IF(((CG896/CE896-1)*100)&gt;100,"NM",IF(((CG896/CE896-1)*100)&lt;-50,"NM",(CG896/CE896-1)*100)))</f>
        <v>-33.442662674193222</v>
      </c>
      <c r="CI896" s="35">
        <f>CI880/CI849*100</f>
        <v>7.9632060905579989</v>
      </c>
      <c r="CJ896" s="23">
        <f>IF(ISERROR((CI896/CG896-1)*100),"NA",IF(((CI896/CG896-1)*100)&gt;100,"NM",IF(((CI896/CG896-1)*100)&lt;-50,"NM",(CI896/CG896-1)*100)))</f>
        <v>-9.0281935705751266</v>
      </c>
      <c r="CK896" s="35">
        <f>CK880/CK849*100</f>
        <v>8.0958127686085088</v>
      </c>
      <c r="CL896" s="23">
        <f>IF(ISERROR((CK896/CI896-1)*100),"NA",IF(((CK896/CI896-1)*100)&gt;100,"NM",IF(((CK896/CI896-1)*100)&lt;-50,"NM",(CK896/CI896-1)*100)))</f>
        <v>1.6652423225331558</v>
      </c>
      <c r="CM896" s="35">
        <f>CM880/CM849*100</f>
        <v>8.2635651156933463</v>
      </c>
      <c r="CN896" s="23">
        <f>IF(ISERROR((CM896/CK896-1)*100),"NA",IF(((CM896/CK896-1)*100)&gt;100,"NM",IF(((CM896/CK896-1)*100)&lt;-50,"NM",(CM896/CK896-1)*100)))</f>
        <v>2.0720877801830628</v>
      </c>
      <c r="CO896" s="35">
        <f>CO880/CO849*100</f>
        <v>8.4641102911526875</v>
      </c>
      <c r="CP896" s="23">
        <f>IF(ISERROR((CO896/CM896-1)*100),"NA",IF(((CO896/CM896-1)*100)&gt;100,"NM",IF(((CO896/CM896-1)*100)&lt;-50,"NM",(CO896/CM896-1)*100)))</f>
        <v>2.4268602310458576</v>
      </c>
      <c r="CQ896" s="35">
        <f>CQ880/CQ849*100</f>
        <v>8.6957392079726237</v>
      </c>
      <c r="CR896" s="23">
        <f>IF(ISERROR((CQ896/CO896-1)*100),"NA",IF(((CQ896/CO896-1)*100)&gt;100,"NM",IF(((CQ896/CO896-1)*100)&lt;-50,"NM",(CQ896/CO896-1)*100)))</f>
        <v>2.7366008812769405</v>
      </c>
      <c r="CS896" s="23">
        <f t="shared" si="5889"/>
        <v>-0.13229404230189479</v>
      </c>
    </row>
    <row r="897" spans="1:105" ht="12.75" customHeight="1" x14ac:dyDescent="0.2">
      <c r="A897" s="19" t="s">
        <v>79</v>
      </c>
      <c r="B897" s="35">
        <f>B880/B846*100</f>
        <v>2.9375585853153847</v>
      </c>
      <c r="C897" s="59"/>
      <c r="D897" s="35">
        <f>D880/D846*100</f>
        <v>4.4166384358515209</v>
      </c>
      <c r="E897" s="59"/>
      <c r="F897" s="35">
        <f>F880/F846*100</f>
        <v>5.0775473190956326</v>
      </c>
      <c r="G897" s="59"/>
      <c r="H897" s="35">
        <f>H880/H846*100</f>
        <v>4.7938133188716758</v>
      </c>
      <c r="I897" s="59"/>
      <c r="J897" s="35">
        <f>J880/J846*100</f>
        <v>4.4039772017980132</v>
      </c>
      <c r="K897" s="23">
        <f>IF(ISERROR((J897/B897-1)*100),"NA",IF(((J897/B897-1)*100)&gt;100,"NM",IF(((J897/B897-1)*100)&lt;-50,"NM",(J897/B897-1)*100)))</f>
        <v>49.919638158474022</v>
      </c>
      <c r="L897" s="35">
        <f>L880/L846*100</f>
        <v>4.6505405496278494</v>
      </c>
      <c r="M897" s="23">
        <f>IF(ISERROR((L897/D897-1)*100),"NA",IF(((L897/D897-1)*100)&gt;100,"NM",IF(((L897/D897-1)*100)&lt;-50,"NM",(L897/D897-1)*100)))</f>
        <v>5.2959307666585742</v>
      </c>
      <c r="N897" s="35">
        <f>N880/N846*100</f>
        <v>4.7658705965064305</v>
      </c>
      <c r="O897" s="23">
        <f>IF(ISERROR((N897/F897-1)*100),"NA",IF(((N897/F897-1)*100)&gt;100,"NM",IF(((N897/F897-1)*100)&lt;-50,"NM",(N897/F897-1)*100)))</f>
        <v>-6.1383322104561877</v>
      </c>
      <c r="P897" s="35">
        <f>P880/P846*100</f>
        <v>4.6970759844764798</v>
      </c>
      <c r="Q897" s="23">
        <f>IF(ISERROR((P897/H897-1)*100),"NA",IF(((P897/H897-1)*100)&gt;100,"NM",IF(((P897/H897-1)*100)&lt;-50,"NM",(P897/H897-1)*100)))</f>
        <v>-2.0179620682009625</v>
      </c>
      <c r="R897" s="35">
        <f>R880/R846*100</f>
        <v>4.5000226398007719</v>
      </c>
      <c r="S897" s="23">
        <f>IF(ISERROR((R897/J897-1)*100),"NA",IF(((R897/J897-1)*100)&gt;100,"NM",IF(((R897/J897-1)*100)&lt;-50,"NM",(R897/J897-1)*100)))</f>
        <v>2.1808795459600905</v>
      </c>
      <c r="T897" s="35">
        <f>T880/T846*100</f>
        <v>4.7824394872042868</v>
      </c>
      <c r="U897" s="23">
        <f>IF(ISERROR((T897/L897-1)*100),"NA",IF(((T897/L897-1)*100)&gt;100,"NM",IF(((T897/L897-1)*100)&lt;-50,"NM",(T897/L897-1)*100)))</f>
        <v>2.8362065908014156</v>
      </c>
      <c r="V897" s="35">
        <f>V880/V846*100</f>
        <v>4.9710968849324306</v>
      </c>
      <c r="W897" s="23">
        <f>IF(ISERROR((V897/N897-1)*100),"NA",IF(((V897/N897-1)*100)&gt;100,"NM",IF(((V897/N897-1)*100)&lt;-50,"NM",(V897/N897-1)*100)))</f>
        <v>4.3061657732889058</v>
      </c>
      <c r="X897" s="35">
        <f>X880/X846*100</f>
        <v>5.1682809768386289</v>
      </c>
      <c r="Y897" s="23">
        <f>IF(ISERROR((X897/P897-1)*100),"NA",IF(((X897/P897-1)*100)&gt;100,"NM",IF(((X897/P897-1)*100)&lt;-50,"NM",(X897/P897-1)*100)))</f>
        <v>10.031879278075341</v>
      </c>
      <c r="Z897" s="35">
        <f>Z880/Z846*100</f>
        <v>5.1111647003924201</v>
      </c>
      <c r="AA897" s="23">
        <f>IF(ISERROR((Z897/R897-1)*100),"NA",IF(((Z897/R897-1)*100)&gt;100,"NM",IF(((Z897/R897-1)*100)&lt;-50,"NM",(Z897/R897-1)*100)))</f>
        <v>13.580866353568055</v>
      </c>
      <c r="AB897" s="35">
        <f>AB880/AB846*100</f>
        <v>5.1361376371241416</v>
      </c>
      <c r="AC897" s="23">
        <f>IF(ISERROR((AB897/T897-1)*100),"NA",IF(((AB897/T897-1)*100)&gt;100,"NM",IF(((AB897/T897-1)*100)&lt;-50,"NM",(AB897/T897-1)*100)))</f>
        <v>7.3957684329555295</v>
      </c>
      <c r="AD897" s="35">
        <f>AD880/AD846*100</f>
        <v>5.2691483603933591</v>
      </c>
      <c r="AE897" s="23">
        <f>IF(ISERROR((AD897/V897-1)*100),"NA",IF(((AD897/V897-1)*100)&gt;100,"NM",IF(((AD897/V897-1)*100)&lt;-50,"NM",(AD897/V897-1)*100)))</f>
        <v>5.9956883231210512</v>
      </c>
      <c r="AF897" s="35">
        <f>AF880/AF846*100</f>
        <v>5.7473493009099235</v>
      </c>
      <c r="AG897" s="23">
        <f>IF(ISERROR((AF897/X897-1)*100),"NA",IF(((AF897/X897-1)*100)&gt;100,"NM",IF(((AF897/X897-1)*100)&lt;-50,"NM",(AF897/X897-1)*100)))</f>
        <v>11.20427327125515</v>
      </c>
      <c r="AH897" s="35">
        <f>AH880/AH846*100</f>
        <v>5.5073078847609844</v>
      </c>
      <c r="AI897" s="23">
        <f>IF(ISERROR((AH897/Z897-1)*100),"NA",IF(((AH897/Z897-1)*100)&gt;100,"NM",IF(((AH897/Z897-1)*100)&lt;-50,"NM",(AH897/Z897-1)*100)))</f>
        <v>7.7505462568668415</v>
      </c>
      <c r="AJ897" s="35">
        <f>AJ880/AJ846*100</f>
        <v>5.6255243614871402</v>
      </c>
      <c r="AK897" s="23">
        <f>IF(ISERROR((AJ897/AB897-1)*100),"NA",IF(((AJ897/AB897-1)*100)&gt;100,"NM",IF(((AJ897/AB897-1)*100)&lt;-50,"NM",(AJ897/AB897-1)*100)))</f>
        <v>9.5283023730847525</v>
      </c>
      <c r="AL897" s="35">
        <f>AL880/AL846*100</f>
        <v>5.5966041062369003</v>
      </c>
      <c r="AM897" s="23">
        <f>IF(ISERROR((AL897/AD897-1)*100),"NA",IF(((AL897/AD897-1)*100)&gt;100,"NM",IF(((AL897/AD897-1)*100)&lt;-50,"NM",(AL897/AD897-1)*100)))</f>
        <v>6.2145858010931976</v>
      </c>
      <c r="AN897" s="409">
        <f>AN880/AN846*100</f>
        <v>5.5032861457707121</v>
      </c>
      <c r="AO897" s="23">
        <f>IF(ISERROR((AN897/AF897-1)*100),"NA",IF(((AN897/AF897-1)*100)&gt;100,"NM",IF(((AN897/AF897-1)*100)&lt;-50,"NM",(AN897/AF897-1)*100)))</f>
        <v>-4.2465342257964274</v>
      </c>
      <c r="AP897" s="409">
        <f>AP880/AP846*100</f>
        <v>5.6003125121198902</v>
      </c>
      <c r="AQ897" s="23">
        <f t="shared" si="5901"/>
        <v>1.6887493727426151</v>
      </c>
      <c r="AR897" s="409">
        <f>AR880/AR846*100</f>
        <v>5.4818496654142335</v>
      </c>
      <c r="AS897" s="23">
        <f t="shared" si="5903"/>
        <v>-2.5539787376358536</v>
      </c>
      <c r="AT897" s="409">
        <f>AT880/AT846*100</f>
        <v>5.3466207914841215</v>
      </c>
      <c r="AU897" s="23">
        <f t="shared" si="5904"/>
        <v>-4.4666964110288809</v>
      </c>
      <c r="AV897" s="409">
        <f>AV880/AV846*100</f>
        <v>5.1501632927558658</v>
      </c>
      <c r="AW897" s="23">
        <f t="shared" si="5906"/>
        <v>-6.416581723380343</v>
      </c>
      <c r="AX897" s="409">
        <f>AX880/AX846*100</f>
        <v>4.9584339840765193</v>
      </c>
      <c r="AY897" s="23">
        <f t="shared" si="5908"/>
        <v>-11.461476956049378</v>
      </c>
      <c r="AZ897" s="409">
        <f>AZ880/AZ846*100</f>
        <v>4.8805776489390249</v>
      </c>
      <c r="BA897" s="23">
        <f t="shared" si="5910"/>
        <v>-10.968414917846413</v>
      </c>
      <c r="BB897" s="409">
        <f>BB880/BB846*100</f>
        <v>4.8114301422776418</v>
      </c>
      <c r="BC897" s="23">
        <f t="shared" si="5912"/>
        <v>-10.009886058478457</v>
      </c>
      <c r="BD897" s="409">
        <f>BD880/BD846*100</f>
        <v>3.2705408660327508</v>
      </c>
      <c r="BE897" s="23">
        <f t="shared" si="5913"/>
        <v>-36.496365646638054</v>
      </c>
      <c r="BF897" s="35">
        <f>BF880/BF846*100</f>
        <v>4.318269070026223</v>
      </c>
      <c r="BG897" s="23">
        <f t="shared" si="5915"/>
        <v>-12.910626946050252</v>
      </c>
      <c r="BH897" s="35">
        <f>BH880/BH846*100</f>
        <v>4.2575126417436708</v>
      </c>
      <c r="BI897" s="23">
        <f t="shared" si="5917"/>
        <v>-12.766214411746946</v>
      </c>
      <c r="BJ897" s="35">
        <f>BJ880/BJ846*100</f>
        <v>4.1744379204697504</v>
      </c>
      <c r="BK897" s="23">
        <f t="shared" si="5919"/>
        <v>-13.239145180778856</v>
      </c>
      <c r="BL897" s="35">
        <f>BL880/BL846*100</f>
        <v>4.0979070538012836</v>
      </c>
      <c r="BM897" s="23">
        <f t="shared" si="5921"/>
        <v>25.297534006115296</v>
      </c>
      <c r="BQ897" s="6"/>
      <c r="BR897" s="6"/>
      <c r="BS897" s="6"/>
      <c r="BT897" s="6"/>
      <c r="BU897" s="35">
        <f>BU880/BU846*100</f>
        <v>4.7938133188716758</v>
      </c>
      <c r="BV897" s="23" t="str">
        <f>IF(ISERROR((BU897/BS897-1)*100),"NA",IF(((BU897/BS897-1)*100)&gt;100,"NM",IF(((BU897/BS897-1)*100)&lt;-50,"NM",(BU897/BS897-1)*100)))</f>
        <v>NA</v>
      </c>
      <c r="BW897" s="35">
        <f>BW880/BW846*100</f>
        <v>4.6970759844764798</v>
      </c>
      <c r="BX897" s="23">
        <f>IF(ISERROR((BW897/BU897-1)*100),"NA",IF(((BW897/BU897-1)*100)&gt;100,"NM",IF(((BW897/BU897-1)*100)&lt;-50,"NM",(BW897/BU897-1)*100)))</f>
        <v>-2.0179620682009625</v>
      </c>
      <c r="BY897" s="35">
        <f>BY880/BY846*100</f>
        <v>5.1682809768386289</v>
      </c>
      <c r="BZ897" s="23">
        <f>IF(ISERROR((BY897/BW897-1)*100),"NA",IF(((BY897/BW897-1)*100)&gt;100,"NM",IF(((BY897/BW897-1)*100)&lt;-50,"NM",(BY897/BW897-1)*100)))</f>
        <v>10.031879278075341</v>
      </c>
      <c r="CA897" s="35">
        <f>CA880/CA846*100</f>
        <v>5.7473493009099235</v>
      </c>
      <c r="CB897" s="23">
        <f>IF(ISERROR((CA897/BY897-1)*100),"NA",IF(((CA897/BY897-1)*100)&gt;100,"NM",IF(((CA897/BY897-1)*100)&lt;-50,"NM",(CA897/BY897-1)*100)))</f>
        <v>11.20427327125515</v>
      </c>
      <c r="CC897" s="35">
        <f>CC880/CC846*100</f>
        <v>5.5032861457707121</v>
      </c>
      <c r="CD897" s="23">
        <f>IF(ISERROR((CC897/CA897-1)*100),"NA",IF(((CC897/CA897-1)*100)&gt;100,"NM",IF(((CC897/CA897-1)*100)&lt;-50,"NM",(CC897/CA897-1)*100)))</f>
        <v>-4.2465342257964274</v>
      </c>
      <c r="CE897" s="35">
        <f>CE880/CE846*100</f>
        <v>7.2706751514737666</v>
      </c>
      <c r="CF897" s="23">
        <f>IF(ISERROR((CE897/CC897-1)*100),"NA",IF(((CE897/CC897-1)*100)&gt;100,"NM",IF(((CE897/CC897-1)*100)&lt;-50,"NM",(CE897/CC897-1)*100)))</f>
        <v>32.115157360321845</v>
      </c>
      <c r="CG897" s="35">
        <f>CG880/CG846*100</f>
        <v>4.4519207242476142</v>
      </c>
      <c r="CH897" s="23">
        <f>IF(ISERROR((CG897/CE897-1)*100),"NA",IF(((CG897/CE897-1)*100)&gt;100,"NM",IF(((CG897/CE897-1)*100)&lt;-50,"NM",(CG897/CE897-1)*100)))</f>
        <v>-38.768812641213799</v>
      </c>
      <c r="CI897" s="35">
        <f>CI880/CI846*100</f>
        <v>4.0979070538012836</v>
      </c>
      <c r="CJ897" s="23">
        <f>IF(ISERROR((CI897/CG897-1)*100),"NA",IF(((CI897/CG897-1)*100)&gt;100,"NM",IF(((CI897/CG897-1)*100)&lt;-50,"NM",(CI897/CG897-1)*100)))</f>
        <v>-7.9519311410505829</v>
      </c>
      <c r="CK897" s="35">
        <f>CK880/CK846*100</f>
        <v>4.1722628146262952</v>
      </c>
      <c r="CL897" s="23">
        <f>IF(ISERROR((CK897/CI897-1)*100),"NA",IF(((CK897/CI897-1)*100)&gt;100,"NM",IF(((CK897/CI897-1)*100)&lt;-50,"NM",(CK897/CI897-1)*100)))</f>
        <v>1.814481388884559</v>
      </c>
      <c r="CM897" s="35">
        <f>CM880/CM846*100</f>
        <v>4.2650091653723168</v>
      </c>
      <c r="CN897" s="23">
        <f>IF(ISERROR((CM897/CK897-1)*100),"NA",IF(((CM897/CK897-1)*100)&gt;100,"NM",IF(((CM897/CK897-1)*100)&lt;-50,"NM",(CM897/CK897-1)*100)))</f>
        <v>2.2229268592786067</v>
      </c>
      <c r="CO897" s="35">
        <f>CO880/CO846*100</f>
        <v>4.3750127441811717</v>
      </c>
      <c r="CP897" s="23">
        <f>IF(ISERROR((CO897/CM897-1)*100),"NA",IF(((CO897/CM897-1)*100)&gt;100,"NM",IF(((CO897/CM897-1)*100)&lt;-50,"NM",(CO897/CM897-1)*100)))</f>
        <v>2.5792108420768622</v>
      </c>
      <c r="CQ897" s="35">
        <f>CQ880/CQ846*100</f>
        <v>4.5014673900565283</v>
      </c>
      <c r="CR897" s="23">
        <f>IF(ISERROR((CQ897/CO897-1)*100),"NA",IF(((CQ897/CO897-1)*100)&gt;100,"NM",IF(((CQ897/CO897-1)*100)&lt;-50,"NM",(CQ897/CO897-1)*100)))</f>
        <v>2.8903834861633948</v>
      </c>
      <c r="CS897" s="23">
        <f t="shared" si="5889"/>
        <v>0.22160124980774576</v>
      </c>
    </row>
    <row r="898" spans="1:105" ht="12.75" customHeight="1" x14ac:dyDescent="0.2">
      <c r="A898" s="19" t="s">
        <v>80</v>
      </c>
      <c r="B898" s="35">
        <f>(B677*4)/AVERAGE(B846)*100</f>
        <v>0.31352757907061723</v>
      </c>
      <c r="C898" s="59"/>
      <c r="D898" s="35">
        <f>(D677*4)/AVERAGE(D846, B846)*100</f>
        <v>0.3772861205015498</v>
      </c>
      <c r="E898" s="59"/>
      <c r="F898" s="35">
        <f>(F677*4)/AVERAGE(F846, D846)*100</f>
        <v>0.39341344382895416</v>
      </c>
      <c r="G898" s="59"/>
      <c r="H898" s="35">
        <f>(H677*4)/AVERAGE(H846, F846)*100</f>
        <v>0.33845159881483516</v>
      </c>
      <c r="I898" s="59"/>
      <c r="J898" s="35">
        <f>(J677*4)/AVERAGE(J846, H846)*100</f>
        <v>0.30186262392701357</v>
      </c>
      <c r="K898" s="23">
        <f>IF(ISERROR((J898/B898-1)*100),"NA",IF(((J898/B898-1)*100)&gt;100,"NM",IF(((J898/B898-1)*100)&lt;-50,"NM",(J898/B898-1)*100)))</f>
        <v>-3.7205515311226622</v>
      </c>
      <c r="L898" s="35">
        <f>(L677*4)/AVERAGE(L846, J846)*100</f>
        <v>0.24582694935337646</v>
      </c>
      <c r="M898" s="23">
        <f>IF(ISERROR((L898/D898-1)*100),"NA",IF(((L898/D898-1)*100)&gt;100,"NM",IF(((L898/D898-1)*100)&lt;-50,"NM",(L898/D898-1)*100)))</f>
        <v>-34.843362637728767</v>
      </c>
      <c r="N898" s="35">
        <f>(N677*4)/AVERAGE(N846, L846)*100</f>
        <v>0.33014422793236953</v>
      </c>
      <c r="O898" s="23">
        <f>IF(ISERROR((N898/F898-1)*100),"NA",IF(((N898/F898-1)*100)&gt;100,"NM",IF(((N898/F898-1)*100)&lt;-50,"NM",(N898/F898-1)*100)))</f>
        <v>-16.082118414868518</v>
      </c>
      <c r="P898" s="35">
        <f>(P677*4)/AVERAGE(P846, N846)*100</f>
        <v>0.25183927350554414</v>
      </c>
      <c r="Q898" s="23">
        <f>IF(ISERROR((P898/H898-1)*100),"NA",IF(((P898/H898-1)*100)&gt;100,"NM",IF(((P898/H898-1)*100)&lt;-50,"NM",(P898/H898-1)*100)))</f>
        <v>-25.590756732301955</v>
      </c>
      <c r="R898" s="35">
        <f>(R677*4)/AVERAGE(R846, P846)*100</f>
        <v>0.30500118697972445</v>
      </c>
      <c r="S898" s="23">
        <f>IF(ISERROR((R898/J898-1)*100),"NA",IF(((R898/J898-1)*100)&gt;100,"NM",IF(((R898/J898-1)*100)&lt;-50,"NM",(R898/J898-1)*100)))</f>
        <v>1.039732250346348</v>
      </c>
      <c r="T898" s="35">
        <f>(T677*4)/AVERAGE(T846, R846)*100</f>
        <v>0.32294191315227966</v>
      </c>
      <c r="U898" s="23">
        <f>IF(ISERROR((T898/L898-1)*100),"NA",IF(((T898/L898-1)*100)&gt;100,"NM",IF(((T898/L898-1)*100)&lt;-50,"NM",(T898/L898-1)*100)))</f>
        <v>31.36961346253797</v>
      </c>
      <c r="V898" s="35">
        <f>(V677*4)/AVERAGE(V846, T846)*100</f>
        <v>0.52050028784560132</v>
      </c>
      <c r="W898" s="23">
        <f>IF(ISERROR((V898/N898-1)*100),"NA",IF(((V898/N898-1)*100)&gt;100,"NM",IF(((V898/N898-1)*100)&lt;-50,"NM",(V898/N898-1)*100)))</f>
        <v>57.658454641292863</v>
      </c>
      <c r="X898" s="35">
        <f>(X677*4)/AVERAGE(X846, V846)*100</f>
        <v>0.36141947208156061</v>
      </c>
      <c r="Y898" s="23">
        <f>IF(ISERROR((X898/P898-1)*100),"NA",IF(((X898/P898-1)*100)&gt;100,"NM",IF(((X898/P898-1)*100)&lt;-50,"NM",(X898/P898-1)*100)))</f>
        <v>43.511957865302577</v>
      </c>
      <c r="Z898" s="35">
        <f>(Z677*4)/AVERAGE(Z846, X846)*100</f>
        <v>0.27033258880818783</v>
      </c>
      <c r="AA898" s="23">
        <f>IF(ISERROR((Z898/R898-1)*100),"NA",IF(((Z898/R898-1)*100)&gt;100,"NM",IF(((Z898/R898-1)*100)&lt;-50,"NM",(Z898/R898-1)*100)))</f>
        <v>-11.36670926262372</v>
      </c>
      <c r="AB898" s="35">
        <f>(AB677*4)/AVERAGE(AB846, Z846)*100</f>
        <v>0.37791911090777952</v>
      </c>
      <c r="AC898" s="23">
        <f>IF(ISERROR((AB898/T898-1)*100),"NA",IF(((AB898/T898-1)*100)&gt;100,"NM",IF(((AB898/T898-1)*100)&lt;-50,"NM",(AB898/T898-1)*100)))</f>
        <v>17.02386575308854</v>
      </c>
      <c r="AD898" s="35">
        <f>(AD677*4)/AVERAGE(AD846, AB846)*100</f>
        <v>0.33840441856856313</v>
      </c>
      <c r="AE898" s="23">
        <f>IF(ISERROR((AD898/V898-1)*100),"NA",IF(((AD898/V898-1)*100)&gt;100,"NM",IF(((AD898/V898-1)*100)&lt;-50,"NM",(AD898/V898-1)*100)))</f>
        <v>-34.984777824187141</v>
      </c>
      <c r="AF898" s="35">
        <f>(AF677*4)/AVERAGE(AF846, AD846)*100</f>
        <v>0.43445259615565712</v>
      </c>
      <c r="AG898" s="23">
        <f>IF(ISERROR((AF898/X898-1)*100),"NA",IF(((AF898/X898-1)*100)&gt;100,"NM",IF(((AF898/X898-1)*100)&lt;-50,"NM",(AF898/X898-1)*100)))</f>
        <v>20.207301962306911</v>
      </c>
      <c r="AH898" s="35">
        <f>(AH677*4)/AVERAGE(AH846, AF846)*100</f>
        <v>0.3456393833369924</v>
      </c>
      <c r="AI898" s="23">
        <f>IF(ISERROR((AH898/Z898-1)*100),"NA",IF(((AH898/Z898-1)*100)&gt;100,"NM",IF(((AH898/Z898-1)*100)&lt;-50,"NM",(AH898/Z898-1)*100)))</f>
        <v>27.857090726948151</v>
      </c>
      <c r="AJ898" s="35">
        <f>(AJ677*4)/AVERAGE(AJ846, AH846)*100</f>
        <v>0.31342478694028292</v>
      </c>
      <c r="AK898" s="23">
        <f>IF(ISERROR((AJ898/AB898-1)*100),"NA",IF(((AJ898/AB898-1)*100)&gt;100,"NM",IF(((AJ898/AB898-1)*100)&lt;-50,"NM",(AJ898/AB898-1)*100)))</f>
        <v>-17.065642383783718</v>
      </c>
      <c r="AL898" s="35">
        <f>(AL677*4)/AVERAGE(AL846, AJ846)*100</f>
        <v>0.16748937729776742</v>
      </c>
      <c r="AM898" s="23" t="str">
        <f>IF(ISERROR((AL898/AD898-1)*100),"NA",IF(((AL898/AD898-1)*100)&gt;100,"NM",IF(((AL898/AD898-1)*100)&lt;-50,"NM",(AL898/AD898-1)*100)))</f>
        <v>NM</v>
      </c>
      <c r="AN898" s="409">
        <f>(AN677*4)/AVERAGE(AN846, AL846)*100</f>
        <v>0.35892281412886462</v>
      </c>
      <c r="AO898" s="23">
        <f>IF(ISERROR((AN898/AF898-1)*100),"NA",IF(((AN898/AF898-1)*100)&gt;100,"NM",IF(((AN898/AF898-1)*100)&lt;-50,"NM",(AN898/AF898-1)*100)))</f>
        <v>-17.385045617205019</v>
      </c>
      <c r="AP898" s="409">
        <f>(AP677*4)/AVERAGE(AP846, AN846)*100</f>
        <v>0.109742044842273</v>
      </c>
      <c r="AQ898" s="23" t="str">
        <f t="shared" si="5901"/>
        <v>NM</v>
      </c>
      <c r="AR898" s="409">
        <f>(AR677*4)/AVERAGE(AR846, AP846)*100</f>
        <v>0.16468667774970527</v>
      </c>
      <c r="AS898" s="23">
        <f t="shared" si="5903"/>
        <v>-47.455758251473846</v>
      </c>
      <c r="AT898" s="409">
        <f>(AT677*4)/AVERAGE(AT846, AR846)*100</f>
        <v>-4.6073377067725831E-2</v>
      </c>
      <c r="AU898" s="23" t="str">
        <f t="shared" si="5904"/>
        <v>NM</v>
      </c>
      <c r="AV898" s="409">
        <f>(AV677*4)/AVERAGE(AV846, AT846)*100</f>
        <v>0.18767497442548409</v>
      </c>
      <c r="AW898" s="23">
        <f t="shared" si="5906"/>
        <v>-47.711606217903203</v>
      </c>
      <c r="AX898" s="409">
        <f>(AX677*4)/AVERAGE(AX846, AV846)*100</f>
        <v>0.18293127704013265</v>
      </c>
      <c r="AY898" s="23">
        <f t="shared" si="5908"/>
        <v>66.692061646063763</v>
      </c>
      <c r="AZ898" s="409">
        <f>(AZ677*4)/AVERAGE(AZ846, AX846)*100</f>
        <v>0.13302672829848364</v>
      </c>
      <c r="BA898" s="23">
        <f t="shared" si="5910"/>
        <v>-19.224353714475427</v>
      </c>
      <c r="BB898" s="409">
        <f>(BB677*4)/AVERAGE(BB846, AZ846)*100</f>
        <v>5.1336603739999383E-2</v>
      </c>
      <c r="BC898" s="23" t="str">
        <f t="shared" si="5912"/>
        <v>NM</v>
      </c>
      <c r="BD898" s="409">
        <f>(BD677*4)/AVERAGE(BD846, BB846)*100</f>
        <v>0.2825739536506105</v>
      </c>
      <c r="BE898" s="23">
        <f t="shared" si="5913"/>
        <v>50.565601255912696</v>
      </c>
      <c r="BF898" s="35">
        <f>(BF677*4)/AVERAGE(BF846, BD846)*100</f>
        <v>0.30665392989592594</v>
      </c>
      <c r="BG898" s="23">
        <f t="shared" si="5915"/>
        <v>67.633405756332323</v>
      </c>
      <c r="BH898" s="35">
        <f>(BH677*4)/AVERAGE(BH846, BF846)*100</f>
        <v>0.41748630544128734</v>
      </c>
      <c r="BI898" s="23" t="str">
        <f t="shared" si="5917"/>
        <v>NM</v>
      </c>
      <c r="BJ898" s="35">
        <f>(BJ677*4)/AVERAGE(BJ846, BH846)*100</f>
        <v>0.43811962681374006</v>
      </c>
      <c r="BK898" s="23" t="str">
        <f t="shared" si="5919"/>
        <v>NM</v>
      </c>
      <c r="BL898" s="35">
        <f>(BL677*4)/AVERAGE(BL846, BJ846)*100</f>
        <v>0.45243421046094856</v>
      </c>
      <c r="BM898" s="23">
        <f t="shared" si="5921"/>
        <v>60.1117883003337</v>
      </c>
      <c r="BQ898" s="6"/>
      <c r="BR898" s="6"/>
      <c r="BS898" s="6"/>
      <c r="BT898" s="6"/>
      <c r="BU898" s="35">
        <f>BU677/AVERAGE(BU846, BS846)*100</f>
        <v>0.35758433862971833</v>
      </c>
      <c r="BV898" s="23" t="str">
        <f>IF(ISERROR((BU898/BS898-1)*100),"NA",IF(((BU898/BS898-1)*100)&gt;100,"NM",IF(((BU898/BS898-1)*100)&lt;-50,"NM",(BU898/BS898-1)*100)))</f>
        <v>NA</v>
      </c>
      <c r="BW898" s="35">
        <f>BW677/AVERAGE(BW846, BU846)*100</f>
        <v>0.28406184295432763</v>
      </c>
      <c r="BX898" s="23">
        <f>IF(ISERROR((BW898/BU898-1)*100),"NA",IF(((BW898/BU898-1)*100)&gt;100,"NM",IF(((BW898/BU898-1)*100)&lt;-50,"NM",(BW898/BU898-1)*100)))</f>
        <v>-20.560882491982934</v>
      </c>
      <c r="BY898" s="35">
        <f>BY677/AVERAGE(BY846, BW846)*100</f>
        <v>0.37701518046607196</v>
      </c>
      <c r="BZ898" s="23">
        <f>IF(ISERROR((BY898/BW898-1)*100),"NA",IF(((BY898/BW898-1)*100)&gt;100,"NM",IF(((BY898/BW898-1)*100)&lt;-50,"NM",(BY898/BW898-1)*100)))</f>
        <v>32.722922778012695</v>
      </c>
      <c r="CA898" s="35">
        <f>CA677/AVERAGE(CA846, BY846)*100</f>
        <v>0.35715952020955738</v>
      </c>
      <c r="CB898" s="23">
        <f>IF(ISERROR((CA898/BY898-1)*100),"NA",IF(((CA898/BY898-1)*100)&gt;100,"NM",IF(((CA898/BY898-1)*100)&lt;-50,"NM",(CA898/BY898-1)*100)))</f>
        <v>-5.2665413185667198</v>
      </c>
      <c r="CC898" s="35">
        <f>CC677/AVERAGE(CC846, CA846)*100</f>
        <v>0.29865113078903083</v>
      </c>
      <c r="CD898" s="23">
        <f>IF(ISERROR((CC898/CA898-1)*100),"NA",IF(((CC898/CA898-1)*100)&gt;100,"NM",IF(((CC898/CA898-1)*100)&lt;-50,"NM",(CC898/CA898-1)*100)))</f>
        <v>-16.381584728918252</v>
      </c>
      <c r="CE898" s="35">
        <f>CE677/AVERAGE(CE846, CC846)*100</f>
        <v>0.12126301972294395</v>
      </c>
      <c r="CF898" s="23" t="str">
        <f>IF(ISERROR((CE898/CC898-1)*100),"NA",IF(((CE898/CC898-1)*100)&gt;100,"NM",IF(((CE898/CC898-1)*100)&lt;-50,"NM",(CE898/CC898-1)*100)))</f>
        <v>NM</v>
      </c>
      <c r="CG898" s="35">
        <f>CG677/AVERAGE(CG846, CE846)*100</f>
        <v>0.22743929703759169</v>
      </c>
      <c r="CH898" s="23">
        <f>IF(ISERROR((CG898/CE898-1)*100),"NA",IF(((CG898/CE898-1)*100)&gt;100,"NM",IF(((CG898/CE898-1)*100)&lt;-50,"NM",(CG898/CE898-1)*100)))</f>
        <v>87.558661789253065</v>
      </c>
      <c r="CI898" s="35">
        <f>CI677/AVERAGE(CI846, CG846)*100</f>
        <v>0.41777639929945737</v>
      </c>
      <c r="CJ898" s="23">
        <f>IF(ISERROR((CI898/CG898-1)*100),"NA",IF(((CI898/CG898-1)*100)&gt;100,"NM",IF(((CI898/CG898-1)*100)&lt;-50,"NM",(CI898/CG898-1)*100)))</f>
        <v>83.686990217177069</v>
      </c>
      <c r="CK898" s="35">
        <f>CK677/AVERAGE(CK846, CI846)*100</f>
        <v>0.45921305847662014</v>
      </c>
      <c r="CL898" s="23">
        <f>IF(ISERROR((CK898/CI898-1)*100),"NA",IF(((CK898/CI898-1)*100)&gt;100,"NM",IF(((CK898/CI898-1)*100)&lt;-50,"NM",(CK898/CI898-1)*100)))</f>
        <v>9.9183819973184928</v>
      </c>
      <c r="CM898" s="35">
        <f>CM677/AVERAGE(CM846, CK846)*100</f>
        <v>0.47548731653930981</v>
      </c>
      <c r="CN898" s="23">
        <f>IF(ISERROR((CM898/CK898-1)*100),"NA",IF(((CM898/CK898-1)*100)&gt;100,"NM",IF(((CM898/CK898-1)*100)&lt;-50,"NM",(CM898/CK898-1)*100)))</f>
        <v>3.5439449646047505</v>
      </c>
      <c r="CO898" s="35">
        <f>CO677/AVERAGE(CO846, CM846)*100</f>
        <v>0.49083801981199593</v>
      </c>
      <c r="CP898" s="23">
        <f>IF(ISERROR((CO898/CM898-1)*100),"NA",IF(((CO898/CM898-1)*100)&gt;100,"NM",IF(((CO898/CM898-1)*100)&lt;-50,"NM",(CO898/CM898-1)*100)))</f>
        <v>3.2284148785316935</v>
      </c>
      <c r="CQ898" s="35">
        <f>CQ677/AVERAGE(CQ846, CO846)*100</f>
        <v>0.50557518140437785</v>
      </c>
      <c r="CR898" s="23">
        <f>IF(ISERROR((CQ898/CO898-1)*100),"NA",IF(((CQ898/CO898-1)*100)&gt;100,"NM",IF(((CQ898/CO898-1)*100)&lt;-50,"NM",(CQ898/CO898-1)*100)))</f>
        <v>3.002449076383007</v>
      </c>
      <c r="CS898" s="23">
        <f t="shared" si="5889"/>
        <v>17.323240118851778</v>
      </c>
    </row>
    <row r="899" spans="1:105" ht="12.75" customHeight="1" x14ac:dyDescent="0.2">
      <c r="A899" s="19" t="s">
        <v>81</v>
      </c>
      <c r="B899" s="79">
        <f>+B880/B753</f>
        <v>26.528695652173916</v>
      </c>
      <c r="C899" s="59"/>
      <c r="D899" s="79">
        <f>+D880/D753</f>
        <v>39.678695652173907</v>
      </c>
      <c r="E899" s="59"/>
      <c r="F899" s="79">
        <f>+F880/F753</f>
        <v>43.917826086956531</v>
      </c>
      <c r="G899" s="59"/>
      <c r="H899" s="79">
        <f>+H880/H753</f>
        <v>42.43</v>
      </c>
      <c r="I899" s="59"/>
      <c r="J899" s="79">
        <f>+J880/J753</f>
        <v>40.186521739130441</v>
      </c>
      <c r="K899" s="23">
        <f>IF(ISERROR((J899/B899-1)*100),"NA",IF(((J899/B899-1)*100)&gt;100,"NM",IF(((J899/B899-1)*100)&lt;-50,"NM",(J899/B899-1)*100)))</f>
        <v>51.483217516716941</v>
      </c>
      <c r="L899" s="79">
        <f>+L880/L753</f>
        <v>42.696956521739125</v>
      </c>
      <c r="M899" s="23">
        <f>IF(ISERROR((L899/D899-1)*100),"NA",IF(((L899/D899-1)*100)&gt;100,"NM",IF(((L899/D899-1)*100)&lt;-50,"NM",(L899/D899-1)*100)))</f>
        <v>7.606754254281678</v>
      </c>
      <c r="N899" s="79">
        <f>+N880/N753</f>
        <v>44.38695652173913</v>
      </c>
      <c r="O899" s="23">
        <f>IF(ISERROR((N899/F899-1)*100),"NA",IF(((N899/F899-1)*100)&gt;100,"NM",IF(((N899/F899-1)*100)&lt;-50,"NM",(N899/F899-1)*100)))</f>
        <v>1.0682004930155919</v>
      </c>
      <c r="P899" s="79">
        <f>+P880/P753</f>
        <v>44.192173913043483</v>
      </c>
      <c r="Q899" s="23">
        <f>IF(ISERROR((P899/H899-1)*100),"NA",IF(((P899/H899-1)*100)&gt;100,"NM",IF(((P899/H899-1)*100)&lt;-50,"NM",(P899/H899-1)*100)))</f>
        <v>4.1531320128293192</v>
      </c>
      <c r="R899" s="79">
        <f>+R880/R753</f>
        <v>43.195140871540204</v>
      </c>
      <c r="S899" s="23">
        <f>IF(ISERROR((R899/J899-1)*100),"NA",IF(((R899/J899-1)*100)&gt;100,"NM",IF(((R899/J899-1)*100)&lt;-50,"NM",(R899/J899-1)*100)))</f>
        <v>7.486637315715261</v>
      </c>
      <c r="T899" s="79">
        <f>+T880/T753</f>
        <v>39.815184049079747</v>
      </c>
      <c r="U899" s="23">
        <f>IF(ISERROR((T899/L899-1)*100),"NA",IF(((T899/L899-1)*100)&gt;100,"NM",IF(((T899/L899-1)*100)&lt;-50,"NM",(T899/L899-1)*100)))</f>
        <v>-6.749362735473019</v>
      </c>
      <c r="V899" s="79">
        <f>+V880/V753</f>
        <v>41.487730061349694</v>
      </c>
      <c r="W899" s="23">
        <f>IF(ISERROR((V899/N899-1)*100),"NA",IF(((V899/N899-1)*100)&gt;100,"NM",IF(((V899/N899-1)*100)&lt;-50,"NM",(V899/N899-1)*100)))</f>
        <v>-6.5317081583854408</v>
      </c>
      <c r="X899" s="79">
        <f>+X880/X753</f>
        <v>43.649598777225826</v>
      </c>
      <c r="Y899" s="23">
        <f>IF(ISERROR((X899/P899-1)*100),"NA",IF(((X899/P899-1)*100)&gt;100,"NM",IF(((X899/P899-1)*100)&lt;-50,"NM",(X899/P899-1)*100)))</f>
        <v>-1.2277629448265603</v>
      </c>
      <c r="Z899" s="79">
        <f>+Z880/Z753</f>
        <v>44.852767962308597</v>
      </c>
      <c r="AA899" s="23">
        <f>IF(ISERROR((Z899/R899-1)*100),"NA",IF(((Z899/R899-1)*100)&gt;100,"NM",IF(((Z899/R899-1)*100)&lt;-50,"NM",(Z899/R899-1)*100)))</f>
        <v>3.8375313920102183</v>
      </c>
      <c r="AB899" s="79">
        <f>+AB880/AB753</f>
        <v>46.010997643362145</v>
      </c>
      <c r="AC899" s="23">
        <f>IF(ISERROR((AB899/T899-1)*100),"NA",IF(((AB899/T899-1)*100)&gt;100,"NM",IF(((AB899/T899-1)*100)&lt;-50,"NM",(AB899/T899-1)*100)))</f>
        <v>15.561434016341313</v>
      </c>
      <c r="AD899" s="79">
        <f>+AD880/AD753</f>
        <v>47.966314935064943</v>
      </c>
      <c r="AE899" s="23">
        <f>IF(ISERROR((AD899/V899-1)*100),"NA",IF(((AD899/V899-1)*100)&gt;100,"NM",IF(((AD899/V899-1)*100)&lt;-50,"NM",(AD899/V899-1)*100)))</f>
        <v>15.615664834241571</v>
      </c>
      <c r="AF899" s="79">
        <f>+AF880/AF753</f>
        <v>53.916907813145912</v>
      </c>
      <c r="AG899" s="23">
        <f>IF(ISERROR((AF899/X899-1)*100),"NA",IF(((AF899/X899-1)*100)&gt;100,"NM",IF(((AF899/X899-1)*100)&lt;-50,"NM",(AF899/X899-1)*100)))</f>
        <v>23.522115491419026</v>
      </c>
      <c r="AH899" s="79">
        <f>+AH880/AH753</f>
        <v>55.079475982532756</v>
      </c>
      <c r="AI899" s="23">
        <f>IF(ISERROR((AH899/Z899-1)*100),"NA",IF(((AH899/Z899-1)*100)&gt;100,"NM",IF(((AH899/Z899-1)*100)&lt;-50,"NM",(AH899/Z899-1)*100)))</f>
        <v>22.800617408535473</v>
      </c>
      <c r="AJ899" s="79">
        <f>+AJ880/AJ753</f>
        <v>56.326115775519213</v>
      </c>
      <c r="AK899" s="23">
        <f>IF(ISERROR((AJ899/AB899-1)*100),"NA",IF(((AJ899/AB899-1)*100)&gt;100,"NM",IF(((AJ899/AB899-1)*100)&lt;-50,"NM",(AJ899/AB899-1)*100)))</f>
        <v>22.418809981281072</v>
      </c>
      <c r="AL899" s="79">
        <f>+AL880/AL753</f>
        <v>56.852763585694383</v>
      </c>
      <c r="AM899" s="23">
        <f>IF(ISERROR((AL899/AD899-1)*100),"NA",IF(((AL899/AD899-1)*100)&gt;100,"NM",IF(((AL899/AD899-1)*100)&lt;-50,"NM",(AL899/AD899-1)*100)))</f>
        <v>18.526436026323047</v>
      </c>
      <c r="AN899" s="481">
        <f>+AN880/AN753</f>
        <v>57.440937350549966</v>
      </c>
      <c r="AO899" s="23">
        <f>IF(ISERROR((AN899/AF899-1)*100),"NA",IF(((AN899/AF899-1)*100)&gt;100,"NM",IF(((AN899/AF899-1)*100)&lt;-50,"NM",(AN899/AF899-1)*100)))</f>
        <v>6.5360379152619608</v>
      </c>
      <c r="AP899" s="481">
        <f>+AP880/AP753</f>
        <v>58.750490196078424</v>
      </c>
      <c r="AQ899" s="23">
        <f t="shared" si="5901"/>
        <v>6.6649403395011353</v>
      </c>
      <c r="AR899" s="481">
        <f>+AR880/AR753</f>
        <v>59.436563436563446</v>
      </c>
      <c r="AS899" s="23">
        <f t="shared" si="5903"/>
        <v>5.5222122424357201</v>
      </c>
      <c r="AT899" s="481">
        <f>+AT880/AT753</f>
        <v>60.066289825282624</v>
      </c>
      <c r="AU899" s="23">
        <f t="shared" si="5904"/>
        <v>5.6523659307158969</v>
      </c>
      <c r="AV899" s="481">
        <f>+AV880/AV753</f>
        <v>56.903905447070919</v>
      </c>
      <c r="AW899" s="23">
        <f t="shared" si="5906"/>
        <v>-0.9349288647600873</v>
      </c>
      <c r="AX899" s="481">
        <f>+AX880/AX753</f>
        <v>56.758820431806214</v>
      </c>
      <c r="AY899" s="23">
        <f t="shared" si="5908"/>
        <v>-3.3900479087494495</v>
      </c>
      <c r="AZ899" s="481">
        <f>+(AZ880)/AZ753</f>
        <v>59.802448525319981</v>
      </c>
      <c r="BA899" s="23">
        <f t="shared" si="5910"/>
        <v>0.6155892393527207</v>
      </c>
      <c r="BB899" s="481">
        <f>+(BB880)/BB753</f>
        <v>60.776850306065683</v>
      </c>
      <c r="BC899" s="23">
        <f t="shared" si="5912"/>
        <v>1.1829604972271479</v>
      </c>
      <c r="BD899" s="481">
        <f>+(BD880)/BD753</f>
        <v>42.313953488372093</v>
      </c>
      <c r="BE899" s="23">
        <f t="shared" si="5913"/>
        <v>-25.639632014835346</v>
      </c>
      <c r="BF899" s="79">
        <f>+BF880/BF753</f>
        <v>43.201901140390518</v>
      </c>
      <c r="BG899" s="23">
        <f t="shared" si="5915"/>
        <v>-23.885132193160828</v>
      </c>
      <c r="BH899" s="79">
        <f>+BH880/BH753</f>
        <v>44.340705095161027</v>
      </c>
      <c r="BI899" s="23">
        <f t="shared" si="5917"/>
        <v>-25.85469961754584</v>
      </c>
      <c r="BJ899" s="79">
        <f>+BJ880/BJ753</f>
        <v>45.265104831942651</v>
      </c>
      <c r="BK899" s="23">
        <f t="shared" si="5919"/>
        <v>-25.522456981576948</v>
      </c>
      <c r="BL899" s="79">
        <f>+BL880/BL753</f>
        <v>46.27825863325566</v>
      </c>
      <c r="BM899" s="23">
        <f t="shared" si="5921"/>
        <v>9.3687892954104726</v>
      </c>
      <c r="BQ899" s="43"/>
      <c r="BR899" s="43"/>
      <c r="BS899" s="43"/>
      <c r="BT899" s="43"/>
      <c r="BU899" s="79">
        <f>+BU880/BU753</f>
        <v>42.43</v>
      </c>
      <c r="BV899" s="23" t="str">
        <f>IF(ISERROR((BU899/BS899-1)*100),"NA",IF(((BU899/BS899-1)*100)&gt;100,"NM",IF(((BU899/BS899-1)*100)&lt;-50,"NM",(BU899/BS899-1)*100)))</f>
        <v>NA</v>
      </c>
      <c r="BW899" s="79">
        <f>+BW880/BW753</f>
        <v>44.192173913043483</v>
      </c>
      <c r="BX899" s="23">
        <f>IF(ISERROR((BW899/BU899-1)*100),"NA",IF(((BW899/BU899-1)*100)&gt;100,"NM",IF(((BW899/BU899-1)*100)&lt;-50,"NM",(BW899/BU899-1)*100)))</f>
        <v>4.1531320128293192</v>
      </c>
      <c r="BY899" s="79">
        <f>+BY880/BY753</f>
        <v>43.649598777225826</v>
      </c>
      <c r="BZ899" s="23">
        <f>IF(ISERROR((BY899/BW899-1)*100),"NA",IF(((BY899/BW899-1)*100)&gt;100,"NM",IF(((BY899/BW899-1)*100)&lt;-50,"NM",(BY899/BW899-1)*100)))</f>
        <v>-1.2277629448265603</v>
      </c>
      <c r="CA899" s="79">
        <f>+CA880/CA753</f>
        <v>53.916907813145912</v>
      </c>
      <c r="CB899" s="23">
        <f>IF(ISERROR((CA899/BY899-1)*100),"NA",IF(((CA899/BY899-1)*100)&gt;100,"NM",IF(((CA899/BY899-1)*100)&lt;-50,"NM",(CA899/BY899-1)*100)))</f>
        <v>23.522115491419026</v>
      </c>
      <c r="CC899" s="79">
        <f>+CC880/CC753</f>
        <v>57.440937350549966</v>
      </c>
      <c r="CD899" s="23">
        <f>IF(ISERROR((CC899/CA899-1)*100),"NA",IF(((CC899/CA899-1)*100)&gt;100,"NM",IF(((CC899/CA899-1)*100)&lt;-50,"NM",(CC899/CA899-1)*100)))</f>
        <v>6.5360379152619608</v>
      </c>
      <c r="CE899" s="79">
        <f>+CE880/CE753</f>
        <v>56.903905447070919</v>
      </c>
      <c r="CF899" s="23">
        <f>IF(ISERROR((CE899/CC899-1)*100),"NA",IF(((CE899/CC899-1)*100)&gt;100,"NM",IF(((CE899/CC899-1)*100)&lt;-50,"NM",(CE899/CC899-1)*100)))</f>
        <v>-0.9349288647600873</v>
      </c>
      <c r="CG899" s="79">
        <f>+CG880/CG753</f>
        <v>42.313953488372093</v>
      </c>
      <c r="CH899" s="23">
        <f>IF(ISERROR((CG899/CE899-1)*100),"NA",IF(((CG899/CE899-1)*100)&gt;100,"NM",IF(((CG899/CE899-1)*100)&lt;-50,"NM",(CG899/CE899-1)*100)))</f>
        <v>-25.639632014835346</v>
      </c>
      <c r="CI899" s="79">
        <f>+CI880/CI753</f>
        <v>46.27825863325566</v>
      </c>
      <c r="CJ899" s="23">
        <f>IF(ISERROR((CI899/CG899-1)*100),"NA",IF(((CI899/CG899-1)*100)&gt;100,"NM",IF(((CI899/CG899-1)*100)&lt;-50,"NM",(CI899/CG899-1)*100)))</f>
        <v>9.3687892954104726</v>
      </c>
      <c r="CK899" s="79">
        <f>+CK880/CK753</f>
        <v>51.160246973969009</v>
      </c>
      <c r="CL899" s="23">
        <f>IF(ISERROR((CK899/CI899-1)*100),"NA",IF(((CK899/CI899-1)*100)&gt;100,"NM",IF(((CK899/CI899-1)*100)&lt;-50,"NM",(CK899/CI899-1)*100)))</f>
        <v>10.549204928824052</v>
      </c>
      <c r="CM899" s="79">
        <f>+CM880/CM753</f>
        <v>56.763798944551688</v>
      </c>
      <c r="CN899" s="23">
        <f>IF(ISERROR((CM899/CK899-1)*100),"NA",IF(((CM899/CK899-1)*100)&gt;100,"NM",IF(((CM899/CK899-1)*100)&lt;-50,"NM",(CM899/CK899-1)*100)))</f>
        <v>10.952941594347344</v>
      </c>
      <c r="CO899" s="79">
        <f>+CO880/CO753</f>
        <v>63.176445372229466</v>
      </c>
      <c r="CP899" s="23">
        <f>IF(ISERROR((CO899/CM899-1)*100),"NA",IF(((CO899/CM899-1)*100)&gt;100,"NM",IF(((CO899/CM899-1)*100)&lt;-50,"NM",(CO899/CM899-1)*100)))</f>
        <v>11.297070574754553</v>
      </c>
      <c r="CQ899" s="79">
        <f>+CQ880/CQ753</f>
        <v>70.498049002484038</v>
      </c>
      <c r="CR899" s="23">
        <f>IF(ISERROR((CQ899/CO899-1)*100),"NA",IF(((CQ899/CO899-1)*100)&gt;100,"NM",IF(((CQ899/CO899-1)*100)&lt;-50,"NM",(CQ899/CO899-1)*100)))</f>
        <v>11.589135139079755</v>
      </c>
      <c r="CS899" s="23">
        <f t="shared" si="5889"/>
        <v>10.748715743075721</v>
      </c>
    </row>
    <row r="900" spans="1:105" ht="12.75" customHeight="1" x14ac:dyDescent="0.2">
      <c r="A900" s="19"/>
      <c r="B900" s="79"/>
      <c r="C900" s="60"/>
      <c r="D900" s="79"/>
      <c r="E900" s="60"/>
      <c r="F900" s="79"/>
      <c r="G900" s="60"/>
      <c r="H900" s="79"/>
      <c r="I900" s="60"/>
      <c r="J900" s="79"/>
      <c r="K900" s="23"/>
      <c r="L900" s="79"/>
      <c r="M900" s="23"/>
      <c r="N900" s="79"/>
      <c r="O900" s="23"/>
      <c r="P900" s="79"/>
      <c r="Q900" s="23"/>
      <c r="R900" s="79"/>
      <c r="S900" s="23"/>
      <c r="T900" s="79"/>
      <c r="U900" s="23"/>
      <c r="V900" s="79"/>
      <c r="W900" s="23"/>
      <c r="X900" s="79"/>
      <c r="Y900" s="23"/>
      <c r="Z900" s="79"/>
      <c r="AA900" s="23"/>
      <c r="AB900" s="79"/>
      <c r="AC900" s="23"/>
      <c r="AD900" s="79"/>
      <c r="AE900" s="23"/>
      <c r="AF900" s="79"/>
      <c r="AG900" s="23"/>
      <c r="AH900" s="79"/>
      <c r="AI900" s="23"/>
      <c r="AJ900" s="79"/>
      <c r="AK900" s="23"/>
      <c r="AL900" s="79"/>
      <c r="AM900" s="23"/>
      <c r="AN900" s="481"/>
      <c r="AO900" s="23"/>
      <c r="AP900" s="481"/>
      <c r="AQ900" s="23"/>
      <c r="AR900" s="481"/>
      <c r="AS900" s="23"/>
      <c r="AT900" s="481"/>
      <c r="AU900" s="23"/>
      <c r="AV900" s="481"/>
      <c r="AW900" s="23"/>
      <c r="AX900" s="481"/>
      <c r="AY900" s="23"/>
      <c r="AZ900" s="481"/>
      <c r="BA900" s="23"/>
      <c r="BB900" s="481"/>
      <c r="BC900" s="23"/>
      <c r="BD900" s="481"/>
      <c r="BE900" s="23"/>
      <c r="BF900" s="79"/>
      <c r="BG900" s="23"/>
      <c r="BH900" s="79"/>
      <c r="BI900" s="23"/>
      <c r="BJ900" s="79"/>
      <c r="BK900" s="23"/>
      <c r="BL900" s="79"/>
      <c r="BM900" s="23"/>
      <c r="BU900" s="79"/>
      <c r="BV900" s="23"/>
      <c r="BW900" s="79"/>
      <c r="BX900" s="23"/>
      <c r="BY900" s="91"/>
      <c r="BZ900" s="23"/>
      <c r="CA900" s="91"/>
      <c r="CB900" s="23"/>
      <c r="CC900" s="91"/>
      <c r="CD900" s="23"/>
      <c r="CE900" s="91"/>
      <c r="CF900" s="23"/>
      <c r="CG900" s="91"/>
      <c r="CH900" s="23"/>
      <c r="CI900" s="91"/>
      <c r="CJ900" s="23"/>
      <c r="CK900" s="79"/>
      <c r="CL900" s="23"/>
      <c r="CM900" s="79"/>
      <c r="CN900" s="23"/>
      <c r="CO900" s="79"/>
      <c r="CP900" s="23"/>
      <c r="CQ900" s="79"/>
      <c r="CR900" s="23"/>
      <c r="CS900" s="23"/>
    </row>
    <row r="901" spans="1:105" ht="12.75" customHeight="1" x14ac:dyDescent="0.2">
      <c r="A901" s="20" t="s">
        <v>82</v>
      </c>
      <c r="B901" s="35"/>
      <c r="C901" s="60"/>
      <c r="D901" s="35"/>
      <c r="E901" s="60"/>
      <c r="F901" s="35"/>
      <c r="G901" s="60"/>
      <c r="H901" s="35"/>
      <c r="I901" s="60"/>
      <c r="J901" s="35"/>
      <c r="K901" s="23"/>
      <c r="L901" s="35"/>
      <c r="M901" s="23"/>
      <c r="N901" s="35"/>
      <c r="O901" s="23"/>
      <c r="P901" s="35"/>
      <c r="Q901" s="23"/>
      <c r="R901" s="35"/>
      <c r="S901" s="23"/>
      <c r="T901" s="35"/>
      <c r="U901" s="23"/>
      <c r="V901" s="35"/>
      <c r="W901" s="23"/>
      <c r="X901" s="35"/>
      <c r="Y901" s="23"/>
      <c r="Z901" s="35"/>
      <c r="AA901" s="23"/>
      <c r="AB901" s="35"/>
      <c r="AC901" s="23"/>
      <c r="AD901" s="35"/>
      <c r="AE901" s="23"/>
      <c r="AF901" s="35"/>
      <c r="AG901" s="23"/>
      <c r="AH901" s="35"/>
      <c r="AI901" s="23"/>
      <c r="AJ901" s="35"/>
      <c r="AK901" s="23"/>
      <c r="AL901" s="35"/>
      <c r="AM901" s="23"/>
      <c r="AN901" s="409"/>
      <c r="AO901" s="23"/>
      <c r="AP901" s="409"/>
      <c r="AQ901" s="23"/>
      <c r="AR901" s="409"/>
      <c r="AS901" s="23"/>
      <c r="AT901" s="409"/>
      <c r="AU901" s="23"/>
      <c r="AV901" s="409"/>
      <c r="AW901" s="23"/>
      <c r="AX901" s="409"/>
      <c r="AY901" s="23"/>
      <c r="AZ901" s="409"/>
      <c r="BA901" s="23"/>
      <c r="BB901" s="409"/>
      <c r="BC901" s="23"/>
      <c r="BD901" s="409"/>
      <c r="BE901" s="23"/>
      <c r="BF901" s="35"/>
      <c r="BG901" s="23"/>
      <c r="BH901" s="35"/>
      <c r="BI901" s="23"/>
      <c r="BJ901" s="35"/>
      <c r="BK901" s="23"/>
      <c r="BL901" s="35"/>
      <c r="BM901" s="23"/>
      <c r="BV901" s="23"/>
      <c r="BX901" s="23"/>
      <c r="BZ901" s="23"/>
      <c r="CB901" s="23"/>
      <c r="CD901" s="23"/>
      <c r="CF901" s="23"/>
      <c r="CH901" s="23"/>
      <c r="CJ901" s="23"/>
      <c r="CL901" s="23"/>
      <c r="CN901" s="23"/>
      <c r="CP901" s="23"/>
      <c r="CR901" s="23"/>
      <c r="CS901" s="23"/>
    </row>
    <row r="902" spans="1:105" ht="12.75" customHeight="1" x14ac:dyDescent="0.2">
      <c r="A902" s="19" t="s">
        <v>75</v>
      </c>
      <c r="B902" s="56">
        <f>+B877+B870</f>
        <v>14837.2</v>
      </c>
      <c r="C902" s="59"/>
      <c r="D902" s="56">
        <f>+D877+D870</f>
        <v>15419.8</v>
      </c>
      <c r="E902" s="59"/>
      <c r="F902" s="56">
        <f>+F877+F870</f>
        <v>17520.7</v>
      </c>
      <c r="G902" s="59"/>
      <c r="H902" s="56">
        <f>+H877+H870</f>
        <v>16395.2</v>
      </c>
      <c r="I902" s="59"/>
      <c r="J902" s="56">
        <f>+J877+J870</f>
        <v>15873.100000000002</v>
      </c>
      <c r="K902" s="23">
        <f t="shared" ref="K902:Y908" si="5932">IF(ISERROR((J902/B902-1)*100),"NA",IF(((J902/B902-1)*100)&gt;100,"NM",IF(((J902/B902-1)*100)&lt;-50,"NM",(J902/B902-1)*100)))</f>
        <v>6.9817755371633483</v>
      </c>
      <c r="L902" s="56">
        <f>+L877+L870</f>
        <v>16775.599999999999</v>
      </c>
      <c r="M902" s="23">
        <f t="shared" si="5932"/>
        <v>8.7925913435971772</v>
      </c>
      <c r="N902" s="56">
        <f>+N877+N870</f>
        <v>17803.7</v>
      </c>
      <c r="O902" s="23">
        <f t="shared" si="5932"/>
        <v>1.6152322681171505</v>
      </c>
      <c r="P902" s="56">
        <f>+P877+P870</f>
        <v>17683.2</v>
      </c>
      <c r="Q902" s="23">
        <f t="shared" si="5932"/>
        <v>7.8559578413194053</v>
      </c>
      <c r="R902" s="56">
        <f>+R877+R870</f>
        <v>17098.400000000001</v>
      </c>
      <c r="S902" s="23">
        <f t="shared" si="5932"/>
        <v>7.7193490874498227</v>
      </c>
      <c r="T902" s="56">
        <f>+T877+T870</f>
        <v>16154.899999999998</v>
      </c>
      <c r="U902" s="23">
        <f t="shared" si="5932"/>
        <v>-3.7000166909082255</v>
      </c>
      <c r="V902" s="56">
        <f>+V877+V870</f>
        <v>16284.5</v>
      </c>
      <c r="W902" s="23">
        <f t="shared" si="5932"/>
        <v>-8.5330577351898746</v>
      </c>
      <c r="X902" s="56">
        <f>+X877+X870</f>
        <v>16786.899999999998</v>
      </c>
      <c r="Y902" s="23">
        <f t="shared" si="5932"/>
        <v>-5.0686527325371156</v>
      </c>
      <c r="Z902" s="56">
        <f>+Z877+Z870</f>
        <v>17516.5</v>
      </c>
      <c r="AA902" s="23">
        <f t="shared" ref="AA902:AA908" si="5933">IF(ISERROR((Z902/R902-1)*100),"NA",IF(((Z902/R902-1)*100)&gt;100,"NM",IF(((Z902/R902-1)*100)&lt;-50,"NM",(Z902/R902-1)*100)))</f>
        <v>2.4452580358395926</v>
      </c>
      <c r="AB902" s="56">
        <f>+AB877+AB870</f>
        <v>18382.300000000003</v>
      </c>
      <c r="AC902" s="23">
        <f t="shared" ref="AC902:AC908" si="5934">IF(ISERROR((AB902/T902-1)*100),"NA",IF(((AB902/T902-1)*100)&gt;100,"NM",IF(((AB902/T902-1)*100)&lt;-50,"NM",(AB902/T902-1)*100)))</f>
        <v>13.787767178998367</v>
      </c>
      <c r="AD902" s="56">
        <f>+AD877+AD870</f>
        <v>18154.600000000002</v>
      </c>
      <c r="AE902" s="23">
        <f t="shared" ref="AE902:AE908" si="5935">IF(ISERROR((AD902/V902-1)*100),"NA",IF(((AD902/V902-1)*100)&gt;100,"NM",IF(((AD902/V902-1)*100)&lt;-50,"NM",(AD902/V902-1)*100)))</f>
        <v>11.483926433111247</v>
      </c>
      <c r="AF902" s="56">
        <f>+AF877+AF870</f>
        <v>19661.899999999998</v>
      </c>
      <c r="AG902" s="23">
        <f t="shared" ref="AG902:AG908" si="5936">IF(ISERROR((AF902/X902-1)*100),"NA",IF(((AF902/X902-1)*100)&gt;100,"NM",IF(((AF902/X902-1)*100)&lt;-50,"NM",(AF902/X902-1)*100)))</f>
        <v>17.126449791206234</v>
      </c>
      <c r="AH902" s="56">
        <f>+AH877+AH870</f>
        <v>19660.400000000001</v>
      </c>
      <c r="AI902" s="23">
        <f t="shared" ref="AI902:AI908" si="5937">IF(ISERROR((AH902/Z902-1)*100),"NA",IF(((AH902/Z902-1)*100)&gt;100,"NM",IF(((AH902/Z902-1)*100)&lt;-50,"NM",(AH902/Z902-1)*100)))</f>
        <v>12.23931721519711</v>
      </c>
      <c r="AJ902" s="56">
        <f>+AJ877+AJ870</f>
        <v>18341.8</v>
      </c>
      <c r="AK902" s="23">
        <f t="shared" ref="AK902:AK908" si="5938">IF(ISERROR((AJ902/AB902-1)*100),"NA",IF(((AJ902/AB902-1)*100)&gt;100,"NM",IF(((AJ902/AB902-1)*100)&lt;-50,"NM",(AJ902/AB902-1)*100)))</f>
        <v>-0.22032063452345207</v>
      </c>
      <c r="AL902" s="56">
        <f>+AL877+AL870</f>
        <v>17771.7</v>
      </c>
      <c r="AM902" s="23">
        <f t="shared" ref="AM902:AM908" si="5939">IF(ISERROR((AL902/AD902-1)*100),"NA",IF(((AL902/AD902-1)*100)&gt;100,"NM",IF(((AL902/AD902-1)*100)&lt;-50,"NM",(AL902/AD902-1)*100)))</f>
        <v>-2.1091073336785282</v>
      </c>
      <c r="AN902" s="413">
        <f t="shared" ref="AN902:AP902" si="5940">+AN877+AN870</f>
        <v>16921.699999999997</v>
      </c>
      <c r="AO902" s="23">
        <f t="shared" ref="AO902:AO908" si="5941">IF(ISERROR((AN902/AF902-1)*100),"NA",IF(((AN902/AF902-1)*100)&gt;100,"NM",IF(((AN902/AF902-1)*100)&lt;-50,"NM",(AN902/AF902-1)*100)))</f>
        <v>-13.936598192443261</v>
      </c>
      <c r="AP902" s="413">
        <f t="shared" si="5940"/>
        <v>17917.2</v>
      </c>
      <c r="AQ902" s="23">
        <f t="shared" ref="AQ902:AQ908" si="5942">IF(ISERROR((AP902/AH902-1)*100),"NA",IF(((AP902/AH902-1)*100)&gt;100,"NM",IF(((AP902/AH902-1)*100)&lt;-50,"NM",(AP902/AH902-1)*100)))</f>
        <v>-8.8665540884213971</v>
      </c>
      <c r="AR902" s="413">
        <f t="shared" ref="AR902:AT902" si="5943">+AR877+AR870</f>
        <v>18886.400000000001</v>
      </c>
      <c r="AS902" s="23">
        <f t="shared" ref="AS902:AS908" si="5944">IF(ISERROR((AR902/AJ902-1)*100),"NA",IF(((AR902/AJ902-1)*100)&gt;100,"NM",IF(((AR902/AJ902-1)*100)&lt;-50,"NM",(AR902/AJ902-1)*100)))</f>
        <v>2.9691742358983531</v>
      </c>
      <c r="AT902" s="413">
        <f t="shared" si="5943"/>
        <v>18754.5</v>
      </c>
      <c r="AU902" s="23">
        <f t="shared" ref="AU902:AU908" si="5945">IF(ISERROR((AT902/AL902-1)*100),"NA",IF(((AT902/AL902-1)*100)&gt;100,"NM",IF(((AT902/AL902-1)*100)&lt;-50,"NM",(AT902/AL902-1)*100)))</f>
        <v>5.5301406168233758</v>
      </c>
      <c r="AV902" s="413">
        <f t="shared" ref="AV902" si="5946">+AV877+AV870</f>
        <v>16544</v>
      </c>
      <c r="AW902" s="23">
        <f t="shared" ref="AW902:AW908" si="5947">IF(ISERROR((AV902/AN902-1)*100),"NA",IF(((AV902/AN902-1)*100)&gt;100,"NM",IF(((AV902/AN902-1)*100)&lt;-50,"NM",(AV902/AN902-1)*100)))</f>
        <v>-2.2320452436811689</v>
      </c>
      <c r="AX902" s="413">
        <f t="shared" ref="AX902" si="5948">+AX877+AX870</f>
        <v>15616.2</v>
      </c>
      <c r="AY902" s="23">
        <f t="shared" ref="AY902:AY908" si="5949">IF(ISERROR((AX902/AP902-1)*100),"NA",IF(((AX902/AP902-1)*100)&gt;100,"NM",IF(((AX902/AP902-1)*100)&lt;-50,"NM",(AX902/AP902-1)*100)))</f>
        <v>-12.842408412028661</v>
      </c>
      <c r="AZ902" s="413">
        <f t="shared" ref="AZ902" si="5950">+AZ877+AZ870</f>
        <v>16078.7</v>
      </c>
      <c r="BA902" s="23">
        <f t="shared" ref="BA902:BA908" si="5951">IF(ISERROR((AZ902/AR902-1)*100),"NA",IF(((AZ902/AR902-1)*100)&gt;100,"NM",IF(((AZ902/AR902-1)*100)&lt;-50,"NM",(AZ902/AR902-1)*100)))</f>
        <v>-14.866252965096582</v>
      </c>
      <c r="BB902" s="413">
        <f t="shared" ref="BB902:BD902" si="5952">+BB877+BB870</f>
        <v>16774.800000000003</v>
      </c>
      <c r="BC902" s="23">
        <f t="shared" ref="BC902:BC908" si="5953">IF(ISERROR((BB902/AT902-1)*100),"NA",IF(((BB902/AT902-1)*100)&gt;100,"NM",IF(((BB902/AT902-1)*100)&lt;-50,"NM",(BB902/AT902-1)*100)))</f>
        <v>-10.555866592017903</v>
      </c>
      <c r="BD902" s="413">
        <f t="shared" si="5952"/>
        <v>13132</v>
      </c>
      <c r="BE902" s="23">
        <f t="shared" ref="BE902:BE908" si="5954">IF(ISERROR((BD902/AV902-1)*100),"NA",IF(((BD902/AV902-1)*100)&gt;100,"NM",IF(((BD902/AV902-1)*100)&lt;-50,"NM",(BD902/AV902-1)*100)))</f>
        <v>-20.62379110251451</v>
      </c>
      <c r="BF902" s="56">
        <f t="shared" ref="BF902" si="5955">+BF877+BF870</f>
        <v>12992.799843736864</v>
      </c>
      <c r="BG902" s="23">
        <f t="shared" ref="BG902:BG908" si="5956">IF(ISERROR((BF902/AX902-1)*100),"NA",IF(((BF902/AX902-1)*100)&gt;100,"NM",IF(((BF902/AX902-1)*100)&lt;-50,"NM",(BF902/AX902-1)*100)))</f>
        <v>-16.799222322095876</v>
      </c>
      <c r="BH902" s="56">
        <f t="shared" ref="BH902" si="5957">+BH877+BH870</f>
        <v>12471.545008161373</v>
      </c>
      <c r="BI902" s="23">
        <f t="shared" ref="BI902:BI908" si="5958">IF(ISERROR((BH902/AZ902-1)*100),"NA",IF(((BH902/AZ902-1)*100)&gt;100,"NM",IF(((BH902/AZ902-1)*100)&lt;-50,"NM",(BH902/AZ902-1)*100)))</f>
        <v>-22.434369643308404</v>
      </c>
      <c r="BJ902" s="56">
        <f t="shared" ref="BJ902" si="5959">+BJ877+BJ870</f>
        <v>12411.305206349834</v>
      </c>
      <c r="BK902" s="23">
        <f t="shared" ref="BK902:BK908" si="5960">IF(ISERROR((BJ902/BB902-1)*100),"NA",IF(((BJ902/BB902-1)*100)&gt;100,"NM",IF(((BJ902/BB902-1)*100)&lt;-50,"NM",(BJ902/BB902-1)*100)))</f>
        <v>-26.012201597933615</v>
      </c>
      <c r="BL902" s="56">
        <f t="shared" ref="BL902" si="5961">+BL877+BL870</f>
        <v>12360.117460013525</v>
      </c>
      <c r="BM902" s="23">
        <f t="shared" ref="BM902:BM908" si="5962">IF(ISERROR((BL902/BD902-1)*100),"NA",IF(((BL902/BD902-1)*100)&gt;100,"NM",IF(((BL902/BD902-1)*100)&lt;-50,"NM",(BL902/BD902-1)*100)))</f>
        <v>-5.8778749618220711</v>
      </c>
      <c r="BO902" s="137"/>
      <c r="BQ902" s="5"/>
      <c r="BR902" s="5"/>
      <c r="BS902" s="5"/>
      <c r="BT902" s="5"/>
      <c r="BU902" s="56">
        <f>+BU877+BU870</f>
        <v>16395.2</v>
      </c>
      <c r="BV902" s="23" t="str">
        <f t="shared" ref="BV902:CR908" si="5963">IF(ISERROR((BU902/BS902-1)*100),"NA",IF(((BU902/BS902-1)*100)&gt;100,"NM",IF(((BU902/BS902-1)*100)&lt;-50,"NM",(BU902/BS902-1)*100)))</f>
        <v>NA</v>
      </c>
      <c r="BW902" s="56">
        <f>+BW877+BW870</f>
        <v>17683.2</v>
      </c>
      <c r="BX902" s="23">
        <f t="shared" si="5963"/>
        <v>7.8559578413194053</v>
      </c>
      <c r="BY902" s="56">
        <f>+BY877+BY870</f>
        <v>16786.899999999998</v>
      </c>
      <c r="BZ902" s="23">
        <f t="shared" si="5963"/>
        <v>-5.0686527325371156</v>
      </c>
      <c r="CA902" s="56">
        <f>+CA877+CA870</f>
        <v>19661.899999999998</v>
      </c>
      <c r="CB902" s="23">
        <f t="shared" si="5963"/>
        <v>17.126449791206234</v>
      </c>
      <c r="CC902" s="56">
        <f>+CC877+CC870</f>
        <v>16921.699999999997</v>
      </c>
      <c r="CD902" s="23">
        <f t="shared" si="5963"/>
        <v>-13.936598192443261</v>
      </c>
      <c r="CE902" s="56">
        <f>+CE877+CE870</f>
        <v>16544</v>
      </c>
      <c r="CF902" s="23">
        <f t="shared" si="5963"/>
        <v>-2.2320452436811689</v>
      </c>
      <c r="CG902" s="56">
        <f>+CG877+CG870</f>
        <v>13132</v>
      </c>
      <c r="CH902" s="23">
        <f t="shared" si="5963"/>
        <v>-20.62379110251451</v>
      </c>
      <c r="CI902" s="56">
        <f>+CI877+CI870</f>
        <v>12360.117460013525</v>
      </c>
      <c r="CJ902" s="23">
        <f t="shared" si="5963"/>
        <v>-5.8778749618220711</v>
      </c>
      <c r="CK902" s="56">
        <f>+CK877+CK870</f>
        <v>12567.883755639166</v>
      </c>
      <c r="CL902" s="23">
        <f t="shared" si="5963"/>
        <v>1.6809411099675264</v>
      </c>
      <c r="CM902" s="56">
        <f>+CM877+CM870</f>
        <v>12811.741617548878</v>
      </c>
      <c r="CN902" s="23">
        <f t="shared" si="5963"/>
        <v>1.9403255683383636</v>
      </c>
      <c r="CO902" s="56">
        <f>+CO877+CO870</f>
        <v>13090.850963255598</v>
      </c>
      <c r="CP902" s="23">
        <f t="shared" si="5963"/>
        <v>2.1785433552953481</v>
      </c>
      <c r="CQ902" s="56">
        <f>+CQ877+CQ870</f>
        <v>13404.895321497916</v>
      </c>
      <c r="CR902" s="23">
        <f t="shared" si="5963"/>
        <v>2.3989606109167561</v>
      </c>
      <c r="CS902" s="23">
        <f t="shared" ref="CS902:CS908" si="5964">IF(ISERROR(((CQ902/CG902)^0.2-1)*100),"NA",IF((((CQ902/CG902)^0.2-1)*100)&gt;100,"NM",IF((((CQ902/CG902)^0.2-1)*100)&lt;-50,"NM",((CQ902/CG902)^0.2-1)*100)))</f>
        <v>0.41220650561930583</v>
      </c>
    </row>
    <row r="903" spans="1:105" ht="12.75" customHeight="1" x14ac:dyDescent="0.2">
      <c r="A903" s="19" t="s">
        <v>76</v>
      </c>
      <c r="B903" s="37">
        <f>(B870)/(B870+B877)*100</f>
        <v>51.796834982341679</v>
      </c>
      <c r="C903" s="59"/>
      <c r="D903" s="37">
        <f>(D870)/(D870+D877)*100</f>
        <v>32.75204607063646</v>
      </c>
      <c r="E903" s="59"/>
      <c r="F903" s="37">
        <f>(F870)/(F870+F877)*100</f>
        <v>29.304194467116041</v>
      </c>
      <c r="G903" s="59"/>
      <c r="H903" s="37">
        <f>(H870)/(H870+H877)*100</f>
        <v>24.649287596369668</v>
      </c>
      <c r="I903" s="59"/>
      <c r="J903" s="37">
        <f>(J870)/(J870+J877)*100</f>
        <v>25.472024998267507</v>
      </c>
      <c r="K903" s="23" t="str">
        <f t="shared" si="5932"/>
        <v>NM</v>
      </c>
      <c r="L903" s="37">
        <f>(L870)/(L870+L877)*100</f>
        <v>23.449533846777467</v>
      </c>
      <c r="M903" s="23">
        <f t="shared" si="5932"/>
        <v>-28.402842997338951</v>
      </c>
      <c r="N903" s="37">
        <f>(N870)/(N870+N877)*100</f>
        <v>21.867364648921289</v>
      </c>
      <c r="O903" s="23">
        <f t="shared" si="5932"/>
        <v>-25.378038719133045</v>
      </c>
      <c r="P903" s="37">
        <f>(P870)/(P870+P877)*100</f>
        <v>21.536260405356497</v>
      </c>
      <c r="Q903" s="23">
        <f t="shared" si="5932"/>
        <v>-12.629278549501189</v>
      </c>
      <c r="R903" s="37">
        <f>(R870)/(R870+R877)*100</f>
        <v>21.682145697843072</v>
      </c>
      <c r="S903" s="23">
        <f t="shared" si="5932"/>
        <v>-14.878594460716045</v>
      </c>
      <c r="T903" s="37">
        <f>(T870)/(T870+T877)*100</f>
        <v>22.799893530755377</v>
      </c>
      <c r="U903" s="23">
        <f t="shared" si="5932"/>
        <v>-2.7703762482739758</v>
      </c>
      <c r="V903" s="37">
        <f>(V870)/(V870+V877)*100</f>
        <v>21.581872332586201</v>
      </c>
      <c r="W903" s="23">
        <f t="shared" si="5932"/>
        <v>-1.3055634317104214</v>
      </c>
      <c r="X903" s="37">
        <f>(X870)/(X870+X877)*100</f>
        <v>20.937159332574808</v>
      </c>
      <c r="Y903" s="23">
        <f t="shared" si="5932"/>
        <v>-2.7818249849573706</v>
      </c>
      <c r="Z903" s="37">
        <f>(Z870)/(Z870+Z877)*100</f>
        <v>20.066794165501097</v>
      </c>
      <c r="AA903" s="23">
        <f t="shared" si="5933"/>
        <v>-7.4501461010967667</v>
      </c>
      <c r="AB903" s="37">
        <f>(AB870)/(AB870+AB877)*100</f>
        <v>19.122743073500047</v>
      </c>
      <c r="AC903" s="23">
        <f t="shared" si="5934"/>
        <v>-16.127928195344964</v>
      </c>
      <c r="AD903" s="37">
        <f>(AD870)/(AD870+AD877)*100</f>
        <v>19.364238264682225</v>
      </c>
      <c r="AE903" s="23">
        <f t="shared" si="5935"/>
        <v>-10.275447995100951</v>
      </c>
      <c r="AF903" s="37">
        <f>(AF870)/(AF870+AF877)*100</f>
        <v>17.8807744928008</v>
      </c>
      <c r="AG903" s="23">
        <f t="shared" si="5936"/>
        <v>-14.597896453979653</v>
      </c>
      <c r="AH903" s="37">
        <f>(AH870)/(AH870+AH877)*100</f>
        <v>17.883664625338241</v>
      </c>
      <c r="AI903" s="23">
        <f t="shared" si="5937"/>
        <v>-10.879313965935323</v>
      </c>
      <c r="AJ903" s="37">
        <f>(AJ870)/(AJ870+AJ877)*100</f>
        <v>19.005768245210394</v>
      </c>
      <c r="AK903" s="23">
        <f t="shared" si="5938"/>
        <v>-0.61170527596406954</v>
      </c>
      <c r="AL903" s="37">
        <f>(AL870)/(AL870+AL877)*100</f>
        <v>19.613205264549816</v>
      </c>
      <c r="AM903" s="23">
        <f t="shared" si="5939"/>
        <v>1.2857051047635126</v>
      </c>
      <c r="AN903" s="411">
        <f t="shared" ref="AN903:AP903" si="5965">(AN870)/(AN870+AN877)*100</f>
        <v>20.600176105237658</v>
      </c>
      <c r="AO903" s="23">
        <f t="shared" si="5941"/>
        <v>15.20852250293605</v>
      </c>
      <c r="AP903" s="411">
        <f t="shared" si="5965"/>
        <v>19.28817002656665</v>
      </c>
      <c r="AQ903" s="23">
        <f t="shared" si="5942"/>
        <v>7.8535659813171232</v>
      </c>
      <c r="AR903" s="411">
        <f t="shared" ref="AR903:AT903" si="5966">(AR870)/(AR870+AR877)*100</f>
        <v>18.783357336496103</v>
      </c>
      <c r="AS903" s="23">
        <f t="shared" si="5944"/>
        <v>-1.1702284582489342</v>
      </c>
      <c r="AT903" s="411">
        <f t="shared" si="5966"/>
        <v>18.920792343170973</v>
      </c>
      <c r="AU903" s="23">
        <f t="shared" si="5945"/>
        <v>-3.5303404621495282</v>
      </c>
      <c r="AV903" s="411">
        <f t="shared" ref="AV903" si="5967">(AV870)/(AV870+AV877)*100</f>
        <v>21.454908123791103</v>
      </c>
      <c r="AW903" s="23">
        <f t="shared" si="5947"/>
        <v>4.1491490858475144</v>
      </c>
      <c r="AX903" s="411">
        <f t="shared" ref="AX903" si="5968">(AX870)/(AX870+AX877)*100</f>
        <v>17.454310267542677</v>
      </c>
      <c r="AY903" s="23">
        <f t="shared" si="5949"/>
        <v>-9.5076917950126845</v>
      </c>
      <c r="AZ903" s="411">
        <f t="shared" ref="AZ903" si="5969">(AZ870)/(AZ870+AZ877)*100</f>
        <v>16.955350867918426</v>
      </c>
      <c r="BA903" s="23">
        <f t="shared" si="5951"/>
        <v>-9.7320539445089338</v>
      </c>
      <c r="BB903" s="411">
        <f t="shared" ref="BB903:BD903" si="5970">(BB870)/(BB870+BB877)*100</f>
        <v>18.612442473233656</v>
      </c>
      <c r="BC903" s="23">
        <f t="shared" si="5953"/>
        <v>-1.6296879345468196</v>
      </c>
      <c r="BD903" s="411">
        <f t="shared" si="5970"/>
        <v>23.781602193116054</v>
      </c>
      <c r="BE903" s="23">
        <f t="shared" si="5954"/>
        <v>10.844577175070281</v>
      </c>
      <c r="BF903" s="37">
        <f t="shared" ref="BF903" si="5971">(BF870)/(BF870+BF877)*100</f>
        <v>24.036389673973403</v>
      </c>
      <c r="BG903" s="23">
        <f t="shared" si="5956"/>
        <v>37.710338051400939</v>
      </c>
      <c r="BH903" s="37">
        <f t="shared" ref="BH903" si="5972">(BH870)/(BH870+BH877)*100</f>
        <v>25.041003323616362</v>
      </c>
      <c r="BI903" s="23">
        <f t="shared" si="5958"/>
        <v>47.687909962376352</v>
      </c>
      <c r="BJ903" s="37">
        <f t="shared" ref="BJ903" si="5973">(BJ870)/(BJ870+BJ877)*100</f>
        <v>25.162542924189957</v>
      </c>
      <c r="BK903" s="23">
        <f t="shared" si="5960"/>
        <v>35.192052092979885</v>
      </c>
      <c r="BL903" s="37">
        <f t="shared" ref="BL903" si="5974">(BL870)/(BL870+BL877)*100</f>
        <v>25.266750175338405</v>
      </c>
      <c r="BM903" s="23">
        <f t="shared" si="5962"/>
        <v>6.2449450216278901</v>
      </c>
      <c r="BO903" s="138"/>
      <c r="BQ903" s="6"/>
      <c r="BR903" s="6"/>
      <c r="BS903" s="6"/>
      <c r="BT903" s="6"/>
      <c r="BU903" s="37">
        <f>(BU870)/(BU870+BU877)*100</f>
        <v>24.649287596369668</v>
      </c>
      <c r="BV903" s="23" t="str">
        <f t="shared" si="5963"/>
        <v>NA</v>
      </c>
      <c r="BW903" s="37">
        <f>(BW870)/(BW870+BW877)*100</f>
        <v>21.536260405356497</v>
      </c>
      <c r="BX903" s="23">
        <f t="shared" si="5963"/>
        <v>-12.629278549501189</v>
      </c>
      <c r="BY903" s="37">
        <f>(BY870)/(BY870+BY877)*100</f>
        <v>20.937159332574808</v>
      </c>
      <c r="BZ903" s="23">
        <f t="shared" si="5963"/>
        <v>-2.7818249849573706</v>
      </c>
      <c r="CA903" s="37">
        <f>(CA870)/(CA870+CA877)*100</f>
        <v>17.8807744928008</v>
      </c>
      <c r="CB903" s="23">
        <f t="shared" si="5963"/>
        <v>-14.597896453979653</v>
      </c>
      <c r="CC903" s="37">
        <f>(CC870)/(CC870+CC877)*100</f>
        <v>20.600176105237658</v>
      </c>
      <c r="CD903" s="23">
        <f t="shared" si="5963"/>
        <v>15.20852250293605</v>
      </c>
      <c r="CE903" s="37">
        <f>(CE870)/(CE870+CE877)*100</f>
        <v>21.454908123791103</v>
      </c>
      <c r="CF903" s="23">
        <f t="shared" si="5963"/>
        <v>4.1491490858475144</v>
      </c>
      <c r="CG903" s="37">
        <f>(CG870)/(CG870+CG877)*100</f>
        <v>23.781602193116054</v>
      </c>
      <c r="CH903" s="23">
        <f t="shared" si="5963"/>
        <v>10.844577175070281</v>
      </c>
      <c r="CI903" s="37">
        <f>(CI870)/(CI870+CI877)*100</f>
        <v>25.266750175338405</v>
      </c>
      <c r="CJ903" s="23">
        <f t="shared" si="5963"/>
        <v>6.2449450216278901</v>
      </c>
      <c r="CK903" s="37">
        <f>(CK870)/(CK870+CK877)*100</f>
        <v>24.849052240785731</v>
      </c>
      <c r="CL903" s="23">
        <f t="shared" si="5963"/>
        <v>-1.6531525884969867</v>
      </c>
      <c r="CM903" s="37">
        <f>(CM870)/(CM870+CM877)*100</f>
        <v>24.376076986459609</v>
      </c>
      <c r="CN903" s="23">
        <f t="shared" si="5963"/>
        <v>-1.9033935368762633</v>
      </c>
      <c r="CO903" s="37">
        <f>(CO870)/(CO870+CO877)*100</f>
        <v>23.856355929540985</v>
      </c>
      <c r="CP903" s="23">
        <f t="shared" si="5963"/>
        <v>-2.1320947468590479</v>
      </c>
      <c r="CQ903" s="37">
        <f>(CQ870)/(CQ870+CQ877)*100</f>
        <v>23.297459063268715</v>
      </c>
      <c r="CR903" s="23">
        <f t="shared" si="5963"/>
        <v>-2.3427587512650949</v>
      </c>
      <c r="CS903" s="23">
        <f t="shared" si="5964"/>
        <v>-0.41051433880824328</v>
      </c>
    </row>
    <row r="904" spans="1:105" ht="12.75" customHeight="1" x14ac:dyDescent="0.2">
      <c r="A904" s="19" t="s">
        <v>77</v>
      </c>
      <c r="B904" s="37">
        <f>B870/B877*100</f>
        <v>107.45525727069352</v>
      </c>
      <c r="C904" s="59"/>
      <c r="D904" s="37">
        <f>D870/D877*100</f>
        <v>48.703409036115545</v>
      </c>
      <c r="E904" s="59"/>
      <c r="F904" s="37">
        <f>F870/F877*100</f>
        <v>41.4511076664729</v>
      </c>
      <c r="G904" s="59"/>
      <c r="H904" s="37">
        <f>H870/H877*100</f>
        <v>32.712746582051018</v>
      </c>
      <c r="I904" s="59"/>
      <c r="J904" s="37">
        <f>J870/J877*100</f>
        <v>34.177803700792055</v>
      </c>
      <c r="K904" s="23" t="str">
        <f t="shared" si="5932"/>
        <v>NM</v>
      </c>
      <c r="L904" s="37">
        <f>L870/L877*100</f>
        <v>30.632777336510465</v>
      </c>
      <c r="M904" s="23">
        <f t="shared" si="5932"/>
        <v>-37.103422649952442</v>
      </c>
      <c r="N904" s="37">
        <f>N870/N877*100</f>
        <v>27.987491463283131</v>
      </c>
      <c r="O904" s="23">
        <f t="shared" si="5932"/>
        <v>-32.48071513919907</v>
      </c>
      <c r="P904" s="37">
        <f>P870/P877*100</f>
        <v>27.44740502634253</v>
      </c>
      <c r="Q904" s="23">
        <f t="shared" si="5932"/>
        <v>-16.095687784887801</v>
      </c>
      <c r="R904" s="37">
        <f>R870/R877*100</f>
        <v>27.684805579825404</v>
      </c>
      <c r="S904" s="23">
        <f t="shared" si="5932"/>
        <v>-18.997704410175942</v>
      </c>
      <c r="T904" s="37">
        <f>T870/T877*100</f>
        <v>29.533500112255052</v>
      </c>
      <c r="U904" s="23">
        <f t="shared" si="5932"/>
        <v>-3.5885653206678469</v>
      </c>
      <c r="V904" s="37">
        <f>V870/V877*100</f>
        <v>27.521534847298355</v>
      </c>
      <c r="W904" s="23">
        <f t="shared" si="5932"/>
        <v>-1.6648745265221976</v>
      </c>
      <c r="X904" s="37">
        <f>X870/X877*100</f>
        <v>26.481668449842527</v>
      </c>
      <c r="Y904" s="23">
        <f t="shared" si="5932"/>
        <v>-3.5184986543286723</v>
      </c>
      <c r="Z904" s="37">
        <f>Z870/Z877*100</f>
        <v>25.104453094311324</v>
      </c>
      <c r="AA904" s="23">
        <f t="shared" si="5933"/>
        <v>-9.3204645345042465</v>
      </c>
      <c r="AB904" s="37">
        <f>AB870/AB877*100</f>
        <v>23.644153869954458</v>
      </c>
      <c r="AC904" s="23">
        <f t="shared" si="5934"/>
        <v>-19.941240353888102</v>
      </c>
      <c r="AD904" s="37">
        <f>AD870/AD877*100</f>
        <v>24.014454440505219</v>
      </c>
      <c r="AE904" s="23">
        <f t="shared" si="5935"/>
        <v>-12.743040772442271</v>
      </c>
      <c r="AF904" s="37">
        <f>AF870/AF877*100</f>
        <v>21.774163580285148</v>
      </c>
      <c r="AG904" s="23">
        <f t="shared" si="5936"/>
        <v>-17.776466307149818</v>
      </c>
      <c r="AH904" s="37">
        <f>AH870/AH877*100</f>
        <v>21.778449493322761</v>
      </c>
      <c r="AI904" s="23">
        <f t="shared" si="5937"/>
        <v>-13.248659863226564</v>
      </c>
      <c r="AJ904" s="37">
        <f>AJ870/AJ877*100</f>
        <v>23.465582466107517</v>
      </c>
      <c r="AK904" s="23">
        <f t="shared" si="5938"/>
        <v>-0.7552454819449439</v>
      </c>
      <c r="AL904" s="37">
        <f>AL870/AL877*100</f>
        <v>24.398541239386532</v>
      </c>
      <c r="AM904" s="23">
        <f t="shared" si="5939"/>
        <v>1.5993983949661228</v>
      </c>
      <c r="AN904" s="411">
        <f t="shared" ref="AN904:AP904" si="5975">AN870/AN877*100</f>
        <v>25.944863722294176</v>
      </c>
      <c r="AO904" s="23">
        <f t="shared" si="5941"/>
        <v>19.154352940497255</v>
      </c>
      <c r="AP904" s="411">
        <f t="shared" si="5975"/>
        <v>23.897574906820275</v>
      </c>
      <c r="AQ904" s="23">
        <f t="shared" si="5942"/>
        <v>9.730377794558942</v>
      </c>
      <c r="AR904" s="411">
        <f t="shared" ref="AR904:AT904" si="5976">AR870/AR877*100</f>
        <v>23.12747328687194</v>
      </c>
      <c r="AS904" s="23">
        <f t="shared" si="5944"/>
        <v>-1.4408727323258375</v>
      </c>
      <c r="AT904" s="411">
        <f t="shared" si="5976"/>
        <v>23.3361830856241</v>
      </c>
      <c r="AU904" s="23">
        <f t="shared" si="5945"/>
        <v>-4.3541871759425916</v>
      </c>
      <c r="AV904" s="411">
        <f t="shared" ref="AV904" si="5977">AV870/AV877*100</f>
        <v>27.315402670360537</v>
      </c>
      <c r="AW904" s="23">
        <f t="shared" si="5947"/>
        <v>5.2825058660403323</v>
      </c>
      <c r="AX904" s="411">
        <f t="shared" ref="AX904" si="5978">AX870/AX877*100</f>
        <v>21.145029285132459</v>
      </c>
      <c r="AY904" s="23">
        <f t="shared" si="5949"/>
        <v>-11.518096009408263</v>
      </c>
      <c r="AZ904" s="411">
        <f t="shared" ref="AZ904" si="5979">AZ870/AZ877*100</f>
        <v>20.417150346377081</v>
      </c>
      <c r="BA904" s="23">
        <f t="shared" si="5951"/>
        <v>-11.719062030149852</v>
      </c>
      <c r="BB904" s="411">
        <f t="shared" ref="BB904:BD904" si="5980">BB870/BB877*100</f>
        <v>22.86890409152835</v>
      </c>
      <c r="BC904" s="23">
        <f t="shared" si="5953"/>
        <v>-2.0023797052895476</v>
      </c>
      <c r="BD904" s="411">
        <f t="shared" si="5980"/>
        <v>31.201918273553801</v>
      </c>
      <c r="BE904" s="23">
        <f t="shared" si="5954"/>
        <v>14.228293282348181</v>
      </c>
      <c r="BF904" s="37">
        <f t="shared" ref="BF904" si="5981">BF870/BF877*100</f>
        <v>31.641979061832547</v>
      </c>
      <c r="BG904" s="23">
        <f t="shared" si="5956"/>
        <v>49.642635321771465</v>
      </c>
      <c r="BH904" s="37">
        <f t="shared" ref="BH904" si="5982">BH870/BH877*100</f>
        <v>33.406268005059502</v>
      </c>
      <c r="BI904" s="23">
        <f t="shared" si="5958"/>
        <v>63.618660970419285</v>
      </c>
      <c r="BJ904" s="37">
        <f t="shared" ref="BJ904" si="5983">BJ870/BJ877*100</f>
        <v>33.622926148733782</v>
      </c>
      <c r="BK904" s="23">
        <f t="shared" si="5960"/>
        <v>47.024649778426394</v>
      </c>
      <c r="BL904" s="37">
        <f t="shared" ref="BL904" si="5984">BL870/BL877*100</f>
        <v>33.809248540133076</v>
      </c>
      <c r="BM904" s="23">
        <f t="shared" si="5962"/>
        <v>8.3563140051847498</v>
      </c>
      <c r="BO904" s="138"/>
      <c r="BQ904" s="6"/>
      <c r="BR904" s="6"/>
      <c r="BS904" s="6"/>
      <c r="BT904" s="6"/>
      <c r="BU904" s="37">
        <f>BU870/BU877*100</f>
        <v>32.712746582051018</v>
      </c>
      <c r="BV904" s="23" t="str">
        <f t="shared" si="5963"/>
        <v>NA</v>
      </c>
      <c r="BW904" s="37">
        <f>BW870/BW877*100</f>
        <v>27.44740502634253</v>
      </c>
      <c r="BX904" s="23">
        <f t="shared" si="5963"/>
        <v>-16.095687784887801</v>
      </c>
      <c r="BY904" s="37">
        <f>BY870/BY877*100</f>
        <v>26.481668449842527</v>
      </c>
      <c r="BZ904" s="23">
        <f t="shared" si="5963"/>
        <v>-3.5184986543286723</v>
      </c>
      <c r="CA904" s="37">
        <f>CA870/CA877*100</f>
        <v>21.774163580285148</v>
      </c>
      <c r="CB904" s="23">
        <f t="shared" si="5963"/>
        <v>-17.776466307149818</v>
      </c>
      <c r="CC904" s="37">
        <f>CC870/CC877*100</f>
        <v>25.944863722294176</v>
      </c>
      <c r="CD904" s="23">
        <f t="shared" si="5963"/>
        <v>19.154352940497255</v>
      </c>
      <c r="CE904" s="37">
        <f>CE870/CE877*100</f>
        <v>27.315402670360537</v>
      </c>
      <c r="CF904" s="23">
        <f t="shared" si="5963"/>
        <v>5.2825058660403323</v>
      </c>
      <c r="CG904" s="37">
        <f>CG870/CG877*100</f>
        <v>31.201918273553801</v>
      </c>
      <c r="CH904" s="23">
        <f t="shared" si="5963"/>
        <v>14.228293282348181</v>
      </c>
      <c r="CI904" s="37">
        <f>CI870/CI877*100</f>
        <v>33.809248540133076</v>
      </c>
      <c r="CJ904" s="23">
        <f t="shared" si="5963"/>
        <v>8.3563140051847498</v>
      </c>
      <c r="CK904" s="37">
        <f>CK870/CK877*100</f>
        <v>33.065520770812881</v>
      </c>
      <c r="CL904" s="23">
        <f t="shared" si="5963"/>
        <v>-2.1997761010196903</v>
      </c>
      <c r="CM904" s="37">
        <f>CM870/CM877*100</f>
        <v>32.23328811187843</v>
      </c>
      <c r="CN904" s="23">
        <f t="shared" si="5963"/>
        <v>-2.5169198595204612</v>
      </c>
      <c r="CO904" s="37">
        <f>CO870/CO877*100</f>
        <v>31.330725263773378</v>
      </c>
      <c r="CP904" s="23">
        <f t="shared" si="5963"/>
        <v>-2.8000954943608325</v>
      </c>
      <c r="CQ904" s="37">
        <f>CQ870/CQ877*100</f>
        <v>30.373777424773728</v>
      </c>
      <c r="CR904" s="23">
        <f t="shared" si="5963"/>
        <v>-3.0543430799737536</v>
      </c>
      <c r="CS904" s="23">
        <f t="shared" si="5964"/>
        <v>-0.53655387178566105</v>
      </c>
    </row>
    <row r="905" spans="1:105" ht="12.75" customHeight="1" x14ac:dyDescent="0.2">
      <c r="A905" s="19" t="s">
        <v>78</v>
      </c>
      <c r="B905" s="37">
        <f>+B877/(B846-B838)*100</f>
        <v>6.5638344834421947</v>
      </c>
      <c r="C905" s="59"/>
      <c r="D905" s="37">
        <f>+D877/(D846-D838)*100</f>
        <v>9.4711604329360171</v>
      </c>
      <c r="E905" s="59"/>
      <c r="F905" s="37">
        <f>+F877/(F846-F838)*100</f>
        <v>10.836413583136126</v>
      </c>
      <c r="G905" s="59"/>
      <c r="H905" s="37">
        <f>+H877/(H846-H838)*100</f>
        <v>10.755774724160116</v>
      </c>
      <c r="I905" s="59"/>
      <c r="J905" s="37">
        <f>+J877/(J846-J838)*100</f>
        <v>10.485073932361395</v>
      </c>
      <c r="K905" s="23">
        <f t="shared" si="5932"/>
        <v>59.74007203884932</v>
      </c>
      <c r="L905" s="37">
        <f>+L877/(L846-L838)*100</f>
        <v>10.864549730074085</v>
      </c>
      <c r="M905" s="23">
        <f t="shared" si="5932"/>
        <v>14.711917372791493</v>
      </c>
      <c r="N905" s="37">
        <f>+N877/(N846-N838)*100</f>
        <v>11.798718218398218</v>
      </c>
      <c r="O905" s="23">
        <f t="shared" si="5932"/>
        <v>8.8802870791093724</v>
      </c>
      <c r="P905" s="37">
        <f>+P877/(P846-P838)*100</f>
        <v>11.686409471155629</v>
      </c>
      <c r="Q905" s="23">
        <f t="shared" si="5932"/>
        <v>8.6524194756987463</v>
      </c>
      <c r="R905" s="37">
        <f>+R877/(R846-R838)*100</f>
        <v>11.372319890073779</v>
      </c>
      <c r="S905" s="23">
        <f t="shared" si="5932"/>
        <v>8.4619904774726038</v>
      </c>
      <c r="T905" s="37">
        <f>+T877/(T846-T838)*100</f>
        <v>10.854818242110593</v>
      </c>
      <c r="U905" s="23">
        <f t="shared" si="5932"/>
        <v>-8.9571019556888842E-2</v>
      </c>
      <c r="V905" s="37">
        <f>+V877/(V846-V838)*100</f>
        <v>11.220987552348499</v>
      </c>
      <c r="W905" s="23">
        <f t="shared" si="5932"/>
        <v>-4.8965544846120697</v>
      </c>
      <c r="X905" s="37">
        <f>+X877/(X846-X838)*100</f>
        <v>11.622288326834274</v>
      </c>
      <c r="Y905" s="23">
        <f t="shared" si="5932"/>
        <v>-0.54868130780132418</v>
      </c>
      <c r="Z905" s="37">
        <f>+Z877/(Z846-Z838)*100</f>
        <v>12.104621135689504</v>
      </c>
      <c r="AA905" s="23">
        <f t="shared" si="5933"/>
        <v>6.4393303450328343</v>
      </c>
      <c r="AB905" s="37">
        <f>+AB877/(AB846-AB838)*100</f>
        <v>12.660414988358998</v>
      </c>
      <c r="AC905" s="23">
        <f t="shared" si="5934"/>
        <v>16.634057853163341</v>
      </c>
      <c r="AD905" s="37">
        <f>+AD877/(AD846-AD838)*100</f>
        <v>12.485958829625266</v>
      </c>
      <c r="AE905" s="23">
        <f t="shared" si="5935"/>
        <v>11.273261567891279</v>
      </c>
      <c r="AF905" s="37">
        <f>+AF877/(AF846-AF838)*100</f>
        <v>13.35247500680185</v>
      </c>
      <c r="AG905" s="23">
        <f t="shared" si="5936"/>
        <v>14.8867988068478</v>
      </c>
      <c r="AH905" s="37">
        <f>+AH877/(AH846-AH838)*100</f>
        <v>13.234503292148689</v>
      </c>
      <c r="AI905" s="23">
        <f t="shared" si="5937"/>
        <v>9.3343041784911271</v>
      </c>
      <c r="AJ905" s="37">
        <f>+AJ877/(AJ846-AJ838)*100</f>
        <v>12.353623063067856</v>
      </c>
      <c r="AK905" s="23">
        <f t="shared" si="5938"/>
        <v>-2.4232375129348505</v>
      </c>
      <c r="AL905" s="37">
        <f>+AL877/(AL846-AL838)*100</f>
        <v>11.522005456904889</v>
      </c>
      <c r="AM905" s="23">
        <f t="shared" si="5939"/>
        <v>-7.7202991446136959</v>
      </c>
      <c r="AN905" s="411">
        <f>+AN877/(AN846-AN838)*100</f>
        <v>11.036942599815335</v>
      </c>
      <c r="AO905" s="23">
        <f t="shared" si="5941"/>
        <v>-17.34159701333996</v>
      </c>
      <c r="AP905" s="411">
        <f>+AP877/(AP846-AP838)*100</f>
        <v>12.231197915301069</v>
      </c>
      <c r="AQ905" s="23">
        <f t="shared" si="5942"/>
        <v>-7.5809824872145164</v>
      </c>
      <c r="AR905" s="411">
        <f>+AR877/(AR846-AR838)*100</f>
        <v>12.702170703248896</v>
      </c>
      <c r="AS905" s="23">
        <f t="shared" si="5944"/>
        <v>2.8214203914238789</v>
      </c>
      <c r="AT905" s="411">
        <f>+AT877/(AT846-AT838)*100</f>
        <v>12.603763888716207</v>
      </c>
      <c r="AU905" s="23">
        <f t="shared" si="5945"/>
        <v>9.388629747289734</v>
      </c>
      <c r="AV905" s="411">
        <f>+AV877/(AV846-AV838)*100</f>
        <v>8.731243398401908</v>
      </c>
      <c r="AW905" s="23">
        <f t="shared" si="5947"/>
        <v>-20.890741983672221</v>
      </c>
      <c r="AX905" s="411">
        <f>+AX877/(AX846-AX838)*100</f>
        <v>8.773040247568451</v>
      </c>
      <c r="AY905" s="23">
        <f t="shared" si="5949"/>
        <v>-28.273254113617995</v>
      </c>
      <c r="AZ905" s="411">
        <f>+AZ877/(AZ846-AZ838)*100</f>
        <v>9.0560972747946469</v>
      </c>
      <c r="BA905" s="23">
        <f t="shared" si="5951"/>
        <v>-28.704333405956163</v>
      </c>
      <c r="BB905" s="411">
        <f>+BB877/(BB846-BB838)*100</f>
        <v>9.1395222111691155</v>
      </c>
      <c r="BC905" s="23">
        <f t="shared" si="5953"/>
        <v>-27.485770981861446</v>
      </c>
      <c r="BD905" s="411">
        <f>+BD877/(BD846-BD838)*100</f>
        <v>6.9062355530715465</v>
      </c>
      <c r="BE905" s="23">
        <f t="shared" si="5954"/>
        <v>-20.90203837020962</v>
      </c>
      <c r="BF905" s="37">
        <f>+BF877/(BF846-BF838)*100</f>
        <v>11.353055547919828</v>
      </c>
      <c r="BG905" s="23">
        <f t="shared" si="5956"/>
        <v>29.408451660374602</v>
      </c>
      <c r="BH905" s="37">
        <f>+BH877/(BH846-BH838)*100</f>
        <v>10.621985926803765</v>
      </c>
      <c r="BI905" s="23">
        <f t="shared" si="5958"/>
        <v>17.290987546781022</v>
      </c>
      <c r="BJ905" s="37">
        <f>+BJ877/(BJ846-BJ838)*100</f>
        <v>10.424175270073089</v>
      </c>
      <c r="BK905" s="23">
        <f t="shared" si="5960"/>
        <v>14.056019879617354</v>
      </c>
      <c r="BL905" s="37">
        <f>+BL877/(BL846-BL838)*100</f>
        <v>10.239331515506478</v>
      </c>
      <c r="BM905" s="23">
        <f t="shared" si="5962"/>
        <v>48.262123943231842</v>
      </c>
      <c r="BQ905" s="6"/>
      <c r="BR905" s="6"/>
      <c r="BS905" s="6"/>
      <c r="BT905" s="6"/>
      <c r="BU905" s="37">
        <f>+BU877/(BU846-BU838)*100</f>
        <v>10.755774724160116</v>
      </c>
      <c r="BV905" s="23" t="str">
        <f t="shared" si="5963"/>
        <v>NA</v>
      </c>
      <c r="BW905" s="37">
        <f>+BW877/(BW846-BW838)*100</f>
        <v>11.686409471155629</v>
      </c>
      <c r="BX905" s="23">
        <f t="shared" si="5963"/>
        <v>8.6524194756987463</v>
      </c>
      <c r="BY905" s="37">
        <f>+BY877/(BY846-BY838)*100</f>
        <v>11.622288326834274</v>
      </c>
      <c r="BZ905" s="23">
        <f t="shared" si="5963"/>
        <v>-0.54868130780132418</v>
      </c>
      <c r="CA905" s="37">
        <f>+CA877/(CA846-CA838)*100</f>
        <v>13.35247500680185</v>
      </c>
      <c r="CB905" s="23">
        <f t="shared" si="5963"/>
        <v>14.8867988068478</v>
      </c>
      <c r="CC905" s="37">
        <f>+CC877/(CC846-CC838)*100</f>
        <v>11.036942599815335</v>
      </c>
      <c r="CD905" s="23">
        <f t="shared" si="5963"/>
        <v>-17.34159701333996</v>
      </c>
      <c r="CE905" s="37">
        <f>+CE877/(CE846-CE838)*100</f>
        <v>15.089074834007985</v>
      </c>
      <c r="CF905" s="23">
        <f t="shared" si="5963"/>
        <v>36.714263914541398</v>
      </c>
      <c r="CG905" s="37">
        <f>+CG877/(CG846-CG838)*100</f>
        <v>11.655312954876273</v>
      </c>
      <c r="CH905" s="23">
        <f t="shared" si="5963"/>
        <v>-22.756609778305613</v>
      </c>
      <c r="CI905" s="37">
        <f>+CI877/(CI846-CI838)*100</f>
        <v>10.239331515506478</v>
      </c>
      <c r="CJ905" s="23">
        <f t="shared" si="5963"/>
        <v>-12.148806684572</v>
      </c>
      <c r="CK905" s="37">
        <f>+CK877/(CK846-CK838)*100</f>
        <v>10.34065814671515</v>
      </c>
      <c r="CL905" s="23">
        <f t="shared" si="5963"/>
        <v>0.98958248451299635</v>
      </c>
      <c r="CM905" s="37">
        <f>+CM877/(CM846-CM838)*100</f>
        <v>10.476639779158479</v>
      </c>
      <c r="CN905" s="23">
        <f t="shared" si="5963"/>
        <v>1.3150191265777877</v>
      </c>
      <c r="CO905" s="37">
        <f>+CO877/(CO846-CO838)*100</f>
        <v>10.645008868011967</v>
      </c>
      <c r="CP905" s="23">
        <f t="shared" si="5963"/>
        <v>1.6070905595936491</v>
      </c>
      <c r="CQ905" s="37">
        <f>+CQ877/(CQ846-CQ838)*100</f>
        <v>10.844123028455689</v>
      </c>
      <c r="CR905" s="23">
        <f t="shared" si="5963"/>
        <v>1.8704931382636625</v>
      </c>
      <c r="CS905" s="23">
        <f t="shared" si="5964"/>
        <v>-1.4324187845718317</v>
      </c>
    </row>
    <row r="906" spans="1:105" ht="12.75" customHeight="1" x14ac:dyDescent="0.2">
      <c r="A906" s="19" t="s">
        <v>79</v>
      </c>
      <c r="B906" s="37">
        <f>+B877/B846*100</f>
        <v>3.4432638983505361</v>
      </c>
      <c r="C906" s="59"/>
      <c r="D906" s="37">
        <f>+D877/D846*100</f>
        <v>5.0183903595799242</v>
      </c>
      <c r="E906" s="59"/>
      <c r="F906" s="37">
        <f>+F877/F846*100</f>
        <v>6.2263052650945081</v>
      </c>
      <c r="G906" s="59"/>
      <c r="H906" s="37">
        <f>+H877/H846*100</f>
        <v>6.0685415733339614</v>
      </c>
      <c r="I906" s="59"/>
      <c r="J906" s="37">
        <f>+J877/J846*100</f>
        <v>5.6366086292776414</v>
      </c>
      <c r="K906" s="23">
        <f t="shared" si="5932"/>
        <v>63.699582595972593</v>
      </c>
      <c r="L906" s="37">
        <f>+L877/L846*100</f>
        <v>6.0814141757594893</v>
      </c>
      <c r="M906" s="23">
        <f t="shared" si="5932"/>
        <v>21.182565324961054</v>
      </c>
      <c r="N906" s="37">
        <f>+N877/N846*100</f>
        <v>6.4938429750908702</v>
      </c>
      <c r="O906" s="23">
        <f t="shared" si="5932"/>
        <v>4.2968935605553149</v>
      </c>
      <c r="P906" s="37">
        <f>+P877/P846*100</f>
        <v>6.4118631645395316</v>
      </c>
      <c r="Q906" s="23">
        <f t="shared" si="5932"/>
        <v>5.6573986856112812</v>
      </c>
      <c r="R906" s="37">
        <f>+R877/R846*100</f>
        <v>6.063436721756851</v>
      </c>
      <c r="S906" s="23">
        <f t="shared" si="5932"/>
        <v>7.5724273326727154</v>
      </c>
      <c r="T906" s="37">
        <f>+T877/T846*100</f>
        <v>5.7440120484424755</v>
      </c>
      <c r="U906" s="23">
        <f t="shared" si="5932"/>
        <v>-5.5480866384976402</v>
      </c>
      <c r="V906" s="37">
        <f>+V877/V846*100</f>
        <v>5.8669969704794021</v>
      </c>
      <c r="W906" s="23">
        <f t="shared" si="5932"/>
        <v>-9.6529282739962863</v>
      </c>
      <c r="X906" s="37">
        <f>+X877/X846*100</f>
        <v>6.004889984399826</v>
      </c>
      <c r="Y906" s="23">
        <f t="shared" si="5932"/>
        <v>-6.3471906635570345</v>
      </c>
      <c r="Z906" s="37">
        <f>+Z877/Z846*100</f>
        <v>6.2643533396835132</v>
      </c>
      <c r="AA906" s="23">
        <f t="shared" si="5933"/>
        <v>3.3135765597376965</v>
      </c>
      <c r="AB906" s="37">
        <f>+AB877/AB846*100</f>
        <v>6.5184279062426009</v>
      </c>
      <c r="AC906" s="23">
        <f t="shared" si="5934"/>
        <v>13.4821419465879</v>
      </c>
      <c r="AD906" s="37">
        <f>+AD877/AD846*100</f>
        <v>6.5264609872859927</v>
      </c>
      <c r="AE906" s="23">
        <f t="shared" si="5935"/>
        <v>11.24023107775194</v>
      </c>
      <c r="AF906" s="37">
        <f>+AF877/AF846*100</f>
        <v>7.1150355593139221</v>
      </c>
      <c r="AG906" s="23">
        <f t="shared" si="5936"/>
        <v>18.487359098970281</v>
      </c>
      <c r="AH906" s="37">
        <f>+AH877/AH846*100</f>
        <v>7.0491375237636174</v>
      </c>
      <c r="AI906" s="23">
        <f t="shared" si="5937"/>
        <v>12.52777647628276</v>
      </c>
      <c r="AJ906" s="37">
        <f>+AJ877/AJ846*100</f>
        <v>6.5563887475390032</v>
      </c>
      <c r="AK906" s="23">
        <f t="shared" si="5938"/>
        <v>0.58236191060805353</v>
      </c>
      <c r="AL906" s="37">
        <f>+AL877/AL846*100</f>
        <v>6.5319471522263157</v>
      </c>
      <c r="AM906" s="23">
        <f t="shared" si="5939"/>
        <v>8.4060334552082949E-2</v>
      </c>
      <c r="AN906" s="411">
        <f>+AN877/AN846*100</f>
        <v>6.156162485521163</v>
      </c>
      <c r="AO906" s="23">
        <f t="shared" si="5941"/>
        <v>-13.476715130925076</v>
      </c>
      <c r="AP906" s="411">
        <f>+AP877/AP846*100</f>
        <v>6.7573736832833573</v>
      </c>
      <c r="AQ906" s="23">
        <f t="shared" si="5942"/>
        <v>-4.1390005443457945</v>
      </c>
      <c r="AR906" s="411">
        <f>+AR877/AR846*100</f>
        <v>7.0664871447511084</v>
      </c>
      <c r="AS906" s="23">
        <f t="shared" si="5944"/>
        <v>7.7801731540640517</v>
      </c>
      <c r="AT906" s="411">
        <f>+AT877/AT846*100</f>
        <v>6.9553778161595661</v>
      </c>
      <c r="AU906" s="23">
        <f t="shared" si="5945"/>
        <v>6.4824569774562635</v>
      </c>
      <c r="AV906" s="411">
        <f>+AV877/AV846*100</f>
        <v>6.0435993053430357</v>
      </c>
      <c r="AW906" s="23">
        <f t="shared" si="5947"/>
        <v>-1.8284634371309672</v>
      </c>
      <c r="AX906" s="411">
        <f>+AX877/AX846*100</f>
        <v>5.9300174673413162</v>
      </c>
      <c r="AY906" s="23">
        <f t="shared" si="5949"/>
        <v>-12.243754078434133</v>
      </c>
      <c r="AZ906" s="411">
        <f>+AZ877/AZ846*100</f>
        <v>6.0641058072356895</v>
      </c>
      <c r="BA906" s="23">
        <f t="shared" si="5951"/>
        <v>-14.185001925036744</v>
      </c>
      <c r="BB906" s="411">
        <f>+BB877/BB846*100</f>
        <v>6.0145520034115636</v>
      </c>
      <c r="BC906" s="23">
        <f t="shared" si="5953"/>
        <v>-13.526595357079863</v>
      </c>
      <c r="BD906" s="411">
        <f>+BD877/BD846*100</f>
        <v>4.4977800945482</v>
      </c>
      <c r="BE906" s="23">
        <f t="shared" si="5954"/>
        <v>-25.577791191884693</v>
      </c>
      <c r="BF906" s="37">
        <f>+BF877/BF846*100</f>
        <v>5.9702544300847791</v>
      </c>
      <c r="BG906" s="23">
        <f t="shared" si="5956"/>
        <v>0.67853025669928346</v>
      </c>
      <c r="BH906" s="37">
        <f>+BH877/BH846*100</f>
        <v>5.5920332795251824</v>
      </c>
      <c r="BI906" s="23">
        <f t="shared" si="5958"/>
        <v>-7.7847013676316523</v>
      </c>
      <c r="BJ906" s="37">
        <f>+BJ877/BJ846*100</f>
        <v>5.4940876632906299</v>
      </c>
      <c r="BK906" s="23">
        <f t="shared" si="5960"/>
        <v>-8.6534182400570643</v>
      </c>
      <c r="BL906" s="37">
        <f>+BL877/BL846*100</f>
        <v>5.402828172981752</v>
      </c>
      <c r="BM906" s="23">
        <f t="shared" si="5962"/>
        <v>20.122106003594276</v>
      </c>
      <c r="BQ906" s="6"/>
      <c r="BR906" s="6"/>
      <c r="BS906" s="6"/>
      <c r="BT906" s="6"/>
      <c r="BU906" s="37">
        <f>+BU877/BU846*100</f>
        <v>6.0685415733339614</v>
      </c>
      <c r="BV906" s="23" t="str">
        <f t="shared" si="5963"/>
        <v>NA</v>
      </c>
      <c r="BW906" s="37">
        <f>+BW877/BW846*100</f>
        <v>6.4118631645395316</v>
      </c>
      <c r="BX906" s="23">
        <f t="shared" si="5963"/>
        <v>5.6573986856112812</v>
      </c>
      <c r="BY906" s="37">
        <f>+BY877/BY846*100</f>
        <v>6.004889984399826</v>
      </c>
      <c r="BZ906" s="23">
        <f t="shared" si="5963"/>
        <v>-6.3471906635570345</v>
      </c>
      <c r="CA906" s="37">
        <f>+CA877/CA846*100</f>
        <v>7.1150355593139221</v>
      </c>
      <c r="CB906" s="23">
        <f t="shared" si="5963"/>
        <v>18.487359098970281</v>
      </c>
      <c r="CC906" s="37">
        <f>+CC877/CC846*100</f>
        <v>6.156162485521163</v>
      </c>
      <c r="CD906" s="23">
        <f t="shared" si="5963"/>
        <v>-13.476715130925076</v>
      </c>
      <c r="CE906" s="37">
        <f>+CE877/CE846*100</f>
        <v>8.5319716671175208</v>
      </c>
      <c r="CF906" s="23">
        <f t="shared" si="5963"/>
        <v>38.592372881386481</v>
      </c>
      <c r="CG906" s="37">
        <f>+CG877/CG846*100</f>
        <v>6.1224614631759238</v>
      </c>
      <c r="CH906" s="23">
        <f t="shared" si="5963"/>
        <v>-28.240954118822536</v>
      </c>
      <c r="CI906" s="37">
        <f>+CI877/CI846*100</f>
        <v>5.402828172981752</v>
      </c>
      <c r="CJ906" s="23">
        <f t="shared" si="5963"/>
        <v>-11.753986440298048</v>
      </c>
      <c r="CK906" s="37">
        <f>+CK877/CK846*100</f>
        <v>5.4625966562486878</v>
      </c>
      <c r="CL906" s="23">
        <f t="shared" si="5963"/>
        <v>1.1062443844841008</v>
      </c>
      <c r="CM906" s="37">
        <f>+CM877/CM846*100</f>
        <v>5.5408961477739664</v>
      </c>
      <c r="CN906" s="23">
        <f t="shared" si="5963"/>
        <v>1.4333749396582496</v>
      </c>
      <c r="CO906" s="37">
        <f>+CO877/CO846*100</f>
        <v>5.6365923556567177</v>
      </c>
      <c r="CP906" s="23">
        <f t="shared" si="5963"/>
        <v>1.7270890002368366</v>
      </c>
      <c r="CQ906" s="37">
        <f>+CQ877/CQ846*100</f>
        <v>5.7488781867662277</v>
      </c>
      <c r="CR906" s="23">
        <f t="shared" si="5963"/>
        <v>1.9920871339369262</v>
      </c>
      <c r="CS906" s="23">
        <f t="shared" si="5964"/>
        <v>-1.251294933303615</v>
      </c>
    </row>
    <row r="907" spans="1:105" ht="12.75" customHeight="1" x14ac:dyDescent="0.2">
      <c r="A907" s="19" t="s">
        <v>80</v>
      </c>
      <c r="B907" s="37">
        <f>(B677*4)/AVERAGE(B846)*100</f>
        <v>0.31352757907061723</v>
      </c>
      <c r="C907" s="59"/>
      <c r="D907" s="37">
        <f>(D677*4)/AVERAGE(D846, B846)*100</f>
        <v>0.3772861205015498</v>
      </c>
      <c r="E907" s="59"/>
      <c r="F907" s="37">
        <f>(F677*4)/AVERAGE(F846, D846)*100</f>
        <v>0.39341344382895416</v>
      </c>
      <c r="G907" s="59"/>
      <c r="H907" s="37">
        <f>(H677*4)/AVERAGE(H846, F846)*100</f>
        <v>0.33845159881483516</v>
      </c>
      <c r="I907" s="59"/>
      <c r="J907" s="37">
        <f>(J677*4)/AVERAGE(J846, H846)*100</f>
        <v>0.30186262392701357</v>
      </c>
      <c r="K907" s="23">
        <f t="shared" si="5932"/>
        <v>-3.7205515311226622</v>
      </c>
      <c r="L907" s="37">
        <f>(L677*4)/AVERAGE(L846, J846)*100</f>
        <v>0.24582694935337646</v>
      </c>
      <c r="M907" s="23">
        <f t="shared" si="5932"/>
        <v>-34.843362637728767</v>
      </c>
      <c r="N907" s="37">
        <f>(N677*4)/AVERAGE(N846, L846)*100</f>
        <v>0.33014422793236953</v>
      </c>
      <c r="O907" s="23">
        <f t="shared" si="5932"/>
        <v>-16.082118414868518</v>
      </c>
      <c r="P907" s="37">
        <f>(P677*4)/AVERAGE(P846, N846)*100</f>
        <v>0.25183927350554414</v>
      </c>
      <c r="Q907" s="23">
        <f t="shared" si="5932"/>
        <v>-25.590756732301955</v>
      </c>
      <c r="R907" s="37">
        <f>(R677*4)/AVERAGE(R846, P846)*100</f>
        <v>0.30500118697972445</v>
      </c>
      <c r="S907" s="23">
        <f t="shared" si="5932"/>
        <v>1.039732250346348</v>
      </c>
      <c r="T907" s="37">
        <f>(T677*4)/AVERAGE(T846, R846)*100</f>
        <v>0.32294191315227966</v>
      </c>
      <c r="U907" s="23">
        <f t="shared" si="5932"/>
        <v>31.36961346253797</v>
      </c>
      <c r="V907" s="37">
        <f>(V677*4)/AVERAGE(V846, T846)*100</f>
        <v>0.52050028784560132</v>
      </c>
      <c r="W907" s="23">
        <f t="shared" si="5932"/>
        <v>57.658454641292863</v>
      </c>
      <c r="X907" s="37">
        <f>(X677*4)/AVERAGE(X846, V846)*100</f>
        <v>0.36141947208156061</v>
      </c>
      <c r="Y907" s="23">
        <f t="shared" si="5932"/>
        <v>43.511957865302577</v>
      </c>
      <c r="Z907" s="37">
        <f>(Z677*4)/AVERAGE(Z846, X846)*100</f>
        <v>0.27033258880818783</v>
      </c>
      <c r="AA907" s="23">
        <f t="shared" si="5933"/>
        <v>-11.36670926262372</v>
      </c>
      <c r="AB907" s="37">
        <f>(AB677*4)/AVERAGE(AB846, Z846)*100</f>
        <v>0.37791911090777952</v>
      </c>
      <c r="AC907" s="23">
        <f t="shared" si="5934"/>
        <v>17.02386575308854</v>
      </c>
      <c r="AD907" s="37">
        <f>(AD677*4)/AVERAGE(AD846, AB846)*100</f>
        <v>0.33840441856856313</v>
      </c>
      <c r="AE907" s="23">
        <f t="shared" si="5935"/>
        <v>-34.984777824187141</v>
      </c>
      <c r="AF907" s="37">
        <f>(AF677*4)/AVERAGE(AF846, AD846)*100</f>
        <v>0.43445259615565712</v>
      </c>
      <c r="AG907" s="23">
        <f t="shared" si="5936"/>
        <v>20.207301962306911</v>
      </c>
      <c r="AH907" s="37">
        <f>(AH677*4)/AVERAGE(AH846, AF846)*100</f>
        <v>0.3456393833369924</v>
      </c>
      <c r="AI907" s="23">
        <f t="shared" si="5937"/>
        <v>27.857090726948151</v>
      </c>
      <c r="AJ907" s="37">
        <f>(AJ677*4)/AVERAGE(AJ846, AH846)*100</f>
        <v>0.31342478694028292</v>
      </c>
      <c r="AK907" s="23">
        <f t="shared" si="5938"/>
        <v>-17.065642383783718</v>
      </c>
      <c r="AL907" s="37">
        <f>(AL677*4)/AVERAGE(AL846, AJ846)*100</f>
        <v>0.16748937729776742</v>
      </c>
      <c r="AM907" s="23" t="str">
        <f t="shared" si="5939"/>
        <v>NM</v>
      </c>
      <c r="AN907" s="411">
        <f>(AN677*4)/AVERAGE(AN846, AL846)*100</f>
        <v>0.35892281412886462</v>
      </c>
      <c r="AO907" s="23">
        <f t="shared" si="5941"/>
        <v>-17.385045617205019</v>
      </c>
      <c r="AP907" s="411">
        <f>(AP677*4)/AVERAGE(AP846, AN846)*100</f>
        <v>0.109742044842273</v>
      </c>
      <c r="AQ907" s="23" t="str">
        <f t="shared" si="5942"/>
        <v>NM</v>
      </c>
      <c r="AR907" s="411">
        <f>(AR677*4)/AVERAGE(AR846, AP846)*100</f>
        <v>0.16468667774970527</v>
      </c>
      <c r="AS907" s="23">
        <f t="shared" si="5944"/>
        <v>-47.455758251473846</v>
      </c>
      <c r="AT907" s="411">
        <f>(AT677*4)/AVERAGE(AT846, AR846)*100</f>
        <v>-4.6073377067725831E-2</v>
      </c>
      <c r="AU907" s="23" t="str">
        <f t="shared" si="5945"/>
        <v>NM</v>
      </c>
      <c r="AV907" s="411">
        <f>(AV677*4)/AVERAGE(AV846, AT846)*100</f>
        <v>0.18767497442548409</v>
      </c>
      <c r="AW907" s="23">
        <f t="shared" si="5947"/>
        <v>-47.711606217903203</v>
      </c>
      <c r="AX907" s="411">
        <f>(AX677*4)/AVERAGE(AX846, AV846)*100</f>
        <v>0.18293127704013265</v>
      </c>
      <c r="AY907" s="23">
        <f t="shared" si="5949"/>
        <v>66.692061646063763</v>
      </c>
      <c r="AZ907" s="411">
        <f>(AZ677*4)/AVERAGE(AZ846, AX846)*100</f>
        <v>0.13302672829848364</v>
      </c>
      <c r="BA907" s="23">
        <f t="shared" si="5951"/>
        <v>-19.224353714475427</v>
      </c>
      <c r="BB907" s="411">
        <f>(BB677*4)/AVERAGE(BB846, AZ846)*100</f>
        <v>5.1336603739999383E-2</v>
      </c>
      <c r="BC907" s="23" t="str">
        <f t="shared" si="5953"/>
        <v>NM</v>
      </c>
      <c r="BD907" s="411">
        <f>(BD677*4)/AVERAGE(BD846, BB846)*100</f>
        <v>0.2825739536506105</v>
      </c>
      <c r="BE907" s="23">
        <f t="shared" si="5954"/>
        <v>50.565601255912696</v>
      </c>
      <c r="BF907" s="37">
        <f>(BF677*4)/AVERAGE(BF846, BD846)*100</f>
        <v>0.30665392989592594</v>
      </c>
      <c r="BG907" s="23">
        <f t="shared" si="5956"/>
        <v>67.633405756332323</v>
      </c>
      <c r="BH907" s="37">
        <f>(BH677*4)/AVERAGE(BH846, BF846)*100</f>
        <v>0.41748630544128734</v>
      </c>
      <c r="BI907" s="23" t="str">
        <f t="shared" si="5958"/>
        <v>NM</v>
      </c>
      <c r="BJ907" s="37">
        <f>(BJ677*4)/AVERAGE(BJ846, BH846)*100</f>
        <v>0.43811962681374006</v>
      </c>
      <c r="BK907" s="23" t="str">
        <f t="shared" si="5960"/>
        <v>NM</v>
      </c>
      <c r="BL907" s="37">
        <f>(BL677*4)/AVERAGE(BL846, BJ846)*100</f>
        <v>0.45243421046094856</v>
      </c>
      <c r="BM907" s="23">
        <f t="shared" si="5962"/>
        <v>60.1117883003337</v>
      </c>
      <c r="BQ907" s="6"/>
      <c r="BR907" s="6"/>
      <c r="BS907" s="6"/>
      <c r="BT907" s="6"/>
      <c r="BU907" s="35">
        <f>(BU677*4)/AVERAGE(BU846)*100</f>
        <v>1.4303373545188733</v>
      </c>
      <c r="BV907" s="23" t="str">
        <f t="shared" si="5963"/>
        <v>NA</v>
      </c>
      <c r="BW907" s="6">
        <f>(BW677*4)/AVERAGE(BW846, BU846)*100</f>
        <v>1.1362473718173105</v>
      </c>
      <c r="BX907" s="23">
        <f t="shared" si="5963"/>
        <v>-20.560882491982934</v>
      </c>
      <c r="BY907" s="6">
        <f>(BY677*4)/AVERAGE(BY846, BW846)*100</f>
        <v>1.5080607218642879</v>
      </c>
      <c r="BZ907" s="23">
        <f t="shared" si="5963"/>
        <v>32.722922778012695</v>
      </c>
      <c r="CA907" s="6">
        <f>(CA677*4)/AVERAGE(CA846, BY846)*100</f>
        <v>1.4286380808382295</v>
      </c>
      <c r="CB907" s="23">
        <f t="shared" si="5963"/>
        <v>-5.2665413185667198</v>
      </c>
      <c r="CC907" s="6">
        <f>(CC677*4)/AVERAGE(CC846, CA846)*100</f>
        <v>1.1946045231561233</v>
      </c>
      <c r="CD907" s="23">
        <f t="shared" si="5963"/>
        <v>-16.381584728918252</v>
      </c>
      <c r="CE907" s="6">
        <f>(CE677*4)/AVERAGE(CE846, CC846)*100</f>
        <v>0.48505207889177582</v>
      </c>
      <c r="CF907" s="23" t="str">
        <f t="shared" si="5963"/>
        <v>NM</v>
      </c>
      <c r="CG907" s="6">
        <f>(CG677*4)/AVERAGE(CG846, CE846)*100</f>
        <v>0.90975718815036677</v>
      </c>
      <c r="CH907" s="23">
        <f t="shared" si="5963"/>
        <v>87.558661789253065</v>
      </c>
      <c r="CI907" s="6">
        <f>(CI677*4)/AVERAGE(CI846, CG846)*100</f>
        <v>1.6711055971978295</v>
      </c>
      <c r="CJ907" s="23">
        <f t="shared" si="5963"/>
        <v>83.686990217177069</v>
      </c>
      <c r="CK907" s="6">
        <f>(CK677*4)/AVERAGE(CK846, CI846)*100</f>
        <v>1.8368522339064806</v>
      </c>
      <c r="CL907" s="23">
        <f t="shared" si="5963"/>
        <v>9.9183819973184928</v>
      </c>
      <c r="CM907" s="6">
        <f>(CM677*4)/AVERAGE(CM846, CK846)*100</f>
        <v>1.9019492661572392</v>
      </c>
      <c r="CN907" s="23">
        <f t="shared" si="5963"/>
        <v>3.5439449646047505</v>
      </c>
      <c r="CO907" s="6">
        <f>(CO677*4)/AVERAGE(CO846, CM846)*100</f>
        <v>1.9633520792479837</v>
      </c>
      <c r="CP907" s="23">
        <f t="shared" si="5963"/>
        <v>3.2284148785316935</v>
      </c>
      <c r="CQ907" s="6">
        <f>(CQ677*4)/AVERAGE(CQ846, CO846)*100</f>
        <v>2.0223007256175114</v>
      </c>
      <c r="CR907" s="23">
        <f t="shared" si="5963"/>
        <v>3.002449076383007</v>
      </c>
      <c r="CS907" s="23">
        <f t="shared" si="5964"/>
        <v>17.323240118851778</v>
      </c>
    </row>
    <row r="908" spans="1:105" ht="12.75" customHeight="1" x14ac:dyDescent="0.2">
      <c r="A908" s="19" t="s">
        <v>81</v>
      </c>
      <c r="B908" s="91">
        <f>+B877/B753</f>
        <v>31.095652173913045</v>
      </c>
      <c r="C908" s="59"/>
      <c r="D908" s="91">
        <f>+D877/D753</f>
        <v>45.084782608695647</v>
      </c>
      <c r="E908" s="59"/>
      <c r="F908" s="91">
        <f>+F877/F753</f>
        <v>53.853913043478265</v>
      </c>
      <c r="G908" s="59"/>
      <c r="H908" s="91">
        <f>+H877/H753</f>
        <v>53.712608695652172</v>
      </c>
      <c r="I908" s="59"/>
      <c r="J908" s="91">
        <f>+J877/J753</f>
        <v>51.434347826086963</v>
      </c>
      <c r="K908" s="23">
        <f t="shared" si="5932"/>
        <v>65.406879194630889</v>
      </c>
      <c r="L908" s="91">
        <f>+L877/L753</f>
        <v>55.833913043478255</v>
      </c>
      <c r="M908" s="23">
        <f t="shared" si="5932"/>
        <v>23.842036742369444</v>
      </c>
      <c r="N908" s="91">
        <f>+N877/N753</f>
        <v>60.480434782608697</v>
      </c>
      <c r="O908" s="23">
        <f t="shared" si="5932"/>
        <v>12.304624426790678</v>
      </c>
      <c r="P908" s="91">
        <f>+P877/P753</f>
        <v>60.325652173913049</v>
      </c>
      <c r="Q908" s="23">
        <f t="shared" si="5932"/>
        <v>12.311901504787981</v>
      </c>
      <c r="R908" s="91">
        <f>+R877/R753</f>
        <v>58.20215237262731</v>
      </c>
      <c r="S908" s="23">
        <f t="shared" si="5932"/>
        <v>13.15814204434762</v>
      </c>
      <c r="T908" s="91">
        <f>+T877/T753</f>
        <v>47.820552147239255</v>
      </c>
      <c r="U908" s="23">
        <f t="shared" si="5932"/>
        <v>-14.352139155998145</v>
      </c>
      <c r="V908" s="91">
        <f>+V877/V753</f>
        <v>48.964723926380366</v>
      </c>
      <c r="W908" s="23">
        <f t="shared" si="5932"/>
        <v>-19.040390330559763</v>
      </c>
      <c r="X908" s="91">
        <f>+X877/X753</f>
        <v>50.715322888803975</v>
      </c>
      <c r="Y908" s="23">
        <f t="shared" si="5932"/>
        <v>-15.930750748294308</v>
      </c>
      <c r="Z908" s="91">
        <f>+Z877/Z753</f>
        <v>54.97251668629761</v>
      </c>
      <c r="AA908" s="23">
        <f t="shared" si="5933"/>
        <v>-5.5489969952530638</v>
      </c>
      <c r="AB908" s="91">
        <f>+AB877/AB753</f>
        <v>58.393951296150831</v>
      </c>
      <c r="AC908" s="23">
        <f t="shared" si="5934"/>
        <v>22.110575211168904</v>
      </c>
      <c r="AD908" s="91">
        <f>+AD877/AD753</f>
        <v>59.411931818181827</v>
      </c>
      <c r="AE908" s="23">
        <f t="shared" si="5935"/>
        <v>21.336192781376838</v>
      </c>
      <c r="AF908" s="91">
        <f>+AF877/AF753</f>
        <v>66.747416287722189</v>
      </c>
      <c r="AG908" s="23">
        <f t="shared" si="5936"/>
        <v>31.611932027070843</v>
      </c>
      <c r="AH908" s="91">
        <f>+AH877/AH753</f>
        <v>70.499563318777305</v>
      </c>
      <c r="AI908" s="23">
        <f t="shared" si="5937"/>
        <v>28.24510786196177</v>
      </c>
      <c r="AJ908" s="91">
        <f>+AJ877/AJ753</f>
        <v>65.646486964206801</v>
      </c>
      <c r="AK908" s="23">
        <f t="shared" si="5938"/>
        <v>12.420011845531743</v>
      </c>
      <c r="AL908" s="91">
        <f>+AL877/AL753</f>
        <v>66.354389224338135</v>
      </c>
      <c r="AM908" s="23">
        <f t="shared" si="5939"/>
        <v>11.685291478826665</v>
      </c>
      <c r="AN908" s="482">
        <f>+AN877/AN753</f>
        <v>64.255380200860827</v>
      </c>
      <c r="AO908" s="23">
        <f t="shared" si="5941"/>
        <v>-3.7335319109868759</v>
      </c>
      <c r="AP908" s="482">
        <f>+AP877/AP753</f>
        <v>70.88872549019608</v>
      </c>
      <c r="AQ908" s="23">
        <f t="shared" si="5942"/>
        <v>0.55200649918794031</v>
      </c>
      <c r="AR908" s="482">
        <f>+AR877/AR753</f>
        <v>76.617882117882132</v>
      </c>
      <c r="AS908" s="23">
        <f t="shared" si="5944"/>
        <v>16.71284429836648</v>
      </c>
      <c r="AT908" s="482">
        <f>+AT877/AT753</f>
        <v>78.139773895169569</v>
      </c>
      <c r="AU908" s="23">
        <f t="shared" si="5945"/>
        <v>17.761273683020605</v>
      </c>
      <c r="AV908" s="482">
        <f>+AV877/AV753</f>
        <v>66.775436793422401</v>
      </c>
      <c r="AW908" s="23">
        <f t="shared" si="5947"/>
        <v>3.9219386527383993</v>
      </c>
      <c r="AX908" s="482">
        <f>+AX877/AX753</f>
        <v>67.880463401790408</v>
      </c>
      <c r="AY908" s="23">
        <f t="shared" si="5949"/>
        <v>-4.2436396868521964</v>
      </c>
      <c r="AZ908" s="482">
        <f>+AZ877/AZ753</f>
        <v>74.304396215915418</v>
      </c>
      <c r="BA908" s="23">
        <f t="shared" si="5951"/>
        <v>-3.0195116831958968</v>
      </c>
      <c r="BB908" s="482">
        <f>+BB877/BB753</f>
        <v>75.974401780745708</v>
      </c>
      <c r="BC908" s="23">
        <f t="shared" si="5953"/>
        <v>-2.771152265335286</v>
      </c>
      <c r="BD908" s="482">
        <f>+BD877/BD753</f>
        <v>58.191860465116278</v>
      </c>
      <c r="BE908" s="23">
        <f t="shared" si="5954"/>
        <v>-12.854391884938799</v>
      </c>
      <c r="BF908" s="91">
        <f>+BF877/BF753</f>
        <v>59.729103835100979</v>
      </c>
      <c r="BG908" s="23">
        <f t="shared" si="5956"/>
        <v>-12.008402945691188</v>
      </c>
      <c r="BH908" s="91">
        <f>+BH877/BH753</f>
        <v>58.239333478103795</v>
      </c>
      <c r="BI908" s="23">
        <f t="shared" si="5958"/>
        <v>-21.620608679908248</v>
      </c>
      <c r="BJ908" s="91">
        <f>+BJ877/BJ753</f>
        <v>59.574596334336675</v>
      </c>
      <c r="BK908" s="23">
        <f t="shared" si="5960"/>
        <v>-21.585961931937526</v>
      </c>
      <c r="BL908" s="91">
        <f>+BL877/BL753</f>
        <v>61.014922070610311</v>
      </c>
      <c r="BM908" s="23">
        <f t="shared" si="5962"/>
        <v>4.8512997916372536</v>
      </c>
      <c r="BQ908" s="43"/>
      <c r="BR908" s="43"/>
      <c r="BS908" s="43"/>
      <c r="BT908" s="43"/>
      <c r="BU908" s="91">
        <f>+BU877/BU753</f>
        <v>53.712608695652172</v>
      </c>
      <c r="BV908" s="23" t="str">
        <f t="shared" si="5963"/>
        <v>NA</v>
      </c>
      <c r="BW908" s="91">
        <f>+BW877/BW753</f>
        <v>60.325652173913049</v>
      </c>
      <c r="BX908" s="23">
        <f t="shared" si="5963"/>
        <v>12.311901504787981</v>
      </c>
      <c r="BY908" s="91">
        <f>+BY877/BY753</f>
        <v>50.715322888803975</v>
      </c>
      <c r="BZ908" s="23">
        <f t="shared" si="5963"/>
        <v>-15.930750748294308</v>
      </c>
      <c r="CA908" s="91">
        <f>+CA877/CA753</f>
        <v>66.747416287722189</v>
      </c>
      <c r="CB908" s="23">
        <f t="shared" si="5963"/>
        <v>31.611932027070843</v>
      </c>
      <c r="CC908" s="91">
        <f>+CC877/CC753</f>
        <v>64.255380200860827</v>
      </c>
      <c r="CD908" s="23">
        <f t="shared" si="5963"/>
        <v>-3.7335319109868759</v>
      </c>
      <c r="CE908" s="91">
        <f>+CE877/CE753</f>
        <v>66.775436793422401</v>
      </c>
      <c r="CF908" s="23">
        <f t="shared" si="5963"/>
        <v>3.9219386527383993</v>
      </c>
      <c r="CG908" s="91">
        <f>+CG877/CG753</f>
        <v>58.191860465116278</v>
      </c>
      <c r="CH908" s="23">
        <f t="shared" si="5963"/>
        <v>-12.854391884938799</v>
      </c>
      <c r="CI908" s="91">
        <f>+CI877/CI753</f>
        <v>61.014922070610311</v>
      </c>
      <c r="CJ908" s="23">
        <f t="shared" si="5963"/>
        <v>4.8512997916372536</v>
      </c>
      <c r="CK908" s="91">
        <f>+CK877/CK753</f>
        <v>66.98230827481845</v>
      </c>
      <c r="CL908" s="23">
        <f t="shared" si="5963"/>
        <v>9.7802078601400222</v>
      </c>
      <c r="CM908" s="91">
        <f>+CM877/CM753</f>
        <v>73.744815710712786</v>
      </c>
      <c r="CN908" s="23">
        <f t="shared" si="5963"/>
        <v>10.095960575363838</v>
      </c>
      <c r="CO908" s="91">
        <f>+CO877/CO753</f>
        <v>81.394018684011968</v>
      </c>
      <c r="CP908" s="23">
        <f t="shared" si="5963"/>
        <v>10.372529783389229</v>
      </c>
      <c r="CQ908" s="91">
        <f>+CQ877/CQ753</f>
        <v>90.033906946700711</v>
      </c>
      <c r="CR908" s="23">
        <f t="shared" si="5963"/>
        <v>10.61489333292478</v>
      </c>
      <c r="CS908" s="23">
        <f t="shared" si="5964"/>
        <v>9.1211089330840203</v>
      </c>
    </row>
    <row r="909" spans="1:105" ht="12.75" customHeight="1" x14ac:dyDescent="0.2">
      <c r="L909" s="5"/>
      <c r="N909" s="5"/>
      <c r="P909" s="5"/>
      <c r="R909" s="5"/>
      <c r="T909" s="5"/>
      <c r="V909" s="5"/>
      <c r="X909" s="5"/>
      <c r="Z909" s="5"/>
      <c r="AB909" s="5"/>
      <c r="AD909" s="5"/>
      <c r="AF909" s="5"/>
      <c r="AH909" s="5"/>
      <c r="AJ909" s="5"/>
      <c r="AL909" s="5"/>
      <c r="AN909" s="475"/>
      <c r="AP909" s="475"/>
      <c r="AR909" s="475"/>
      <c r="AT909" s="475"/>
      <c r="AV909" s="475"/>
      <c r="AX909" s="475"/>
      <c r="AZ909" s="475"/>
      <c r="BB909" s="475"/>
      <c r="BD909" s="475"/>
      <c r="BF909" s="5"/>
      <c r="BH909" s="5"/>
      <c r="BJ909" s="5"/>
      <c r="BL909" s="5"/>
    </row>
    <row r="910" spans="1:105" s="129" customFormat="1" ht="12.75" customHeight="1" x14ac:dyDescent="0.2">
      <c r="A910" s="126" t="s">
        <v>265</v>
      </c>
      <c r="B910" s="127"/>
      <c r="C910" s="128"/>
      <c r="D910" s="127"/>
      <c r="E910" s="128"/>
      <c r="F910" s="127"/>
      <c r="G910" s="128"/>
      <c r="H910" s="127"/>
      <c r="I910" s="128"/>
      <c r="K910" s="130"/>
      <c r="M910" s="130"/>
      <c r="O910" s="130"/>
      <c r="Q910" s="130"/>
      <c r="S910" s="130"/>
      <c r="U910" s="130"/>
      <c r="W910" s="130"/>
      <c r="Y910" s="130"/>
      <c r="AA910" s="130"/>
      <c r="AC910" s="130"/>
      <c r="AE910" s="130"/>
      <c r="AG910" s="130"/>
      <c r="AI910" s="130"/>
      <c r="AK910" s="130"/>
      <c r="AM910" s="130"/>
      <c r="AO910" s="130"/>
      <c r="AQ910" s="130"/>
      <c r="AS910" s="130"/>
      <c r="AU910" s="130"/>
      <c r="AW910" s="130"/>
      <c r="AY910" s="130"/>
      <c r="BA910" s="130"/>
      <c r="BC910" s="130"/>
      <c r="BE910" s="130"/>
      <c r="BG910" s="130"/>
      <c r="BI910" s="130"/>
      <c r="BK910" s="130"/>
      <c r="BM910" s="130"/>
      <c r="BO910" s="135"/>
      <c r="BV910" s="130"/>
      <c r="BX910" s="130"/>
      <c r="BZ910" s="130"/>
      <c r="CB910" s="130"/>
      <c r="CD910" s="130"/>
      <c r="CF910" s="130"/>
      <c r="CH910" s="130"/>
      <c r="CJ910" s="130"/>
      <c r="CL910" s="130"/>
      <c r="CN910" s="130"/>
      <c r="CP910" s="130"/>
      <c r="CR910" s="130"/>
      <c r="CS910" s="130"/>
      <c r="CV910"/>
      <c r="CW910"/>
      <c r="CX910"/>
      <c r="CY910"/>
      <c r="CZ910"/>
      <c r="DA910"/>
    </row>
    <row r="911" spans="1:105" ht="12.75" hidden="1" customHeight="1" outlineLevel="1" x14ac:dyDescent="0.2">
      <c r="A911" s="14"/>
      <c r="L911" s="5"/>
      <c r="N911" s="5"/>
      <c r="P911" s="5"/>
      <c r="R911" s="5"/>
      <c r="T911" s="5"/>
      <c r="V911" s="5"/>
      <c r="X911" s="5"/>
      <c r="Z911" s="5"/>
      <c r="AB911" s="5"/>
      <c r="AD911" s="5"/>
      <c r="AF911" s="5"/>
      <c r="AH911" s="5"/>
      <c r="AJ911" s="5"/>
      <c r="AL911" s="5"/>
      <c r="AN911" s="475"/>
      <c r="AP911" s="475"/>
      <c r="AR911" s="475"/>
      <c r="AT911" s="475"/>
      <c r="AV911" s="475"/>
      <c r="AX911" s="475"/>
      <c r="AZ911" s="475"/>
      <c r="BB911" s="475"/>
      <c r="BD911" s="475"/>
      <c r="BF911" s="5"/>
      <c r="BH911" s="5"/>
      <c r="BJ911" s="5"/>
      <c r="BL911" s="5"/>
    </row>
    <row r="912" spans="1:105" ht="12.75" hidden="1" customHeight="1" outlineLevel="1" x14ac:dyDescent="0.2">
      <c r="A912" s="14" t="s">
        <v>314</v>
      </c>
      <c r="B912" s="99">
        <v>0</v>
      </c>
      <c r="C912" s="100"/>
      <c r="D912" s="99">
        <v>0</v>
      </c>
      <c r="E912" s="100"/>
      <c r="F912" s="99">
        <v>0</v>
      </c>
      <c r="G912" s="100"/>
      <c r="H912" s="99">
        <v>0</v>
      </c>
      <c r="I912" s="100"/>
      <c r="J912" s="101">
        <v>0</v>
      </c>
      <c r="L912" s="102">
        <v>0</v>
      </c>
      <c r="N912" s="102">
        <v>0</v>
      </c>
      <c r="P912" s="102">
        <v>0</v>
      </c>
      <c r="R912" s="102">
        <v>0</v>
      </c>
      <c r="T912" s="102">
        <v>0</v>
      </c>
      <c r="V912" s="102">
        <v>0</v>
      </c>
      <c r="X912" s="102">
        <v>0</v>
      </c>
      <c r="Z912" s="102">
        <v>0</v>
      </c>
      <c r="AB912" s="102">
        <v>0</v>
      </c>
      <c r="AD912" s="102">
        <v>0</v>
      </c>
      <c r="AF912" s="102">
        <v>0</v>
      </c>
      <c r="AH912" s="102">
        <v>0</v>
      </c>
      <c r="AJ912" s="102">
        <v>0</v>
      </c>
      <c r="AL912" s="102">
        <v>0</v>
      </c>
      <c r="AN912" s="509">
        <v>0</v>
      </c>
      <c r="AP912" s="509">
        <v>0</v>
      </c>
      <c r="AR912" s="509">
        <v>0</v>
      </c>
      <c r="AT912" s="509">
        <v>0</v>
      </c>
      <c r="AV912" s="509">
        <v>0</v>
      </c>
      <c r="AX912" s="509">
        <v>0</v>
      </c>
      <c r="AZ912" s="509">
        <v>0</v>
      </c>
      <c r="BB912" s="509">
        <v>0</v>
      </c>
      <c r="BD912" s="509">
        <v>0</v>
      </c>
      <c r="BF912" s="102">
        <v>0</v>
      </c>
      <c r="BH912" s="102">
        <v>0</v>
      </c>
      <c r="BJ912" s="102">
        <v>0</v>
      </c>
      <c r="BL912" s="102">
        <v>0</v>
      </c>
      <c r="BN912" s="101"/>
      <c r="BO912" s="148"/>
      <c r="BP912" s="101"/>
      <c r="BQ912" s="101"/>
      <c r="BR912" s="101"/>
      <c r="BS912" s="101"/>
      <c r="BT912" s="101"/>
      <c r="BU912" s="101">
        <v>0</v>
      </c>
      <c r="BW912" s="101">
        <v>0</v>
      </c>
      <c r="BY912" s="101">
        <v>0</v>
      </c>
      <c r="CA912" s="101">
        <v>0</v>
      </c>
      <c r="CC912" s="101">
        <v>0</v>
      </c>
      <c r="CE912" s="101">
        <v>0</v>
      </c>
      <c r="CG912" s="101">
        <v>0</v>
      </c>
      <c r="CI912" s="101">
        <v>0</v>
      </c>
      <c r="CK912" s="101">
        <v>0</v>
      </c>
      <c r="CM912" s="101">
        <v>0</v>
      </c>
      <c r="CO912" s="101">
        <v>0</v>
      </c>
      <c r="CQ912" s="101">
        <v>0</v>
      </c>
    </row>
    <row r="913" spans="1:105" ht="12.75" hidden="1" customHeight="1" outlineLevel="1" x14ac:dyDescent="0.2">
      <c r="A913" s="109" t="s">
        <v>319</v>
      </c>
      <c r="B913" s="99">
        <v>0</v>
      </c>
      <c r="C913" s="100"/>
      <c r="D913" s="99">
        <v>0</v>
      </c>
      <c r="E913" s="100"/>
      <c r="F913" s="99">
        <v>0</v>
      </c>
      <c r="G913" s="100"/>
      <c r="H913" s="99">
        <v>0</v>
      </c>
      <c r="I913" s="100"/>
      <c r="J913" s="101">
        <v>0</v>
      </c>
      <c r="L913" s="102">
        <v>0</v>
      </c>
      <c r="N913" s="102">
        <v>0</v>
      </c>
      <c r="P913" s="102">
        <v>0</v>
      </c>
      <c r="R913" s="102">
        <v>0</v>
      </c>
      <c r="T913" s="102">
        <v>0</v>
      </c>
      <c r="V913" s="102">
        <v>0</v>
      </c>
      <c r="X913" s="102">
        <v>0</v>
      </c>
      <c r="Z913" s="102">
        <v>0</v>
      </c>
      <c r="AB913" s="102">
        <v>0</v>
      </c>
      <c r="AD913" s="102">
        <v>0</v>
      </c>
      <c r="AF913" s="102">
        <v>0</v>
      </c>
      <c r="AH913" s="102">
        <v>0</v>
      </c>
      <c r="AJ913" s="102">
        <v>0</v>
      </c>
      <c r="AL913" s="102">
        <v>0</v>
      </c>
      <c r="AN913" s="509">
        <v>0</v>
      </c>
      <c r="AP913" s="509">
        <v>0</v>
      </c>
      <c r="AR913" s="509">
        <v>0</v>
      </c>
      <c r="AT913" s="509">
        <v>0</v>
      </c>
      <c r="AV913" s="509">
        <v>0</v>
      </c>
      <c r="AX913" s="509">
        <v>0</v>
      </c>
      <c r="AZ913" s="509">
        <v>0</v>
      </c>
      <c r="BB913" s="509">
        <v>0</v>
      </c>
      <c r="BD913" s="509">
        <v>0</v>
      </c>
      <c r="BF913" s="102">
        <v>0</v>
      </c>
      <c r="BH913" s="102">
        <v>0</v>
      </c>
      <c r="BJ913" s="102">
        <v>0</v>
      </c>
      <c r="BL913" s="102">
        <v>0</v>
      </c>
      <c r="BN913" s="101"/>
      <c r="BO913" s="148"/>
      <c r="BP913" s="101"/>
      <c r="BQ913" s="101"/>
      <c r="BR913" s="101"/>
      <c r="BS913" s="101"/>
      <c r="BT913" s="101"/>
      <c r="BU913" s="101">
        <v>0</v>
      </c>
      <c r="BW913" s="101">
        <v>0</v>
      </c>
      <c r="BY913" s="101">
        <v>0</v>
      </c>
      <c r="CA913" s="101">
        <v>0</v>
      </c>
      <c r="CC913" s="101">
        <v>0</v>
      </c>
      <c r="CE913" s="101">
        <v>0</v>
      </c>
      <c r="CG913" s="101">
        <v>0</v>
      </c>
      <c r="CI913" s="101">
        <v>0</v>
      </c>
      <c r="CK913" s="101">
        <v>0</v>
      </c>
      <c r="CM913" s="101">
        <v>0</v>
      </c>
      <c r="CO913" s="101">
        <v>0</v>
      </c>
      <c r="CQ913" s="101">
        <v>0</v>
      </c>
    </row>
    <row r="914" spans="1:105" s="104" customFormat="1" ht="12.75" hidden="1" customHeight="1" outlineLevel="1" x14ac:dyDescent="0.2">
      <c r="A914" s="103" t="s">
        <v>315</v>
      </c>
      <c r="B914" s="105">
        <v>0.35</v>
      </c>
      <c r="C914" s="106"/>
      <c r="D914" s="105">
        <v>0.35</v>
      </c>
      <c r="E914" s="106"/>
      <c r="F914" s="105">
        <v>0.35</v>
      </c>
      <c r="G914" s="106"/>
      <c r="H914" s="105">
        <v>0.35</v>
      </c>
      <c r="I914" s="106"/>
      <c r="J914" s="105">
        <v>0.35</v>
      </c>
      <c r="K914" s="185"/>
      <c r="L914" s="105">
        <v>0.35</v>
      </c>
      <c r="M914" s="185"/>
      <c r="N914" s="105">
        <v>0.35</v>
      </c>
      <c r="O914" s="185"/>
      <c r="P914" s="105">
        <v>0.35</v>
      </c>
      <c r="Q914" s="185"/>
      <c r="R914" s="105">
        <v>0.35</v>
      </c>
      <c r="S914" s="185"/>
      <c r="T914" s="105">
        <v>0.35</v>
      </c>
      <c r="U914" s="185"/>
      <c r="V914" s="105">
        <v>0.35</v>
      </c>
      <c r="W914" s="185"/>
      <c r="X914" s="105">
        <v>0.35</v>
      </c>
      <c r="Y914" s="185"/>
      <c r="Z914" s="105">
        <v>0.35</v>
      </c>
      <c r="AA914" s="185"/>
      <c r="AB914" s="105">
        <v>0.35</v>
      </c>
      <c r="AC914" s="185"/>
      <c r="AD914" s="105">
        <v>0.35</v>
      </c>
      <c r="AE914" s="185"/>
      <c r="AF914" s="105">
        <v>0.35</v>
      </c>
      <c r="AG914" s="185"/>
      <c r="AH914" s="105">
        <v>0.35</v>
      </c>
      <c r="AI914" s="185"/>
      <c r="AJ914" s="105">
        <v>0.35</v>
      </c>
      <c r="AK914" s="185"/>
      <c r="AL914" s="105">
        <v>0.35</v>
      </c>
      <c r="AM914" s="185"/>
      <c r="AN914" s="483">
        <v>0.35</v>
      </c>
      <c r="AO914" s="185"/>
      <c r="AP914" s="483">
        <v>0.35</v>
      </c>
      <c r="AQ914" s="185"/>
      <c r="AR914" s="483">
        <v>0.35</v>
      </c>
      <c r="AS914" s="185"/>
      <c r="AT914" s="483">
        <v>0.35</v>
      </c>
      <c r="AU914" s="185"/>
      <c r="AV914" s="483">
        <v>0.35</v>
      </c>
      <c r="AW914" s="185"/>
      <c r="AX914" s="483">
        <v>0.35</v>
      </c>
      <c r="AY914" s="185"/>
      <c r="AZ914" s="483">
        <v>0.35</v>
      </c>
      <c r="BA914" s="185"/>
      <c r="BB914" s="483">
        <v>0.35</v>
      </c>
      <c r="BC914" s="185"/>
      <c r="BD914" s="483">
        <v>0.35</v>
      </c>
      <c r="BE914" s="185"/>
      <c r="BF914" s="105">
        <v>0.35</v>
      </c>
      <c r="BG914" s="185"/>
      <c r="BH914" s="105">
        <v>0.35</v>
      </c>
      <c r="BI914" s="185"/>
      <c r="BJ914" s="105">
        <v>0.35</v>
      </c>
      <c r="BK914" s="185"/>
      <c r="BL914" s="105">
        <v>0.35</v>
      </c>
      <c r="BM914" s="185"/>
      <c r="BN914" s="105"/>
      <c r="BO914" s="149"/>
      <c r="BP914" s="105"/>
      <c r="BQ914" s="105"/>
      <c r="BR914" s="105"/>
      <c r="BS914" s="105"/>
      <c r="BT914" s="105"/>
      <c r="BU914" s="105">
        <v>0.35</v>
      </c>
      <c r="BV914" s="185"/>
      <c r="BW914" s="105">
        <v>0.35</v>
      </c>
      <c r="BX914" s="185"/>
      <c r="BY914" s="105">
        <v>0.35</v>
      </c>
      <c r="BZ914" s="185"/>
      <c r="CA914" s="105">
        <v>0.35</v>
      </c>
      <c r="CB914" s="185"/>
      <c r="CC914" s="105">
        <v>0.35</v>
      </c>
      <c r="CD914" s="185"/>
      <c r="CE914" s="105">
        <v>0.35</v>
      </c>
      <c r="CF914" s="185"/>
      <c r="CG914" s="105">
        <v>0.35</v>
      </c>
      <c r="CH914" s="185"/>
      <c r="CI914" s="105">
        <v>0.35</v>
      </c>
      <c r="CJ914" s="185"/>
      <c r="CK914" s="105">
        <v>0.35</v>
      </c>
      <c r="CL914" s="185"/>
      <c r="CM914" s="105">
        <v>0.35</v>
      </c>
      <c r="CN914" s="185"/>
      <c r="CO914" s="105">
        <v>0.35</v>
      </c>
      <c r="CP914" s="185"/>
      <c r="CQ914" s="105">
        <v>0.35</v>
      </c>
      <c r="CR914" s="185"/>
      <c r="CS914" s="185"/>
      <c r="CV914"/>
      <c r="CW914"/>
      <c r="CX914"/>
      <c r="CY914"/>
      <c r="CZ914"/>
      <c r="DA914"/>
    </row>
    <row r="915" spans="1:105" ht="12.75" hidden="1" customHeight="1" outlineLevel="1" x14ac:dyDescent="0.2">
      <c r="A915" s="14" t="s">
        <v>316</v>
      </c>
      <c r="B915" s="99">
        <v>0</v>
      </c>
      <c r="C915" s="100"/>
      <c r="D915" s="99">
        <v>0</v>
      </c>
      <c r="E915" s="100"/>
      <c r="F915" s="99">
        <v>0</v>
      </c>
      <c r="G915" s="100"/>
      <c r="H915" s="99">
        <v>0</v>
      </c>
      <c r="I915" s="100"/>
      <c r="J915" s="101">
        <v>0</v>
      </c>
      <c r="L915" s="102">
        <v>0</v>
      </c>
      <c r="N915" s="102">
        <v>0</v>
      </c>
      <c r="P915" s="102">
        <v>0</v>
      </c>
      <c r="R915" s="102">
        <v>0</v>
      </c>
      <c r="T915" s="102">
        <v>0</v>
      </c>
      <c r="V915" s="102">
        <v>0</v>
      </c>
      <c r="X915" s="102">
        <v>0</v>
      </c>
      <c r="Z915" s="102">
        <v>0</v>
      </c>
      <c r="AB915" s="102">
        <v>0</v>
      </c>
      <c r="AD915" s="102">
        <v>0</v>
      </c>
      <c r="AF915" s="102">
        <v>0</v>
      </c>
      <c r="AH915" s="102">
        <v>0</v>
      </c>
      <c r="AJ915" s="102">
        <v>0</v>
      </c>
      <c r="AL915" s="102">
        <v>0</v>
      </c>
      <c r="AN915" s="509">
        <v>0</v>
      </c>
      <c r="AP915" s="509">
        <v>0</v>
      </c>
      <c r="AR915" s="509">
        <v>0</v>
      </c>
      <c r="AT915" s="509">
        <v>0</v>
      </c>
      <c r="AV915" s="509">
        <v>0</v>
      </c>
      <c r="AX915" s="509">
        <v>0</v>
      </c>
      <c r="AZ915" s="509">
        <v>0</v>
      </c>
      <c r="BB915" s="509">
        <v>0</v>
      </c>
      <c r="BD915" s="509">
        <v>0</v>
      </c>
      <c r="BF915" s="102">
        <v>0</v>
      </c>
      <c r="BH915" s="102">
        <v>0</v>
      </c>
      <c r="BJ915" s="102">
        <v>0</v>
      </c>
      <c r="BL915" s="102">
        <v>0</v>
      </c>
      <c r="BN915" s="101"/>
      <c r="BO915" s="148"/>
      <c r="BP915" s="101"/>
      <c r="BQ915" s="101"/>
      <c r="BR915" s="101"/>
      <c r="BS915" s="101"/>
      <c r="BT915" s="101"/>
      <c r="BU915" s="101">
        <v>0</v>
      </c>
      <c r="BW915" s="101">
        <v>0</v>
      </c>
      <c r="BY915" s="1">
        <v>0</v>
      </c>
      <c r="CA915" s="1">
        <v>0</v>
      </c>
      <c r="CC915" s="1">
        <v>0</v>
      </c>
      <c r="CE915" s="1">
        <v>0</v>
      </c>
      <c r="CG915" s="1">
        <v>0</v>
      </c>
      <c r="CI915" s="1">
        <v>0</v>
      </c>
      <c r="CK915" s="101">
        <v>0</v>
      </c>
      <c r="CM915" s="101">
        <v>0</v>
      </c>
      <c r="CO915" s="101">
        <v>0</v>
      </c>
      <c r="CQ915" s="101">
        <v>0</v>
      </c>
    </row>
    <row r="916" spans="1:105" ht="12.75" hidden="1" customHeight="1" outlineLevel="1" x14ac:dyDescent="0.2">
      <c r="A916" s="14"/>
      <c r="L916" s="5"/>
      <c r="N916" s="5"/>
      <c r="P916" s="5"/>
      <c r="R916" s="5"/>
      <c r="T916" s="5"/>
      <c r="V916" s="5"/>
      <c r="X916" s="5"/>
      <c r="Z916" s="5"/>
      <c r="AB916" s="5"/>
      <c r="AD916" s="5"/>
      <c r="AF916" s="5"/>
      <c r="AH916" s="5"/>
      <c r="AJ916" s="5"/>
      <c r="AL916" s="5"/>
      <c r="AN916" s="475"/>
      <c r="AP916" s="475"/>
      <c r="AR916" s="475"/>
      <c r="AT916" s="475"/>
      <c r="AV916" s="475"/>
      <c r="AX916" s="475"/>
      <c r="AZ916" s="475"/>
      <c r="BB916" s="475"/>
      <c r="BD916" s="475"/>
      <c r="BF916" s="5"/>
      <c r="BH916" s="5"/>
      <c r="BJ916" s="5"/>
      <c r="BL916" s="5"/>
    </row>
    <row r="917" spans="1:105" ht="12.75" hidden="1" customHeight="1" outlineLevel="1" x14ac:dyDescent="0.2">
      <c r="A917" s="162" t="s">
        <v>278</v>
      </c>
      <c r="J917" s="43"/>
      <c r="L917" s="43"/>
      <c r="N917" s="43"/>
      <c r="P917" s="43"/>
      <c r="R917" s="5"/>
      <c r="T917" s="5"/>
      <c r="V917" s="5"/>
      <c r="X917" s="5"/>
      <c r="Z917" s="5"/>
      <c r="AB917" s="5"/>
      <c r="AD917" s="5"/>
      <c r="AF917" s="5"/>
      <c r="AH917" s="5"/>
      <c r="AJ917" s="5"/>
      <c r="AL917" s="5"/>
      <c r="AN917" s="475"/>
      <c r="AP917" s="475"/>
      <c r="AR917" s="475"/>
      <c r="AT917" s="475"/>
      <c r="AV917" s="475"/>
      <c r="AX917" s="475"/>
      <c r="AZ917" s="475"/>
      <c r="BB917" s="475"/>
      <c r="BD917" s="475"/>
      <c r="BF917" s="5"/>
      <c r="BH917" s="5"/>
      <c r="BJ917" s="5"/>
      <c r="BL917" s="5"/>
      <c r="BQ917" s="43"/>
      <c r="BR917" s="43"/>
      <c r="BS917" s="43"/>
      <c r="BT917" s="43"/>
      <c r="BU917" s="43"/>
      <c r="BW917" s="43"/>
      <c r="BY917" s="43"/>
      <c r="CA917" s="43"/>
      <c r="CC917" s="43"/>
      <c r="CE917" s="43"/>
      <c r="CG917" s="43"/>
      <c r="CI917" s="43"/>
      <c r="CK917" s="43"/>
      <c r="CM917" s="43"/>
      <c r="CO917" s="43"/>
      <c r="CQ917" s="43"/>
    </row>
    <row r="918" spans="1:105" ht="12.75" hidden="1" customHeight="1" outlineLevel="1" x14ac:dyDescent="0.2">
      <c r="A918" s="31" t="s">
        <v>192</v>
      </c>
      <c r="B918" s="35">
        <f>B84</f>
        <v>23.022579431706639</v>
      </c>
      <c r="D918" s="35">
        <f>D84</f>
        <v>25.092116451390854</v>
      </c>
      <c r="F918" s="35">
        <f>F84</f>
        <v>17.755921973566995</v>
      </c>
      <c r="H918" s="35">
        <f>H84</f>
        <v>14.481999640054871</v>
      </c>
      <c r="J918" s="35">
        <f>J84</f>
        <v>21.915981525473111</v>
      </c>
      <c r="L918" s="35">
        <f>L84</f>
        <v>13.482869115109668</v>
      </c>
      <c r="N918" s="35">
        <f>N84</f>
        <v>25.450519884532401</v>
      </c>
      <c r="P918" s="35">
        <f>P84</f>
        <v>19.219112141201649</v>
      </c>
      <c r="R918" s="35">
        <f>R84</f>
        <v>23.915307185005215</v>
      </c>
      <c r="T918" s="35">
        <f>T84</f>
        <v>22.57128222639578</v>
      </c>
      <c r="V918" s="35">
        <f>V84</f>
        <v>31.27400233761896</v>
      </c>
      <c r="X918" s="35">
        <f>X84</f>
        <v>22.943221320973336</v>
      </c>
      <c r="Z918" s="35">
        <f>Z84</f>
        <v>19.501018329938905</v>
      </c>
      <c r="AB918" s="35">
        <f>AB84</f>
        <v>23.360302978137387</v>
      </c>
      <c r="AD918" s="35">
        <f>AD84</f>
        <v>19.668008048289742</v>
      </c>
      <c r="AF918" s="35">
        <f>AF84</f>
        <v>24.98334443704195</v>
      </c>
      <c r="AH918" s="35">
        <f>AH84</f>
        <v>21.408934707903786</v>
      </c>
      <c r="AJ918" s="35">
        <f>AJ84</f>
        <v>22.0504894384338</v>
      </c>
      <c r="AL918" s="35">
        <f>AL84</f>
        <v>13.688148274103026</v>
      </c>
      <c r="AN918" s="409">
        <f>AN84</f>
        <v>22.853808968161367</v>
      </c>
      <c r="AP918" s="409">
        <f>AP84</f>
        <v>17.969156125454841</v>
      </c>
      <c r="AR918" s="409">
        <f>AR84</f>
        <v>23.404964184574371</v>
      </c>
      <c r="AT918" s="409">
        <f>AT84</f>
        <v>10.297969875573015</v>
      </c>
      <c r="AV918" s="409">
        <f>AV84</f>
        <v>22.956885456885452</v>
      </c>
      <c r="AX918" s="409">
        <f>AX84</f>
        <v>23.938223938223917</v>
      </c>
      <c r="AZ918" s="409">
        <f>AZ84</f>
        <v>5.4084597998062458</v>
      </c>
      <c r="BB918" s="409">
        <f>BB84</f>
        <v>17.071611253196942</v>
      </c>
      <c r="BD918" s="409">
        <f>BD84</f>
        <v>26.264834478450961</v>
      </c>
      <c r="BF918" s="35">
        <f>BF84</f>
        <v>22.633463625131334</v>
      </c>
      <c r="BH918" s="35">
        <f>BH84</f>
        <v>22.379179511519965</v>
      </c>
      <c r="BJ918" s="35">
        <f>BJ84</f>
        <v>22.686865540648903</v>
      </c>
      <c r="BL918" s="35">
        <f>BL84</f>
        <v>23.135823037160446</v>
      </c>
      <c r="BU918" s="35">
        <f>BU84</f>
        <v>20.351699774775788</v>
      </c>
      <c r="BW918" s="35">
        <f>BW84</f>
        <v>20.144370135405442</v>
      </c>
      <c r="BY918" s="35">
        <f>BY84</f>
        <v>25.197682777284452</v>
      </c>
      <c r="CA918" s="35">
        <f>CA84</f>
        <v>21.880941315644939</v>
      </c>
      <c r="CC918" s="35">
        <f>CC84</f>
        <v>20.005951621816941</v>
      </c>
      <c r="CE918" s="35">
        <f>CE84</f>
        <v>18.66544941488921</v>
      </c>
      <c r="CG918" s="35">
        <f>CG84</f>
        <v>18.240925408855212</v>
      </c>
      <c r="CI918" s="35">
        <f>CI84</f>
        <v>22.711416332304658</v>
      </c>
      <c r="CK918" s="35">
        <f>CK84</f>
        <v>22.887016119770507</v>
      </c>
      <c r="CM918" s="35">
        <f>CM84</f>
        <v>22.92625258467076</v>
      </c>
      <c r="CO918" s="35">
        <f>CO84</f>
        <v>22.963266036613426</v>
      </c>
      <c r="CQ918" s="35">
        <f>CQ84</f>
        <v>22.916595582477552</v>
      </c>
    </row>
    <row r="919" spans="1:105" ht="12.75" hidden="1" customHeight="1" outlineLevel="1" x14ac:dyDescent="0.2">
      <c r="A919" s="31" t="s">
        <v>193</v>
      </c>
      <c r="B919" s="35">
        <f>B169</f>
        <v>11.490230387868177</v>
      </c>
      <c r="D919" s="35">
        <f>D169</f>
        <v>17.416189697465256</v>
      </c>
      <c r="F919" s="35">
        <f>F169</f>
        <v>23.843115124153499</v>
      </c>
      <c r="H919" s="35">
        <f>H169</f>
        <v>64.776409591704464</v>
      </c>
      <c r="J919" s="35">
        <f>J169</f>
        <v>10.734296667649639</v>
      </c>
      <c r="L919" s="35">
        <f>L169</f>
        <v>8.548895899053635</v>
      </c>
      <c r="N919" s="35">
        <f>N169</f>
        <v>10.759075907590766</v>
      </c>
      <c r="P919" s="35">
        <f>P169</f>
        <v>2.0050922978994308</v>
      </c>
      <c r="R919" s="35">
        <f>R169</f>
        <v>17.814960629921249</v>
      </c>
      <c r="T919" s="35">
        <f>T169</f>
        <v>19.906323185011701</v>
      </c>
      <c r="V919" s="35">
        <f>V169</f>
        <v>31.207729468599037</v>
      </c>
      <c r="X919" s="35">
        <f>X169</f>
        <v>27.668772863318935</v>
      </c>
      <c r="Z919" s="35">
        <f>Z169</f>
        <v>18.838088690271594</v>
      </c>
      <c r="AB919" s="35">
        <f>AB169</f>
        <v>21.464393179538629</v>
      </c>
      <c r="AD919" s="35">
        <f>AD169</f>
        <v>26.065246338215697</v>
      </c>
      <c r="AF919" s="35">
        <f>AF169</f>
        <v>21.43803843605037</v>
      </c>
      <c r="AH919" s="35">
        <f>AH169</f>
        <v>23.647018269562224</v>
      </c>
      <c r="AJ919" s="35">
        <f>AJ169</f>
        <v>21.456208230742156</v>
      </c>
      <c r="AL919" s="35">
        <f>AL169</f>
        <v>16.595605116431607</v>
      </c>
      <c r="AN919" s="409">
        <f>AN169</f>
        <v>21.423705722070853</v>
      </c>
      <c r="AP919" s="409">
        <f>AP169</f>
        <v>0</v>
      </c>
      <c r="AR919" s="409">
        <f>AR169</f>
        <v>0</v>
      </c>
      <c r="AT919" s="409">
        <f>AT169</f>
        <v>0</v>
      </c>
      <c r="AV919" s="409">
        <f>AV169</f>
        <v>0</v>
      </c>
      <c r="AX919" s="409">
        <f>AX169</f>
        <v>0</v>
      </c>
      <c r="AZ919" s="409">
        <f>AZ169</f>
        <v>0</v>
      </c>
      <c r="BB919" s="409">
        <f>BB169</f>
        <v>0</v>
      </c>
      <c r="BD919" s="409">
        <f>BD169</f>
        <v>0</v>
      </c>
      <c r="BF919" s="35">
        <f>BF169</f>
        <v>0</v>
      </c>
      <c r="BH919" s="35">
        <f>BH169</f>
        <v>0</v>
      </c>
      <c r="BJ919" s="35">
        <f>BJ169</f>
        <v>0</v>
      </c>
      <c r="BL919" s="35">
        <f>BL169</f>
        <v>0</v>
      </c>
      <c r="BU919" s="35">
        <f>BU169</f>
        <v>28.241550116550123</v>
      </c>
      <c r="BW919" s="35">
        <f>BW169</f>
        <v>8.0420953428100272</v>
      </c>
      <c r="BY919" s="35">
        <f>BY169</f>
        <v>24.191291464318045</v>
      </c>
      <c r="CA919" s="35">
        <f>CA169</f>
        <v>21.976178493541358</v>
      </c>
      <c r="CC919" s="35">
        <f>CC169</f>
        <v>20.726404638076573</v>
      </c>
      <c r="CE919" s="35" t="e">
        <f>CE169</f>
        <v>#DIV/0!</v>
      </c>
      <c r="CG919" s="35">
        <f>CG169</f>
        <v>0</v>
      </c>
      <c r="CI919" s="35">
        <f>CI169</f>
        <v>0</v>
      </c>
      <c r="CK919" s="35">
        <f>CK169</f>
        <v>0</v>
      </c>
      <c r="CM919" s="35">
        <f>CM169</f>
        <v>0</v>
      </c>
      <c r="CO919" s="35">
        <f>CO169</f>
        <v>0</v>
      </c>
      <c r="CQ919" s="35">
        <f>CQ169</f>
        <v>0</v>
      </c>
    </row>
    <row r="920" spans="1:105" ht="12.75" hidden="1" customHeight="1" outlineLevel="1" x14ac:dyDescent="0.2">
      <c r="A920" s="31" t="s">
        <v>187</v>
      </c>
      <c r="B920" s="35">
        <f>B274</f>
        <v>19.67307453029737</v>
      </c>
      <c r="D920" s="35">
        <f>D274</f>
        <v>20.164363436022224</v>
      </c>
      <c r="F920" s="35">
        <f>F274</f>
        <v>18.592788469386086</v>
      </c>
      <c r="H920" s="35">
        <f>H274</f>
        <v>11.86346796455034</v>
      </c>
      <c r="J920" s="35">
        <f>J274</f>
        <v>25.255084466829452</v>
      </c>
      <c r="L920" s="35">
        <f>L274</f>
        <v>24.032192417272714</v>
      </c>
      <c r="N920" s="35">
        <f>N274</f>
        <v>27.410174690615385</v>
      </c>
      <c r="P920" s="35">
        <f>P274</f>
        <v>21.910684081609741</v>
      </c>
      <c r="R920" s="35">
        <f>R274</f>
        <v>22.82031842304777</v>
      </c>
      <c r="T920" s="35">
        <f>T274</f>
        <v>27.609427609427613</v>
      </c>
      <c r="V920" s="35">
        <f>V274</f>
        <v>33.728919425359166</v>
      </c>
      <c r="X920" s="35">
        <f>X274</f>
        <v>31.657690005984435</v>
      </c>
      <c r="Z920" s="35">
        <f>Z274</f>
        <v>31.028037383177569</v>
      </c>
      <c r="AB920" s="35">
        <f>AB274</f>
        <v>33.639705882352935</v>
      </c>
      <c r="AD920" s="35">
        <f>AD274</f>
        <v>34.81877599524659</v>
      </c>
      <c r="AF920" s="35">
        <f>AF274</f>
        <v>28.76376988984088</v>
      </c>
      <c r="AH920" s="35">
        <f>AH274</f>
        <v>28.75536480686695</v>
      </c>
      <c r="AJ920" s="35">
        <f>AJ274</f>
        <v>29.634300126103408</v>
      </c>
      <c r="AL920" s="35">
        <f>AL274</f>
        <v>29.882044560943644</v>
      </c>
      <c r="AN920" s="409">
        <f>AN274</f>
        <v>28.66801893171062</v>
      </c>
      <c r="AP920" s="409">
        <f>AP274</f>
        <v>17.170953101361583</v>
      </c>
      <c r="AR920" s="409">
        <f>AR274</f>
        <v>22.276879831342246</v>
      </c>
      <c r="AT920" s="409">
        <f>AT274</f>
        <v>31.553100061387347</v>
      </c>
      <c r="AV920" s="409">
        <f>AV274</f>
        <v>34.302325581395351</v>
      </c>
      <c r="AX920" s="409">
        <f>AX274</f>
        <v>28.804664723032076</v>
      </c>
      <c r="AZ920" s="409">
        <f>AZ274</f>
        <v>41.703594288527825</v>
      </c>
      <c r="BB920" s="409">
        <f>BB274</f>
        <v>31.326709526592634</v>
      </c>
      <c r="BD920" s="409">
        <f>BD274</f>
        <v>32.795698924731184</v>
      </c>
      <c r="BF920" s="35">
        <f>BF274</f>
        <v>27.999999999999993</v>
      </c>
      <c r="BH920" s="35">
        <f>BH274</f>
        <v>34</v>
      </c>
      <c r="BJ920" s="35">
        <f>BJ274</f>
        <v>33.999999999999993</v>
      </c>
      <c r="BL920" s="35">
        <f>BL274</f>
        <v>34</v>
      </c>
      <c r="BU920" s="35">
        <f>BU274</f>
        <v>17.786198092419284</v>
      </c>
      <c r="BW920" s="35">
        <f>BW274</f>
        <v>24.651132947129131</v>
      </c>
      <c r="BY920" s="35">
        <f>BY274</f>
        <v>29.295589203423329</v>
      </c>
      <c r="CA920" s="35">
        <f>CA274</f>
        <v>32.087274946597496</v>
      </c>
      <c r="CC920" s="35">
        <f>CC274</f>
        <v>29.234972677595618</v>
      </c>
      <c r="CE920" s="35">
        <f>CE274</f>
        <v>27.242259814873908</v>
      </c>
      <c r="CG920" s="35">
        <f>CG274</f>
        <v>33.989339893398927</v>
      </c>
      <c r="CI920" s="35">
        <f>CI274</f>
        <v>32.433602479800911</v>
      </c>
      <c r="CK920" s="35">
        <f>CK274</f>
        <v>32.933602479800918</v>
      </c>
      <c r="CM920" s="35">
        <f>CM274</f>
        <v>32.933602479800911</v>
      </c>
      <c r="CO920" s="35">
        <f>CO274</f>
        <v>32.933602479800918</v>
      </c>
      <c r="CQ920" s="35">
        <f>CQ274</f>
        <v>32.933602479800911</v>
      </c>
    </row>
    <row r="921" spans="1:105" ht="12.75" hidden="1" customHeight="1" outlineLevel="1" x14ac:dyDescent="0.2">
      <c r="A921" s="31" t="s">
        <v>194</v>
      </c>
      <c r="B921" s="35">
        <f>B343</f>
        <v>20.537564045822457</v>
      </c>
      <c r="D921" s="35">
        <f>D343</f>
        <v>20.341837375895452</v>
      </c>
      <c r="F921" s="35">
        <f>F343</f>
        <v>21.962231341544214</v>
      </c>
      <c r="H921" s="35">
        <f>H343</f>
        <v>11.439185801370479</v>
      </c>
      <c r="J921" s="35">
        <f>J343</f>
        <v>15.514118724033507</v>
      </c>
      <c r="L921" s="35">
        <f>L343</f>
        <v>10.327166721338898</v>
      </c>
      <c r="N921" s="35">
        <f>N343</f>
        <v>14.840557837958679</v>
      </c>
      <c r="P921" s="35">
        <f>P343</f>
        <v>15.308292987223195</v>
      </c>
      <c r="R921" s="35">
        <f>R343</f>
        <v>15.12078735460781</v>
      </c>
      <c r="T921" s="35">
        <f>T343</f>
        <v>12.019230769230768</v>
      </c>
      <c r="V921" s="35">
        <f>V343</f>
        <v>30.638409209837775</v>
      </c>
      <c r="X921" s="35">
        <f>X343</f>
        <v>14.311814859926919</v>
      </c>
      <c r="Z921" s="35">
        <f>Z343</f>
        <v>10.090850097339414</v>
      </c>
      <c r="AB921" s="35">
        <f>AB343</f>
        <v>18.414173685739161</v>
      </c>
      <c r="AD921" s="35">
        <f>AD343</f>
        <v>12.35257603972688</v>
      </c>
      <c r="AF921" s="35">
        <f>AF343</f>
        <v>28.17286652078776</v>
      </c>
      <c r="AH921" s="35">
        <f>AH343</f>
        <v>13.861386138613854</v>
      </c>
      <c r="AJ921" s="35">
        <f>AJ343</f>
        <v>11.998726925525157</v>
      </c>
      <c r="AL921" s="35">
        <f>AL343</f>
        <v>-3.7815126050420007</v>
      </c>
      <c r="AN921" s="409">
        <f>AN343</f>
        <v>29.391504018369684</v>
      </c>
      <c r="AP921" s="409">
        <f>AP343</f>
        <v>13.659022931206371</v>
      </c>
      <c r="AR921" s="409">
        <f>AR343</f>
        <v>16.749916749916743</v>
      </c>
      <c r="AT921" s="409">
        <f>AT343</f>
        <v>-26.897282033180392</v>
      </c>
      <c r="AV921" s="409">
        <f>AV343</f>
        <v>14.500501169395246</v>
      </c>
      <c r="AX921" s="409">
        <f>AX343</f>
        <v>10.764006791171473</v>
      </c>
      <c r="AZ921" s="409">
        <f>AZ343</f>
        <v>20.006422607578664</v>
      </c>
      <c r="BB921" s="409">
        <f>BB343</f>
        <v>-20.955998733776525</v>
      </c>
      <c r="BD921" s="409">
        <f>BD343</f>
        <v>19.811320754716981</v>
      </c>
      <c r="BF921" s="35">
        <f>BF343</f>
        <v>15.461651474686336</v>
      </c>
      <c r="BH921" s="35">
        <f>BH343</f>
        <v>17.610197362224298</v>
      </c>
      <c r="BJ921" s="35">
        <f>BJ343</f>
        <v>18.510322216168305</v>
      </c>
      <c r="BL921" s="35">
        <f>BL343</f>
        <v>18.776870219107391</v>
      </c>
      <c r="BU921" s="35">
        <f>BU343</f>
        <v>18.766734786664404</v>
      </c>
      <c r="BW921" s="35">
        <f>BW343</f>
        <v>14.084112391259973</v>
      </c>
      <c r="BY921" s="35">
        <f>BY343</f>
        <v>18.481177921230142</v>
      </c>
      <c r="CA921" s="35">
        <f>CA343</f>
        <v>17.704991419831391</v>
      </c>
      <c r="CC921" s="35">
        <f>CC343</f>
        <v>13.692222310314758</v>
      </c>
      <c r="CE921" s="35">
        <f>CE343</f>
        <v>4.9501605000844666</v>
      </c>
      <c r="CG921" s="35">
        <f>CG343</f>
        <v>7.3237618970801703</v>
      </c>
      <c r="CI921" s="35">
        <f>CI343</f>
        <v>17.598565014733914</v>
      </c>
      <c r="CK921" s="35">
        <f>CK343</f>
        <v>17.384864224924236</v>
      </c>
      <c r="CM921" s="35">
        <f>CM343</f>
        <v>17.23025830230123</v>
      </c>
      <c r="CO921" s="35">
        <f>CO343</f>
        <v>17.076023384057898</v>
      </c>
      <c r="CQ921" s="35">
        <f>CQ343</f>
        <v>16.92216671761167</v>
      </c>
    </row>
    <row r="922" spans="1:105" ht="12.75" hidden="1" customHeight="1" outlineLevel="1" x14ac:dyDescent="0.2">
      <c r="A922" s="31" t="s">
        <v>195</v>
      </c>
      <c r="B922" s="35">
        <f>B418</f>
        <v>14.008510079107017</v>
      </c>
      <c r="D922" s="35">
        <f>D418</f>
        <v>29.226458895542134</v>
      </c>
      <c r="F922" s="35">
        <f>F418</f>
        <v>19.075853829251358</v>
      </c>
      <c r="H922" s="35">
        <f>H418</f>
        <v>21.358421680432176</v>
      </c>
      <c r="J922" s="35">
        <f>J418</f>
        <v>16.19734504024251</v>
      </c>
      <c r="L922" s="35">
        <f>L418</f>
        <v>27.235253244192375</v>
      </c>
      <c r="N922" s="35">
        <f>N418</f>
        <v>31.956220952921548</v>
      </c>
      <c r="P922" s="35">
        <f>P418</f>
        <v>26.59425205117963</v>
      </c>
      <c r="R922" s="35">
        <f>R418</f>
        <v>13.611416026344667</v>
      </c>
      <c r="T922" s="35">
        <f>T418</f>
        <v>29.729729729729716</v>
      </c>
      <c r="V922" s="35">
        <f>V418</f>
        <v>26.845018450184487</v>
      </c>
      <c r="X922" s="35">
        <f>X418</f>
        <v>28.345724907063186</v>
      </c>
      <c r="Z922" s="35">
        <f>Z418</f>
        <v>15.391621129326042</v>
      </c>
      <c r="AB922" s="35">
        <f>AB418</f>
        <v>31.684828164291705</v>
      </c>
      <c r="AD922" s="35">
        <f>AD418</f>
        <v>31.48936170212766</v>
      </c>
      <c r="AF922" s="35">
        <f>AF418</f>
        <v>41.003584229390682</v>
      </c>
      <c r="AH922" s="35">
        <f>AH418</f>
        <v>31.424148606811141</v>
      </c>
      <c r="AJ922" s="35">
        <f>AJ418</f>
        <v>28.51739788199697</v>
      </c>
      <c r="AL922" s="35">
        <f>AL418</f>
        <v>32.452276064610864</v>
      </c>
      <c r="AN922" s="409">
        <f>AN418</f>
        <v>20.309810671256447</v>
      </c>
      <c r="AP922" s="409">
        <f>AP418</f>
        <v>17.161716171617158</v>
      </c>
      <c r="AR922" s="409">
        <f>AR418</f>
        <v>24.884437596302007</v>
      </c>
      <c r="AT922" s="409">
        <f>AT418</f>
        <v>30.843913368185223</v>
      </c>
      <c r="AV922" s="409">
        <f>AV418</f>
        <v>26.126126126126113</v>
      </c>
      <c r="AX922" s="409">
        <f>AX418</f>
        <v>8.9602704987320454</v>
      </c>
      <c r="AZ922" s="409">
        <f>AZ418</f>
        <v>21.07728337236534</v>
      </c>
      <c r="BB922" s="409">
        <f>BB418</f>
        <v>37.251123956326268</v>
      </c>
      <c r="BD922" s="409">
        <f>BD418</f>
        <v>23.255813953488371</v>
      </c>
      <c r="BF922" s="35">
        <f>BF418</f>
        <v>13.722834043682694</v>
      </c>
      <c r="BH922" s="35">
        <f>BH418</f>
        <v>25.149449974451858</v>
      </c>
      <c r="BJ922" s="35">
        <f>BJ418</f>
        <v>26.077410452684358</v>
      </c>
      <c r="BL922" s="35">
        <f>BL418</f>
        <v>24.90846862817147</v>
      </c>
      <c r="BU922" s="35">
        <f>BU418</f>
        <v>21.146790670455161</v>
      </c>
      <c r="BW922" s="35">
        <f>BW418</f>
        <v>25.832530642286926</v>
      </c>
      <c r="BY922" s="35">
        <f>BY418</f>
        <v>25.154101469890961</v>
      </c>
      <c r="CA922" s="35">
        <f>CA418</f>
        <v>30.631557292738098</v>
      </c>
      <c r="CC922" s="35">
        <f>CC418</f>
        <v>28.435188789412209</v>
      </c>
      <c r="CE922" s="35">
        <f>CE418</f>
        <v>24.911242603550299</v>
      </c>
      <c r="CG922" s="35">
        <f>CG418</f>
        <v>23.649030314441738</v>
      </c>
      <c r="CI922" s="35">
        <f>CI418</f>
        <v>22.672874372805669</v>
      </c>
      <c r="CK922" s="35">
        <f>CK418</f>
        <v>23.513804634898587</v>
      </c>
      <c r="CM922" s="35">
        <f>CM418</f>
        <v>23.289804044923233</v>
      </c>
      <c r="CO922" s="35">
        <f>CO418</f>
        <v>23.058816269387634</v>
      </c>
      <c r="CQ922" s="35">
        <f>CQ418</f>
        <v>22.820494780418574</v>
      </c>
    </row>
    <row r="923" spans="1:105" ht="12.75" hidden="1" customHeight="1" outlineLevel="1" x14ac:dyDescent="0.2">
      <c r="A923" s="4" t="s">
        <v>266</v>
      </c>
      <c r="B923" s="35">
        <f>B653/(B60+B145+B252+B320+B398)*100</f>
        <v>18.861281091978928</v>
      </c>
      <c r="D923" s="35">
        <f>D653/(D60+D145+D252+D320+D398)*100</f>
        <v>22.00953133976693</v>
      </c>
      <c r="F923" s="35">
        <f>F653/(F60+F145+F252+F320+F398)*100</f>
        <v>20.410663361437923</v>
      </c>
      <c r="H923" s="35">
        <f>H653/(H60+H145+H252+H320+H398)*100</f>
        <v>25.565741505214145</v>
      </c>
      <c r="J923" s="35">
        <f>J653/(J60+J145+J252+J320+J398)*100</f>
        <v>17.762001529641328</v>
      </c>
      <c r="L923" s="35">
        <f>L653/(L60+L145+L252+L320+L398)*100</f>
        <v>13.664107079656734</v>
      </c>
      <c r="N923" s="35">
        <f>N653/(N60+N145+N252+N320+N398)*100</f>
        <v>20.58313281864346</v>
      </c>
      <c r="P923" s="35">
        <f>P653/(P60+P145+P252+P320+P398)*100</f>
        <v>15.422430748310537</v>
      </c>
      <c r="R923" s="35">
        <f>R653/(R60+R145+R252+R320+R398)*100</f>
        <v>19.822135760439103</v>
      </c>
      <c r="T923" s="35">
        <f>T653/(T60+T145+T252+T320+T398)*100</f>
        <v>20.721329190868566</v>
      </c>
      <c r="V923" s="35">
        <f>V653/(V60+V145+V252+V320+V398)*100</f>
        <v>31.049291712069728</v>
      </c>
      <c r="X923" s="35">
        <f>X653/(X60+X145+X252+X320+X398)*100</f>
        <v>23.356986537568805</v>
      </c>
      <c r="Z923" s="35">
        <f>Z653/(Z60+Z145+Z252+Z320+Z398)*100</f>
        <v>18.339503633621291</v>
      </c>
      <c r="AB923" s="35">
        <f>AB653/(AB60+AB145+AB252+AB320+AB398)*100</f>
        <v>23.62622776745421</v>
      </c>
      <c r="AD923" s="35">
        <f>AD653/(AD60+AD145+AD252+AD320+AD398)*100</f>
        <v>21.996278575225944</v>
      </c>
      <c r="AF923" s="35">
        <f>AF653/(AF60+AF145+AF252+AF320+AF398)*100</f>
        <v>26.860635385496906</v>
      </c>
      <c r="AH923" s="35">
        <f>AH653/(AH60+AH145+AH252+AH320+AH398)*100</f>
        <v>21.935702199661588</v>
      </c>
      <c r="AJ923" s="35">
        <f>AJ653/(AJ60+AJ145+AJ252+AJ320+AJ398)*100</f>
        <v>21.187822777928783</v>
      </c>
      <c r="AL923" s="35">
        <f>AL653/(AL60+AL145+AL252+AL320+AL398)*100</f>
        <v>14.317841079460264</v>
      </c>
      <c r="AN923" s="409">
        <f>AN653/(AN60+AN145+AN252+AN320+AN398)*100</f>
        <v>24.462151394422314</v>
      </c>
      <c r="AP923" s="409">
        <f>AP653/(AP60+AP145+AP252+AP320+AP398)*100</f>
        <v>16.64309704790524</v>
      </c>
      <c r="AR923" s="409">
        <f>AR653/(AR60+AR145+AR252+AR320+AR398)*100</f>
        <v>21.727637076831243</v>
      </c>
      <c r="AT923" s="409">
        <f>AT653/(AT60+AT145+AT252+AT320+AT398)*100</f>
        <v>6.6672264673776054</v>
      </c>
      <c r="AV923" s="409">
        <f>AV653/(AV60+AV145+AV252+AV320+AV398)*100</f>
        <v>22.958935237786072</v>
      </c>
      <c r="AX923" s="409">
        <f>AX653/(AX60+AX145+AX252+AX320+AX398)*100</f>
        <v>19.943610581308555</v>
      </c>
      <c r="AZ923" s="409">
        <f>AZ653/(AZ60+AZ145+AZ252+AZ320+AZ398)*100</f>
        <v>16.442155309033268</v>
      </c>
      <c r="BB923" s="409">
        <f>BB653/(BB60+BB145+BB252+BB320+BB398)*100</f>
        <v>12.000315382795874</v>
      </c>
      <c r="BD923" s="409">
        <f>BD653/(BD60+BD145+BD252+BD320+BD398)*100</f>
        <v>25.302340191612998</v>
      </c>
      <c r="BF923" s="35">
        <f>BF653/(BF60+BF145+BF252+BF320+BF398)*100</f>
        <v>20.707563039879958</v>
      </c>
      <c r="BH923" s="35">
        <f>BH653/(BH60+BH145+BH252+BH320+BH398)*100</f>
        <v>23.095650844530134</v>
      </c>
      <c r="BJ923" s="35">
        <f>BJ653/(BJ60+BJ145+BJ252+BJ320+BJ398)*100</f>
        <v>23.396603046775542</v>
      </c>
      <c r="BL923" s="35">
        <f>BL653/(BL60+BL145+BL252+BL320+BL398)*100</f>
        <v>23.598006923774729</v>
      </c>
      <c r="BU923" s="35">
        <f>BU653/(BU60+BU145+BU252+BU320+BU398)*100</f>
        <v>21.622590140669903</v>
      </c>
      <c r="BW923" s="35">
        <f>BW653/(BW60+BW145+BW252+BW320+BW398)*100</f>
        <v>16.904153921782829</v>
      </c>
      <c r="BY923" s="35">
        <f>BY653/(BY60+BY145+BY252+BY320+BY398)*100</f>
        <v>23.859783897526682</v>
      </c>
      <c r="CA923" s="35">
        <f>CA653/(CA60+CA145+CA252+CA320+CA398)*100</f>
        <v>22.784684401330935</v>
      </c>
      <c r="CC923" s="35">
        <f>CC653/(CC60+CC145+CC252+CC320+CC398)*100</f>
        <v>20.504854368932033</v>
      </c>
      <c r="CE923" s="35">
        <f>CE653/(CE60+CE145+CE252+CE320+CE398)*100</f>
        <v>17.037569808766285</v>
      </c>
      <c r="CG923" s="35">
        <f>CG653/(CG60+CG145+CG252+CG320+CG398)*100</f>
        <v>18.412647716384541</v>
      </c>
      <c r="CI923" s="35">
        <f>CI653/(CI60+CI145+CI252+CI320+CI398)*100</f>
        <v>22.704454368304251</v>
      </c>
      <c r="CK923" s="35">
        <f>CK653/(CK60+CK145+CK252+CK320+CK398)*100</f>
        <v>22.909521631271204</v>
      </c>
      <c r="CM923" s="35">
        <f>CM653/(CM60+CM145+CM252+CM320+CM398)*100</f>
        <v>22.892482281639627</v>
      </c>
      <c r="CO923" s="35">
        <f>CO653/(CO60+CO145+CO252+CO320+CO398)*100</f>
        <v>22.861365507452685</v>
      </c>
      <c r="CQ923" s="35">
        <f>CQ653/(CQ60+CQ145+CQ252+CQ320+CQ398)*100</f>
        <v>22.789234372764049</v>
      </c>
    </row>
    <row r="924" spans="1:105" ht="12.75" hidden="1" customHeight="1" outlineLevel="1" x14ac:dyDescent="0.2"/>
    <row r="925" spans="1:105" ht="12.75" hidden="1" customHeight="1" outlineLevel="1" x14ac:dyDescent="0.2">
      <c r="A925" s="161" t="s">
        <v>336</v>
      </c>
      <c r="L925" s="5"/>
      <c r="N925" s="5"/>
      <c r="P925" s="5"/>
      <c r="R925" s="5"/>
      <c r="T925" s="5"/>
      <c r="V925" s="5"/>
      <c r="X925" s="5"/>
      <c r="Z925" s="5"/>
      <c r="AB925" s="5"/>
      <c r="AD925" s="5"/>
      <c r="AF925" s="5"/>
      <c r="AH925" s="5"/>
      <c r="AJ925" s="5"/>
      <c r="AL925" s="5"/>
      <c r="AN925" s="475"/>
      <c r="AP925" s="475"/>
      <c r="AR925" s="475"/>
      <c r="AT925" s="475"/>
      <c r="AV925" s="475"/>
      <c r="AX925" s="475"/>
      <c r="AZ925" s="475"/>
      <c r="BB925" s="475"/>
      <c r="BD925" s="475"/>
      <c r="BF925" s="5"/>
      <c r="BH925" s="5"/>
      <c r="BJ925" s="5"/>
      <c r="BL925" s="5"/>
    </row>
    <row r="926" spans="1:105" ht="12.75" hidden="1" customHeight="1" outlineLevel="1" x14ac:dyDescent="0.2">
      <c r="A926" s="31" t="s">
        <v>192</v>
      </c>
      <c r="B926" s="36">
        <f>B648*(1-B$658/100)</f>
        <v>81.563739742847915</v>
      </c>
      <c r="D926" s="36">
        <f>D648*(1-D$658/100)</f>
        <v>96.712944847420346</v>
      </c>
      <c r="F926" s="36">
        <f>F648*(1-F$658/100)</f>
        <v>63.471232274072882</v>
      </c>
      <c r="H926" s="36">
        <f>H648*(1-H$658/100)</f>
        <v>45.486533843054652</v>
      </c>
      <c r="J926" s="36">
        <f>J648*(1-J$658/100)</f>
        <v>80.673814606132751</v>
      </c>
      <c r="L926" s="36">
        <f>L648*(1-L$658/100)</f>
        <v>46.236509649210916</v>
      </c>
      <c r="N926" s="36">
        <f>N648*(1-N$658/100)</f>
        <v>94.400696643435921</v>
      </c>
      <c r="P926" s="36">
        <f>P648*(1-P$658/100)</f>
        <v>70.045016034014225</v>
      </c>
      <c r="R926" s="36">
        <f>R648*(1-R$658/100)</f>
        <v>89.521667965705419</v>
      </c>
      <c r="T926" s="36">
        <f>T648*(1-T$658/100)</f>
        <v>85.930000000000021</v>
      </c>
      <c r="U926" s="23">
        <f t="shared" ref="U926:Y934" si="5985">IF(ISERROR((T926/L926-1)*100),"NA",IF(((T926/L926-1)*100)&gt;100,"NM",IF(((T926/L926-1)*100)&lt;-50,"NM",(T926/L926-1)*100)))</f>
        <v>85.848803579546413</v>
      </c>
      <c r="V926" s="36">
        <f>V648*(1-V$658/100)</f>
        <v>121.74499999999992</v>
      </c>
      <c r="W926" s="23">
        <f t="shared" si="5985"/>
        <v>28.966209285347855</v>
      </c>
      <c r="X926" s="36">
        <f>X648*(1-X$658/100)</f>
        <v>90.089999999999918</v>
      </c>
      <c r="Y926" s="23">
        <f t="shared" si="5985"/>
        <v>28.617287996981467</v>
      </c>
      <c r="Z926" s="36">
        <f>Z648*(1-Z$658/100)</f>
        <v>74.685000000000031</v>
      </c>
      <c r="AA926" s="23">
        <f t="shared" ref="AA926:AA934" si="5986">IF(ISERROR((Z926/R926-1)*100),"NA",IF(((Z926/R926-1)*100)&gt;100,"NM",IF(((Z926/R926-1)*100)&lt;-50,"NM",(Z926/R926-1)*100)))</f>
        <v>-16.573270251610062</v>
      </c>
      <c r="AB926" s="36">
        <f>AB648*(1-AB$658/100)</f>
        <v>88.205000000000041</v>
      </c>
      <c r="AC926" s="23">
        <f t="shared" ref="AC926:AC934" si="5987">IF(ISERROR((AB926/T926-1)*100),"NA",IF(((AB926/T926-1)*100)&gt;100,"NM",IF(((AB926/T926-1)*100)&lt;-50,"NM",(AB926/T926-1)*100)))</f>
        <v>2.6475037821482861</v>
      </c>
      <c r="AD926" s="36">
        <f>AD648*(1-AD$658/100)</f>
        <v>76.245000000000019</v>
      </c>
      <c r="AE926" s="23">
        <f t="shared" ref="AE926:AE934" si="5988">IF(ISERROR((AD926/V926-1)*100),"NA",IF(((AD926/V926-1)*100)&gt;100,"NM",IF(((AD926/V926-1)*100)&lt;-50,"NM",(AD926/V926-1)*100)))</f>
        <v>-37.373198077949752</v>
      </c>
      <c r="AF926" s="36">
        <f>AF648*(1-AF$658/100)</f>
        <v>97.499999999999872</v>
      </c>
      <c r="AG926" s="23">
        <f t="shared" ref="AG926:AG934" si="5989">IF(ISERROR((AF926/X926-1)*100),"NA",IF(((AF926/X926-1)*100)&gt;100,"NM",IF(((AF926/X926-1)*100)&lt;-50,"NM",(AF926/X926-1)*100)))</f>
        <v>8.2251082251081797</v>
      </c>
      <c r="AH926" s="36">
        <f>AH648*(1-AH$658/100)</f>
        <v>84.728000000000023</v>
      </c>
      <c r="AI926" s="23">
        <f t="shared" ref="AI926:AI934" si="5990">IF(ISERROR((AH926/Z926-1)*100),"NA",IF(((AH926/Z926-1)*100)&gt;100,"NM",IF(((AH926/Z926-1)*100)&lt;-50,"NM",(AH926/Z926-1)*100)))</f>
        <v>13.447144674298706</v>
      </c>
      <c r="AJ926" s="36">
        <f>AJ648*(1-AJ$658/100)</f>
        <v>87.312000000000054</v>
      </c>
      <c r="AK926" s="23">
        <f t="shared" ref="AK926:AK934" si="5991">IF(ISERROR((AJ926/AB926-1)*100),"NA",IF(((AJ926/AB926-1)*100)&gt;100,"NM",IF(((AJ926/AB926-1)*100)&lt;-50,"NM",(AJ926/AB926-1)*100)))</f>
        <v>-1.0124142622300214</v>
      </c>
      <c r="AL926" s="36">
        <f>AL648*(1-AL$658/100)</f>
        <v>54.739999999999831</v>
      </c>
      <c r="AM926" s="23">
        <f t="shared" ref="AM926:AM934" si="5992">IF(ISERROR((AL926/AD926-1)*100),"NA",IF(((AL926/AD926-1)*100)&gt;100,"NM",IF(((AL926/AD926-1)*100)&lt;-50,"NM",(AL926/AD926-1)*100)))</f>
        <v>-28.20512820512845</v>
      </c>
      <c r="AN926" s="410">
        <f>AN648*(1-AN$658/100)</f>
        <v>93.228000000000009</v>
      </c>
      <c r="AO926" s="23">
        <f t="shared" ref="AO926:AO934" si="5993">IF(ISERROR((AN926/AF926-1)*100),"NA",IF(((AN926/AF926-1)*100)&gt;100,"NM",IF(((AN926/AF926-1)*100)&lt;-50,"NM",(AN926/AF926-1)*100)))</f>
        <v>-4.3815384615383257</v>
      </c>
      <c r="AP926" s="410">
        <f>AP648*(1-AP$658/100)</f>
        <v>70.515999999999835</v>
      </c>
      <c r="AQ926" s="23">
        <f t="shared" ref="AQ926:AQ934" si="5994">IF(ISERROR((AP926/AH926-1)*100),"NA",IF(((AP926/AH926-1)*100)&gt;100,"NM",IF(((AP926/AH926-1)*100)&lt;-50,"NM",(AP926/AH926-1)*100)))</f>
        <v>-16.773675762440021</v>
      </c>
      <c r="AR926" s="410">
        <f>AR648*(1-AR$658/100)</f>
        <v>95.540000000000035</v>
      </c>
      <c r="AS926" s="23">
        <f t="shared" ref="AS926:AS934" si="5995">IF(ISERROR((AR926/AJ926-1)*100),"NA",IF(((AR926/AJ926-1)*100)&gt;100,"NM",IF(((AR926/AJ926-1)*100)&lt;-50,"NM",(AR926/AJ926-1)*100)))</f>
        <v>9.4236760124610353</v>
      </c>
      <c r="AT926" s="410">
        <f>AT648*(1-AT$658/100)</f>
        <v>42.771999999999977</v>
      </c>
      <c r="AU926" s="23">
        <f t="shared" ref="AU926:AU934" si="5996">IF(ISERROR((AT926/AL926-1)*100),"NA",IF(((AT926/AL926-1)*100)&gt;100,"NM",IF(((AT926/AL926-1)*100)&lt;-50,"NM",(AT926/AL926-1)*100)))</f>
        <v>-21.86335403726688</v>
      </c>
      <c r="AV926" s="410">
        <f>AV648*(1-AV$658/100)</f>
        <v>97.035999999999916</v>
      </c>
      <c r="AW926" s="23">
        <f t="shared" ref="AW926:AW934" si="5997">IF(ISERROR((AV926/AN926-1)*100),"NA",IF(((AV926/AN926-1)*100)&gt;100,"NM",IF(((AV926/AN926-1)*100)&lt;-50,"NM",(AV926/AN926-1)*100)))</f>
        <v>4.084609773887582</v>
      </c>
      <c r="AX926" s="410">
        <f>AX648*(1-AX$658/100)</f>
        <v>101.18399999999981</v>
      </c>
      <c r="AY926" s="23">
        <f t="shared" ref="AY926:AY934" si="5998">IF(ISERROR((AX926/AP926-1)*100),"NA",IF(((AX926/AP926-1)*100)&gt;100,"NM",IF(((AX926/AP926-1)*100)&lt;-50,"NM",(AX926/AP926-1)*100)))</f>
        <v>43.490838958534297</v>
      </c>
      <c r="AZ926" s="410">
        <f>AZ648*(1-AZ$658/100)</f>
        <v>22.77999999999993</v>
      </c>
      <c r="BA926" s="23" t="str">
        <f t="shared" ref="BA926:BA934" si="5999">IF(ISERROR((AZ926/AR926-1)*100),"NA",IF(((AZ926/AR926-1)*100)&gt;100,"NM",IF(((AZ926/AR926-1)*100)&lt;-50,"NM",(AZ926/AR926-1)*100)))</f>
        <v>NM</v>
      </c>
      <c r="BB926" s="410">
        <f>BB648*(1-BB$658/100)</f>
        <v>72.624000000000038</v>
      </c>
      <c r="BC926" s="23">
        <f t="shared" ref="BC926:BC934" si="6000">IF(ISERROR((BB926/AT926-1)*100),"NA",IF(((BB926/AT926-1)*100)&gt;100,"NM",IF(((BB926/AT926-1)*100)&lt;-50,"NM",(BB926/AT926-1)*100)))</f>
        <v>69.793322734499384</v>
      </c>
      <c r="BD926" s="410">
        <f>BD648*(1-BD$658/100)</f>
        <v>114.37599999999995</v>
      </c>
      <c r="BE926" s="23">
        <f t="shared" ref="BE926:BE934" si="6001">IF(ISERROR((BD926/AV926-1)*100),"NA",IF(((BD926/AV926-1)*100)&gt;100,"NM",IF(((BD926/AV926-1)*100)&lt;-50,"NM",(BD926/AV926-1)*100)))</f>
        <v>17.86965662228457</v>
      </c>
      <c r="BF926" s="36">
        <f>BF648*(1-BF$658/100)</f>
        <v>119.05690632583439</v>
      </c>
      <c r="BG926" s="23">
        <f t="shared" ref="BG926:BG934" si="6002">IF(ISERROR((BF926/AX926-1)*100),"NA",IF(((BF926/AX926-1)*100)&gt;100,"NM",IF(((BF926/AX926-1)*100)&lt;-50,"NM",(BF926/AX926-1)*100)))</f>
        <v>17.66376732075685</v>
      </c>
      <c r="BH926" s="36">
        <f>BH648*(1-BH$658/100)</f>
        <v>117.78878998953681</v>
      </c>
      <c r="BI926" s="23" t="str">
        <f t="shared" ref="BI926:BI934" si="6003">IF(ISERROR((BH926/AZ926-1)*100),"NA",IF(((BH926/AZ926-1)*100)&gt;100,"NM",IF(((BH926/AZ926-1)*100)&lt;-50,"NM",(BH926/AZ926-1)*100)))</f>
        <v>NM</v>
      </c>
      <c r="BJ926" s="36">
        <f>BJ648*(1-BJ$658/100)</f>
        <v>120.03795827815101</v>
      </c>
      <c r="BK926" s="23">
        <f t="shared" ref="BK926:BK934" si="6004">IF(ISERROR((BJ926/BB926-1)*100),"NA",IF(((BJ926/BB926-1)*100)&gt;100,"NM",IF(((BJ926/BB926-1)*100)&lt;-50,"NM",(BJ926/BB926-1)*100)))</f>
        <v>65.28690003050086</v>
      </c>
      <c r="BL926" s="36">
        <f>BL648*(1-BL$658/100)</f>
        <v>124.76013607623912</v>
      </c>
      <c r="BM926" s="23">
        <f t="shared" ref="BM926:BM934" si="6005">IF(ISERROR((BL926/BD926-1)*100),"NA",IF(((BL926/BD926-1)*100)&gt;100,"NM",IF(((BL926/BD926-1)*100)&lt;-50,"NM",(BL926/BD926-1)*100)))</f>
        <v>9.0789466988172141</v>
      </c>
    </row>
    <row r="927" spans="1:105" ht="12.75" hidden="1" customHeight="1" outlineLevel="1" x14ac:dyDescent="0.2">
      <c r="A927" s="31" t="s">
        <v>193</v>
      </c>
      <c r="B927" s="36">
        <f>B649*(1-B$658/100)</f>
        <v>25.613608144647539</v>
      </c>
      <c r="D927" s="36">
        <f>D649*(1-D$658/100)</f>
        <v>41.552076110417431</v>
      </c>
      <c r="F927" s="36">
        <f>F649*(1-F$658/100)</f>
        <v>54.912656160122459</v>
      </c>
      <c r="H927" s="36">
        <f>H649*(1-H$658/100)</f>
        <v>129.88355614762261</v>
      </c>
      <c r="J927" s="36">
        <f>J649*(1-J$658/100)</f>
        <v>23.665445877126384</v>
      </c>
      <c r="L927" s="36">
        <f>L649*(1-L$658/100)</f>
        <v>17.620720172881715</v>
      </c>
      <c r="N927" s="36">
        <f>N649*(1-N$658/100)</f>
        <v>21.180643036119445</v>
      </c>
      <c r="P927" s="36">
        <f>P649*(1-P$658/100)</f>
        <v>4.0935398980917457</v>
      </c>
      <c r="R927" s="36">
        <f>R649*(1-R$658/100)</f>
        <v>35.275954793452811</v>
      </c>
      <c r="T927" s="36">
        <f>T649*(1-T$658/100)</f>
        <v>38.674999999999962</v>
      </c>
      <c r="U927" s="23" t="str">
        <f t="shared" si="5985"/>
        <v>NM</v>
      </c>
      <c r="V927" s="36">
        <f>V649*(1-V$658/100)</f>
        <v>62.984999999999971</v>
      </c>
      <c r="W927" s="23" t="str">
        <f t="shared" si="5985"/>
        <v>NM</v>
      </c>
      <c r="X927" s="36">
        <f>X649*(1-X$658/100)</f>
        <v>54.080000000000013</v>
      </c>
      <c r="Y927" s="23" t="str">
        <f t="shared" si="5985"/>
        <v>NM</v>
      </c>
      <c r="Z927" s="36">
        <f>Z649*(1-Z$658/100)</f>
        <v>35.620000000000047</v>
      </c>
      <c r="AA927" s="23">
        <f t="shared" si="5986"/>
        <v>0.97529665337674487</v>
      </c>
      <c r="AB927" s="36">
        <f>AB649*(1-AB$658/100)</f>
        <v>41.730000000000018</v>
      </c>
      <c r="AC927" s="23">
        <f t="shared" si="5987"/>
        <v>7.8991596638656958</v>
      </c>
      <c r="AD927" s="36">
        <f>AD649*(1-AD$658/100)</f>
        <v>50.894999999999982</v>
      </c>
      <c r="AE927" s="23">
        <f t="shared" si="5988"/>
        <v>-19.19504643962847</v>
      </c>
      <c r="AF927" s="36">
        <f>AF649*(1-AF$658/100)</f>
        <v>42.055000000000007</v>
      </c>
      <c r="AG927" s="23">
        <f t="shared" si="5989"/>
        <v>-22.235576923076927</v>
      </c>
      <c r="AH927" s="36">
        <f>AH649*(1-AH$658/100)</f>
        <v>46.648000000000017</v>
      </c>
      <c r="AI927" s="23">
        <f t="shared" si="5990"/>
        <v>30.960134755755075</v>
      </c>
      <c r="AJ927" s="36">
        <f>AJ649*(1-AJ$658/100)</f>
        <v>41.479999999999976</v>
      </c>
      <c r="AK927" s="23">
        <f t="shared" si="5991"/>
        <v>-0.59908938413621993</v>
      </c>
      <c r="AL927" s="36">
        <f>AL649*(1-AL$658/100)</f>
        <v>34.407999999999916</v>
      </c>
      <c r="AM927" s="23">
        <f t="shared" si="5992"/>
        <v>-32.394144807938055</v>
      </c>
      <c r="AN927" s="410">
        <f>AN649*(1-AN$658/100)</f>
        <v>42.77200000000002</v>
      </c>
      <c r="AO927" s="23">
        <f t="shared" si="5993"/>
        <v>1.7049102365949587</v>
      </c>
      <c r="AP927" s="410">
        <f>AP649*(1-AP$658/100)</f>
        <v>0</v>
      </c>
      <c r="AQ927" s="23" t="str">
        <f t="shared" si="5994"/>
        <v>NM</v>
      </c>
      <c r="AR927" s="410">
        <f>AR649*(1-AR$658/100)</f>
        <v>0</v>
      </c>
      <c r="AS927" s="23" t="str">
        <f t="shared" si="5995"/>
        <v>NM</v>
      </c>
      <c r="AT927" s="410">
        <f>AT649*(1-AT$658/100)</f>
        <v>0</v>
      </c>
      <c r="AU927" s="23" t="str">
        <f t="shared" si="5996"/>
        <v>NM</v>
      </c>
      <c r="AV927" s="410">
        <f>AV649*(1-AV$658/100)</f>
        <v>0</v>
      </c>
      <c r="AW927" s="23" t="str">
        <f t="shared" si="5997"/>
        <v>NM</v>
      </c>
      <c r="AX927" s="410">
        <f>AX649*(1-AX$658/100)</f>
        <v>0</v>
      </c>
      <c r="AY927" s="23" t="str">
        <f t="shared" si="5998"/>
        <v>NA</v>
      </c>
      <c r="AZ927" s="410">
        <f>AZ649*(1-AZ$658/100)</f>
        <v>0</v>
      </c>
      <c r="BA927" s="23" t="str">
        <f t="shared" si="5999"/>
        <v>NA</v>
      </c>
      <c r="BB927" s="410">
        <f>BB649*(1-BB$658/100)</f>
        <v>0</v>
      </c>
      <c r="BC927" s="23" t="str">
        <f t="shared" si="6000"/>
        <v>NA</v>
      </c>
      <c r="BD927" s="410">
        <f>BD649*(1-BD$658/100)</f>
        <v>0</v>
      </c>
      <c r="BE927" s="23" t="str">
        <f t="shared" si="6001"/>
        <v>NA</v>
      </c>
      <c r="BF927" s="36">
        <f>BF649*(1-BF$658/100)</f>
        <v>0</v>
      </c>
      <c r="BG927" s="23" t="str">
        <f t="shared" si="6002"/>
        <v>NA</v>
      </c>
      <c r="BH927" s="36">
        <f>BH649*(1-BH$658/100)</f>
        <v>0</v>
      </c>
      <c r="BI927" s="23" t="str">
        <f t="shared" si="6003"/>
        <v>NA</v>
      </c>
      <c r="BJ927" s="36">
        <f>BJ649*(1-BJ$658/100)</f>
        <v>0</v>
      </c>
      <c r="BK927" s="23" t="str">
        <f t="shared" si="6004"/>
        <v>NA</v>
      </c>
      <c r="BL927" s="36">
        <f>BL649*(1-BL$658/100)</f>
        <v>0</v>
      </c>
      <c r="BM927" s="23" t="str">
        <f t="shared" si="6005"/>
        <v>NA</v>
      </c>
    </row>
    <row r="928" spans="1:105" ht="12.75" hidden="1" customHeight="1" outlineLevel="1" x14ac:dyDescent="0.2">
      <c r="A928" s="31" t="s">
        <v>187</v>
      </c>
      <c r="B928" s="36">
        <f>B650*(1-B$658/100)</f>
        <v>16.446016721911004</v>
      </c>
      <c r="D928" s="36">
        <f>D650*(1-D$658/100)</f>
        <v>17.135842091732702</v>
      </c>
      <c r="F928" s="36">
        <f>F650*(1-F$658/100)</f>
        <v>14.804322129985199</v>
      </c>
      <c r="H928" s="36">
        <f>H650*(1-H$658/100)</f>
        <v>8.4888877492180548</v>
      </c>
      <c r="J928" s="36">
        <f>J650*(1-J$658/100)</f>
        <v>21.45103629862389</v>
      </c>
      <c r="L928" s="36">
        <f>L650*(1-L$658/100)</f>
        <v>20.347705427681184</v>
      </c>
      <c r="N928" s="36">
        <f>N650*(1-N$658/100)</f>
        <v>25.31281756709242</v>
      </c>
      <c r="P928" s="36">
        <f>P650*(1-P$658/100)</f>
        <v>20.285114615639049</v>
      </c>
      <c r="R928" s="36">
        <f>R650*(1-R$658/100)</f>
        <v>19.554442712392834</v>
      </c>
      <c r="T928" s="36">
        <f>T650*(1-T$658/100)</f>
        <v>26.649999999999988</v>
      </c>
      <c r="U928" s="23">
        <f t="shared" si="5985"/>
        <v>30.972998870649615</v>
      </c>
      <c r="V928" s="36">
        <f>V650*(1-V$658/100)</f>
        <v>35.1</v>
      </c>
      <c r="W928" s="23">
        <f t="shared" si="5985"/>
        <v>38.664926995844475</v>
      </c>
      <c r="X928" s="36">
        <f>X650*(1-X$658/100)</f>
        <v>34.384999999999984</v>
      </c>
      <c r="Y928" s="23">
        <f t="shared" si="5985"/>
        <v>69.508532002527915</v>
      </c>
      <c r="Z928" s="36">
        <f>Z650*(1-Z$658/100)</f>
        <v>32.369999999999997</v>
      </c>
      <c r="AA928" s="23">
        <f t="shared" si="5986"/>
        <v>65.537829311214125</v>
      </c>
      <c r="AB928" s="36">
        <f>AB650*(1-AB$658/100)</f>
        <v>35.684999999999981</v>
      </c>
      <c r="AC928" s="23">
        <f t="shared" si="5987"/>
        <v>33.902439024390233</v>
      </c>
      <c r="AD928" s="36">
        <f>AD650*(1-AD$658/100)</f>
        <v>38.090000000000011</v>
      </c>
      <c r="AE928" s="23">
        <f t="shared" si="5988"/>
        <v>8.5185185185185475</v>
      </c>
      <c r="AF928" s="36">
        <f>AF650*(1-AF$658/100)</f>
        <v>30.549999999999997</v>
      </c>
      <c r="AG928" s="23">
        <f t="shared" si="5989"/>
        <v>-11.153119092627561</v>
      </c>
      <c r="AH928" s="36">
        <f>AH650*(1-AH$658/100)</f>
        <v>31.891999999999996</v>
      </c>
      <c r="AI928" s="23">
        <f t="shared" si="5990"/>
        <v>-1.4766759345072655</v>
      </c>
      <c r="AJ928" s="36">
        <f>AJ650*(1-AJ$658/100)</f>
        <v>31.960000000000012</v>
      </c>
      <c r="AK928" s="23">
        <f t="shared" si="5991"/>
        <v>-10.43855961888741</v>
      </c>
      <c r="AL928" s="36">
        <f>AL650*(1-AL$658/100)</f>
        <v>31.007999999999942</v>
      </c>
      <c r="AM928" s="23">
        <f t="shared" si="5992"/>
        <v>-18.592806510895421</v>
      </c>
      <c r="AN928" s="410">
        <f>AN650*(1-AN$658/100)</f>
        <v>28.832000000000001</v>
      </c>
      <c r="AO928" s="23">
        <f t="shared" si="5993"/>
        <v>-5.6235679214402534</v>
      </c>
      <c r="AP928" s="410">
        <f>AP650*(1-AP$658/100)</f>
        <v>15.435999999999995</v>
      </c>
      <c r="AQ928" s="23" t="str">
        <f t="shared" si="5994"/>
        <v>NM</v>
      </c>
      <c r="AR928" s="410">
        <f>AR650*(1-AR$658/100)</f>
        <v>21.556000000000026</v>
      </c>
      <c r="AS928" s="23">
        <f t="shared" si="5995"/>
        <v>-32.553191489361645</v>
      </c>
      <c r="AT928" s="410">
        <f>AT650*(1-AT$658/100)</f>
        <v>34.951999999999984</v>
      </c>
      <c r="AU928" s="23">
        <f t="shared" si="5996"/>
        <v>12.719298245614198</v>
      </c>
      <c r="AV928" s="410">
        <f>AV650*(1-AV$658/100)</f>
        <v>44.131999999999962</v>
      </c>
      <c r="AW928" s="23">
        <f t="shared" si="5997"/>
        <v>53.066037735848923</v>
      </c>
      <c r="AX928" s="410">
        <f>AX650*(1-AX$658/100)</f>
        <v>33.591999999999977</v>
      </c>
      <c r="AY928" s="23" t="str">
        <f t="shared" si="5998"/>
        <v>NM</v>
      </c>
      <c r="AZ928" s="410">
        <f>AZ650*(1-AZ$658/100)</f>
        <v>57.596000000000032</v>
      </c>
      <c r="BA928" s="23" t="str">
        <f t="shared" si="5999"/>
        <v>NM</v>
      </c>
      <c r="BB928" s="410">
        <f>BB650*(1-BB$658/100)</f>
        <v>36.447999999999993</v>
      </c>
      <c r="BC928" s="23">
        <f t="shared" si="6000"/>
        <v>4.2801556420233755</v>
      </c>
      <c r="BD928" s="410">
        <f>BD650*(1-BD$658/100)</f>
        <v>41.48</v>
      </c>
      <c r="BE928" s="23">
        <f t="shared" si="6001"/>
        <v>-6.0092449922957698</v>
      </c>
      <c r="BF928" s="36">
        <f>BF650*(1-BF$658/100)</f>
        <v>39.948241879688837</v>
      </c>
      <c r="BG928" s="23">
        <f t="shared" si="6002"/>
        <v>18.921891759016617</v>
      </c>
      <c r="BH928" s="36">
        <f>BH650*(1-BH$658/100)</f>
        <v>49.168095690656777</v>
      </c>
      <c r="BI928" s="23">
        <f t="shared" si="6003"/>
        <v>-14.632794481115441</v>
      </c>
      <c r="BJ928" s="36">
        <f>BJ650*(1-BJ$658/100)</f>
        <v>43.03099490516373</v>
      </c>
      <c r="BK928" s="23">
        <f t="shared" si="6004"/>
        <v>18.061333695027827</v>
      </c>
      <c r="BL928" s="36">
        <f>BL650*(1-BL$658/100)</f>
        <v>45.101789454385241</v>
      </c>
      <c r="BM928" s="23">
        <f t="shared" si="6005"/>
        <v>8.7314114136577636</v>
      </c>
    </row>
    <row r="929" spans="1:96" ht="12.75" hidden="1" customHeight="1" outlineLevel="1" x14ac:dyDescent="0.2">
      <c r="A929" s="31" t="s">
        <v>194</v>
      </c>
      <c r="B929" s="36">
        <f>B651*(1-B$658/100)</f>
        <v>49.171626721950538</v>
      </c>
      <c r="D929" s="36">
        <f>D651*(1-D$658/100)</f>
        <v>52.626127067544338</v>
      </c>
      <c r="F929" s="36">
        <f>F651*(1-F$658/100)</f>
        <v>54.498699213684617</v>
      </c>
      <c r="H929" s="36">
        <f>H651*(1-H$658/100)</f>
        <v>25.348410084978479</v>
      </c>
      <c r="J929" s="36">
        <f>J651*(1-J$658/100)</f>
        <v>35.809590479841916</v>
      </c>
      <c r="L929" s="36">
        <f>L651*(1-L$658/100)</f>
        <v>21.698193833551173</v>
      </c>
      <c r="N929" s="36">
        <f>N651*(1-N$658/100)</f>
        <v>34.500408768741615</v>
      </c>
      <c r="P929" s="36">
        <f>P651*(1-P$658/100)</f>
        <v>35.398723826688887</v>
      </c>
      <c r="R929" s="36">
        <f>R651*(1-R$658/100)</f>
        <v>32.937217459080273</v>
      </c>
      <c r="T929" s="36">
        <f>T651*(1-T$658/100)</f>
        <v>25.999999999999986</v>
      </c>
      <c r="U929" s="23">
        <f t="shared" si="5985"/>
        <v>19.825641707546549</v>
      </c>
      <c r="V929" s="36">
        <f>V651*(1-V$658/100)</f>
        <v>76.114999999999938</v>
      </c>
      <c r="W929" s="23" t="str">
        <f t="shared" si="5985"/>
        <v>NM</v>
      </c>
      <c r="X929" s="36">
        <f>X651*(1-X$658/100)</f>
        <v>30.54999999999999</v>
      </c>
      <c r="Y929" s="23">
        <f t="shared" si="5985"/>
        <v>-13.697453756887136</v>
      </c>
      <c r="Z929" s="36">
        <f>Z651*(1-Z$658/100)</f>
        <v>20.215000000000053</v>
      </c>
      <c r="AA929" s="23">
        <f t="shared" si="5986"/>
        <v>-38.625659483487738</v>
      </c>
      <c r="AB929" s="36">
        <f>AB651*(1-AB$658/100)</f>
        <v>41.209999999999937</v>
      </c>
      <c r="AC929" s="23">
        <f t="shared" si="5987"/>
        <v>58.499999999999844</v>
      </c>
      <c r="AD929" s="36">
        <f>AD651*(1-AD$658/100)</f>
        <v>25.870000000000012</v>
      </c>
      <c r="AE929" s="23" t="str">
        <f t="shared" si="5988"/>
        <v>NM</v>
      </c>
      <c r="AF929" s="36">
        <f>AF651*(1-AF$658/100)</f>
        <v>66.950000000000031</v>
      </c>
      <c r="AG929" s="23" t="str">
        <f t="shared" si="5989"/>
        <v>NM</v>
      </c>
      <c r="AH929" s="36">
        <f>AH651*(1-AH$658/100)</f>
        <v>29.511999999999986</v>
      </c>
      <c r="AI929" s="23">
        <f t="shared" si="5990"/>
        <v>45.990601038832104</v>
      </c>
      <c r="AJ929" s="36">
        <f>AJ651*(1-AJ$658/100)</f>
        <v>25.636000000000042</v>
      </c>
      <c r="AK929" s="23">
        <f t="shared" si="5991"/>
        <v>-37.791798107255325</v>
      </c>
      <c r="AL929" s="36">
        <f>AL651*(1-AL$658/100)</f>
        <v>-7.3439999999999568</v>
      </c>
      <c r="AM929" s="23" t="str">
        <f t="shared" si="5992"/>
        <v>NM</v>
      </c>
      <c r="AN929" s="410">
        <f>AN651*(1-AN$658/100)</f>
        <v>69.631999999999977</v>
      </c>
      <c r="AO929" s="23">
        <f t="shared" si="5993"/>
        <v>4.0059746079162739</v>
      </c>
      <c r="AP929" s="410">
        <f>AP651*(1-AP$658/100)</f>
        <v>27.947999999999947</v>
      </c>
      <c r="AQ929" s="23">
        <f t="shared" si="5994"/>
        <v>-5.2995391705070505</v>
      </c>
      <c r="AR929" s="410">
        <f>AR651*(1-AR$658/100)</f>
        <v>34.204000000000015</v>
      </c>
      <c r="AS929" s="23">
        <f t="shared" si="5995"/>
        <v>33.421750663129821</v>
      </c>
      <c r="AT929" s="410">
        <f>AT651*(1-AT$658/100)</f>
        <v>-51.816000000000024</v>
      </c>
      <c r="AU929" s="23" t="str">
        <f t="shared" si="5996"/>
        <v>NM</v>
      </c>
      <c r="AV929" s="410">
        <f>AV651*(1-AV$658/100)</f>
        <v>29.511999999999961</v>
      </c>
      <c r="AW929" s="23" t="str">
        <f t="shared" si="5997"/>
        <v>NM</v>
      </c>
      <c r="AX929" s="410">
        <f>AX651*(1-AX$658/100)</f>
        <v>21.555999999999976</v>
      </c>
      <c r="AY929" s="23">
        <f t="shared" si="5998"/>
        <v>-22.871046228710401</v>
      </c>
      <c r="AZ929" s="410">
        <f>AZ651*(1-AZ$658/100)</f>
        <v>42.363999999999983</v>
      </c>
      <c r="BA929" s="23">
        <f t="shared" si="5999"/>
        <v>23.856858846918392</v>
      </c>
      <c r="BB929" s="410">
        <f>BB651*(1-BB$658/100)</f>
        <v>-45.016000000000027</v>
      </c>
      <c r="BC929" s="23">
        <f t="shared" si="6000"/>
        <v>-13.123359580052485</v>
      </c>
      <c r="BD929" s="410">
        <f>BD651*(1-BD$658/100)</f>
        <v>42.839999999999996</v>
      </c>
      <c r="BE929" s="23">
        <f t="shared" si="6001"/>
        <v>45.161290322580825</v>
      </c>
      <c r="BF929" s="36">
        <f>BF651*(1-BF$658/100)</f>
        <v>39.880494119299108</v>
      </c>
      <c r="BG929" s="23">
        <f t="shared" si="6002"/>
        <v>85.008786970213166</v>
      </c>
      <c r="BH929" s="36">
        <f>BH651*(1-BH$658/100)</f>
        <v>45.675812575847495</v>
      </c>
      <c r="BI929" s="23">
        <f t="shared" si="6003"/>
        <v>7.8175162304020329</v>
      </c>
      <c r="BJ929" s="36">
        <f>BJ651*(1-BJ$658/100)</f>
        <v>48.326385159876054</v>
      </c>
      <c r="BK929" s="23" t="str">
        <f t="shared" si="6004"/>
        <v>NM</v>
      </c>
      <c r="BL929" s="36">
        <f>BL651*(1-BL$658/100)</f>
        <v>49.419264213968262</v>
      </c>
      <c r="BM929" s="23">
        <f t="shared" si="6005"/>
        <v>15.357759603100529</v>
      </c>
    </row>
    <row r="930" spans="1:96" ht="12.75" hidden="1" customHeight="1" outlineLevel="1" x14ac:dyDescent="0.2">
      <c r="A930" s="31" t="s">
        <v>195</v>
      </c>
      <c r="B930" s="36">
        <f>B652*(1-B$658/100)</f>
        <v>8.6695921764446346</v>
      </c>
      <c r="D930" s="36">
        <f>D652*(1-D$658/100)</f>
        <v>20.087318441163799</v>
      </c>
      <c r="F930" s="36">
        <f>F652*(1-F$658/100)</f>
        <v>11.692295840229297</v>
      </c>
      <c r="H930" s="36">
        <f>H652*(1-H$658/100)</f>
        <v>13.709204452321982</v>
      </c>
      <c r="J930" s="36">
        <f>J652*(1-J$658/100)</f>
        <v>10.074718387690975</v>
      </c>
      <c r="L930" s="36">
        <f>L652*(1-L$658/100)</f>
        <v>18.859372273595334</v>
      </c>
      <c r="N930" s="36">
        <f>N652*(1-N$658/100)</f>
        <v>23.409158545747939</v>
      </c>
      <c r="P930" s="36">
        <f>P652*(1-P$658/100)</f>
        <v>18.59701673385457</v>
      </c>
      <c r="R930" s="36">
        <f>R652*(1-R$658/100)</f>
        <v>8.0556508183943816</v>
      </c>
      <c r="T930" s="36">
        <f>T652*(1-T$658/100)</f>
        <v>22.164999999999978</v>
      </c>
      <c r="U930" s="23">
        <f t="shared" si="5985"/>
        <v>17.527771754274092</v>
      </c>
      <c r="V930" s="36">
        <f>V652*(1-V$658/100)</f>
        <v>18.914999999999978</v>
      </c>
      <c r="W930" s="23">
        <f t="shared" si="5985"/>
        <v>-19.198291715463156</v>
      </c>
      <c r="X930" s="36">
        <f>X652*(1-X$658/100)</f>
        <v>19.824999999999985</v>
      </c>
      <c r="Y930" s="23">
        <f t="shared" si="5985"/>
        <v>6.6031196493465449</v>
      </c>
      <c r="Z930" s="36">
        <f>Z652*(1-Z$658/100)</f>
        <v>10.984999999999994</v>
      </c>
      <c r="AA930" s="23">
        <f t="shared" si="5986"/>
        <v>36.363904638427201</v>
      </c>
      <c r="AB930" s="36">
        <f>AB652*(1-AB$658/100)</f>
        <v>24.57</v>
      </c>
      <c r="AC930" s="23">
        <f t="shared" si="5987"/>
        <v>10.850439882698048</v>
      </c>
      <c r="AD930" s="36">
        <f>AD652*(1-AD$658/100)</f>
        <v>24.050000000000004</v>
      </c>
      <c r="AE930" s="23">
        <f t="shared" si="5988"/>
        <v>27.147766323024225</v>
      </c>
      <c r="AF930" s="36">
        <f>AF652*(1-AF$658/100)</f>
        <v>37.18</v>
      </c>
      <c r="AG930" s="23">
        <f t="shared" si="5989"/>
        <v>87.540983606557504</v>
      </c>
      <c r="AH930" s="36">
        <f>AH652*(1-AH$658/100)</f>
        <v>27.607999999999997</v>
      </c>
      <c r="AI930" s="23" t="str">
        <f t="shared" si="5990"/>
        <v>NM</v>
      </c>
      <c r="AJ930" s="36">
        <f>AJ652*(1-AJ$658/100)</f>
        <v>25.636000000000003</v>
      </c>
      <c r="AK930" s="23">
        <f t="shared" si="5991"/>
        <v>4.3386243386243528</v>
      </c>
      <c r="AL930" s="36">
        <f>AL652*(1-AL$658/100)</f>
        <v>30.055999999999941</v>
      </c>
      <c r="AM930" s="23">
        <f t="shared" si="5992"/>
        <v>24.972972972972695</v>
      </c>
      <c r="AN930" s="410">
        <f>AN652*(1-AN$658/100)</f>
        <v>16.047999999999995</v>
      </c>
      <c r="AO930" s="23" t="str">
        <f t="shared" si="5993"/>
        <v>NM</v>
      </c>
      <c r="AP930" s="410">
        <f>AP652*(1-AP$658/100)</f>
        <v>14.143999999999982</v>
      </c>
      <c r="AQ930" s="23">
        <f t="shared" si="5994"/>
        <v>-48.768472906404</v>
      </c>
      <c r="AR930" s="410">
        <f>AR652*(1-AR$658/100)</f>
        <v>21.964000000000024</v>
      </c>
      <c r="AS930" s="23">
        <f t="shared" si="5995"/>
        <v>-14.323607427055618</v>
      </c>
      <c r="AT930" s="410">
        <f>AT652*(1-AT$658/100)</f>
        <v>28.084000000000007</v>
      </c>
      <c r="AU930" s="23">
        <f t="shared" si="5996"/>
        <v>-6.5610859728504671</v>
      </c>
      <c r="AV930" s="410">
        <f>AV652*(1-AV$658/100)</f>
        <v>21.691999999999979</v>
      </c>
      <c r="AW930" s="23">
        <f t="shared" si="5997"/>
        <v>35.169491525423638</v>
      </c>
      <c r="AX930" s="410">
        <f>AX652*(1-AX$658/100)</f>
        <v>7.2080000000000002</v>
      </c>
      <c r="AY930" s="23">
        <f t="shared" si="5998"/>
        <v>-49.038461538461476</v>
      </c>
      <c r="AZ930" s="410">
        <f>AZ652*(1-AZ$658/100)</f>
        <v>18.360000000000007</v>
      </c>
      <c r="BA930" s="23">
        <f t="shared" si="5999"/>
        <v>-16.408668730650213</v>
      </c>
      <c r="BB930" s="410">
        <f>BB652*(1-BB$658/100)</f>
        <v>39.440000000000005</v>
      </c>
      <c r="BC930" s="23">
        <f t="shared" si="6000"/>
        <v>40.435835351089565</v>
      </c>
      <c r="BD930" s="410">
        <f>BD652*(1-BD$658/100)</f>
        <v>20.399999999999999</v>
      </c>
      <c r="BE930" s="23">
        <f t="shared" si="6001"/>
        <v>-5.9561128526644964</v>
      </c>
      <c r="BF930" s="36">
        <f>BF652*(1-BF$658/100)</f>
        <v>13.760839507613424</v>
      </c>
      <c r="BG930" s="23">
        <f t="shared" si="6002"/>
        <v>90.910647996856596</v>
      </c>
      <c r="BH930" s="36">
        <f>BH652*(1-BH$658/100)</f>
        <v>27.303564767150966</v>
      </c>
      <c r="BI930" s="23">
        <f t="shared" si="6003"/>
        <v>48.71222640060433</v>
      </c>
      <c r="BJ930" s="36">
        <f>BJ652*(1-BJ$658/100)</f>
        <v>30.081516705086937</v>
      </c>
      <c r="BK930" s="23">
        <f t="shared" si="6004"/>
        <v>-23.728405920164974</v>
      </c>
      <c r="BL930" s="36">
        <f>BL652*(1-BL$658/100)</f>
        <v>26.28158525969085</v>
      </c>
      <c r="BM930" s="23">
        <f t="shared" si="6005"/>
        <v>28.831300292602215</v>
      </c>
    </row>
    <row r="931" spans="1:96" ht="12.75" hidden="1" customHeight="1" outlineLevel="1" x14ac:dyDescent="0.2">
      <c r="A931" s="3" t="s">
        <v>335</v>
      </c>
      <c r="B931" s="36">
        <f>SUM(B926:B930)</f>
        <v>181.46458350780165</v>
      </c>
      <c r="D931" s="36">
        <f>SUM(D926:D930)</f>
        <v>228.11430855827862</v>
      </c>
      <c r="F931" s="36">
        <f>SUM(F926:F930)</f>
        <v>199.37920561809443</v>
      </c>
      <c r="H931" s="36">
        <f>SUM(H926:H930)</f>
        <v>222.91659227719578</v>
      </c>
      <c r="J931" s="36">
        <f>SUM(J926:J930)</f>
        <v>171.67460564941592</v>
      </c>
      <c r="L931" s="36">
        <f>SUM(L926:L930)</f>
        <v>124.76250135692032</v>
      </c>
      <c r="N931" s="36">
        <f>SUM(N926:N930)</f>
        <v>198.80372456113733</v>
      </c>
      <c r="P931" s="36">
        <f>SUM(P926:P930)</f>
        <v>148.41941110828847</v>
      </c>
      <c r="R931" s="36">
        <f>SUM(R926:R930)</f>
        <v>185.34493374902573</v>
      </c>
      <c r="T931" s="36">
        <f>SUM(T926:T930)</f>
        <v>199.4199999999999</v>
      </c>
      <c r="U931" s="23">
        <f t="shared" si="5985"/>
        <v>59.839693682879556</v>
      </c>
      <c r="V931" s="36">
        <f>SUM(V926:V930)</f>
        <v>314.85999999999979</v>
      </c>
      <c r="W931" s="23">
        <f t="shared" si="5985"/>
        <v>58.377314456788334</v>
      </c>
      <c r="X931" s="36">
        <f>SUM(X926:X930)</f>
        <v>228.92999999999989</v>
      </c>
      <c r="Y931" s="23">
        <f t="shared" si="5985"/>
        <v>54.245322960465046</v>
      </c>
      <c r="Z931" s="36">
        <f>SUM(Z926:Z930)</f>
        <v>173.87500000000011</v>
      </c>
      <c r="AA931" s="23">
        <f t="shared" si="5986"/>
        <v>-6.1884258269270909</v>
      </c>
      <c r="AB931" s="36">
        <f>SUM(AB926:AB930)</f>
        <v>231.39999999999998</v>
      </c>
      <c r="AC931" s="23">
        <f t="shared" si="5987"/>
        <v>16.036505867014395</v>
      </c>
      <c r="AD931" s="36">
        <f>SUM(AD926:AD930)</f>
        <v>215.15000000000003</v>
      </c>
      <c r="AE931" s="23">
        <f t="shared" si="5988"/>
        <v>-31.668042939719186</v>
      </c>
      <c r="AF931" s="36">
        <f>SUM(AF926:AF930)</f>
        <v>274.23499999999996</v>
      </c>
      <c r="AG931" s="23">
        <f t="shared" si="5989"/>
        <v>19.789892106757566</v>
      </c>
      <c r="AH931" s="36">
        <f>SUM(AH926:AH930)</f>
        <v>220.38800000000003</v>
      </c>
      <c r="AI931" s="23">
        <f t="shared" si="5990"/>
        <v>26.750826743350054</v>
      </c>
      <c r="AJ931" s="36">
        <f>SUM(AJ926:AJ930)</f>
        <v>212.02400000000009</v>
      </c>
      <c r="AK931" s="23">
        <f t="shared" si="5991"/>
        <v>-8.3733794295591579</v>
      </c>
      <c r="AL931" s="36">
        <f>SUM(AL926:AL930)</f>
        <v>142.86799999999965</v>
      </c>
      <c r="AM931" s="23">
        <f t="shared" si="5992"/>
        <v>-33.596095747153321</v>
      </c>
      <c r="AN931" s="410">
        <f>SUM(AN926:AN930)</f>
        <v>250.512</v>
      </c>
      <c r="AO931" s="23">
        <f t="shared" si="5993"/>
        <v>-8.6506098783889591</v>
      </c>
      <c r="AP931" s="410">
        <f>SUM(AP926:AP930)</f>
        <v>128.04399999999976</v>
      </c>
      <c r="AQ931" s="23">
        <f t="shared" si="5994"/>
        <v>-41.90064794816427</v>
      </c>
      <c r="AR931" s="410">
        <f t="shared" ref="AR931:AT931" si="6006">SUM(AR926:AR930)</f>
        <v>173.2640000000001</v>
      </c>
      <c r="AS931" s="23">
        <f t="shared" si="5995"/>
        <v>-18.280949326491324</v>
      </c>
      <c r="AT931" s="410">
        <f t="shared" si="6006"/>
        <v>53.991999999999948</v>
      </c>
      <c r="AU931" s="23" t="str">
        <f t="shared" si="5996"/>
        <v>NM</v>
      </c>
      <c r="AV931" s="410">
        <f t="shared" ref="AV931:AX931" si="6007">SUM(AV926:AV930)</f>
        <v>192.37199999999984</v>
      </c>
      <c r="AW931" s="23">
        <f t="shared" si="5997"/>
        <v>-23.208469055374657</v>
      </c>
      <c r="AX931" s="410">
        <f t="shared" si="6007"/>
        <v>163.53999999999976</v>
      </c>
      <c r="AY931" s="23">
        <f t="shared" si="5998"/>
        <v>27.721720658523697</v>
      </c>
      <c r="AZ931" s="410">
        <f t="shared" ref="AZ931" si="6008">SUM(AZ926:AZ930)</f>
        <v>141.09999999999997</v>
      </c>
      <c r="BA931" s="23">
        <f t="shared" si="5999"/>
        <v>-18.56357927786506</v>
      </c>
      <c r="BB931" s="410">
        <f t="shared" ref="BB931:BD931" si="6009">SUM(BB926:BB930)</f>
        <v>103.49600000000001</v>
      </c>
      <c r="BC931" s="23">
        <f t="shared" si="6000"/>
        <v>91.687657430730681</v>
      </c>
      <c r="BD931" s="410">
        <f t="shared" si="6009"/>
        <v>219.09599999999995</v>
      </c>
      <c r="BE931" s="23">
        <f t="shared" si="6001"/>
        <v>13.891834570519679</v>
      </c>
      <c r="BF931" s="36">
        <f t="shared" ref="BF931" si="6010">SUM(BF926:BF930)</f>
        <v>212.64648183243574</v>
      </c>
      <c r="BG931" s="23">
        <f t="shared" si="6002"/>
        <v>30.027199359444822</v>
      </c>
      <c r="BH931" s="36">
        <f t="shared" ref="BH931" si="6011">SUM(BH926:BH930)</f>
        <v>239.93626302319203</v>
      </c>
      <c r="BI931" s="23">
        <f t="shared" si="6003"/>
        <v>70.046961745706653</v>
      </c>
      <c r="BJ931" s="36">
        <f t="shared" ref="BJ931" si="6012">SUM(BJ926:BJ930)</f>
        <v>241.47685504827771</v>
      </c>
      <c r="BK931" s="23" t="str">
        <f t="shared" si="6004"/>
        <v>NM</v>
      </c>
      <c r="BL931" s="36">
        <f t="shared" ref="BL931" si="6013">SUM(BL926:BL930)</f>
        <v>245.56277500428348</v>
      </c>
      <c r="BM931" s="23">
        <f t="shared" si="6005"/>
        <v>12.079990051978839</v>
      </c>
    </row>
    <row r="932" spans="1:96" ht="12.75" hidden="1" customHeight="1" outlineLevel="1" x14ac:dyDescent="0.2">
      <c r="A932" s="14" t="s">
        <v>267</v>
      </c>
      <c r="B932" s="36">
        <f>B654*(1-B$658/100)</f>
        <v>-28.799056873296614</v>
      </c>
      <c r="D932" s="36">
        <f>D654*(1-D$658/100)</f>
        <v>-44.933465715646989</v>
      </c>
      <c r="F932" s="36">
        <f>F654*(1-F$658/100)</f>
        <v>-13.51696151633784</v>
      </c>
      <c r="H932" s="36">
        <f>H654*(1-H$658/100)</f>
        <v>-62.375294598157936</v>
      </c>
      <c r="J932" s="36">
        <f>J654*(1-J$658/100)</f>
        <v>-31.467241221234051</v>
      </c>
      <c r="L932" s="36">
        <f>L654*(1-L$658/100)</f>
        <v>-21.261902201226256</v>
      </c>
      <c r="N932" s="36">
        <f>N654*(1-N$658/100)</f>
        <v>-37.423467450321446</v>
      </c>
      <c r="P932" s="36">
        <f>P654*(1-P$658/100)</f>
        <v>-28.329895167746002</v>
      </c>
      <c r="R932" s="36">
        <f>R654*(1-R$658/100)</f>
        <v>-32.547427903351519</v>
      </c>
      <c r="T932" s="36">
        <f>T654*(1-T$658/100)</f>
        <v>-34.319999999999993</v>
      </c>
      <c r="U932" s="23">
        <f t="shared" si="5985"/>
        <v>61.415472967515704</v>
      </c>
      <c r="V932" s="36">
        <f>V654*(1-V$658/100)</f>
        <v>-41.40499999999998</v>
      </c>
      <c r="W932" s="23">
        <f t="shared" si="5985"/>
        <v>10.639133198878215</v>
      </c>
      <c r="X932" s="36">
        <f>X654*(1-X$658/100)</f>
        <v>-28.599999999999991</v>
      </c>
      <c r="Y932" s="23">
        <f t="shared" si="5985"/>
        <v>0.95342686817108113</v>
      </c>
      <c r="Z932" s="36">
        <f>Z654*(1-Z$658/100)</f>
        <v>-24.244999999999997</v>
      </c>
      <c r="AA932" s="23">
        <f t="shared" si="5986"/>
        <v>-25.508706641905153</v>
      </c>
      <c r="AB932" s="36">
        <f>AB654*(1-AB$658/100)</f>
        <v>-24.894999999999996</v>
      </c>
      <c r="AC932" s="23">
        <f t="shared" si="5987"/>
        <v>-27.462121212121204</v>
      </c>
      <c r="AD932" s="36">
        <f>AD654*(1-AD$658/100)</f>
        <v>-30.615000000000006</v>
      </c>
      <c r="AE932" s="23">
        <f t="shared" si="5988"/>
        <v>-26.059654631083152</v>
      </c>
      <c r="AF932" s="36">
        <f>AF654*(1-AF$658/100)</f>
        <v>-31.004999999999999</v>
      </c>
      <c r="AG932" s="23">
        <f t="shared" si="5989"/>
        <v>8.4090909090909438</v>
      </c>
      <c r="AH932" s="36">
        <f>AH654*(1-AH$658/100)</f>
        <v>-32.776000000000003</v>
      </c>
      <c r="AI932" s="23">
        <f t="shared" si="5990"/>
        <v>35.186636419880422</v>
      </c>
      <c r="AJ932" s="36">
        <f>AJ654*(1-AJ$658/100)</f>
        <v>-36.244000000000007</v>
      </c>
      <c r="AK932" s="23">
        <f t="shared" si="5991"/>
        <v>45.587467362924336</v>
      </c>
      <c r="AL932" s="36">
        <f>AL654*(1-AL$658/100)</f>
        <v>-51.407999999999916</v>
      </c>
      <c r="AM932" s="23">
        <f t="shared" si="5992"/>
        <v>67.917687408132949</v>
      </c>
      <c r="AN932" s="410">
        <f>AN654*(1-AN$658/100)</f>
        <v>-55.828000000000003</v>
      </c>
      <c r="AO932" s="23">
        <f t="shared" si="5993"/>
        <v>80.061280438638931</v>
      </c>
      <c r="AP932" s="410">
        <f>AP654*(1-AP$658/100)</f>
        <v>-71.331999999999923</v>
      </c>
      <c r="AQ932" s="23" t="str">
        <f t="shared" si="5994"/>
        <v>NM</v>
      </c>
      <c r="AR932" s="410">
        <f>AR654*(1-AR$658/100)</f>
        <v>-85.816000000000059</v>
      </c>
      <c r="AS932" s="23" t="str">
        <f t="shared" si="5995"/>
        <v>NM</v>
      </c>
      <c r="AT932" s="410">
        <f>AT654*(1-AT$658/100)</f>
        <v>-74.391999999999996</v>
      </c>
      <c r="AU932" s="23">
        <f t="shared" si="5996"/>
        <v>44.708994708994943</v>
      </c>
      <c r="AV932" s="410">
        <f>AV654*(1-AV$658/100)</f>
        <v>-90.643999999999934</v>
      </c>
      <c r="AW932" s="23">
        <f t="shared" si="5997"/>
        <v>62.362971985383538</v>
      </c>
      <c r="AX932" s="410">
        <f>AX654*(1-AX$658/100)</f>
        <v>-64.66799999999995</v>
      </c>
      <c r="AY932" s="23">
        <f t="shared" si="5998"/>
        <v>-9.3422306959008328</v>
      </c>
      <c r="AZ932" s="410">
        <f>AZ654*(1-AZ$658/100)</f>
        <v>-68.340000000000032</v>
      </c>
      <c r="BA932" s="23">
        <f t="shared" si="5999"/>
        <v>-20.364500792393049</v>
      </c>
      <c r="BB932" s="410">
        <f>BB654*(1-BB$658/100)</f>
        <v>-74.8</v>
      </c>
      <c r="BC932" s="23">
        <f t="shared" si="6000"/>
        <v>0.54844606946984342</v>
      </c>
      <c r="BD932" s="410">
        <f>BD654*(1-BD$658/100)</f>
        <v>-60.315999999999988</v>
      </c>
      <c r="BE932" s="23">
        <f t="shared" si="6001"/>
        <v>-33.458364591147749</v>
      </c>
      <c r="BF932" s="36">
        <f>BF654*(1-BF$658/100)</f>
        <v>-63.977500000000006</v>
      </c>
      <c r="BG932" s="23">
        <f t="shared" si="6002"/>
        <v>-1.0677614894537335</v>
      </c>
      <c r="BH932" s="36">
        <f>BH654*(1-BH$658/100)</f>
        <v>-66.422500000000014</v>
      </c>
      <c r="BI932" s="23">
        <f t="shared" si="6003"/>
        <v>-2.8058238220661669</v>
      </c>
      <c r="BJ932" s="36">
        <f>BJ654*(1-BJ$658/100)</f>
        <v>-57.337287499999988</v>
      </c>
      <c r="BK932" s="23">
        <f t="shared" si="6004"/>
        <v>-23.345872326203221</v>
      </c>
      <c r="BL932" s="36">
        <f>BL654*(1-BL$658/100)</f>
        <v>-53.262287499999992</v>
      </c>
      <c r="BM932" s="23">
        <f t="shared" si="6005"/>
        <v>-11.694595961270638</v>
      </c>
    </row>
    <row r="933" spans="1:96" ht="12.75" hidden="1" customHeight="1" outlineLevel="1" x14ac:dyDescent="0.2">
      <c r="A933" s="14" t="s">
        <v>268</v>
      </c>
      <c r="B933" s="36">
        <f>B655*(1-B$658/100)</f>
        <v>10.141428605494971</v>
      </c>
      <c r="D933" s="36">
        <f>D655*(1-D$658/100)</f>
        <v>12.225023957368503</v>
      </c>
      <c r="F933" s="36">
        <f>F655*(1-F$658/100)</f>
        <v>13.581946908243308</v>
      </c>
      <c r="H933" s="36">
        <f>H655*(1-H$658/100)</f>
        <v>9.7461397809621779</v>
      </c>
      <c r="J933" s="36">
        <f>J655*(1-J$658/100)</f>
        <v>15.798635571817917</v>
      </c>
      <c r="L933" s="36">
        <f>L655*(1-L$658/100)</f>
        <v>25.878400844305965</v>
      </c>
      <c r="N933" s="36">
        <f>N655*(1-N$658/100)</f>
        <v>14.163742889184162</v>
      </c>
      <c r="P933" s="36">
        <f>P655*(1-P$658/100)</f>
        <v>15.46448405945768</v>
      </c>
      <c r="R933" s="36">
        <f>R655*(1-R$658/100)</f>
        <v>13.902494154325797</v>
      </c>
      <c r="T933" s="36">
        <f>T655*(1-T$658/100)</f>
        <v>11.699999999999994</v>
      </c>
      <c r="U933" s="23" t="str">
        <f t="shared" si="5985"/>
        <v>NM</v>
      </c>
      <c r="V933" s="36">
        <f>V655*(1-V$658/100)</f>
        <v>9.4249999999999901</v>
      </c>
      <c r="W933" s="23">
        <f t="shared" si="5985"/>
        <v>-33.456854775320799</v>
      </c>
      <c r="X933" s="36">
        <f>X655*(1-X$658/100)</f>
        <v>-2.1450000000000022</v>
      </c>
      <c r="Y933" s="23" t="str">
        <f t="shared" si="5985"/>
        <v>NM</v>
      </c>
      <c r="Z933" s="36">
        <f>Z655*(1-Z$658/100)</f>
        <v>0.58499999999999908</v>
      </c>
      <c r="AA933" s="23" t="str">
        <f t="shared" si="5986"/>
        <v>NM</v>
      </c>
      <c r="AB933" s="36">
        <f>AB655*(1-AB$658/100)</f>
        <v>6.8249999999999975</v>
      </c>
      <c r="AC933" s="23">
        <f t="shared" si="5987"/>
        <v>-41.666666666666664</v>
      </c>
      <c r="AD933" s="36">
        <f>AD655*(1-AD$658/100)</f>
        <v>6.8250000000000002</v>
      </c>
      <c r="AE933" s="23">
        <f t="shared" si="5988"/>
        <v>-27.586206896551644</v>
      </c>
      <c r="AF933" s="36">
        <f>AF655*(1-AF$658/100)</f>
        <v>1.8200000000000003</v>
      </c>
      <c r="AG933" s="23" t="str">
        <f t="shared" si="5989"/>
        <v>NM</v>
      </c>
      <c r="AH933" s="36">
        <f>AH655*(1-AH$658/100)</f>
        <v>9.3840000000000003</v>
      </c>
      <c r="AI933" s="23" t="str">
        <f t="shared" si="5990"/>
        <v>NM</v>
      </c>
      <c r="AJ933" s="36">
        <f>AJ655*(1-AJ$658/100)</f>
        <v>2.7200000000000011</v>
      </c>
      <c r="AK933" s="23" t="str">
        <f t="shared" si="5991"/>
        <v>NM</v>
      </c>
      <c r="AL933" s="36">
        <f>AL655*(1-AL$658/100)</f>
        <v>1.7679999999999967</v>
      </c>
      <c r="AM933" s="23" t="str">
        <f t="shared" si="5992"/>
        <v>NM</v>
      </c>
      <c r="AN933" s="410">
        <f>AN655*(1-AN$658/100)</f>
        <v>1.3599999999999999</v>
      </c>
      <c r="AO933" s="23">
        <f t="shared" si="5993"/>
        <v>-25.274725274725295</v>
      </c>
      <c r="AP933" s="410">
        <f>AP655*(1-AP$658/100)</f>
        <v>2.5839999999999965</v>
      </c>
      <c r="AQ933" s="23" t="str">
        <f t="shared" si="5994"/>
        <v>NM</v>
      </c>
      <c r="AR933" s="410">
        <f>AR655*(1-AR$658/100)</f>
        <v>1.2920000000000011</v>
      </c>
      <c r="AS933" s="23" t="str">
        <f t="shared" si="5995"/>
        <v>NM</v>
      </c>
      <c r="AT933" s="410">
        <f>AT655*(1-AT$658/100)</f>
        <v>-4.6920000000000002</v>
      </c>
      <c r="AU933" s="23" t="str">
        <f t="shared" si="5996"/>
        <v>NM</v>
      </c>
      <c r="AV933" s="410">
        <f>AV655*(1-AV$658/100)</f>
        <v>0</v>
      </c>
      <c r="AW933" s="23" t="str">
        <f t="shared" si="5997"/>
        <v>NM</v>
      </c>
      <c r="AX933" s="410">
        <f>AX655*(1-AX$658/100)</f>
        <v>0</v>
      </c>
      <c r="AY933" s="23" t="str">
        <f t="shared" si="5998"/>
        <v>NM</v>
      </c>
      <c r="AZ933" s="410">
        <f>AZ655*(1-AZ$658/100)</f>
        <v>0</v>
      </c>
      <c r="BA933" s="23" t="str">
        <f t="shared" si="5999"/>
        <v>NM</v>
      </c>
      <c r="BB933" s="410">
        <f>BB655*(1-BB$658/100)</f>
        <v>0</v>
      </c>
      <c r="BC933" s="23" t="str">
        <f t="shared" si="6000"/>
        <v>NM</v>
      </c>
      <c r="BD933" s="410">
        <f>BD655*(1-BD$658/100)</f>
        <v>0</v>
      </c>
      <c r="BE933" s="23" t="str">
        <f t="shared" si="6001"/>
        <v>NA</v>
      </c>
      <c r="BF933" s="36">
        <f>BF655*(1-BF$658/100)</f>
        <v>0</v>
      </c>
      <c r="BG933" s="23" t="str">
        <f t="shared" si="6002"/>
        <v>NA</v>
      </c>
      <c r="BH933" s="36">
        <f>BH655*(1-BH$658/100)</f>
        <v>0</v>
      </c>
      <c r="BI933" s="23" t="str">
        <f t="shared" si="6003"/>
        <v>NA</v>
      </c>
      <c r="BJ933" s="36">
        <f>BJ655*(1-BJ$658/100)</f>
        <v>0</v>
      </c>
      <c r="BK933" s="23" t="str">
        <f t="shared" si="6004"/>
        <v>NA</v>
      </c>
      <c r="BL933" s="36">
        <f>BL655*(1-BL$658/100)</f>
        <v>0</v>
      </c>
      <c r="BM933" s="23" t="str">
        <f t="shared" si="6005"/>
        <v>NA</v>
      </c>
    </row>
    <row r="934" spans="1:96" ht="12.75" hidden="1" customHeight="1" outlineLevel="1" x14ac:dyDescent="0.2">
      <c r="A934" s="3" t="s">
        <v>9</v>
      </c>
      <c r="B934" s="67">
        <f>B931+B932+B933</f>
        <v>162.80695524000001</v>
      </c>
      <c r="D934" s="67">
        <f>D931+D932+D933</f>
        <v>195.40586680000015</v>
      </c>
      <c r="F934" s="67">
        <f>F931+F932+F933</f>
        <v>199.44419100999991</v>
      </c>
      <c r="H934" s="67">
        <f>H931+H932+H933</f>
        <v>170.28743746000001</v>
      </c>
      <c r="J934" s="67">
        <f>J931+J932+J933</f>
        <v>156.0059999999998</v>
      </c>
      <c r="L934" s="67">
        <f>L931+L932+L933</f>
        <v>129.37900000000002</v>
      </c>
      <c r="N934" s="67">
        <f>N931+N932+N933</f>
        <v>175.54400000000004</v>
      </c>
      <c r="P934" s="67">
        <f>P931+P932+P933</f>
        <v>135.55400000000014</v>
      </c>
      <c r="R934" s="67">
        <f>R931+R932+R933</f>
        <v>166.70000000000002</v>
      </c>
      <c r="T934" s="67">
        <f>T931+T932+T933</f>
        <v>176.7999999999999</v>
      </c>
      <c r="U934" s="23">
        <f t="shared" si="5985"/>
        <v>36.652779817435487</v>
      </c>
      <c r="V934" s="67">
        <f>V931+V932+V933</f>
        <v>282.87999999999982</v>
      </c>
      <c r="W934" s="23">
        <f t="shared" si="5985"/>
        <v>61.144784213644307</v>
      </c>
      <c r="X934" s="67">
        <f>X931+X932+X933</f>
        <v>198.18499999999989</v>
      </c>
      <c r="Y934" s="23">
        <f t="shared" si="5985"/>
        <v>46.203726928013687</v>
      </c>
      <c r="Z934" s="67">
        <f>Z931+Z932+Z933</f>
        <v>150.21500000000012</v>
      </c>
      <c r="AA934" s="23">
        <f t="shared" si="5986"/>
        <v>-9.8890221955608268</v>
      </c>
      <c r="AB934" s="67">
        <f>AB931+AB932+AB933</f>
        <v>213.32999999999998</v>
      </c>
      <c r="AC934" s="23">
        <f t="shared" si="5987"/>
        <v>20.661764705882412</v>
      </c>
      <c r="AD934" s="67">
        <f>AD931+AD932+AD933</f>
        <v>191.36</v>
      </c>
      <c r="AE934" s="23">
        <f t="shared" si="5988"/>
        <v>-32.352941176470537</v>
      </c>
      <c r="AF934" s="67">
        <f>AF931+AF932+AF933</f>
        <v>245.04999999999995</v>
      </c>
      <c r="AG934" s="23">
        <f t="shared" si="5989"/>
        <v>23.647097408986607</v>
      </c>
      <c r="AH934" s="67">
        <f>AH931+AH932+AH933</f>
        <v>196.99600000000004</v>
      </c>
      <c r="AI934" s="23">
        <f t="shared" si="5990"/>
        <v>31.14269546982651</v>
      </c>
      <c r="AJ934" s="67">
        <f>AJ931+AJ932+AJ933</f>
        <v>178.50000000000009</v>
      </c>
      <c r="AK934" s="23">
        <f t="shared" si="5991"/>
        <v>-16.326817606525058</v>
      </c>
      <c r="AL934" s="67">
        <f>AL931+AL932+AL933</f>
        <v>93.227999999999739</v>
      </c>
      <c r="AM934" s="23" t="str">
        <f t="shared" si="5992"/>
        <v>NM</v>
      </c>
      <c r="AN934" s="480">
        <f>AN931+AN932+AN933</f>
        <v>196.04400000000001</v>
      </c>
      <c r="AO934" s="23">
        <f t="shared" si="5993"/>
        <v>-19.998367680065275</v>
      </c>
      <c r="AP934" s="480">
        <f>AP931+AP932+AP933</f>
        <v>59.295999999999829</v>
      </c>
      <c r="AQ934" s="23" t="str">
        <f t="shared" si="5994"/>
        <v>NM</v>
      </c>
      <c r="AR934" s="480">
        <f t="shared" ref="AR934:AT934" si="6014">AR931+AR932+AR933</f>
        <v>88.740000000000038</v>
      </c>
      <c r="AS934" s="23" t="str">
        <f t="shared" si="5995"/>
        <v>NM</v>
      </c>
      <c r="AT934" s="480">
        <f t="shared" si="6014"/>
        <v>-25.092000000000048</v>
      </c>
      <c r="AU934" s="23" t="str">
        <f t="shared" si="5996"/>
        <v>NM</v>
      </c>
      <c r="AV934" s="480">
        <f t="shared" ref="AV934:AX934" si="6015">AV931+AV932+AV933</f>
        <v>101.72799999999991</v>
      </c>
      <c r="AW934" s="23">
        <f t="shared" si="5997"/>
        <v>-48.109608047173133</v>
      </c>
      <c r="AX934" s="480">
        <f t="shared" si="6015"/>
        <v>98.871999999999815</v>
      </c>
      <c r="AY934" s="23">
        <f t="shared" si="5998"/>
        <v>66.743119266055203</v>
      </c>
      <c r="AZ934" s="480">
        <f t="shared" ref="AZ934" si="6016">AZ931+AZ932+AZ933</f>
        <v>72.759999999999934</v>
      </c>
      <c r="BA934" s="23">
        <f t="shared" si="5999"/>
        <v>-18.00766283524915</v>
      </c>
      <c r="BB934" s="480">
        <f t="shared" ref="BB934:BD934" si="6017">BB931+BB932+BB933</f>
        <v>28.696000000000012</v>
      </c>
      <c r="BC934" s="23" t="str">
        <f t="shared" si="6000"/>
        <v>NM</v>
      </c>
      <c r="BD934" s="480">
        <f t="shared" si="6017"/>
        <v>158.77999999999997</v>
      </c>
      <c r="BE934" s="23">
        <f t="shared" si="6001"/>
        <v>56.082887700534869</v>
      </c>
      <c r="BF934" s="67">
        <f t="shared" ref="BF934" si="6018">BF931+BF932+BF933</f>
        <v>148.66898183243575</v>
      </c>
      <c r="BG934" s="23">
        <f t="shared" si="6002"/>
        <v>50.365100162266387</v>
      </c>
      <c r="BH934" s="67">
        <f t="shared" ref="BH934" si="6019">BH931+BH932+BH933</f>
        <v>173.51376302319201</v>
      </c>
      <c r="BI934" s="23" t="str">
        <f t="shared" si="6003"/>
        <v>NM</v>
      </c>
      <c r="BJ934" s="67">
        <f t="shared" ref="BJ934" si="6020">BJ931+BJ932+BJ933</f>
        <v>184.13956754827774</v>
      </c>
      <c r="BK934" s="23" t="str">
        <f t="shared" si="6004"/>
        <v>NM</v>
      </c>
      <c r="BL934" s="67">
        <f t="shared" ref="BL934" si="6021">BL931+BL932+BL933</f>
        <v>192.3004875042835</v>
      </c>
      <c r="BM934" s="23">
        <f t="shared" si="6005"/>
        <v>21.111278186348102</v>
      </c>
    </row>
    <row r="935" spans="1:96" ht="12.75" hidden="1" customHeight="1" outlineLevel="1" x14ac:dyDescent="0.2">
      <c r="A935" s="14"/>
      <c r="L935" s="5"/>
      <c r="N935" s="5"/>
      <c r="P935" s="5"/>
      <c r="R935" s="5"/>
      <c r="T935" s="5"/>
      <c r="V935" s="5"/>
      <c r="X935" s="5"/>
      <c r="Z935" s="5"/>
      <c r="AB935" s="5"/>
      <c r="AD935" s="5"/>
      <c r="AF935" s="5"/>
      <c r="AH935" s="5"/>
      <c r="AJ935" s="5"/>
      <c r="AL935" s="5"/>
      <c r="AN935" s="475"/>
      <c r="AP935" s="475"/>
      <c r="AR935" s="475"/>
      <c r="AT935" s="475"/>
      <c r="AV935" s="475"/>
      <c r="AX935" s="475"/>
      <c r="AZ935" s="475"/>
      <c r="BB935" s="475"/>
      <c r="BD935" s="475"/>
      <c r="BF935" s="5"/>
      <c r="BH935" s="5"/>
      <c r="BJ935" s="5"/>
      <c r="BL935" s="5"/>
    </row>
    <row r="936" spans="1:96" ht="12.75" hidden="1" customHeight="1" outlineLevel="1" x14ac:dyDescent="0.2">
      <c r="A936" s="163" t="s">
        <v>294</v>
      </c>
    </row>
    <row r="937" spans="1:96" ht="12.75" hidden="1" customHeight="1" outlineLevel="1" x14ac:dyDescent="0.2">
      <c r="A937" s="31" t="s">
        <v>192</v>
      </c>
      <c r="B937" s="32">
        <f>B664*(1-B$674/100)</f>
        <v>70.447173771439964</v>
      </c>
      <c r="D937" s="32">
        <f>D664*(1-D$674/100)</f>
        <v>86.43872258537661</v>
      </c>
      <c r="F937" s="32">
        <f>F664*(1-F$674/100)</f>
        <v>74.648719681813787</v>
      </c>
      <c r="H937" s="32">
        <f>H664*(1-H$674/100)</f>
        <v>26.968868259226515</v>
      </c>
      <c r="J937" s="32">
        <f>J664*(1-J$674/100)</f>
        <v>65.330283762721109</v>
      </c>
      <c r="L937" s="32">
        <f>L664*(1-L$674/100)</f>
        <v>82.063139963815402</v>
      </c>
      <c r="N937" s="32">
        <f>N664*(1-N$674/100)</f>
        <v>84.71997329257151</v>
      </c>
      <c r="P937" s="32">
        <f>P664*(1-P$674/100)</f>
        <v>75.827953350366059</v>
      </c>
      <c r="R937" s="32">
        <f>R664*(1-R$674/100)</f>
        <v>83.350000000000037</v>
      </c>
      <c r="T937" s="32">
        <f>T664*(1-T$674/100)</f>
        <v>82.603300000000033</v>
      </c>
      <c r="U937" s="23">
        <f t="shared" ref="U937:Y945" si="6022">IF(ISERROR((T937/L937-1)*100),"NA",IF(((T937/L937-1)*100)&gt;100,"NM",IF(((T937/L937-1)*100)&lt;-50,"NM",(T937/L937-1)*100)))</f>
        <v>0.65822491854785614</v>
      </c>
      <c r="V937" s="32">
        <f>V664*(1-V$674/100)</f>
        <v>87.489999999999938</v>
      </c>
      <c r="W937" s="23">
        <f t="shared" si="6022"/>
        <v>3.2696265116402223</v>
      </c>
      <c r="X937" s="32">
        <f>X664*(1-X$674/100)</f>
        <v>87.359999999999928</v>
      </c>
      <c r="Y937" s="23">
        <f t="shared" si="6022"/>
        <v>15.208173424317017</v>
      </c>
      <c r="Z937" s="32">
        <f>Z664*(1-Z$674/100)</f>
        <v>82.03000000000003</v>
      </c>
      <c r="AA937" s="23">
        <f t="shared" ref="AA937:AA945" si="6023">IF(ISERROR((Z937/R937-1)*100),"NA",IF(((Z937/R937-1)*100)&gt;100,"NM",IF(((Z937/R937-1)*100)&lt;-50,"NM",(Z937/R937-1)*100)))</f>
        <v>-1.5836832633473352</v>
      </c>
      <c r="AB937" s="32">
        <f>AB664*(1-AB$674/100)</f>
        <v>83.590000000000046</v>
      </c>
      <c r="AC937" s="23">
        <f t="shared" ref="AC937:AC945" si="6024">IF(ISERROR((AB937/T937-1)*100),"NA",IF(((AB937/T937-1)*100)&gt;100,"NM",IF(((AB937/T937-1)*100)&lt;-50,"NM",(AB937/T937-1)*100)))</f>
        <v>1.1945043357832086</v>
      </c>
      <c r="AD937" s="32">
        <f>AD664*(1-AD$674/100)</f>
        <v>89.53100000000002</v>
      </c>
      <c r="AE937" s="23">
        <f t="shared" ref="AE937:AE945" si="6025">IF(ISERROR((AD937/V937-1)*100),"NA",IF(((AD937/V937-1)*100)&gt;100,"NM",IF(((AD937/V937-1)*100)&lt;-50,"NM",(AD937/V937-1)*100)))</f>
        <v>2.3328380386330894</v>
      </c>
      <c r="AF937" s="32">
        <f>AF664*(1-AF$674/100)</f>
        <v>94.509999999999877</v>
      </c>
      <c r="AG937" s="23">
        <f t="shared" ref="AG937:AG945" si="6026">IF(ISERROR((AF937/X937-1)*100),"NA",IF(((AF937/X937-1)*100)&gt;100,"NM",IF(((AF937/X937-1)*100)&lt;-50,"NM",(AF937/X937-1)*100)))</f>
        <v>8.1845238095237463</v>
      </c>
      <c r="AH937" s="32">
        <f>AH664*(1-AH$674/100)</f>
        <v>88.33880000000002</v>
      </c>
      <c r="AI937" s="23">
        <f t="shared" ref="AI937:AI945" si="6027">IF(ISERROR((AH937/Z937-1)*100),"NA",IF(((AH937/Z937-1)*100)&gt;100,"NM",IF(((AH937/Z937-1)*100)&lt;-50,"NM",(AH937/Z937-1)*100)))</f>
        <v>7.6908448128733209</v>
      </c>
      <c r="AJ937" s="32">
        <f>AJ664*(1-AJ$674/100)</f>
        <v>84.932000000000059</v>
      </c>
      <c r="AK937" s="23">
        <f t="shared" ref="AK937:AK945" si="6028">IF(ISERROR((AJ937/AB937-1)*100),"NA",IF(((AJ937/AB937-1)*100)&gt;100,"NM",IF(((AJ937/AB937-1)*100)&lt;-50,"NM",(AJ937/AB937-1)*100)))</f>
        <v>1.6054551979902021</v>
      </c>
      <c r="AL937" s="32">
        <f>AL664*(1-AL$674/100)</f>
        <v>87.039999999999779</v>
      </c>
      <c r="AM937" s="23">
        <f t="shared" ref="AM937:AM945" si="6029">IF(ISERROR((AL937/AD937-1)*100),"NA",IF(((AL937/AD937-1)*100)&gt;100,"NM",IF(((AL937/AD937-1)*100)&lt;-50,"NM",(AL937/AD937-1)*100)))</f>
        <v>-2.7822765299172825</v>
      </c>
      <c r="AN937" s="484">
        <f>AN664*(1-AN$674/100)</f>
        <v>85.272000000000006</v>
      </c>
      <c r="AO937" s="23">
        <f t="shared" ref="AO937:AO945" si="6030">IF(ISERROR((AN937/AF937-1)*100),"NA",IF(((AN937/AF937-1)*100)&gt;100,"NM",IF(((AN937/AF937-1)*100)&lt;-50,"NM",(AN937/AF937-1)*100)))</f>
        <v>-9.7746270235952615</v>
      </c>
      <c r="AP937" s="484">
        <f>AP664*(1-AP$674/100)</f>
        <v>69.291999999999845</v>
      </c>
      <c r="AQ937" s="23">
        <f t="shared" ref="AQ937:AQ945" si="6031">IF(ISERROR((AP937/AH937-1)*100),"NA",IF(((AP937/AH937-1)*100)&gt;100,"NM",IF(((AP937/AH937-1)*100)&lt;-50,"NM",(AP937/AH937-1)*100)))</f>
        <v>-21.561080748210493</v>
      </c>
      <c r="AR937" s="484">
        <f>AR664*(1-AR$674/100)</f>
        <v>88.264000000000038</v>
      </c>
      <c r="AS937" s="23">
        <f t="shared" ref="AS937:AS945" si="6032">IF(ISERROR((AR937/AJ937-1)*100),"NA",IF(((AR937/AJ937-1)*100)&gt;100,"NM",IF(((AR937/AJ937-1)*100)&lt;-50,"NM",(AR937/AJ937-1)*100)))</f>
        <v>3.9231385108086103</v>
      </c>
      <c r="AT937" s="484">
        <f>AT664*(1-AT$674/100)</f>
        <v>89.07999999999997</v>
      </c>
      <c r="AU937" s="23">
        <f t="shared" ref="AU937:AU945" si="6033">IF(ISERROR((AT937/AL937-1)*100),"NA",IF(((AT937/AL937-1)*100)&gt;100,"NM",IF(((AT937/AL937-1)*100)&lt;-50,"NM",(AT937/AL937-1)*100)))</f>
        <v>2.343750000000222</v>
      </c>
      <c r="AV937" s="484">
        <f>AV664*(1-AV$674/100)</f>
        <v>96.967999999999918</v>
      </c>
      <c r="AW937" s="23">
        <f t="shared" ref="AW937:AW945" si="6034">IF(ISERROR((AV937/AN937-1)*100),"NA",IF(((AV937/AN937-1)*100)&gt;100,"NM",IF(((AV937/AN937-1)*100)&lt;-50,"NM",(AV937/AN937-1)*100)))</f>
        <v>13.71610845295046</v>
      </c>
      <c r="AX937" s="484">
        <f>AX664*(1-AX$674/100)</f>
        <v>90.031999999999826</v>
      </c>
      <c r="AY937" s="23">
        <f t="shared" ref="AY937:AY945" si="6035">IF(ISERROR((AX937/AP937-1)*100),"NA",IF(((AX937/AP937-1)*100)&gt;100,"NM",IF(((AX937/AP937-1)*100)&lt;-50,"NM",(AX937/AP937-1)*100)))</f>
        <v>29.931305201177661</v>
      </c>
      <c r="AZ937" s="484">
        <f>AZ664*(1-AZ$674/100)</f>
        <v>97.579999999999956</v>
      </c>
      <c r="BA937" s="23">
        <f t="shared" ref="BA937:BA945" si="6036">IF(ISERROR((AZ937/AR937-1)*100),"NA",IF(((AZ937/AR937-1)*100)&gt;100,"NM",IF(((AZ937/AR937-1)*100)&lt;-50,"NM",(AZ937/AR937-1)*100)))</f>
        <v>10.554699537750277</v>
      </c>
      <c r="BB937" s="484">
        <f>BB664*(1-BB$674/100)</f>
        <v>98.464000000000041</v>
      </c>
      <c r="BC937" s="23">
        <f t="shared" ref="BC937:BC945" si="6037">IF(ISERROR((BB937/AT937-1)*100),"NA",IF(((BB937/AT937-1)*100)&gt;100,"NM",IF(((BB937/AT937-1)*100)&lt;-50,"NM",(BB937/AT937-1)*100)))</f>
        <v>10.534351145038245</v>
      </c>
      <c r="BD937" s="484">
        <f>BD664*(1-BD$674/100)</f>
        <v>101.45599999999995</v>
      </c>
      <c r="BE937" s="23">
        <f t="shared" ref="BE937:BE945" si="6038">IF(ISERROR((BD937/AV937-1)*100),"NA",IF(((BD937/AV937-1)*100)&gt;100,"NM",IF(((BD937/AV937-1)*100)&lt;-50,"NM",(BD937/AV937-1)*100)))</f>
        <v>4.6283309957924512</v>
      </c>
      <c r="BF937" s="32">
        <f>BF664*(1-BF$674/100)</f>
        <v>119.05690632583439</v>
      </c>
      <c r="BG937" s="23">
        <f t="shared" ref="BG937:BG945" si="6039">IF(ISERROR((BF937/AX937-1)*100),"NA",IF(((BF937/AX937-1)*100)&gt;100,"NM",IF(((BF937/AX937-1)*100)&lt;-50,"NM",(BF937/AX937-1)*100)))</f>
        <v>32.238433363509223</v>
      </c>
      <c r="BH937" s="32">
        <f>BH664*(1-BH$674/100)</f>
        <v>117.78878998953681</v>
      </c>
      <c r="BI937" s="23">
        <f t="shared" ref="BI937:BI945" si="6040">IF(ISERROR((BH937/AZ937-1)*100),"NA",IF(((BH937/AZ937-1)*100)&gt;100,"NM",IF(((BH937/AZ937-1)*100)&lt;-50,"NM",(BH937/AZ937-1)*100)))</f>
        <v>20.709971294872776</v>
      </c>
      <c r="BJ937" s="32">
        <f>BJ664*(1-BJ$674/100)</f>
        <v>120.03795827815101</v>
      </c>
      <c r="BK937" s="23">
        <f t="shared" ref="BK937:BK945" si="6041">IF(ISERROR((BJ937/BB937-1)*100),"NA",IF(((BJ937/BB937-1)*100)&gt;100,"NM",IF(((BJ937/BB937-1)*100)&lt;-50,"NM",(BJ937/BB937-1)*100)))</f>
        <v>21.910503613656719</v>
      </c>
      <c r="BL937" s="32">
        <f>BL664*(1-BL$674/100)</f>
        <v>124.76013607623912</v>
      </c>
      <c r="BM937" s="23">
        <f t="shared" ref="BM937:BM945" si="6042">IF(ISERROR((BL937/BD937-1)*100),"NA",IF(((BL937/BD937-1)*100)&gt;100,"NM",IF(((BL937/BD937-1)*100)&lt;-50,"NM",(BL937/BD937-1)*100)))</f>
        <v>22.969697283787237</v>
      </c>
      <c r="BQ937" s="32">
        <f>BQ664*(1-BQ$674/100)</f>
        <v>189.21500000000006</v>
      </c>
      <c r="BS937" s="32">
        <f>BS664*(1-BS$674/100)</f>
        <v>200.98000000000019</v>
      </c>
      <c r="BU937" s="32">
        <f>BU664*(1-BU$674/100)</f>
        <v>258.48228920560524</v>
      </c>
      <c r="BW937" s="32">
        <f>BW664*(1-BW$674/100)</f>
        <v>307.93936959596454</v>
      </c>
      <c r="BY937" s="32">
        <f>BY664*(1-BY$674/100)</f>
        <v>340.81110099314253</v>
      </c>
      <c r="BZ937" s="207">
        <f t="shared" ref="BZ937:CR945" si="6043">IF(ISERROR((BY937/BW937-1)*100),"NA",IF(((BY937/BW937-1)*100)&gt;100,"NM",IF(((BY937/BW937-1)*100)&lt;-50,"NM",(BY937/BW937-1)*100)))</f>
        <v>10.674741407799759</v>
      </c>
      <c r="CA937" s="32">
        <f>CA664*(1-CA$674/100)</f>
        <v>349.66100000000006</v>
      </c>
      <c r="CB937" s="207">
        <f t="shared" si="6043"/>
        <v>2.5967167680478909</v>
      </c>
      <c r="CC937" s="32">
        <f>CC664*(1-CC$674/100)</f>
        <v>345.58279999999991</v>
      </c>
      <c r="CD937" s="207">
        <f t="shared" si="6043"/>
        <v>-1.1663296735981876</v>
      </c>
      <c r="CE937" s="32">
        <f>CE664*(1-CE$674/100)</f>
        <v>343.6040000000001</v>
      </c>
      <c r="CF937" s="207">
        <f t="shared" si="6043"/>
        <v>-0.57259794179566059</v>
      </c>
      <c r="CG937" s="32">
        <f>CG664*(1-CG$674/100)</f>
        <v>387.53200000000021</v>
      </c>
      <c r="CH937" s="207">
        <f t="shared" si="6043"/>
        <v>12.784484464674485</v>
      </c>
      <c r="CI937" s="32">
        <f>CI664*(1-CI$674/100)</f>
        <v>481.64379066976136</v>
      </c>
      <c r="CJ937" s="207">
        <f t="shared" si="6043"/>
        <v>24.284908257837046</v>
      </c>
      <c r="CK937" s="32">
        <f>CK664*(1-CK$674/100)</f>
        <v>503.00505998842755</v>
      </c>
      <c r="CL937" s="207">
        <f t="shared" si="6043"/>
        <v>4.4350762394261833</v>
      </c>
      <c r="CM937" s="32">
        <f>CM664*(1-CM$674/100)</f>
        <v>527.22186189683805</v>
      </c>
      <c r="CN937" s="207">
        <f t="shared" si="6043"/>
        <v>4.8144251091564838</v>
      </c>
      <c r="CO937" s="32">
        <f>CO664*(1-CO$674/100)</f>
        <v>552.27715893389757</v>
      </c>
      <c r="CP937" s="207">
        <f t="shared" si="6043"/>
        <v>4.7523251306225367</v>
      </c>
      <c r="CQ937" s="32">
        <f>CQ664*(1-CQ$674/100)</f>
        <v>576.39945538718439</v>
      </c>
      <c r="CR937" s="207">
        <f t="shared" si="6043"/>
        <v>4.3677881771992721</v>
      </c>
    </row>
    <row r="938" spans="1:96" ht="12.75" hidden="1" customHeight="1" outlineLevel="1" x14ac:dyDescent="0.2">
      <c r="A938" s="31" t="s">
        <v>193</v>
      </c>
      <c r="B938" s="32">
        <f>B665*(1-B$674/100)</f>
        <v>17.357445113250993</v>
      </c>
      <c r="D938" s="32">
        <f>D665*(1-D$674/100)</f>
        <v>27.116143565014198</v>
      </c>
      <c r="F938" s="32">
        <f>F665*(1-F$674/100)</f>
        <v>20.275442274506759</v>
      </c>
      <c r="H938" s="32">
        <f>H665*(1-H$674/100)</f>
        <v>14.294338345411195</v>
      </c>
      <c r="J938" s="32">
        <f>J665*(1-J$674/100)</f>
        <v>31.922345949640281</v>
      </c>
      <c r="L938" s="32">
        <f>L665*(1-L$674/100)</f>
        <v>35.241440345763415</v>
      </c>
      <c r="N938" s="32">
        <f>N665*(1-N$674/100)</f>
        <v>29.756854326818111</v>
      </c>
      <c r="P938" s="32">
        <f>P665*(1-P$674/100)</f>
        <v>32.943249656071615</v>
      </c>
      <c r="R938" s="32">
        <f>R665*(1-R$674/100)</f>
        <v>29.672729929851879</v>
      </c>
      <c r="T938" s="32">
        <f>T665*(1-T$674/100)</f>
        <v>28.924999999999969</v>
      </c>
      <c r="U938" s="23">
        <f t="shared" si="6022"/>
        <v>-17.923331974491173</v>
      </c>
      <c r="V938" s="32">
        <f>V665*(1-V$674/100)</f>
        <v>28.72999999999999</v>
      </c>
      <c r="W938" s="23">
        <f t="shared" si="6022"/>
        <v>-3.4508161230358159</v>
      </c>
      <c r="X938" s="32">
        <f>X665*(1-X$674/100)</f>
        <v>36.140000000000015</v>
      </c>
      <c r="Y938" s="23">
        <f t="shared" si="6022"/>
        <v>9.7038099680588843</v>
      </c>
      <c r="Z938" s="32">
        <f>Z665*(1-Z$674/100)</f>
        <v>33.540000000000042</v>
      </c>
      <c r="AA938" s="23">
        <f t="shared" si="6023"/>
        <v>13.03307811344161</v>
      </c>
      <c r="AB938" s="32">
        <f>AB665*(1-AB$674/100)</f>
        <v>37.505000000000017</v>
      </c>
      <c r="AC938" s="23">
        <f t="shared" si="6024"/>
        <v>29.662921348314807</v>
      </c>
      <c r="AD938" s="32">
        <f>AD665*(1-AD$674/100)</f>
        <v>35.281999999999982</v>
      </c>
      <c r="AE938" s="23">
        <f t="shared" si="6025"/>
        <v>22.80542986425338</v>
      </c>
      <c r="AF938" s="32">
        <f>AF665*(1-AF$674/100)</f>
        <v>40.950000000000003</v>
      </c>
      <c r="AG938" s="23">
        <f t="shared" si="6026"/>
        <v>13.309352517985573</v>
      </c>
      <c r="AH938" s="32">
        <f>AH665*(1-AH$674/100)</f>
        <v>41.398400000000017</v>
      </c>
      <c r="AI938" s="23">
        <f t="shared" si="6027"/>
        <v>23.429934406678488</v>
      </c>
      <c r="AJ938" s="32">
        <f>AJ665*(1-AJ$674/100)</f>
        <v>38.079999999999977</v>
      </c>
      <c r="AK938" s="23">
        <f t="shared" si="6028"/>
        <v>1.5331289161444106</v>
      </c>
      <c r="AL938" s="32">
        <f>AL665*(1-AL$674/100)</f>
        <v>43.791999999999902</v>
      </c>
      <c r="AM938" s="23">
        <f t="shared" si="6029"/>
        <v>24.119947848761193</v>
      </c>
      <c r="AN938" s="484">
        <f>AN665*(1-AN$674/100)</f>
        <v>35.360000000000021</v>
      </c>
      <c r="AO938" s="23">
        <f t="shared" si="6030"/>
        <v>-13.650793650793602</v>
      </c>
      <c r="AP938" s="484">
        <f>AP665*(1-AP$674/100)</f>
        <v>0</v>
      </c>
      <c r="AQ938" s="23" t="str">
        <f t="shared" si="6031"/>
        <v>NM</v>
      </c>
      <c r="AR938" s="484">
        <f>AR665*(1-AR$674/100)</f>
        <v>0</v>
      </c>
      <c r="AS938" s="23" t="str">
        <f t="shared" si="6032"/>
        <v>NM</v>
      </c>
      <c r="AT938" s="484">
        <f>AT665*(1-AT$674/100)</f>
        <v>0</v>
      </c>
      <c r="AU938" s="23" t="str">
        <f t="shared" si="6033"/>
        <v>NM</v>
      </c>
      <c r="AV938" s="484">
        <f>AV665*(1-AV$674/100)</f>
        <v>0</v>
      </c>
      <c r="AW938" s="23" t="str">
        <f t="shared" si="6034"/>
        <v>NM</v>
      </c>
      <c r="AX938" s="484">
        <f>AX665*(1-AX$674/100)</f>
        <v>0</v>
      </c>
      <c r="AY938" s="23" t="str">
        <f t="shared" si="6035"/>
        <v>NA</v>
      </c>
      <c r="AZ938" s="484">
        <f>AZ665*(1-AZ$674/100)</f>
        <v>0</v>
      </c>
      <c r="BA938" s="23" t="str">
        <f t="shared" si="6036"/>
        <v>NA</v>
      </c>
      <c r="BB938" s="484">
        <f>BB665*(1-BB$674/100)</f>
        <v>0</v>
      </c>
      <c r="BC938" s="23" t="str">
        <f t="shared" si="6037"/>
        <v>NA</v>
      </c>
      <c r="BD938" s="484">
        <f>BD665*(1-BD$674/100)</f>
        <v>0</v>
      </c>
      <c r="BE938" s="23" t="str">
        <f t="shared" si="6038"/>
        <v>NA</v>
      </c>
      <c r="BF938" s="32">
        <f>BF665*(1-BF$674/100)</f>
        <v>0</v>
      </c>
      <c r="BG938" s="23" t="str">
        <f t="shared" si="6039"/>
        <v>NA</v>
      </c>
      <c r="BH938" s="32">
        <f>BH665*(1-BH$674/100)</f>
        <v>0</v>
      </c>
      <c r="BI938" s="23" t="str">
        <f t="shared" si="6040"/>
        <v>NA</v>
      </c>
      <c r="BJ938" s="32">
        <f>BJ665*(1-BJ$674/100)</f>
        <v>0</v>
      </c>
      <c r="BK938" s="23" t="str">
        <f t="shared" si="6041"/>
        <v>NA</v>
      </c>
      <c r="BL938" s="32">
        <f>BL665*(1-BL$674/100)</f>
        <v>0</v>
      </c>
      <c r="BM938" s="23" t="str">
        <f t="shared" si="6042"/>
        <v>NA</v>
      </c>
      <c r="BQ938" s="32">
        <f>BQ665*(1-BQ$674/100)</f>
        <v>27.754999999999992</v>
      </c>
      <c r="BS938" s="32">
        <f>BS665*(1-BS$674/100)</f>
        <v>81.380000000000038</v>
      </c>
      <c r="BU938" s="32">
        <f>BU665*(1-BU$674/100)</f>
        <v>79.039018199516363</v>
      </c>
      <c r="BW938" s="32">
        <f>BW665*(1-BW$674/100)</f>
        <v>129.85954998147633</v>
      </c>
      <c r="BY938" s="32">
        <f>BY665*(1-BY$674/100)</f>
        <v>123.4702734097895</v>
      </c>
      <c r="BZ938" s="207">
        <f t="shared" si="6043"/>
        <v>-4.92014378041371</v>
      </c>
      <c r="CA938" s="32">
        <f>CA665*(1-CA$674/100)</f>
        <v>147.27700000000007</v>
      </c>
      <c r="CB938" s="207">
        <f t="shared" si="6043"/>
        <v>19.281342733564433</v>
      </c>
      <c r="CC938" s="32">
        <f>CC665*(1-CC$674/100)</f>
        <v>158.63040000000009</v>
      </c>
      <c r="CD938" s="207">
        <f t="shared" si="6043"/>
        <v>7.7088751128825406</v>
      </c>
      <c r="CE938" s="32">
        <f>CE665*(1-CE$674/100)</f>
        <v>0</v>
      </c>
      <c r="CF938" s="207" t="str">
        <f t="shared" si="6043"/>
        <v>NM</v>
      </c>
      <c r="CG938" s="32">
        <f>CG665*(1-CG$674/100)</f>
        <v>0</v>
      </c>
      <c r="CH938" s="207" t="str">
        <f t="shared" si="6043"/>
        <v>NA</v>
      </c>
      <c r="CI938" s="32">
        <f>CI665*(1-CI$674/100)</f>
        <v>0</v>
      </c>
      <c r="CJ938" s="207" t="str">
        <f t="shared" si="6043"/>
        <v>NA</v>
      </c>
      <c r="CK938" s="32">
        <f>CK665*(1-CK$674/100)</f>
        <v>0</v>
      </c>
      <c r="CL938" s="207" t="str">
        <f t="shared" si="6043"/>
        <v>NA</v>
      </c>
      <c r="CM938" s="32">
        <f>CM665*(1-CM$674/100)</f>
        <v>0</v>
      </c>
      <c r="CN938" s="207" t="str">
        <f t="shared" si="6043"/>
        <v>NA</v>
      </c>
      <c r="CO938" s="32">
        <f>CO665*(1-CO$674/100)</f>
        <v>0</v>
      </c>
      <c r="CP938" s="207" t="str">
        <f t="shared" si="6043"/>
        <v>NA</v>
      </c>
      <c r="CQ938" s="32">
        <f>CQ665*(1-CQ$674/100)</f>
        <v>0</v>
      </c>
      <c r="CR938" s="207" t="str">
        <f t="shared" si="6043"/>
        <v>NA</v>
      </c>
    </row>
    <row r="939" spans="1:96" ht="12.75" hidden="1" customHeight="1" outlineLevel="1" x14ac:dyDescent="0.2">
      <c r="A939" s="31" t="s">
        <v>187</v>
      </c>
      <c r="B939" s="32">
        <f>B666*(1-B$674/100)</f>
        <v>16.446016721911004</v>
      </c>
      <c r="D939" s="32">
        <f>D666*(1-D$674/100)</f>
        <v>17.135842091732702</v>
      </c>
      <c r="F939" s="32">
        <f>F666*(1-F$674/100)</f>
        <v>14.804322129985199</v>
      </c>
      <c r="H939" s="32">
        <f>H666*(1-H$674/100)</f>
        <v>8.4888877492180548</v>
      </c>
      <c r="J939" s="32">
        <f>J666*(1-J$674/100)</f>
        <v>21.45103629862389</v>
      </c>
      <c r="L939" s="32">
        <f>L666*(1-L$674/100)</f>
        <v>18.917241059402965</v>
      </c>
      <c r="N939" s="32">
        <f>N666*(1-N$674/100)</f>
        <v>25.31281756709242</v>
      </c>
      <c r="P939" s="32">
        <f>P666*(1-P$674/100)</f>
        <v>20.285114615639049</v>
      </c>
      <c r="R939" s="32">
        <f>R666*(1-R$674/100)</f>
        <v>18.498762665627442</v>
      </c>
      <c r="T939" s="32">
        <f>T666*(1-T$674/100)</f>
        <v>26.649999999999988</v>
      </c>
      <c r="U939" s="23">
        <f t="shared" si="6022"/>
        <v>40.876779633536444</v>
      </c>
      <c r="V939" s="32">
        <f>V666*(1-V$674/100)</f>
        <v>27.625000000000004</v>
      </c>
      <c r="W939" s="23">
        <f t="shared" si="6022"/>
        <v>9.1344332837665085</v>
      </c>
      <c r="X939" s="32">
        <f>X666*(1-X$674/100)</f>
        <v>33.27999999999998</v>
      </c>
      <c r="Y939" s="23">
        <f t="shared" si="6022"/>
        <v>64.061187873902227</v>
      </c>
      <c r="Z939" s="32">
        <f>Z666*(1-Z$674/100)</f>
        <v>32.369999999999997</v>
      </c>
      <c r="AA939" s="23">
        <f t="shared" si="6023"/>
        <v>74.98467646242473</v>
      </c>
      <c r="AB939" s="32">
        <f>AB666*(1-AB$674/100)</f>
        <v>35.684999999999981</v>
      </c>
      <c r="AC939" s="23">
        <f t="shared" si="6024"/>
        <v>33.902439024390233</v>
      </c>
      <c r="AD939" s="32">
        <f>AD666*(1-AD$674/100)</f>
        <v>34.924500000000016</v>
      </c>
      <c r="AE939" s="23">
        <f t="shared" si="6025"/>
        <v>26.423529411764758</v>
      </c>
      <c r="AF939" s="32">
        <f>AF666*(1-AF$674/100)</f>
        <v>34.904999999999994</v>
      </c>
      <c r="AG939" s="23">
        <f t="shared" si="6026"/>
        <v>4.8828125000000444</v>
      </c>
      <c r="AH939" s="32">
        <f>AH666*(1-AH$674/100)</f>
        <v>30.293999999999997</v>
      </c>
      <c r="AI939" s="23">
        <f t="shared" si="6027"/>
        <v>-6.4133456904541308</v>
      </c>
      <c r="AJ939" s="32">
        <f>AJ666*(1-AJ$674/100)</f>
        <v>31.960000000000012</v>
      </c>
      <c r="AK939" s="23">
        <f t="shared" si="6028"/>
        <v>-10.43855961888741</v>
      </c>
      <c r="AL939" s="32">
        <f>AL666*(1-AL$674/100)</f>
        <v>31.007999999999942</v>
      </c>
      <c r="AM939" s="23">
        <f t="shared" si="6029"/>
        <v>-11.214190611175745</v>
      </c>
      <c r="AN939" s="484">
        <f>AN666*(1-AN$674/100)</f>
        <v>28.832000000000001</v>
      </c>
      <c r="AO939" s="23">
        <f t="shared" si="6030"/>
        <v>-17.398653488038953</v>
      </c>
      <c r="AP939" s="484">
        <f>AP666*(1-AP$674/100)</f>
        <v>15.435999999999995</v>
      </c>
      <c r="AQ939" s="23">
        <f t="shared" si="6031"/>
        <v>-49.04601571268239</v>
      </c>
      <c r="AR939" s="484">
        <f>AR666*(1-AR$674/100)</f>
        <v>29.696000000000033</v>
      </c>
      <c r="AS939" s="23">
        <f t="shared" si="6032"/>
        <v>-7.0838548185230827</v>
      </c>
      <c r="AT939" s="484">
        <f>AT666*(1-AT$674/100)</f>
        <v>33.183999999999983</v>
      </c>
      <c r="AU939" s="23">
        <f t="shared" si="6033"/>
        <v>7.0175438596492778</v>
      </c>
      <c r="AV939" s="484">
        <f>AV666*(1-AV$674/100)</f>
        <v>43.99599999999996</v>
      </c>
      <c r="AW939" s="23">
        <f t="shared" si="6034"/>
        <v>52.594339622641371</v>
      </c>
      <c r="AX939" s="484">
        <f>AX666*(1-AX$674/100)</f>
        <v>30.871999999999982</v>
      </c>
      <c r="AY939" s="23">
        <f t="shared" si="6035"/>
        <v>99.999999999999957</v>
      </c>
      <c r="AZ939" s="484">
        <f>AZ666*(1-AZ$674/100)</f>
        <v>36.516000000000027</v>
      </c>
      <c r="BA939" s="23">
        <f t="shared" si="6036"/>
        <v>22.966056034482719</v>
      </c>
      <c r="BB939" s="484">
        <f>BB666*(1-BB$674/100)</f>
        <v>35.767999999999994</v>
      </c>
      <c r="BC939" s="23">
        <f t="shared" si="6037"/>
        <v>7.7868852459016757</v>
      </c>
      <c r="BD939" s="484">
        <f>BD666*(1-BD$674/100)</f>
        <v>40.119999999999997</v>
      </c>
      <c r="BE939" s="23">
        <f t="shared" si="6038"/>
        <v>-8.8098918083461371</v>
      </c>
      <c r="BF939" s="32">
        <f>BF666*(1-BF$674/100)</f>
        <v>39.948241879688837</v>
      </c>
      <c r="BG939" s="23">
        <f t="shared" si="6039"/>
        <v>29.399591473467424</v>
      </c>
      <c r="BH939" s="32">
        <f>BH666*(1-BH$674/100)</f>
        <v>49.168095690656777</v>
      </c>
      <c r="BI939" s="23">
        <f t="shared" si="6040"/>
        <v>34.648087662002247</v>
      </c>
      <c r="BJ939" s="32">
        <f>BJ666*(1-BJ$674/100)</f>
        <v>43.03099490516373</v>
      </c>
      <c r="BK939" s="23">
        <f t="shared" si="6041"/>
        <v>20.305845742461813</v>
      </c>
      <c r="BL939" s="32">
        <f>BL666*(1-BL$674/100)</f>
        <v>45.101789454385241</v>
      </c>
      <c r="BM939" s="23">
        <f t="shared" si="6042"/>
        <v>12.41722197005295</v>
      </c>
      <c r="BQ939" s="32">
        <f>BQ666*(1-BQ$674/100)</f>
        <v>28.859999999999985</v>
      </c>
      <c r="BS939" s="32">
        <f>BS666*(1-BS$674/100)</f>
        <v>32.564999999999976</v>
      </c>
      <c r="BU939" s="32">
        <f>BU666*(1-BU$674/100)</f>
        <v>56.871693555796703</v>
      </c>
      <c r="BW939" s="32">
        <f>BW666*(1-BW$674/100)</f>
        <v>85.966632119118742</v>
      </c>
      <c r="BY939" s="32">
        <f>BY666*(1-BY$674/100)</f>
        <v>106.052174568456</v>
      </c>
      <c r="BZ939" s="207">
        <f t="shared" si="6043"/>
        <v>23.364347252205885</v>
      </c>
      <c r="CA939" s="32">
        <f>CA666*(1-CA$674/100)</f>
        <v>137.88449999999997</v>
      </c>
      <c r="CB939" s="207">
        <f t="shared" si="6043"/>
        <v>30.015721564479957</v>
      </c>
      <c r="CC939" s="32">
        <f>CC666*(1-CC$674/100)</f>
        <v>122.09399999999994</v>
      </c>
      <c r="CD939" s="207">
        <f t="shared" si="6043"/>
        <v>-11.451976110440288</v>
      </c>
      <c r="CE939" s="32">
        <f>CE666*(1-CE$674/100)</f>
        <v>122.3119999999999</v>
      </c>
      <c r="CF939" s="207">
        <f t="shared" si="6043"/>
        <v>0.17855095254473152</v>
      </c>
      <c r="CG939" s="32">
        <f>CG666*(1-CG$674/100)</f>
        <v>143.27599999999998</v>
      </c>
      <c r="CH939" s="207">
        <f t="shared" si="6043"/>
        <v>17.139773693505212</v>
      </c>
      <c r="CI939" s="32">
        <f>CI666*(1-CI$674/100)</f>
        <v>177.24912192989444</v>
      </c>
      <c r="CJ939" s="207">
        <f t="shared" si="6043"/>
        <v>23.711662755726337</v>
      </c>
      <c r="CK939" s="32">
        <f>CK666*(1-CK$674/100)</f>
        <v>186.49358992235491</v>
      </c>
      <c r="CL939" s="207">
        <f t="shared" si="6043"/>
        <v>5.2155225886630019</v>
      </c>
      <c r="CM939" s="32">
        <f>CM666*(1-CM$674/100)</f>
        <v>194.7229761691913</v>
      </c>
      <c r="CN939" s="207">
        <f t="shared" si="6043"/>
        <v>4.4126912084552661</v>
      </c>
      <c r="CO939" s="32">
        <f>CO666*(1-CO$674/100)</f>
        <v>201.23588356055498</v>
      </c>
      <c r="CP939" s="207">
        <f t="shared" si="6043"/>
        <v>3.3447041122177223</v>
      </c>
      <c r="CQ939" s="32">
        <f>CQ666*(1-CQ$674/100)</f>
        <v>208.32032927892678</v>
      </c>
      <c r="CR939" s="207">
        <f t="shared" si="6043"/>
        <v>3.5204684139943598</v>
      </c>
    </row>
    <row r="940" spans="1:96" ht="12.75" hidden="1" customHeight="1" outlineLevel="1" x14ac:dyDescent="0.2">
      <c r="A940" s="31" t="s">
        <v>194</v>
      </c>
      <c r="B940" s="32">
        <f>B667*(1-B$674/100)</f>
        <v>50.400299803000891</v>
      </c>
      <c r="D940" s="32">
        <f>D667*(1-D$674/100)</f>
        <v>55.397566009369051</v>
      </c>
      <c r="F940" s="32">
        <f>F667*(1-F$674/100)</f>
        <v>42.344481365604487</v>
      </c>
      <c r="H940" s="32">
        <f>H667*(1-H$674/100)</f>
        <v>37.632444664903211</v>
      </c>
      <c r="J940" s="32">
        <f>J667*(1-J$674/100)</f>
        <v>30.404246605599358</v>
      </c>
      <c r="L940" s="32">
        <f>L667*(1-L$674/100)</f>
        <v>23.86794819579864</v>
      </c>
      <c r="N940" s="32">
        <f>N667*(1-N$674/100)</f>
        <v>28.881690947380857</v>
      </c>
      <c r="P940" s="32">
        <f>P667*(1-P$674/100)</f>
        <v>32.405891323417372</v>
      </c>
      <c r="R940" s="32">
        <f>R667*(1-R$674/100)</f>
        <v>33.635590413094306</v>
      </c>
      <c r="T940" s="32">
        <f>T667*(1-T$674/100)</f>
        <v>29.184999999999985</v>
      </c>
      <c r="U940" s="23">
        <f t="shared" si="6022"/>
        <v>22.276953848665038</v>
      </c>
      <c r="V940" s="32">
        <f>V667*(1-V$674/100)</f>
        <v>39.194999999999958</v>
      </c>
      <c r="W940" s="23">
        <f t="shared" si="6022"/>
        <v>35.70881314189247</v>
      </c>
      <c r="X940" s="32">
        <f>X667*(1-X$674/100)</f>
        <v>33.60499999999999</v>
      </c>
      <c r="Y940" s="23">
        <f t="shared" si="6022"/>
        <v>3.7002798800232606</v>
      </c>
      <c r="Z940" s="32">
        <f>Z667*(1-Z$674/100)</f>
        <v>24.830000000000055</v>
      </c>
      <c r="AA940" s="23">
        <f t="shared" si="6023"/>
        <v>-26.179384113519955</v>
      </c>
      <c r="AB940" s="32">
        <f>AB667*(1-AB$674/100)</f>
        <v>42.184999999999938</v>
      </c>
      <c r="AC940" s="23">
        <f t="shared" si="6024"/>
        <v>44.543429844097872</v>
      </c>
      <c r="AD940" s="32">
        <f>AD667*(1-AD$674/100)</f>
        <v>27.163500000000013</v>
      </c>
      <c r="AE940" s="23">
        <f t="shared" si="6025"/>
        <v>-30.696517412935208</v>
      </c>
      <c r="AF940" s="32">
        <f>AF667*(1-AF$674/100)</f>
        <v>49.270000000000032</v>
      </c>
      <c r="AG940" s="23">
        <f t="shared" si="6026"/>
        <v>46.615087040619095</v>
      </c>
      <c r="AH940" s="32">
        <f>AH667*(1-AH$674/100)</f>
        <v>28.233599999999985</v>
      </c>
      <c r="AI940" s="23">
        <f t="shared" si="6027"/>
        <v>13.707611759967463</v>
      </c>
      <c r="AJ940" s="32">
        <f>AJ667*(1-AJ$674/100)</f>
        <v>35.564000000000043</v>
      </c>
      <c r="AK940" s="23">
        <f t="shared" si="6028"/>
        <v>-15.695152305321569</v>
      </c>
      <c r="AL940" s="32">
        <f>AL667*(1-AL$674/100)</f>
        <v>12.512000000000009</v>
      </c>
      <c r="AM940" s="23" t="str">
        <f t="shared" si="6029"/>
        <v>NM</v>
      </c>
      <c r="AN940" s="484">
        <f>AN667*(1-AN$674/100)</f>
        <v>51.611999999999981</v>
      </c>
      <c r="AO940" s="23">
        <f t="shared" si="6030"/>
        <v>4.7533996346660112</v>
      </c>
      <c r="AP940" s="484">
        <f>AP667*(1-AP$674/100)</f>
        <v>33.319999999999943</v>
      </c>
      <c r="AQ940" s="23">
        <f t="shared" si="6031"/>
        <v>18.015414258188688</v>
      </c>
      <c r="AR940" s="484">
        <f>AR667*(1-AR$674/100)</f>
        <v>36.924000000000014</v>
      </c>
      <c r="AS940" s="23">
        <f t="shared" si="6032"/>
        <v>3.8240917782025985</v>
      </c>
      <c r="AT940" s="484">
        <f>AT667*(1-AT$674/100)</f>
        <v>29.851999999999961</v>
      </c>
      <c r="AU940" s="23" t="str">
        <f t="shared" si="6033"/>
        <v>NM</v>
      </c>
      <c r="AV940" s="484">
        <f>AV667*(1-AV$674/100)</f>
        <v>28.899999999999963</v>
      </c>
      <c r="AW940" s="23">
        <f t="shared" si="6034"/>
        <v>-44.005270092226667</v>
      </c>
      <c r="AX940" s="484">
        <f>AX667*(1-AX$674/100)</f>
        <v>26.247999999999973</v>
      </c>
      <c r="AY940" s="23">
        <f t="shared" si="6035"/>
        <v>-21.224489795918309</v>
      </c>
      <c r="AZ940" s="484">
        <f>AZ667*(1-AZ$674/100)</f>
        <v>40.323999999999984</v>
      </c>
      <c r="BA940" s="23">
        <f t="shared" si="6036"/>
        <v>9.2081031307549743</v>
      </c>
      <c r="BB940" s="484">
        <f>BB667*(1-BB$674/100)</f>
        <v>37.263999999999967</v>
      </c>
      <c r="BC940" s="23">
        <f t="shared" si="6037"/>
        <v>24.829157175398684</v>
      </c>
      <c r="BD940" s="484">
        <f>BD667*(1-BD$674/100)</f>
        <v>44.879999999999995</v>
      </c>
      <c r="BE940" s="23">
        <f t="shared" si="6038"/>
        <v>55.294117647059004</v>
      </c>
      <c r="BF940" s="32">
        <f>BF667*(1-BF$674/100)</f>
        <v>39.880494119299108</v>
      </c>
      <c r="BG940" s="23">
        <f t="shared" si="6039"/>
        <v>51.937268055848641</v>
      </c>
      <c r="BH940" s="32">
        <f>BH667*(1-BH$674/100)</f>
        <v>45.675812575847495</v>
      </c>
      <c r="BI940" s="23">
        <f t="shared" si="6040"/>
        <v>13.272028012715786</v>
      </c>
      <c r="BJ940" s="32">
        <f>BJ667*(1-BJ$674/100)</f>
        <v>48.326385159876054</v>
      </c>
      <c r="BK940" s="23">
        <f t="shared" si="6041"/>
        <v>29.686520931397851</v>
      </c>
      <c r="BL940" s="32">
        <f>BL667*(1-BL$674/100)</f>
        <v>49.419264213968262</v>
      </c>
      <c r="BM940" s="23">
        <f t="shared" si="6042"/>
        <v>10.114225075686868</v>
      </c>
      <c r="BQ940" s="32">
        <f>BQ667*(1-BQ$674/100)</f>
        <v>228.47499999999999</v>
      </c>
      <c r="BS940" s="32">
        <f>BS667*(1-BS$674/100)</f>
        <v>185.83499999999998</v>
      </c>
      <c r="BU940" s="32">
        <f>BU667*(1-BU$674/100)</f>
        <v>185.76704245397642</v>
      </c>
      <c r="BW940" s="32">
        <f>BW667*(1-BW$674/100)</f>
        <v>115.56005068646883</v>
      </c>
      <c r="BY940" s="32">
        <f>BY667*(1-BY$674/100)</f>
        <v>135.62394685504842</v>
      </c>
      <c r="BZ940" s="207">
        <f t="shared" si="6043"/>
        <v>17.362311672063768</v>
      </c>
      <c r="CA940" s="32">
        <f>CA667*(1-CA$674/100)</f>
        <v>143.44850000000011</v>
      </c>
      <c r="CB940" s="207">
        <f t="shared" si="6043"/>
        <v>5.7693005744143377</v>
      </c>
      <c r="CC940" s="32">
        <f>CC667*(1-CC$674/100)</f>
        <v>127.92160000000001</v>
      </c>
      <c r="CD940" s="207">
        <f t="shared" si="6043"/>
        <v>-10.82402395284725</v>
      </c>
      <c r="CE940" s="32">
        <f>CE667*(1-CE$674/100)</f>
        <v>128.99599999999992</v>
      </c>
      <c r="CF940" s="207">
        <f t="shared" si="6043"/>
        <v>0.83988943227719659</v>
      </c>
      <c r="CG940" s="32">
        <f>CG667*(1-CG$674/100)</f>
        <v>148.71600000000001</v>
      </c>
      <c r="CH940" s="207">
        <f t="shared" si="6043"/>
        <v>15.287295730100237</v>
      </c>
      <c r="CI940" s="32">
        <f>CI667*(1-CI$674/100)</f>
        <v>183.30195606899085</v>
      </c>
      <c r="CJ940" s="207">
        <f t="shared" si="6043"/>
        <v>23.256378647214039</v>
      </c>
      <c r="CK940" s="32">
        <f>CK667*(1-CK$674/100)</f>
        <v>185.47495723947446</v>
      </c>
      <c r="CL940" s="207">
        <f t="shared" si="6043"/>
        <v>1.1854762584561529</v>
      </c>
      <c r="CM940" s="32">
        <f>CM667*(1-CM$674/100)</f>
        <v>188.5262251617203</v>
      </c>
      <c r="CN940" s="207">
        <f t="shared" si="6043"/>
        <v>1.6451104600101019</v>
      </c>
      <c r="CO940" s="32">
        <f>CO667*(1-CO$674/100)</f>
        <v>191.61797494282004</v>
      </c>
      <c r="CP940" s="207">
        <f t="shared" si="6043"/>
        <v>1.6399574003285622</v>
      </c>
      <c r="CQ940" s="32">
        <f>CQ667*(1-CQ$674/100)</f>
        <v>194.7505005359163</v>
      </c>
      <c r="CR940" s="207">
        <f t="shared" si="6043"/>
        <v>1.6347764837985723</v>
      </c>
    </row>
    <row r="941" spans="1:96" ht="12.75" hidden="1" customHeight="1" outlineLevel="1" x14ac:dyDescent="0.2">
      <c r="A941" s="31" t="s">
        <v>195</v>
      </c>
      <c r="B941" s="32">
        <f>B668*(1-B$674/100)</f>
        <v>8.6695921764446346</v>
      </c>
      <c r="D941" s="32">
        <f>D668*(1-D$674/100)</f>
        <v>20.087318441163799</v>
      </c>
      <c r="F941" s="32">
        <f>F668*(1-F$674/100)</f>
        <v>11.692295840229297</v>
      </c>
      <c r="H941" s="32">
        <f>H668*(1-H$674/100)</f>
        <v>13.709204452321982</v>
      </c>
      <c r="J941" s="32">
        <f>J668*(1-J$674/100)</f>
        <v>7.92922466806138</v>
      </c>
      <c r="L941" s="32">
        <f>L668*(1-L$674/100)</f>
        <v>21.330174364257712</v>
      </c>
      <c r="N941" s="32">
        <f>N668*(1-N$674/100)</f>
        <v>23.01933075980709</v>
      </c>
      <c r="P941" s="32">
        <f>P668*(1-P$674/100)</f>
        <v>18.59701673385457</v>
      </c>
      <c r="R941" s="32">
        <f>R668*(1-R$674/100)</f>
        <v>6.9999707716289885</v>
      </c>
      <c r="T941" s="32">
        <f>T668*(1-T$674/100)</f>
        <v>22.164999999999978</v>
      </c>
      <c r="U941" s="23">
        <f t="shared" si="6022"/>
        <v>3.9138247136936588</v>
      </c>
      <c r="V941" s="32">
        <f>V668*(1-V$674/100)</f>
        <v>16.31499999999998</v>
      </c>
      <c r="W941" s="23">
        <f t="shared" si="6022"/>
        <v>-29.124785727972636</v>
      </c>
      <c r="X941" s="32">
        <f>X668*(1-X$674/100)</f>
        <v>19.954999999999984</v>
      </c>
      <c r="Y941" s="23">
        <f t="shared" si="6022"/>
        <v>7.302156499506185</v>
      </c>
      <c r="Z941" s="32">
        <f>Z668*(1-Z$674/100)</f>
        <v>13.974999999999996</v>
      </c>
      <c r="AA941" s="23">
        <f t="shared" si="6023"/>
        <v>99.643690751408997</v>
      </c>
      <c r="AB941" s="32">
        <f>AB668*(1-AB$674/100)</f>
        <v>25.74</v>
      </c>
      <c r="AC941" s="23">
        <f t="shared" si="6024"/>
        <v>16.129032258064633</v>
      </c>
      <c r="AD941" s="32">
        <f>AD668*(1-AD$674/100)</f>
        <v>24.544000000000004</v>
      </c>
      <c r="AE941" s="23">
        <f t="shared" si="6025"/>
        <v>50.438247011952406</v>
      </c>
      <c r="AF941" s="32">
        <f>AF668*(1-AF$674/100)</f>
        <v>37.374999999999993</v>
      </c>
      <c r="AG941" s="23">
        <f t="shared" si="6026"/>
        <v>87.296416938110852</v>
      </c>
      <c r="AH941" s="32">
        <f>AH668*(1-AH$674/100)</f>
        <v>28.634799999999998</v>
      </c>
      <c r="AI941" s="23" t="str">
        <f t="shared" si="6027"/>
        <v>NM</v>
      </c>
      <c r="AJ941" s="32">
        <f>AJ668*(1-AJ$674/100)</f>
        <v>26.248000000000001</v>
      </c>
      <c r="AK941" s="23">
        <f t="shared" si="6028"/>
        <v>1.9735819735819948</v>
      </c>
      <c r="AL941" s="32">
        <f>AL668*(1-AL$674/100)</f>
        <v>31.823999999999938</v>
      </c>
      <c r="AM941" s="23">
        <f t="shared" si="6029"/>
        <v>29.661016949152263</v>
      </c>
      <c r="AN941" s="484">
        <f>AN668*(1-AN$674/100)</f>
        <v>16.183999999999994</v>
      </c>
      <c r="AO941" s="23" t="str">
        <f t="shared" si="6030"/>
        <v>NM</v>
      </c>
      <c r="AP941" s="484">
        <f>AP668*(1-AP$674/100)</f>
        <v>15.707999999999982</v>
      </c>
      <c r="AQ941" s="23">
        <f t="shared" si="6031"/>
        <v>-45.143671336974641</v>
      </c>
      <c r="AR941" s="484">
        <f>AR668*(1-AR$674/100)</f>
        <v>22.984000000000023</v>
      </c>
      <c r="AS941" s="23">
        <f t="shared" si="6032"/>
        <v>-12.435233160621673</v>
      </c>
      <c r="AT941" s="484">
        <f>AT668*(1-AT$674/100)</f>
        <v>15.980000000000006</v>
      </c>
      <c r="AU941" s="23">
        <f t="shared" si="6033"/>
        <v>-49.786324786324663</v>
      </c>
      <c r="AV941" s="484">
        <f>AV668*(1-AV$674/100)</f>
        <v>21.011999999999979</v>
      </c>
      <c r="AW941" s="23">
        <f t="shared" si="6034"/>
        <v>29.831932773109159</v>
      </c>
      <c r="AX941" s="484">
        <f>AX668*(1-AX$674/100)</f>
        <v>7.8879999999999999</v>
      </c>
      <c r="AY941" s="23">
        <f t="shared" si="6035"/>
        <v>-49.783549783549731</v>
      </c>
      <c r="AZ941" s="484">
        <f>AZ668*(1-AZ$674/100)</f>
        <v>17.680000000000007</v>
      </c>
      <c r="BA941" s="23">
        <f t="shared" si="6036"/>
        <v>-23.07692307692313</v>
      </c>
      <c r="BB941" s="484">
        <f>BB668*(1-BB$674/100)</f>
        <v>21.760000000000009</v>
      </c>
      <c r="BC941" s="23">
        <f t="shared" si="6037"/>
        <v>36.170212765957444</v>
      </c>
      <c r="BD941" s="484">
        <f>BD668*(1-BD$674/100)</f>
        <v>19.72</v>
      </c>
      <c r="BE941" s="23">
        <f t="shared" si="6038"/>
        <v>-6.1488673139157735</v>
      </c>
      <c r="BF941" s="32">
        <f>BF668*(1-BF$674/100)</f>
        <v>13.760839507613424</v>
      </c>
      <c r="BG941" s="23">
        <f t="shared" si="6039"/>
        <v>74.452833514368976</v>
      </c>
      <c r="BH941" s="32">
        <f>BH668*(1-BH$674/100)</f>
        <v>27.303564767150966</v>
      </c>
      <c r="BI941" s="23">
        <f t="shared" si="6040"/>
        <v>54.431927416012194</v>
      </c>
      <c r="BJ941" s="32">
        <f>BJ668*(1-BJ$674/100)</f>
        <v>30.081516705086937</v>
      </c>
      <c r="BK941" s="23">
        <f t="shared" si="6041"/>
        <v>38.242264269700939</v>
      </c>
      <c r="BL941" s="32">
        <f>BL668*(1-BL$674/100)</f>
        <v>26.28158525969085</v>
      </c>
      <c r="BM941" s="23">
        <f t="shared" si="6042"/>
        <v>33.2737589233816</v>
      </c>
      <c r="BQ941" s="32">
        <f>BQ668*(1-BQ$674/100)</f>
        <v>24.179999999999975</v>
      </c>
      <c r="BS941" s="32">
        <f>BS668*(1-BS$674/100)</f>
        <v>54.599999999999966</v>
      </c>
      <c r="BU941" s="32">
        <f>BU668*(1-BU$674/100)</f>
        <v>54.156320116902847</v>
      </c>
      <c r="BW941" s="32">
        <f>BW668*(1-BW$674/100)</f>
        <v>70.878096319218912</v>
      </c>
      <c r="BY941" s="32">
        <f>BY668*(1-BY$674/100)</f>
        <v>65.431608240718887</v>
      </c>
      <c r="BZ941" s="207">
        <f t="shared" si="6043"/>
        <v>-7.6843035596925073</v>
      </c>
      <c r="CA941" s="32">
        <f>CA668*(1-CA$674/100)</f>
        <v>101.63399999999992</v>
      </c>
      <c r="CB941" s="207">
        <f t="shared" si="6043"/>
        <v>55.328598413926564</v>
      </c>
      <c r="CC941" s="32">
        <f>CC668*(1-CC$674/100)</f>
        <v>102.89079999999993</v>
      </c>
      <c r="CD941" s="207">
        <f t="shared" si="6043"/>
        <v>1.2365940531712027</v>
      </c>
      <c r="CE941" s="32">
        <f>CE668*(1-CE$674/100)</f>
        <v>75.683999999999997</v>
      </c>
      <c r="CF941" s="207">
        <f t="shared" si="6043"/>
        <v>-26.442403013680472</v>
      </c>
      <c r="CG941" s="32">
        <f>CG668*(1-CG$674/100)</f>
        <v>67.048000000000073</v>
      </c>
      <c r="CH941" s="207">
        <f t="shared" si="6043"/>
        <v>-11.410601976639612</v>
      </c>
      <c r="CI941" s="32">
        <f>CI668*(1-CI$674/100)</f>
        <v>97.427506239542168</v>
      </c>
      <c r="CJ941" s="207">
        <f t="shared" si="6043"/>
        <v>45.310085669284781</v>
      </c>
      <c r="CK941" s="32">
        <f>CK668*(1-CK$674/100)</f>
        <v>103.98663133962549</v>
      </c>
      <c r="CL941" s="207">
        <f t="shared" si="6043"/>
        <v>6.7323134433479037</v>
      </c>
      <c r="CM941" s="32">
        <f>CM668*(1-CM$674/100)</f>
        <v>105.98061175618633</v>
      </c>
      <c r="CN941" s="207">
        <f t="shared" si="6043"/>
        <v>1.9175353512976168</v>
      </c>
      <c r="CO941" s="32">
        <f>CO668*(1-CO$674/100)</f>
        <v>107.94732449635816</v>
      </c>
      <c r="CP941" s="207">
        <f t="shared" si="6043"/>
        <v>1.8557288050915943</v>
      </c>
      <c r="CQ941" s="32">
        <f>CQ668*(1-CQ$674/100)</f>
        <v>109.88000107474443</v>
      </c>
      <c r="CR941" s="207">
        <f t="shared" si="6043"/>
        <v>1.7903885875851122</v>
      </c>
    </row>
    <row r="942" spans="1:96" ht="12.75" hidden="1" customHeight="1" outlineLevel="1" x14ac:dyDescent="0.2">
      <c r="A942" s="3" t="s">
        <v>295</v>
      </c>
      <c r="B942" s="32">
        <f>B937+B938+B939+B940+B941</f>
        <v>163.32052758604749</v>
      </c>
      <c r="D942" s="32">
        <f>D937+D938+D939+D940+D941</f>
        <v>206.17559269265638</v>
      </c>
      <c r="F942" s="32">
        <f>F937+F938+F939+F940+F941</f>
        <v>163.76526129213951</v>
      </c>
      <c r="H942" s="32">
        <f>H937+H938+H939+H940+H941</f>
        <v>101.09374347108096</v>
      </c>
      <c r="J942" s="32">
        <f>J937+J938+J939+J940+J941</f>
        <v>157.03713728464604</v>
      </c>
      <c r="L942" s="32">
        <f>L937+L938+L939+L940+L941</f>
        <v>181.41994392903814</v>
      </c>
      <c r="N942" s="32">
        <f>N937+N938+N939+N940+N941</f>
        <v>191.69066689366997</v>
      </c>
      <c r="P942" s="32">
        <f>P937+P938+P939+P940+P941</f>
        <v>180.05922567934866</v>
      </c>
      <c r="R942" s="32">
        <f>R937+R938+R939+R940+R941</f>
        <v>172.15705378020269</v>
      </c>
      <c r="T942" s="32">
        <f>T937+T938+T939+T940+T941</f>
        <v>189.52829999999994</v>
      </c>
      <c r="U942" s="23">
        <f t="shared" si="6022"/>
        <v>4.4693851708681898</v>
      </c>
      <c r="V942" s="32">
        <f>V937+V938+V939+V940+V941</f>
        <v>199.35499999999988</v>
      </c>
      <c r="W942" s="23">
        <f t="shared" si="6022"/>
        <v>3.9982818311030677</v>
      </c>
      <c r="X942" s="32">
        <f>X937+X938+X939+X940+X941</f>
        <v>210.33999999999989</v>
      </c>
      <c r="Y942" s="23">
        <f t="shared" si="6022"/>
        <v>16.817119037585758</v>
      </c>
      <c r="Z942" s="32">
        <f>Z937+Z938+Z939+Z940+Z941</f>
        <v>186.74500000000015</v>
      </c>
      <c r="AA942" s="23">
        <f t="shared" si="6023"/>
        <v>8.473626784077215</v>
      </c>
      <c r="AB942" s="32">
        <f>AB937+AB938+AB939+AB940+AB941</f>
        <v>224.70499999999998</v>
      </c>
      <c r="AC942" s="23">
        <f t="shared" si="6024"/>
        <v>18.560130597910728</v>
      </c>
      <c r="AD942" s="32">
        <f>AD937+AD938+AD939+AD940+AD941</f>
        <v>211.44500000000002</v>
      </c>
      <c r="AE942" s="23">
        <f t="shared" si="6025"/>
        <v>6.0645582001957132</v>
      </c>
      <c r="AF942" s="32">
        <f>AF937+AF938+AF939+AF940+AF941</f>
        <v>257.00999999999988</v>
      </c>
      <c r="AG942" s="23">
        <f t="shared" si="6026"/>
        <v>22.187886279357237</v>
      </c>
      <c r="AH942" s="32">
        <f>AH937+AH938+AH939+AH940+AH941</f>
        <v>216.89960000000002</v>
      </c>
      <c r="AI942" s="23">
        <f t="shared" si="6027"/>
        <v>16.147473827947124</v>
      </c>
      <c r="AJ942" s="32">
        <f>AJ937+AJ938+AJ939+AJ940+AJ941</f>
        <v>216.78400000000008</v>
      </c>
      <c r="AK942" s="23">
        <f t="shared" si="6028"/>
        <v>-3.5250661979038811</v>
      </c>
      <c r="AL942" s="32">
        <f>AL937+AL938+AL939+AL940+AL941</f>
        <v>206.17599999999956</v>
      </c>
      <c r="AM942" s="23">
        <f t="shared" si="6029"/>
        <v>-2.491900967154792</v>
      </c>
      <c r="AN942" s="484">
        <f>AN937+AN938+AN939+AN940+AN941</f>
        <v>217.26000000000002</v>
      </c>
      <c r="AO942" s="23">
        <f t="shared" si="6030"/>
        <v>-15.466324267538178</v>
      </c>
      <c r="AP942" s="484">
        <f>AP937+AP938+AP939+AP940+AP941</f>
        <v>133.75599999999974</v>
      </c>
      <c r="AQ942" s="23">
        <f t="shared" si="6031"/>
        <v>-38.332758566636485</v>
      </c>
      <c r="AR942" s="484">
        <f t="shared" ref="AR942:AT942" si="6044">AR937+AR938+AR939+AR940+AR941</f>
        <v>177.86800000000011</v>
      </c>
      <c r="AS942" s="23">
        <f t="shared" si="6032"/>
        <v>-17.951509336482374</v>
      </c>
      <c r="AT942" s="484">
        <f t="shared" si="6044"/>
        <v>168.09599999999995</v>
      </c>
      <c r="AU942" s="23">
        <f t="shared" si="6033"/>
        <v>-18.469656992084282</v>
      </c>
      <c r="AV942" s="484">
        <f t="shared" ref="AV942:AX942" si="6045">AV937+AV938+AV939+AV940+AV941</f>
        <v>190.87599999999983</v>
      </c>
      <c r="AW942" s="23">
        <f t="shared" si="6034"/>
        <v>-12.143974960876458</v>
      </c>
      <c r="AX942" s="484">
        <f t="shared" si="6045"/>
        <v>155.03999999999979</v>
      </c>
      <c r="AY942" s="23">
        <f t="shared" si="6035"/>
        <v>15.912557193696042</v>
      </c>
      <c r="AZ942" s="484">
        <f t="shared" ref="AZ942" si="6046">AZ937+AZ938+AZ939+AZ940+AZ941</f>
        <v>192.09999999999997</v>
      </c>
      <c r="BA942" s="23">
        <f t="shared" si="6036"/>
        <v>8.0014392695705983</v>
      </c>
      <c r="BB942" s="484">
        <f t="shared" ref="BB942:BD942" si="6047">BB937+BB938+BB939+BB940+BB941</f>
        <v>193.256</v>
      </c>
      <c r="BC942" s="23">
        <f t="shared" si="6037"/>
        <v>14.967637540453115</v>
      </c>
      <c r="BD942" s="484">
        <f t="shared" si="6047"/>
        <v>206.17599999999993</v>
      </c>
      <c r="BE942" s="23">
        <f t="shared" si="6038"/>
        <v>8.0156750979694102</v>
      </c>
      <c r="BF942" s="32">
        <f t="shared" ref="BF942" si="6048">BF937+BF938+BF939+BF940+BF941</f>
        <v>212.64648183243574</v>
      </c>
      <c r="BG942" s="23">
        <f t="shared" si="6039"/>
        <v>37.155883534852954</v>
      </c>
      <c r="BH942" s="32">
        <f t="shared" ref="BH942" si="6049">BH937+BH938+BH939+BH940+BH941</f>
        <v>239.93626302319203</v>
      </c>
      <c r="BI942" s="23">
        <f t="shared" si="6040"/>
        <v>24.901750662775669</v>
      </c>
      <c r="BJ942" s="32">
        <f t="shared" ref="BJ942" si="6050">BJ937+BJ938+BJ939+BJ940+BJ941</f>
        <v>241.47685504827771</v>
      </c>
      <c r="BK942" s="23">
        <f t="shared" si="6041"/>
        <v>24.951802297614421</v>
      </c>
      <c r="BL942" s="32">
        <f t="shared" ref="BL942" si="6051">BL937+BL938+BL939+BL940+BL941</f>
        <v>245.56277500428348</v>
      </c>
      <c r="BM942" s="23">
        <f t="shared" si="6042"/>
        <v>19.103472278191248</v>
      </c>
      <c r="BQ942" s="32">
        <f>BQ937+BQ938+BQ939+BQ940+BQ941</f>
        <v>498.48500000000001</v>
      </c>
      <c r="BS942" s="32">
        <f>BS937+BS938+BS939+BS940+BS941</f>
        <v>555.36000000000013</v>
      </c>
      <c r="BU942" s="32">
        <f>BU937+BU938+BU939+BU940+BU941</f>
        <v>634.31636353179761</v>
      </c>
      <c r="BW942" s="32">
        <f>BW937+BW938+BW939+BW940+BW941</f>
        <v>710.20369870224738</v>
      </c>
      <c r="BY942" s="32">
        <f>BY937+BY938+BY939+BY940+BY941</f>
        <v>771.38910406715536</v>
      </c>
      <c r="BZ942" s="207">
        <f t="shared" si="6043"/>
        <v>8.6151910327574743</v>
      </c>
      <c r="CA942" s="32">
        <f>CA937+CA938+CA939+CA940+CA941</f>
        <v>879.90500000000009</v>
      </c>
      <c r="CB942" s="207">
        <f t="shared" si="6043"/>
        <v>14.067595116484499</v>
      </c>
      <c r="CC942" s="32">
        <f>CC937+CC938+CC939+CC940+CC941</f>
        <v>857.11959999999988</v>
      </c>
      <c r="CD942" s="207">
        <f t="shared" si="6043"/>
        <v>-2.589529551485692</v>
      </c>
      <c r="CE942" s="32">
        <f>CE937+CE938+CE939+CE940+CE941</f>
        <v>670.59599999999989</v>
      </c>
      <c r="CF942" s="207">
        <f t="shared" si="6043"/>
        <v>-21.761677133506218</v>
      </c>
      <c r="CG942" s="32">
        <f>CG937+CG938+CG939+CG940+CG941</f>
        <v>746.57200000000034</v>
      </c>
      <c r="CH942" s="207">
        <f t="shared" si="6043"/>
        <v>11.329623200854243</v>
      </c>
      <c r="CI942" s="32">
        <f>CI937+CI938+CI939+CI940+CI941</f>
        <v>939.62237490818882</v>
      </c>
      <c r="CJ942" s="207">
        <f t="shared" si="6043"/>
        <v>25.858239380553826</v>
      </c>
      <c r="CK942" s="32">
        <f>CK937+CK938+CK939+CK940+CK941</f>
        <v>978.96023848988239</v>
      </c>
      <c r="CL942" s="207">
        <f t="shared" si="6043"/>
        <v>4.1865609666369652</v>
      </c>
      <c r="CM942" s="32">
        <f>CM937+CM938+CM939+CM940+CM941</f>
        <v>1016.451674983936</v>
      </c>
      <c r="CN942" s="207">
        <f t="shared" si="6043"/>
        <v>3.8297200458199177</v>
      </c>
      <c r="CO942" s="32">
        <f>CO937+CO938+CO939+CO940+CO941</f>
        <v>1053.0783419336308</v>
      </c>
      <c r="CP942" s="207">
        <f t="shared" si="6043"/>
        <v>3.603384976494195</v>
      </c>
      <c r="CQ942" s="32">
        <f>CQ937+CQ938+CQ939+CQ940+CQ941</f>
        <v>1089.3502862767718</v>
      </c>
      <c r="CR942" s="207">
        <f t="shared" si="6043"/>
        <v>3.4443728352194114</v>
      </c>
    </row>
    <row r="943" spans="1:96" ht="12.75" hidden="1" customHeight="1" outlineLevel="1" x14ac:dyDescent="0.2">
      <c r="A943" s="4" t="s">
        <v>186</v>
      </c>
      <c r="B943" s="32">
        <f>B670*(1-B$674/100)</f>
        <v>-28.799056873296614</v>
      </c>
      <c r="D943" s="32">
        <f>D670*(1-D$674/100)</f>
        <v>-44.933465715646989</v>
      </c>
      <c r="F943" s="32">
        <f>F670*(1-F$674/100)</f>
        <v>-13.51696151633784</v>
      </c>
      <c r="H943" s="32">
        <f>H670*(1-H$674/100)</f>
        <v>-17.608025870938331</v>
      </c>
      <c r="J943" s="32">
        <f>J670*(1-J$674/100)</f>
        <v>-31.467241221234051</v>
      </c>
      <c r="L943" s="32">
        <f>L670*(1-L$674/100)</f>
        <v>-21.261902201226256</v>
      </c>
      <c r="N943" s="32">
        <f>N670*(1-N$674/100)</f>
        <v>-37.423467450321446</v>
      </c>
      <c r="P943" s="32">
        <f>P670*(1-P$674/100)</f>
        <v>-28.329895167746002</v>
      </c>
      <c r="R943" s="32">
        <f>R670*(1-R$674/100)</f>
        <v>-32.547427903351519</v>
      </c>
      <c r="T943" s="32">
        <f>T670*(1-T$674/100)</f>
        <v>-34.319999999999993</v>
      </c>
      <c r="U943" s="23">
        <f t="shared" si="6022"/>
        <v>61.415472967515704</v>
      </c>
      <c r="V943" s="32">
        <f>V670*(1-V$674/100)</f>
        <v>-41.40499999999998</v>
      </c>
      <c r="W943" s="23">
        <f t="shared" si="6022"/>
        <v>10.639133198878215</v>
      </c>
      <c r="X943" s="32">
        <f>X670*(1-X$674/100)</f>
        <v>-30.679999999999993</v>
      </c>
      <c r="Y943" s="23">
        <f t="shared" si="6022"/>
        <v>8.2954942767653463</v>
      </c>
      <c r="Z943" s="32">
        <f>Z670*(1-Z$674/100)</f>
        <v>-23.074999999999999</v>
      </c>
      <c r="AA943" s="23">
        <f t="shared" si="6023"/>
        <v>-29.103460744976751</v>
      </c>
      <c r="AB943" s="32">
        <f>AB670*(1-AB$674/100)</f>
        <v>-28.599999999999994</v>
      </c>
      <c r="AC943" s="23">
        <f t="shared" si="6024"/>
        <v>-16.666666666666664</v>
      </c>
      <c r="AD943" s="32">
        <f>AD670*(1-AD$674/100)</f>
        <v>-31.25200000000001</v>
      </c>
      <c r="AE943" s="23">
        <f t="shared" si="6025"/>
        <v>-24.521193092621608</v>
      </c>
      <c r="AF943" s="32">
        <f>AF670*(1-AF$674/100)</f>
        <v>-31.979999999999997</v>
      </c>
      <c r="AG943" s="23">
        <f t="shared" si="6026"/>
        <v>4.2372881355932313</v>
      </c>
      <c r="AH943" s="32">
        <f>AH670*(1-AH$674/100)</f>
        <v>-32.830400000000004</v>
      </c>
      <c r="AI943" s="23">
        <f t="shared" si="6027"/>
        <v>42.276923076923097</v>
      </c>
      <c r="AJ943" s="32">
        <f>AJ670*(1-AJ$674/100)</f>
        <v>-35.292000000000009</v>
      </c>
      <c r="AK943" s="23">
        <f t="shared" si="6028"/>
        <v>23.39860139860146</v>
      </c>
      <c r="AL943" s="32">
        <f>AL670*(1-AL$674/100)</f>
        <v>-51.271999999999913</v>
      </c>
      <c r="AM943" s="23">
        <f t="shared" si="6029"/>
        <v>64.059900166389028</v>
      </c>
      <c r="AN943" s="484">
        <f>AN670*(1-AN$674/100)</f>
        <v>-54.399999999999991</v>
      </c>
      <c r="AO943" s="23">
        <f t="shared" si="6030"/>
        <v>70.106316447779847</v>
      </c>
      <c r="AP943" s="484">
        <f>AP670*(1-AP$674/100)</f>
        <v>-69.699999999999932</v>
      </c>
      <c r="AQ943" s="23" t="str">
        <f t="shared" si="6031"/>
        <v>NM</v>
      </c>
      <c r="AR943" s="484">
        <f>AR670*(1-AR$674/100)</f>
        <v>-73.57600000000005</v>
      </c>
      <c r="AS943" s="23" t="str">
        <f t="shared" si="6032"/>
        <v>NM</v>
      </c>
      <c r="AT943" s="484">
        <f>AT670*(1-AT$674/100)</f>
        <v>-73.167999999999992</v>
      </c>
      <c r="AU943" s="23">
        <f t="shared" si="6033"/>
        <v>42.70557029177742</v>
      </c>
      <c r="AV943" s="484">
        <f>AV670*(1-AV$674/100)</f>
        <v>-89.691999999999936</v>
      </c>
      <c r="AW943" s="23">
        <f t="shared" si="6034"/>
        <v>64.874999999999901</v>
      </c>
      <c r="AX943" s="484">
        <f>AX670*(1-AX$674/100)</f>
        <v>-64.66799999999995</v>
      </c>
      <c r="AY943" s="23">
        <f t="shared" si="6035"/>
        <v>-7.2195121951219354</v>
      </c>
      <c r="AZ943" s="484">
        <f>AZ670*(1-AZ$674/100)</f>
        <v>-68.340000000000032</v>
      </c>
      <c r="BA943" s="23">
        <f t="shared" si="6036"/>
        <v>-7.1164510166358834</v>
      </c>
      <c r="BB943" s="484">
        <f>BB670*(1-BB$674/100)</f>
        <v>-74.8</v>
      </c>
      <c r="BC943" s="23">
        <f t="shared" si="6037"/>
        <v>2.2304832713754719</v>
      </c>
      <c r="BD943" s="484">
        <f>BD670*(1-BD$674/100)</f>
        <v>-60.315999999999988</v>
      </c>
      <c r="BE943" s="23">
        <f t="shared" si="6038"/>
        <v>-32.752084912812705</v>
      </c>
      <c r="BF943" s="32">
        <f>BF670*(1-BF$674/100)</f>
        <v>-63.977500000000006</v>
      </c>
      <c r="BG943" s="23">
        <f t="shared" si="6039"/>
        <v>-1.0677614894537335</v>
      </c>
      <c r="BH943" s="32">
        <f>BH670*(1-BH$674/100)</f>
        <v>-66.422500000000014</v>
      </c>
      <c r="BI943" s="23">
        <f t="shared" si="6040"/>
        <v>-2.8058238220661669</v>
      </c>
      <c r="BJ943" s="32">
        <f>BJ670*(1-BJ$674/100)</f>
        <v>-57.337287499999988</v>
      </c>
      <c r="BK943" s="23">
        <f t="shared" si="6041"/>
        <v>-23.345872326203221</v>
      </c>
      <c r="BL943" s="32">
        <f>BL670*(1-BL$674/100)</f>
        <v>-53.262287499999992</v>
      </c>
      <c r="BM943" s="23">
        <f t="shared" si="6042"/>
        <v>-11.694595961270638</v>
      </c>
      <c r="BQ943" s="32">
        <f>BQ670*(1-BQ$674/100)</f>
        <v>-305.82499999999999</v>
      </c>
      <c r="BS943" s="32">
        <f>BS670*(1-BS$674/100)</f>
        <v>-259.41500000000002</v>
      </c>
      <c r="BU943" s="32">
        <f>BU670*(1-BU$674/100)</f>
        <v>-104.84369766103596</v>
      </c>
      <c r="BW943" s="32">
        <f>BW670*(1-BW$674/100)</f>
        <v>-118.48546527338904</v>
      </c>
      <c r="BY943" s="32">
        <f>BY670*(1-BY$674/100)</f>
        <v>-138.95483329392286</v>
      </c>
      <c r="BZ943" s="207">
        <f t="shared" si="6043"/>
        <v>17.27584727232454</v>
      </c>
      <c r="CA943" s="32">
        <f>CA670*(1-CA$674/100)</f>
        <v>-114.90700000000001</v>
      </c>
      <c r="CB943" s="207">
        <f t="shared" si="6043"/>
        <v>-17.306222981863396</v>
      </c>
      <c r="CC943" s="32">
        <f>CC670*(1-CC$674/100)</f>
        <v>-173.79440000000002</v>
      </c>
      <c r="CD943" s="207">
        <f t="shared" si="6043"/>
        <v>51.247878719312155</v>
      </c>
      <c r="CE943" s="32">
        <f>CE670*(1-CE$674/100)</f>
        <v>-306.13600000000002</v>
      </c>
      <c r="CF943" s="207">
        <f t="shared" si="6043"/>
        <v>76.148368416934019</v>
      </c>
      <c r="CG943" s="32">
        <f>CG670*(1-CG$674/100)</f>
        <v>-268.12400000000002</v>
      </c>
      <c r="CH943" s="207">
        <f t="shared" si="6043"/>
        <v>-12.416703687250108</v>
      </c>
      <c r="CI943" s="32">
        <f>CI670*(1-CI$674/100)</f>
        <v>-240.99957500000002</v>
      </c>
      <c r="CJ943" s="207">
        <f t="shared" si="6043"/>
        <v>-10.116373394399602</v>
      </c>
      <c r="CK943" s="32">
        <f>CK670*(1-CK$674/100)</f>
        <v>-189.41415000000001</v>
      </c>
      <c r="CL943" s="207">
        <f t="shared" si="6043"/>
        <v>-21.404778410916293</v>
      </c>
      <c r="CM943" s="32">
        <f>CM670*(1-CM$674/100)</f>
        <v>-189.67494999999997</v>
      </c>
      <c r="CN943" s="207">
        <f t="shared" si="6043"/>
        <v>0.13768770706938938</v>
      </c>
      <c r="CO943" s="32">
        <f>CO670*(1-CO$674/100)</f>
        <v>-189.93835799999997</v>
      </c>
      <c r="CP943" s="207">
        <f t="shared" si="6043"/>
        <v>0.13887337257767474</v>
      </c>
      <c r="CQ943" s="32">
        <f>CQ670*(1-CQ$674/100)</f>
        <v>-190.20440007999994</v>
      </c>
      <c r="CR943" s="207">
        <f t="shared" si="6043"/>
        <v>0.14006758971769617</v>
      </c>
    </row>
    <row r="944" spans="1:96" ht="12.75" hidden="1" customHeight="1" outlineLevel="1" x14ac:dyDescent="0.2">
      <c r="A944" s="4" t="s">
        <v>221</v>
      </c>
      <c r="B944" s="32">
        <f>B671*(1-B$674/100)</f>
        <v>10.141428605494971</v>
      </c>
      <c r="D944" s="32">
        <f>D671*(1-D$674/100)</f>
        <v>12.225023957368503</v>
      </c>
      <c r="F944" s="32">
        <f>F671*(1-F$674/100)</f>
        <v>13.581946908243308</v>
      </c>
      <c r="H944" s="32">
        <f>H671*(1-H$674/100)</f>
        <v>9.7461397809621779</v>
      </c>
      <c r="J944" s="32">
        <f>J671*(1-J$674/100)</f>
        <v>15.798635571817917</v>
      </c>
      <c r="L944" s="32">
        <f>L671*(1-L$674/100)</f>
        <v>25.878400844305965</v>
      </c>
      <c r="N944" s="32">
        <f>N671*(1-N$674/100)</f>
        <v>14.163742889184162</v>
      </c>
      <c r="P944" s="32">
        <f>P671*(1-P$674/100)</f>
        <v>15.46448405945768</v>
      </c>
      <c r="R944" s="32">
        <f>R671*(1-R$674/100)</f>
        <v>13.902494154325797</v>
      </c>
      <c r="T944" s="32">
        <f>T671*(1-T$674/100)</f>
        <v>11.699999999999994</v>
      </c>
      <c r="U944" s="23" t="str">
        <f t="shared" si="6022"/>
        <v>NM</v>
      </c>
      <c r="V944" s="32">
        <f>V671*(1-V$674/100)</f>
        <v>9.4249999999999901</v>
      </c>
      <c r="W944" s="23">
        <f t="shared" si="6022"/>
        <v>-33.456854775320799</v>
      </c>
      <c r="X944" s="32">
        <f>X671*(1-X$674/100)</f>
        <v>-2.1450000000000022</v>
      </c>
      <c r="Y944" s="23" t="str">
        <f t="shared" si="6022"/>
        <v>NM</v>
      </c>
      <c r="Z944" s="32">
        <f>Z671*(1-Z$674/100)</f>
        <v>0.58499999999999908</v>
      </c>
      <c r="AA944" s="23" t="str">
        <f t="shared" si="6023"/>
        <v>NM</v>
      </c>
      <c r="AB944" s="32">
        <f>AB671*(1-AB$674/100)</f>
        <v>6.8249999999999975</v>
      </c>
      <c r="AC944" s="23">
        <f t="shared" si="6024"/>
        <v>-41.666666666666664</v>
      </c>
      <c r="AD944" s="32">
        <f>AD671*(1-AD$674/100)</f>
        <v>6.4154999999999998</v>
      </c>
      <c r="AE944" s="23">
        <f t="shared" si="6025"/>
        <v>-31.931034482758548</v>
      </c>
      <c r="AF944" s="32">
        <f>AF671*(1-AF$674/100)</f>
        <v>2.08</v>
      </c>
      <c r="AG944" s="23" t="str">
        <f t="shared" si="6026"/>
        <v>NM</v>
      </c>
      <c r="AH944" s="32">
        <f>AH671*(1-AH$674/100)</f>
        <v>9.5743999999999989</v>
      </c>
      <c r="AI944" s="23" t="str">
        <f t="shared" si="6027"/>
        <v>NM</v>
      </c>
      <c r="AJ944" s="32">
        <f>AJ671*(1-AJ$674/100)</f>
        <v>2.7200000000000011</v>
      </c>
      <c r="AK944" s="23" t="str">
        <f t="shared" si="6028"/>
        <v>NM</v>
      </c>
      <c r="AL944" s="32">
        <f>AL671*(1-AL$674/100)</f>
        <v>1.7679999999999967</v>
      </c>
      <c r="AM944" s="23" t="str">
        <f t="shared" si="6029"/>
        <v>NM</v>
      </c>
      <c r="AN944" s="484">
        <f>AN671*(1-AN$674/100)</f>
        <v>1.3599999999999999</v>
      </c>
      <c r="AO944" s="23">
        <f t="shared" si="6030"/>
        <v>-34.615384615384627</v>
      </c>
      <c r="AP944" s="484">
        <f>AP671*(1-AP$674/100)</f>
        <v>2.5839999999999965</v>
      </c>
      <c r="AQ944" s="23" t="str">
        <f t="shared" si="6031"/>
        <v>NM</v>
      </c>
      <c r="AR944" s="484">
        <f>AR671*(1-AR$674/100)</f>
        <v>1.2920000000000011</v>
      </c>
      <c r="AS944" s="23" t="str">
        <f t="shared" si="6032"/>
        <v>NM</v>
      </c>
      <c r="AT944" s="484">
        <f>AT671*(1-AT$674/100)</f>
        <v>-4.6920000000000002</v>
      </c>
      <c r="AU944" s="23" t="str">
        <f t="shared" si="6033"/>
        <v>NM</v>
      </c>
      <c r="AV944" s="484">
        <f>AV671*(1-AV$674/100)</f>
        <v>0</v>
      </c>
      <c r="AW944" s="23" t="str">
        <f t="shared" si="6034"/>
        <v>NM</v>
      </c>
      <c r="AX944" s="484">
        <f>AX671*(1-AX$674/100)</f>
        <v>0</v>
      </c>
      <c r="AY944" s="23" t="str">
        <f t="shared" si="6035"/>
        <v>NM</v>
      </c>
      <c r="AZ944" s="484">
        <f>AZ671*(1-AZ$674/100)</f>
        <v>0</v>
      </c>
      <c r="BA944" s="23" t="str">
        <f t="shared" si="6036"/>
        <v>NM</v>
      </c>
      <c r="BB944" s="484">
        <f>BB671*(1-BB$674/100)</f>
        <v>0</v>
      </c>
      <c r="BC944" s="23" t="str">
        <f t="shared" si="6037"/>
        <v>NM</v>
      </c>
      <c r="BD944" s="484">
        <f>BD671*(1-BD$674/100)</f>
        <v>0</v>
      </c>
      <c r="BE944" s="23" t="str">
        <f t="shared" si="6038"/>
        <v>NA</v>
      </c>
      <c r="BF944" s="32">
        <f>BF671*(1-BF$674/100)</f>
        <v>0</v>
      </c>
      <c r="BG944" s="23" t="str">
        <f t="shared" si="6039"/>
        <v>NA</v>
      </c>
      <c r="BH944" s="32">
        <f>BH671*(1-BH$674/100)</f>
        <v>0</v>
      </c>
      <c r="BI944" s="23" t="str">
        <f t="shared" si="6040"/>
        <v>NA</v>
      </c>
      <c r="BJ944" s="32">
        <f>BJ671*(1-BJ$674/100)</f>
        <v>0</v>
      </c>
      <c r="BK944" s="23" t="str">
        <f t="shared" si="6041"/>
        <v>NA</v>
      </c>
      <c r="BL944" s="32">
        <f>BL671*(1-BL$674/100)</f>
        <v>0</v>
      </c>
      <c r="BM944" s="23" t="str">
        <f t="shared" si="6042"/>
        <v>NA</v>
      </c>
      <c r="BQ944" s="32">
        <f>BQ671*(1-BQ$674/100)</f>
        <v>5.6549999999999994</v>
      </c>
      <c r="BS944" s="32">
        <f>BS671*(1-BS$674/100)</f>
        <v>-6.8250000000000002</v>
      </c>
      <c r="BU944" s="32">
        <f>BU671*(1-BU$674/100)</f>
        <v>45.69443239659536</v>
      </c>
      <c r="BW944" s="32">
        <f>BW671*(1-BW$674/100)</f>
        <v>71.29926242726701</v>
      </c>
      <c r="BY944" s="32">
        <f>BY671*(1-BY$674/100)</f>
        <v>32.886410498935916</v>
      </c>
      <c r="BZ944" s="207" t="str">
        <f t="shared" si="6043"/>
        <v>NM</v>
      </c>
      <c r="CA944" s="32">
        <f>CA671*(1-CA$674/100)</f>
        <v>15.905500000000011</v>
      </c>
      <c r="CB944" s="207" t="str">
        <f t="shared" si="6043"/>
        <v>NM</v>
      </c>
      <c r="CC944" s="32">
        <f>CC671*(1-CC$674/100)</f>
        <v>15.422399999999994</v>
      </c>
      <c r="CD944" s="207">
        <f t="shared" si="6043"/>
        <v>-3.0373141366195067</v>
      </c>
      <c r="CE944" s="32">
        <f>CE671*(1-CE$674/100)</f>
        <v>-0.81599999999999706</v>
      </c>
      <c r="CF944" s="207" t="str">
        <f t="shared" si="6043"/>
        <v>NM</v>
      </c>
      <c r="CG944" s="32">
        <f>CG671*(1-CG$674/100)</f>
        <v>0</v>
      </c>
      <c r="CH944" s="207" t="str">
        <f t="shared" si="6043"/>
        <v>NM</v>
      </c>
      <c r="CI944" s="32">
        <f>CI671*(1-CI$674/100)</f>
        <v>0</v>
      </c>
      <c r="CJ944" s="207" t="str">
        <f t="shared" si="6043"/>
        <v>NA</v>
      </c>
      <c r="CK944" s="32">
        <f>CK671*(1-CK$674/100)</f>
        <v>0</v>
      </c>
      <c r="CL944" s="207" t="str">
        <f t="shared" si="6043"/>
        <v>NA</v>
      </c>
      <c r="CM944" s="32">
        <f>CM671*(1-CM$674/100)</f>
        <v>0</v>
      </c>
      <c r="CN944" s="207" t="str">
        <f t="shared" si="6043"/>
        <v>NA</v>
      </c>
      <c r="CO944" s="32">
        <f>CO671*(1-CO$674/100)</f>
        <v>0</v>
      </c>
      <c r="CP944" s="207" t="str">
        <f t="shared" si="6043"/>
        <v>NA</v>
      </c>
      <c r="CQ944" s="32">
        <f>CQ671*(1-CQ$674/100)</f>
        <v>0</v>
      </c>
      <c r="CR944" s="207" t="str">
        <f t="shared" si="6043"/>
        <v>NA</v>
      </c>
    </row>
    <row r="945" spans="1:105" ht="12.75" hidden="1" customHeight="1" outlineLevel="1" x14ac:dyDescent="0.2">
      <c r="A945" s="3" t="s">
        <v>296</v>
      </c>
      <c r="B945" s="32">
        <f>B942+B943+B944</f>
        <v>144.66289931824585</v>
      </c>
      <c r="D945" s="32">
        <f>D942+D943+D944</f>
        <v>173.46715093437788</v>
      </c>
      <c r="F945" s="32">
        <f>F942+F943+F944</f>
        <v>163.83024668404499</v>
      </c>
      <c r="H945" s="32">
        <f>H942+H943+H944</f>
        <v>93.231857381104803</v>
      </c>
      <c r="J945" s="32">
        <f>J942+J943+J944</f>
        <v>141.36853163522991</v>
      </c>
      <c r="L945" s="32">
        <f>L942+L943+L944</f>
        <v>186.03644257211783</v>
      </c>
      <c r="N945" s="32">
        <f>N942+N943+N944</f>
        <v>168.43094233253268</v>
      </c>
      <c r="P945" s="32">
        <f>P942+P943+P944</f>
        <v>167.19381457106033</v>
      </c>
      <c r="R945" s="32">
        <f>R942+R943+R944</f>
        <v>153.51212003117698</v>
      </c>
      <c r="T945" s="32">
        <f>T942+T943+T944</f>
        <v>166.90829999999994</v>
      </c>
      <c r="U945" s="23">
        <f t="shared" si="6022"/>
        <v>-10.28193310281279</v>
      </c>
      <c r="V945" s="32">
        <f>V942+V943+V944</f>
        <v>167.37499999999989</v>
      </c>
      <c r="W945" s="23">
        <f t="shared" si="6022"/>
        <v>-0.62692894661127152</v>
      </c>
      <c r="X945" s="32">
        <f>X942+X943+X944</f>
        <v>177.5149999999999</v>
      </c>
      <c r="Y945" s="23">
        <f t="shared" si="6022"/>
        <v>6.1731861644635622</v>
      </c>
      <c r="Z945" s="32">
        <f>Z942+Z943+Z944</f>
        <v>164.25500000000017</v>
      </c>
      <c r="AA945" s="23">
        <f t="shared" si="6023"/>
        <v>6.9980663198719428</v>
      </c>
      <c r="AB945" s="32">
        <f>AB942+AB943+AB944</f>
        <v>202.92999999999998</v>
      </c>
      <c r="AC945" s="23">
        <f t="shared" si="6024"/>
        <v>21.581730806676514</v>
      </c>
      <c r="AD945" s="32">
        <f>AD942+AD943+AD944</f>
        <v>186.60850000000002</v>
      </c>
      <c r="AE945" s="23">
        <f t="shared" si="6025"/>
        <v>11.491262135922419</v>
      </c>
      <c r="AF945" s="32">
        <f>AF942+AF943+AF944</f>
        <v>227.1099999999999</v>
      </c>
      <c r="AG945" s="23">
        <f t="shared" si="6026"/>
        <v>27.938484071768599</v>
      </c>
      <c r="AH945" s="32">
        <f>AH942+AH943+AH944</f>
        <v>193.64360000000002</v>
      </c>
      <c r="AI945" s="23">
        <f t="shared" si="6027"/>
        <v>17.892058080423624</v>
      </c>
      <c r="AJ945" s="32">
        <f>AJ942+AJ943+AJ944</f>
        <v>184.21200000000007</v>
      </c>
      <c r="AK945" s="23">
        <f t="shared" si="6028"/>
        <v>-9.2238703001034423</v>
      </c>
      <c r="AL945" s="32">
        <f>AL942+AL943+AL944</f>
        <v>156.67199999999966</v>
      </c>
      <c r="AM945" s="23">
        <f t="shared" si="6029"/>
        <v>-16.042409643719534</v>
      </c>
      <c r="AN945" s="484">
        <f>AN942+AN943+AN944</f>
        <v>164.22000000000003</v>
      </c>
      <c r="AO945" s="23">
        <f t="shared" si="6030"/>
        <v>-27.691427061776185</v>
      </c>
      <c r="AP945" s="484">
        <f>AP942+AP943+AP944</f>
        <v>66.639999999999816</v>
      </c>
      <c r="AQ945" s="23" t="str">
        <f t="shared" si="6031"/>
        <v>NM</v>
      </c>
      <c r="AR945" s="484">
        <f t="shared" ref="AR945:AT945" si="6052">AR942+AR943+AR944</f>
        <v>105.58400000000006</v>
      </c>
      <c r="AS945" s="23">
        <f t="shared" si="6032"/>
        <v>-42.683429961131722</v>
      </c>
      <c r="AT945" s="484">
        <f t="shared" si="6052"/>
        <v>90.235999999999962</v>
      </c>
      <c r="AU945" s="23">
        <f t="shared" si="6033"/>
        <v>-42.404513888888786</v>
      </c>
      <c r="AV945" s="484">
        <f t="shared" ref="AV945:AX945" si="6053">AV942+AV943+AV944</f>
        <v>101.1839999999999</v>
      </c>
      <c r="AW945" s="23">
        <f t="shared" si="6034"/>
        <v>-38.385093167701932</v>
      </c>
      <c r="AX945" s="484">
        <f t="shared" si="6053"/>
        <v>90.371999999999844</v>
      </c>
      <c r="AY945" s="23">
        <f t="shared" si="6035"/>
        <v>35.612244897959336</v>
      </c>
      <c r="AZ945" s="484">
        <f t="shared" ref="AZ945" si="6054">AZ942+AZ943+AZ944</f>
        <v>123.75999999999993</v>
      </c>
      <c r="BA945" s="23">
        <f t="shared" si="6036"/>
        <v>17.214729504470249</v>
      </c>
      <c r="BB945" s="484">
        <f t="shared" ref="BB945:BD945" si="6055">BB942+BB943+BB944</f>
        <v>118.456</v>
      </c>
      <c r="BC945" s="23">
        <f t="shared" si="6037"/>
        <v>31.273549359457476</v>
      </c>
      <c r="BD945" s="484">
        <f t="shared" si="6055"/>
        <v>145.85999999999996</v>
      </c>
      <c r="BE945" s="23">
        <f t="shared" si="6038"/>
        <v>44.153225806451715</v>
      </c>
      <c r="BF945" s="32">
        <f t="shared" ref="BF945" si="6056">BF942+BF943+BF944</f>
        <v>148.66898183243575</v>
      </c>
      <c r="BG945" s="23">
        <f t="shared" si="6039"/>
        <v>64.507792051117605</v>
      </c>
      <c r="BH945" s="32">
        <f t="shared" ref="BH945" si="6057">BH942+BH943+BH944</f>
        <v>173.51376302319201</v>
      </c>
      <c r="BI945" s="23">
        <f t="shared" si="6040"/>
        <v>40.20181239753726</v>
      </c>
      <c r="BJ945" s="32">
        <f t="shared" ref="BJ945" si="6058">BJ942+BJ943+BJ944</f>
        <v>184.13956754827774</v>
      </c>
      <c r="BK945" s="23">
        <f t="shared" si="6041"/>
        <v>55.449759867189272</v>
      </c>
      <c r="BL945" s="32">
        <f t="shared" ref="BL945" si="6059">BL942+BL943+BL944</f>
        <v>192.3004875042835</v>
      </c>
      <c r="BM945" s="23">
        <f t="shared" si="6042"/>
        <v>31.839083713343985</v>
      </c>
      <c r="BQ945" s="32">
        <f>BQ942+BQ943+BQ944</f>
        <v>198.31500000000003</v>
      </c>
      <c r="BS945" s="32">
        <f>BS942+BS943+BS944</f>
        <v>289.12000000000012</v>
      </c>
      <c r="BU945" s="32">
        <f>BU942+BU943+BU944</f>
        <v>575.16709826735701</v>
      </c>
      <c r="BW945" s="32">
        <f>BW942+BW943+BW944</f>
        <v>663.01749585612527</v>
      </c>
      <c r="BY945" s="32">
        <f>BY942+BY943+BY944</f>
        <v>665.32068127216837</v>
      </c>
      <c r="BZ945" s="207">
        <f t="shared" si="6043"/>
        <v>0.34737928191006517</v>
      </c>
      <c r="CA945" s="32">
        <f>CA942+CA943+CA944</f>
        <v>780.90350000000001</v>
      </c>
      <c r="CB945" s="207">
        <f t="shared" si="6043"/>
        <v>17.372497501028249</v>
      </c>
      <c r="CC945" s="32">
        <f>CC942+CC943+CC944</f>
        <v>698.74759999999992</v>
      </c>
      <c r="CD945" s="207">
        <f t="shared" si="6043"/>
        <v>-10.52062130596163</v>
      </c>
      <c r="CE945" s="32">
        <f>CE942+CE943+CE944</f>
        <v>363.64399999999989</v>
      </c>
      <c r="CF945" s="207">
        <f t="shared" si="6043"/>
        <v>-47.957746116051069</v>
      </c>
      <c r="CG945" s="32">
        <f>CG942+CG943+CG944</f>
        <v>478.44800000000032</v>
      </c>
      <c r="CH945" s="207">
        <f t="shared" si="6043"/>
        <v>31.570437020822695</v>
      </c>
      <c r="CI945" s="32">
        <f>CI942+CI943+CI944</f>
        <v>698.62279990818877</v>
      </c>
      <c r="CJ945" s="207">
        <f t="shared" si="6043"/>
        <v>46.018543270781429</v>
      </c>
      <c r="CK945" s="32">
        <f>CK942+CK943+CK944</f>
        <v>789.54608848988232</v>
      </c>
      <c r="CL945" s="207">
        <f t="shared" si="6043"/>
        <v>13.014646615261128</v>
      </c>
      <c r="CM945" s="32">
        <f>CM942+CM943+CM944</f>
        <v>826.77672498393599</v>
      </c>
      <c r="CN945" s="207">
        <f t="shared" si="6043"/>
        <v>4.7154481589874564</v>
      </c>
      <c r="CO945" s="32">
        <f>CO942+CO943+CO944</f>
        <v>863.13998393363079</v>
      </c>
      <c r="CP945" s="207">
        <f t="shared" si="6043"/>
        <v>4.3981957704967156</v>
      </c>
      <c r="CQ945" s="32">
        <f>CQ942+CQ943+CQ944</f>
        <v>899.14588619677193</v>
      </c>
      <c r="CR945" s="207">
        <f t="shared" si="6043"/>
        <v>4.1715020661016844</v>
      </c>
    </row>
    <row r="946" spans="1:105" s="71" customFormat="1" ht="12.75" hidden="1" customHeight="1" outlineLevel="1" x14ac:dyDescent="0.2">
      <c r="A946" s="68" t="s">
        <v>249</v>
      </c>
      <c r="B946" s="97">
        <f>B945-B675</f>
        <v>0</v>
      </c>
      <c r="C946" s="69"/>
      <c r="D946" s="97">
        <f>D945-D675</f>
        <v>0</v>
      </c>
      <c r="E946" s="69"/>
      <c r="F946" s="97">
        <f>F945-F675</f>
        <v>0</v>
      </c>
      <c r="G946" s="69"/>
      <c r="H946" s="97">
        <f>H945-H675</f>
        <v>0</v>
      </c>
      <c r="I946" s="69"/>
      <c r="J946" s="97">
        <f>J945-J675</f>
        <v>0</v>
      </c>
      <c r="K946" s="70"/>
      <c r="L946" s="97">
        <f>L945-L675</f>
        <v>0</v>
      </c>
      <c r="M946" s="70"/>
      <c r="N946" s="97">
        <f>N945-N675</f>
        <v>0</v>
      </c>
      <c r="O946" s="70"/>
      <c r="P946" s="97">
        <f>P945-P675</f>
        <v>0</v>
      </c>
      <c r="Q946" s="70"/>
      <c r="R946" s="97">
        <f>R945-R675</f>
        <v>0</v>
      </c>
      <c r="S946" s="70"/>
      <c r="T946" s="97">
        <f>T945-T675</f>
        <v>0</v>
      </c>
      <c r="U946" s="70"/>
      <c r="V946" s="97">
        <f>V945-V675</f>
        <v>0</v>
      </c>
      <c r="W946" s="70"/>
      <c r="X946" s="97">
        <f>X945-X675</f>
        <v>0</v>
      </c>
      <c r="Y946" s="70"/>
      <c r="Z946" s="97">
        <f>Z945-Z675</f>
        <v>0</v>
      </c>
      <c r="AA946" s="70"/>
      <c r="AB946" s="97">
        <f>AB945-AB675</f>
        <v>0</v>
      </c>
      <c r="AC946" s="70"/>
      <c r="AD946" s="97">
        <f>AD945-AD675</f>
        <v>0</v>
      </c>
      <c r="AE946" s="70"/>
      <c r="AF946" s="97">
        <f>AF945-AF675</f>
        <v>0</v>
      </c>
      <c r="AG946" s="70"/>
      <c r="AH946" s="97">
        <f>AH945-AH675</f>
        <v>0</v>
      </c>
      <c r="AI946" s="70"/>
      <c r="AJ946" s="97">
        <f>AJ945-AJ675</f>
        <v>0</v>
      </c>
      <c r="AK946" s="70"/>
      <c r="AL946" s="97">
        <f>AL945-AL675</f>
        <v>0</v>
      </c>
      <c r="AM946" s="70"/>
      <c r="AN946" s="97">
        <f>AN945-AN675</f>
        <v>0</v>
      </c>
      <c r="AO946" s="70"/>
      <c r="AP946" s="97">
        <f>AP945-AP675</f>
        <v>0</v>
      </c>
      <c r="AQ946" s="70"/>
      <c r="AR946" s="97">
        <f>AR945-AR675</f>
        <v>0</v>
      </c>
      <c r="AS946" s="70"/>
      <c r="AT946" s="97">
        <f>AT945-AT675</f>
        <v>0</v>
      </c>
      <c r="AU946" s="70"/>
      <c r="AV946" s="97">
        <f>AV945-AV675</f>
        <v>0</v>
      </c>
      <c r="AW946" s="70"/>
      <c r="AX946" s="97">
        <f>AX945-AX675</f>
        <v>0</v>
      </c>
      <c r="AY946" s="70"/>
      <c r="AZ946" s="97">
        <f>AZ945-AZ675</f>
        <v>0</v>
      </c>
      <c r="BA946" s="70"/>
      <c r="BB946" s="97">
        <f>BB945-BB675</f>
        <v>0</v>
      </c>
      <c r="BC946" s="70"/>
      <c r="BD946" s="97">
        <f>BD945-BD675</f>
        <v>0</v>
      </c>
      <c r="BE946" s="70"/>
      <c r="BF946" s="97">
        <f>BF945-BF675</f>
        <v>0</v>
      </c>
      <c r="BG946" s="70"/>
      <c r="BH946" s="97">
        <f>BH945-BH675</f>
        <v>0</v>
      </c>
      <c r="BI946" s="70"/>
      <c r="BJ946" s="97">
        <f>BJ945-BJ675</f>
        <v>0</v>
      </c>
      <c r="BK946" s="70"/>
      <c r="BL946" s="97">
        <f>BL945-BL675</f>
        <v>0</v>
      </c>
      <c r="BM946" s="70"/>
      <c r="BN946" s="70"/>
      <c r="BO946" s="150"/>
      <c r="BP946" s="70"/>
      <c r="BQ946" s="97">
        <f>BQ945-BQ675</f>
        <v>0</v>
      </c>
      <c r="BR946" s="70"/>
      <c r="BS946" s="97">
        <f>BS945-BS675</f>
        <v>0</v>
      </c>
      <c r="BT946" s="70"/>
      <c r="BU946" s="97">
        <f>BU945-BU675</f>
        <v>0</v>
      </c>
      <c r="BV946" s="70"/>
      <c r="BW946" s="97">
        <f>BW945-BW675</f>
        <v>0</v>
      </c>
      <c r="BX946" s="70"/>
      <c r="BY946" s="97">
        <f>BY945-BY675</f>
        <v>0</v>
      </c>
      <c r="BZ946" s="70"/>
      <c r="CA946" s="97">
        <f>CA945-CA675</f>
        <v>0</v>
      </c>
      <c r="CB946" s="70"/>
      <c r="CC946" s="97">
        <f>CC945-CC675</f>
        <v>0</v>
      </c>
      <c r="CD946" s="70"/>
      <c r="CE946" s="97">
        <f>CE945-CE675</f>
        <v>0</v>
      </c>
      <c r="CF946" s="70"/>
      <c r="CG946" s="97">
        <f>CG945-CG675</f>
        <v>0</v>
      </c>
      <c r="CH946" s="70"/>
      <c r="CI946" s="97">
        <f>CI945-CI675</f>
        <v>0</v>
      </c>
      <c r="CJ946" s="70"/>
      <c r="CK946" s="97">
        <f>CK945-CK675</f>
        <v>0</v>
      </c>
      <c r="CL946" s="70"/>
      <c r="CM946" s="97">
        <f>CM945-CM675</f>
        <v>0</v>
      </c>
      <c r="CN946" s="70"/>
      <c r="CO946" s="97">
        <f>CO945-CO675</f>
        <v>0</v>
      </c>
      <c r="CP946" s="70"/>
      <c r="CQ946" s="97">
        <f>CQ945-CQ675</f>
        <v>0</v>
      </c>
      <c r="CR946" s="70"/>
      <c r="CS946" s="70"/>
      <c r="CV946"/>
      <c r="CW946"/>
      <c r="CX946"/>
      <c r="CY946"/>
      <c r="CZ946"/>
      <c r="DA946"/>
    </row>
    <row r="947" spans="1:105" ht="12.75" hidden="1" customHeight="1" outlineLevel="1" x14ac:dyDescent="0.2"/>
    <row r="948" spans="1:105" ht="12.75" hidden="1" customHeight="1" outlineLevel="1" x14ac:dyDescent="0.2">
      <c r="A948" s="4" t="s">
        <v>327</v>
      </c>
      <c r="J948" s="32">
        <f>J50+J137+J244+J306+J391+J594</f>
        <v>963.62300000000005</v>
      </c>
      <c r="L948" s="32">
        <f>L50+L137+L244+L306+L391+L594</f>
        <v>998.09000000000015</v>
      </c>
      <c r="N948" s="32">
        <f>N50+N137+N244+N306+N391+N594</f>
        <v>949.62299999999993</v>
      </c>
      <c r="P948" s="32">
        <f>P50+P137+P244+P306+P391+P594</f>
        <v>929.17399999999998</v>
      </c>
      <c r="R948" s="32">
        <f>R50+R137+R244+R306+R391+R594</f>
        <v>929.5</v>
      </c>
      <c r="T948" s="32">
        <f>T50+T137+T244+T306+T391+T594</f>
        <v>924.69999999999993</v>
      </c>
      <c r="V948" s="32">
        <f>V50+V137+V244+V306+V391+V594</f>
        <v>912.39999999999986</v>
      </c>
      <c r="X948" s="32">
        <f>X50+X137+X244+X306+X391+X594</f>
        <v>930.00000000000011</v>
      </c>
      <c r="Z948" s="32">
        <f>Z50+Z137+Z244+Z306+Z391+Z594</f>
        <v>907.30000000000007</v>
      </c>
      <c r="AB948" s="32">
        <f>AB50+AB137+AB244+AB306+AB391+AB594</f>
        <v>904</v>
      </c>
      <c r="AD948" s="32">
        <f>AD50+AD137+AD244+AD306+AD391+AD594</f>
        <v>928.0999999999998</v>
      </c>
      <c r="AF948" s="32">
        <f>AF50+AF137+AF244+AF306+AF391+AF594</f>
        <v>919.6</v>
      </c>
      <c r="AH948" s="32">
        <f>AH50+AH137+AH244+AH306+AH391+AH594</f>
        <v>908.59999999999991</v>
      </c>
      <c r="AJ948" s="32">
        <f>AJ50+AJ137+AJ244+AJ306+AJ391+AJ594</f>
        <v>885.39999999999986</v>
      </c>
      <c r="AL948" s="32">
        <f>AL50+AL137+AL244+AL306+AL391+AL594</f>
        <v>902.40000000000009</v>
      </c>
      <c r="AN948" s="484"/>
      <c r="AP948" s="484"/>
      <c r="AR948" s="484"/>
      <c r="AT948" s="484"/>
      <c r="AV948" s="484"/>
      <c r="AX948" s="484"/>
      <c r="AZ948" s="484"/>
      <c r="BB948" s="484"/>
      <c r="BD948" s="484"/>
      <c r="BF948" s="32"/>
      <c r="BH948" s="32"/>
      <c r="BJ948" s="32"/>
      <c r="BL948" s="32"/>
      <c r="BU948" s="32"/>
      <c r="BW948" s="32">
        <f>BW50+BW137+BW244+BW306+BW391+BW594</f>
        <v>3840.51</v>
      </c>
      <c r="BY948" s="32">
        <f>BY50+BY137+BY244+BY306+BY391+BY594</f>
        <v>3696.6000000000004</v>
      </c>
      <c r="CA948" s="32"/>
      <c r="CC948" s="32"/>
      <c r="CE948" s="32"/>
      <c r="CG948" s="32"/>
      <c r="CI948" s="32"/>
      <c r="CK948" s="32"/>
      <c r="CM948" s="32"/>
      <c r="CO948" s="32"/>
      <c r="CQ948" s="32"/>
    </row>
    <row r="949" spans="1:105" ht="12.75" hidden="1" customHeight="1" outlineLevel="1" x14ac:dyDescent="0.2">
      <c r="R949" s="256"/>
      <c r="T949" s="256"/>
      <c r="V949" s="256"/>
      <c r="X949" s="256"/>
      <c r="Z949" s="256"/>
      <c r="AB949" s="256"/>
      <c r="AD949" s="256"/>
      <c r="AF949" s="256"/>
      <c r="AH949" s="256"/>
      <c r="AJ949" s="256"/>
      <c r="AL949" s="256"/>
      <c r="BW949" s="256"/>
      <c r="BY949" s="256"/>
    </row>
    <row r="950" spans="1:105" ht="12.75" customHeight="1" collapsed="1" x14ac:dyDescent="0.2"/>
  </sheetData>
  <mergeCells count="1">
    <mergeCell ref="A3:A4"/>
  </mergeCells>
  <phoneticPr fontId="9" type="noConversion"/>
  <pageMargins left="0.75" right="0.75" top="1" bottom="1" header="0.5" footer="0.5"/>
  <pageSetup orientation="portrait" r:id="rId1"/>
  <headerFooter alignWithMargins="0"/>
  <ignoredErrors>
    <ignoredError sqref="R99:AI100 AM3 R444:AI473 R102:AI115 R182:AI212 R116:AG116 AI116 R244:AG244 AI244 R590:AI609 R474:AA474 AI474 AG474 AE474 AC474 R846:AI857 R843:AC843 AI843 AG843 AE843 R867:AI875 R858:AA858 AI858 AG858 AE858 AC858 R877:AI950 R876:AA876 AI876 AG876 AE876 AC876 AJ25:AJ87 AJ339:AJ346 AJ590:AJ611 R732:AJ791 AJ102 AJ182:AJ184 R689:AK731 AJ99:AK101 AK732:AK798 R429:AK435 R792:AG792 R793:AE793 AI792:AI793 AG793 R802:AK806 R794:AJ798 R808:AI810 R807:AC807 AG807 R818:AI828 R817:AE817 AG817:AI817 R812:AI816 R811:AE811 AG811:AI811 R830:AI842 R829:AG829 AI829 AJ646:AK688 R287:AK338 DD99:DG100 AL99:AL172 AL6:AL22 AK182:AN187 R214:AI243 R213:U213 W213:AI213 AJ186:AJ276 AO3 AN287:AN305 AO182:AP189 AL646:AP684 AQ3 AQ52:AQ81 AQ743:AQ745 AQ182:AQ257 DD12:DG92 AK82:AQ92 AJ89:AJ92 R6:AK23 R92:T92 V92:AI92 DD117:DG176 AL174:AL176 AM99:AQ101 AK102:AK176 AJ174:AJ176 R117:AI176 DD182:DG280 AK271:AQ280 AJ278:AJ280 R245:AI280 DD287:DG350 AQ341:AQ350 AO287:AQ289 AN348:AN350 AL287:AM350 AK339:AK350 AJ348:AJ350 R339:AI350 DD439:DG443 R439:AK443 R357:AP423 R656:AI688 R655:U655 W655:AI655 R646:AI654 R610:U610 W610:AI610 R611:AI613 AJ613 R615:AQ638 DD444:DG500 R475:AI500 R356:AA356 AC356:AP356 AL440:AQ443 R644:Z644 AP290:AP294 AK590:AQ613 DD356:DG423 AQ356:AQ423 AJ444:AQ500 AQ645:AQ684 DD429:DG435 DD615:DG638 DD590:DG613 Z95:AP95 Z179:AO179 Z353:AP353 Z426:AP426 Z503:AP505 R645:AA645 AB643:AP645 AQ311:AS340 AS743 AS745 AR52:AR85 AR341:AR344 AR744:AS744 AR356:AR419 AR271:AR275 AR590:AR638 AR94:AR101 AR443 AQ746:AS791 AR277:AR280 AN283:AP283 AR87:AR92 AR346:AR350 AR421:AR423 AR640:AR684 AL749:AP791 AL748:AO748 AS182:AS257 AO295:AS305 AS271:AS294 AO261:AS270 AQ258:AS260 AR352:AS355 AS3 AY3:AY5 CS3:CU4 BN3:CD3 CS5 AQ25:AS51 AS52:AS101 AR182:AR243 AR282:AR294 AS341:AS351 AR440:AR441 AS590:AS638 AU3 AJ104:AJ172 AK191:AN270 AK190:AM190 AO191:AP191 AO190 AO193:AP260 AO192 AK189:AN189 AK188 AM188:AN188 AR245:AR250 AR252:AR257 AQ310 AS310 AQ307:AS309 AQ306 AS306 AO307:AP350 AO306 AN307:AN346 AM6:AY23 AT182:AT243 AT590:AT638 AU590:AU638 AW3 AW25:AW258 AW639:AW684 AW259:AY338 AW590:AW638 AV4 AV691:AV741 AV744:AV791 AV794:AV798 AL794:AS798 AM792 AL793:AM793 AO792:AO793 AV867 R801:AJ801 AK800:AK801 Z799 AO799:AS799 AJ799:AL799 AH799 AB799 AM799:AN800 AO800:AP800 AL801:AP806 AM807:AP807 AJ867:AU950 AK807 R799:Y800 AI807 AI799:AI800 AC799:AG800 AA799:AA800 AE807 AQ792:AQ793 AS792:AS793 AV31:AV101 AV182:AV243 AV245:AV344 AV440:AV441 AV590:AV638 AX25:AY49 AX590:AY638 AY753:AY793 AY639:AY684 AX753:AX791 AX643:AX684 AX639:AX640 AV643:AV684 AK25:AP81 R25:AI91 R24:AG24 AV25:AV29 BN5:BV5 BN4:CF4 AZ6:AZ49 AZ643:AZ684 BF6:BL20 BF28:BL42 CQ6:CQ20 CF5 CF3 CI28:CI46 CM4:CN4 CM6:CM25 CM5:CP5 BF46:BL46 BG43:BG45 BI43:BI45 BK43:BK45 BG47 BI47 BK47 CI48:CI62 AW339:BA436 CI6:CJ20 CK28:CK44 CI867:CI908 CI735:CI743 CI745:CI750 CI752:CI754 BG744:BG745 BF738:BL740 CI692:CI733 BF590:BM636 BF444:BM447 BI413 BJ413:BL413 BF416:BL430 BF402:BL412 BF371:BL373 BF354:BM370 BG338 BF342:BL353 CI219:CI341 BG79 CI80:CI102 CJ867:CP907 CJ753:CP754 CJ80 CM68:CP78 CM28:CM42 CG639:CH684 BN590:CH638 CQ28:CQ42 CN6:CP42 CP744 CM353:CP412 CK746 CN744 BN639:CF684 CJ747:CL747 CI590:CS638 BF382:BM400 BF375:BM380 CJ744:CJ746 CI63:CL78 CI909:CJ950 CI182:CP197 CK341:CP352 CI691:CJ691 CK689:CL691 CJ692:CL732 CI734:CJ734 CK733:CL736 CJ737:CL743 CI751:CJ751 CK749:CP752 CK761:CP791 CJ908 CK908:CP950 BF48:BL78 BM63:BM79 BF216:BM249 BG250:BM250 BF325:BL337 BM340:BM353 BM325:BM338 BM371:BM374 BM416:BM431 BM402:BM413 BF415:BK415 BL415:BM415 BF432:BM433 BF448:BI505 CJ733 BG743:BH743 BJ743:BL743 CJ752 CJ748:CJ750 CJ735:CJ736 CJ761:CJ791 CI342:CJ349 CJ689:CJ690 CJ350:CJ352 BG3 BI338 BG413:BH413 BI79 BK79:BK80 BL80:BM80 CL744:CL746 CP3:CP4 CQ867:CU950 BA3:BA62 BA590:BA638 AX63:BA101 BG374 BI374 BK374 AY862 AZ590:AZ638 BB590:BB638 BE81 BE340:BG340 BE414:BH414 BG381 BK744:BK745 BI743:BI745 BG81 CQ84:CQ102 BB643:BB684 BE439 CJ440:CQ443 AT643:AT684 BG439 BF431:BI431 BK431:BL431 BB440:BB443 AZ452:AZ505 BA440:BA443 CR63:CS102 BN439:CI443 AX440:AZ443 AV443 AW439:AW443 AS440:AU443 AR444:AR505 Z548:BC589 BY545:BY547 CA545:CE547 BM102:BM181 CQ182:CQ412 CR439:CU443 CR182:CS436 AS356:AS436 AT245:AT436 AT25:AU101 CI350:CI436 BN6:CH100 CT12:CU436 BB6:BB101 CJ433:CL436 CM413:CQ436 AV346:AV436 AR425:AR436 AL429:AQ436 CK748:CL748 CM746:CP748 CN745:CP745 BG737 BI737 BK737 BM737:BM745 CJ686:CL688 CL685 CN685 CP685 CM686:CS743 CR685:CS685 CJ432 CL432 CJ219:CP254 CI79:CJ79 CJ84:CP102 CJ81 CK5:CK25 AX847:AZ857 AW867:BC867 BC3:BC436 BF251:BM260 BG637:BM637 CJ340:CJ341 CK340:CP340 CJ353:CL412 CT6:CU9 DF6:DG9 BF742:BL742 BG741:BL741 AX182:AY258 AZ182:BA206 BB182:BB436 BN182:CH197 BN101:CF181 CH101:CH181 AM102:AO176 AU182:AU436 AV444:AV505 AL439:AU439 AX444:AY505 AZ444:AZ448 AY439 BC439:BC443 Z510:BC543 BM510:CS525 BM548:CH589 BM526:CH543 CR548:CS589 CR526:CS543 BM448:BM505 CJ448:CJ505 AZ690:BB835 AT686:AT791 AL686:AP747 AQ686:AS742 AU686:AU798 AW686:AW687 AX690:AY752 BN686:CH754 CI686:CI690 BN685:CH685 AL685:BB685 BF638:BM638 BE526:BH589 BE867:CH950 AZ208:BA338 BA207 BE182:BM191 BE82:BM101 BE440:BM443 BE80:BJ80 BE341:BE413 BE339:BM339 BE415:BE435 BE216:BE338 BE102:BE181 BE3:BE79 BE444:BE505 BE590:BE638 CH4:CH5 BF436:BL436 BB445:BB505 BE746:BM750 CQ745:CQ754 BC590:BC638 CR744:CS844 CT590:CU638 CJ792:CP844 CI761:CI844 AX794:AY835 AJ808:AP844 AT794:AT844 AQ800:AS844 AU799:AW835 DD644:DG844 R844:AI844 BA847:BC857 AX863:AZ864 BE856:CU865 AJ847:AW857 R859:AI865 AW869:BC875 BC868 BE752:BM754 BE751:BF751 BG751:BM751 BF694:BM731 BF688:BM693 BK685:BM685 CJ685 BD6:BD50 AZ51:AZ62 AX51:AY61 AY50 BD52:BD296 BD298:BD443 BA439 BA686 AY686 BA687 AY687 AW690:AW798 AY689 BA689 AY688 BA688 AW688:AW689 AV688:AV689 AX689 AX688 BB688 AZ688 BB689 AZ689 AZ844:BB844 BA836 AX844:AY844 AY836 AU840:AW840 AU836 AW836 BA837 AY837 AU837 AW837 BA838 AY838 AU838 AW838 BA839 AY839 AU839 AW839 BA840 AY840 BA841 AY841 AU844:AW844 AU841 AW841 BA842 AY842 AU842 AW842 AU843 AW843 AY843 BA843 AV843 BB843 AZ843 AX843 BC846 AJ846:AU846 AW846 AY846 BA846 AV846 BB846 AZ846 AX846 BA859:BC859 BA858 BC858 AX859:AZ859 AY858 AJ859:AW859 AJ858:AU858 AW858 BA862:BC864 BA860 BC860 AY861 AY860 AJ862:AW864 AJ860:AU860 AW860 BA861 BC861 AJ861:AU861 AW861 BA865 BC865 AY865 AJ865:AU865 AW865 BA868:BB868 AV869:AV875 AY868 AW868 AV868 AX868 AZ868 AW877:BC878 AW876 BC876 BA876 AY876 AV877 AV880:AV910 AW880:BC950 AW879 BC879 BA879 AY879 BD444:BD638 BD639:BD640 BF643:BM684 BM641:BM642 BE643:BE745 BD643:BD908 BK686:BM687 BI685:BJ685 BG685 BF686:BJ687 BF685 BH685 BE846:BE847 BM846:CH847 BF846:BL847 BF845:BL845 BI81:BM81 BF272:BM324 BG271 BI271:BM271 BI439:BM439 BF341:BG341 BH341:BL341 BI340 BK340:BL340 BH340 BJ340 CL6:CL20 BF745 BE761:BM844 BE755 CQ761:CQ844 BF732:BM736 CJ414:CL431 CJ413 CL413 BM414 BL414 BI414 BJ414:BK414 CJ272:CP339 CJ271:CK271 CL271:CP271 CN3 CJ256:CP270 CJ255:CK255 CN255:CP255 BN761:CH844 BE756:BE760 CL755 CN755 CP755 CQ756:CQ760 CJ755 BG755 BI755 BK755 BM755 BF756:BM760 CI759:CI760 BN755:CH760 CJ759:CJ760 CJ756:CJ757 CK756:CP760 CI758:CJ758 CI755:CI757 BF755 CK755 BL755 BJ755 BH755 CQ755 CO755 CM755 BF262:BM270 BF261:BI261 BK261:BM261 CK46 CN48:CP67 CQ48:CQ78 CM48:CM67 BE210:BM215 BE209 BG209 BI209 BK209 BM209 BE193:BM197 BE192 BG192 BI192 BK192 BM192 BE203:BM208 BE198 BG198 BE199 BG199 BI381:BK381 BM381 BM435 BM434 CJ439 CL439:CQ439 AS639:AS684 AT639:AT640 AU639:AU684 AV639:AV640 CI639:CS684 BA639:BA684 AZ639:AZ640 BB639:BB640 BF639:BM640 BE639:BE640 BC639:BC844 CT639:CU844 CJ444:CQ447 BA444:BA505 BN444:CI505 AW444:AW505 AS444:AU505 CR444:CU505 BC444:BC505 CI203:CP218 CP198:CP202 BN203:CH436 BE200:BG202 BM199 BK199 BI199 BM198 BK198 BI198 BH200:BM202 BN198:CH202 CI198:CO202 BH199 BH198 BJ198 BL198 BJ199 BL199 BK434 BG434:BI434 BF435:BL435 BF434 BJ434 BL434 CH3 BE848:CH855 CR848:CU855 CR846:CU847 CI846:CQ847 CI848:CQ855 CI845:CQ845 DF10:DG11 CT10:CU11 CJ82:CJ83 CP79 CN79 CL79 CL81:CP81 CK82:CP83 CQ80:CQ83 CK80:CP80 CK79 CK81 CM79 CO79 CQ79 BK338 BJ338 BL338 BF401:BL401 BM401 BL79 CK48:CK62 CM45:CM47 CP44 CN44 CQ45:CQ47 CP43 CN43 CN45:CP47 CM43 CL44:CM44 CL43 CO43 CL45:CL47 CQ43 CO44 CQ44 CL53:CL60 CL255:CM255 BI3 BK3 DB3:DC4 DB867:DG950 DB439:DC443 DB12:DC436 DB6:DB9 DB590:DC638 DB856:DG865 DB639:DC844 DB444:DC505 DB848:DG855 DB846:DG847 DB10:DB11" formula="1"/>
    <ignoredError sqref="CD5 CT5:CU5 BW5:CC5 DB5:DC5" numberStoredAsText="1" formula="1"/>
    <ignoredError sqref="DD5:DG5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F102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2.75" outlineLevelRow="1" outlineLevelCol="2" x14ac:dyDescent="0.2"/>
  <cols>
    <col min="1" max="1" width="35.7109375" style="296" customWidth="1"/>
    <col min="2" max="10" width="7.42578125" style="296" hidden="1" customWidth="1" outlineLevel="1"/>
    <col min="11" max="11" width="7.42578125" style="297" hidden="1" customWidth="1" outlineLevel="1"/>
    <col min="12" max="12" width="7.42578125" style="296" hidden="1" customWidth="1" outlineLevel="1"/>
    <col min="13" max="13" width="7.42578125" style="297" hidden="1" customWidth="1" outlineLevel="1"/>
    <col min="14" max="14" width="7.42578125" style="296" hidden="1" customWidth="1" outlineLevel="1"/>
    <col min="15" max="15" width="7.42578125" style="297" hidden="1" customWidth="1" outlineLevel="1"/>
    <col min="16" max="16" width="7.42578125" style="296" hidden="1" customWidth="1" outlineLevel="1"/>
    <col min="17" max="17" width="7.42578125" style="297" hidden="1" customWidth="1" outlineLevel="1"/>
    <col min="18" max="18" width="7.42578125" style="296" hidden="1" customWidth="1" outlineLevel="1" collapsed="1"/>
    <col min="19" max="19" width="7.42578125" style="297" hidden="1" customWidth="1" outlineLevel="1"/>
    <col min="20" max="20" width="7.42578125" style="296" hidden="1" customWidth="1" outlineLevel="1" collapsed="1"/>
    <col min="21" max="21" width="7.42578125" style="297" hidden="1" customWidth="1" outlineLevel="1"/>
    <col min="22" max="22" width="7.42578125" style="296" hidden="1" customWidth="1" outlineLevel="1" collapsed="1"/>
    <col min="23" max="23" width="7.42578125" style="297" hidden="1" customWidth="1" outlineLevel="1"/>
    <col min="24" max="24" width="7.42578125" style="296" hidden="1" customWidth="1" outlineLevel="1" collapsed="1"/>
    <col min="25" max="25" width="7.42578125" style="297" hidden="1" customWidth="1" outlineLevel="1"/>
    <col min="26" max="26" width="7.42578125" style="296" hidden="1" customWidth="1" outlineLevel="1"/>
    <col min="27" max="27" width="7.42578125" style="297" hidden="1" customWidth="1" outlineLevel="1"/>
    <col min="28" max="28" width="7.42578125" style="296" hidden="1" customWidth="1" outlineLevel="1"/>
    <col min="29" max="29" width="7.42578125" style="297" hidden="1" customWidth="1" outlineLevel="1"/>
    <col min="30" max="30" width="7.42578125" style="296" hidden="1" customWidth="1" outlineLevel="1"/>
    <col min="31" max="31" width="7.42578125" style="297" hidden="1" customWidth="1" outlineLevel="1"/>
    <col min="32" max="32" width="7.42578125" style="296" hidden="1" customWidth="1" outlineLevel="1"/>
    <col min="33" max="33" width="7.42578125" style="297" hidden="1" customWidth="1" outlineLevel="1"/>
    <col min="34" max="34" width="7.42578125" style="296" hidden="1" customWidth="1" outlineLevel="1"/>
    <col min="35" max="35" width="7.42578125" style="297" hidden="1" customWidth="1" outlineLevel="1"/>
    <col min="36" max="36" width="7.42578125" style="296" hidden="1" customWidth="1" outlineLevel="1" collapsed="1"/>
    <col min="37" max="37" width="7.42578125" style="297" hidden="1" customWidth="1" outlineLevel="1"/>
    <col min="38" max="38" width="7.42578125" style="296" hidden="1" customWidth="1" outlineLevel="1" collapsed="1"/>
    <col min="39" max="39" width="7.42578125" style="297" hidden="1" customWidth="1" outlineLevel="1"/>
    <col min="40" max="40" width="7.42578125" style="296" hidden="1" customWidth="1" outlineLevel="1" collapsed="1"/>
    <col min="41" max="41" width="7.42578125" style="297" hidden="1" customWidth="1" outlineLevel="1"/>
    <col min="42" max="42" width="7.42578125" style="296" hidden="1" customWidth="1" outlineLevel="1" collapsed="1"/>
    <col min="43" max="43" width="7.42578125" style="297" hidden="1" customWidth="1" outlineLevel="1"/>
    <col min="44" max="44" width="7.42578125" style="296" hidden="1" customWidth="1" outlineLevel="1" collapsed="1"/>
    <col min="45" max="45" width="7.42578125" style="297" hidden="1" customWidth="1" outlineLevel="1"/>
    <col min="46" max="46" width="7.42578125" style="296" hidden="1" customWidth="1" outlineLevel="1" collapsed="1"/>
    <col min="47" max="47" width="7.42578125" style="297" hidden="1" customWidth="1" outlineLevel="1"/>
    <col min="48" max="48" width="7.42578125" style="296" hidden="1" customWidth="1" outlineLevel="1" collapsed="1"/>
    <col min="49" max="49" width="7.42578125" style="297" hidden="1" customWidth="1" outlineLevel="1"/>
    <col min="50" max="50" width="7.42578125" style="296" customWidth="1" collapsed="1"/>
    <col min="51" max="51" width="7.42578125" style="297" hidden="1" customWidth="1" outlineLevel="1"/>
    <col min="52" max="52" width="7.42578125" style="296" customWidth="1" collapsed="1"/>
    <col min="53" max="53" width="7.42578125" style="297" hidden="1" customWidth="1" outlineLevel="1"/>
    <col min="54" max="54" width="7.42578125" style="296" customWidth="1" collapsed="1"/>
    <col min="55" max="55" width="7.42578125" style="297" hidden="1" customWidth="1" outlineLevel="1"/>
    <col min="56" max="56" width="7.42578125" style="296" customWidth="1" collapsed="1"/>
    <col min="57" max="57" width="7.42578125" style="297" hidden="1" customWidth="1" outlineLevel="1"/>
    <col min="58" max="58" width="7.42578125" style="296" customWidth="1" collapsed="1"/>
    <col min="59" max="59" width="7.42578125" style="297" customWidth="1" outlineLevel="1"/>
    <col min="60" max="60" width="7.42578125" style="296" customWidth="1"/>
    <col min="61" max="61" width="7.42578125" style="297" hidden="1" customWidth="1" outlineLevel="1"/>
    <col min="62" max="62" width="7.42578125" style="296" customWidth="1" collapsed="1"/>
    <col min="63" max="63" width="7.42578125" style="297" hidden="1" customWidth="1" outlineLevel="1"/>
    <col min="64" max="64" width="7.42578125" style="296" customWidth="1" collapsed="1"/>
    <col min="65" max="65" width="7.42578125" style="297" hidden="1" customWidth="1" outlineLevel="1"/>
    <col min="66" max="66" width="0.85546875" style="303" customWidth="1" collapsed="1"/>
    <col min="67" max="67" width="7.42578125" style="296" hidden="1" customWidth="1" outlineLevel="1"/>
    <col min="68" max="68" width="7.42578125" style="381" hidden="1" customWidth="1" outlineLevel="1"/>
    <col min="69" max="69" width="7.42578125" style="296" hidden="1" customWidth="1" outlineLevel="1"/>
    <col min="70" max="70" width="7.42578125" style="381" hidden="1" customWidth="1" outlineLevel="1"/>
    <col min="71" max="71" width="7.42578125" style="296" hidden="1" customWidth="1" outlineLevel="1"/>
    <col min="72" max="72" width="7.42578125" style="381" hidden="1" customWidth="1" outlineLevel="1"/>
    <col min="73" max="73" width="7.42578125" style="296" hidden="1" customWidth="1" outlineLevel="1"/>
    <col min="74" max="74" width="7.42578125" style="381" hidden="1" customWidth="1" outlineLevel="2"/>
    <col min="75" max="75" width="7.42578125" style="296" customWidth="1" collapsed="1"/>
    <col min="76" max="76" width="7.42578125" style="381" hidden="1" customWidth="1" outlineLevel="1"/>
    <col min="77" max="77" width="7.42578125" style="296" customWidth="1" collapsed="1"/>
    <col min="78" max="78" width="7.42578125" style="381" hidden="1" customWidth="1" outlineLevel="1"/>
    <col min="79" max="79" width="7.42578125" style="296" customWidth="1" collapsed="1"/>
    <col min="80" max="80" width="7.42578125" style="381" customWidth="1" outlineLevel="1"/>
    <col min="81" max="81" width="7.42578125" style="296" customWidth="1"/>
    <col min="82" max="82" width="7.42578125" style="381" customWidth="1" outlineLevel="1"/>
    <col min="83" max="83" width="7.42578125" style="296" customWidth="1"/>
    <col min="84" max="84" width="7.42578125" style="381" hidden="1" customWidth="1" outlineLevel="1"/>
    <col min="85" max="85" width="7.42578125" style="296" customWidth="1" collapsed="1"/>
    <col min="86" max="86" width="7.42578125" style="381" hidden="1" customWidth="1" outlineLevel="1"/>
    <col min="87" max="87" width="7.42578125" style="296" customWidth="1" collapsed="1"/>
    <col min="88" max="88" width="7.42578125" style="381" hidden="1" customWidth="1" outlineLevel="1"/>
    <col min="89" max="89" width="7.42578125" style="296" customWidth="1" collapsed="1"/>
    <col min="90" max="90" width="7.42578125" style="381" hidden="1" customWidth="1" outlineLevel="1"/>
    <col min="91" max="91" width="7.42578125" style="297" customWidth="1" collapsed="1"/>
    <col min="92" max="16384" width="9.140625" style="296"/>
  </cols>
  <sheetData>
    <row r="1" spans="1:162" ht="15.75" x14ac:dyDescent="0.25">
      <c r="A1" s="290" t="s">
        <v>444</v>
      </c>
    </row>
    <row r="2" spans="1:162" s="382" customFormat="1" x14ac:dyDescent="0.2">
      <c r="A2" s="291" t="s">
        <v>243</v>
      </c>
      <c r="K2" s="383"/>
      <c r="M2" s="383"/>
      <c r="O2" s="383"/>
      <c r="Q2" s="383"/>
      <c r="S2" s="383"/>
      <c r="U2" s="383"/>
      <c r="W2" s="383"/>
      <c r="Y2" s="383"/>
      <c r="AA2" s="383"/>
      <c r="AC2" s="383"/>
      <c r="AE2" s="383"/>
      <c r="AG2" s="383"/>
      <c r="AI2" s="383"/>
      <c r="AK2" s="383"/>
      <c r="AM2" s="383"/>
      <c r="AO2" s="383"/>
      <c r="AQ2" s="383"/>
      <c r="AS2" s="383"/>
      <c r="AU2" s="383"/>
      <c r="AW2" s="383"/>
      <c r="AY2" s="383"/>
      <c r="BA2" s="383"/>
      <c r="BC2" s="383"/>
      <c r="BE2" s="383"/>
      <c r="BG2" s="383"/>
      <c r="BI2" s="383"/>
      <c r="BK2" s="383"/>
      <c r="BM2" s="383"/>
      <c r="BN2" s="303"/>
      <c r="BP2" s="384"/>
      <c r="BR2" s="384"/>
      <c r="BT2" s="384"/>
      <c r="BV2" s="384"/>
      <c r="BX2" s="384"/>
      <c r="BZ2" s="384"/>
      <c r="CB2" s="384"/>
      <c r="CD2" s="384"/>
      <c r="CF2" s="384"/>
      <c r="CH2" s="384"/>
      <c r="CJ2" s="384"/>
      <c r="CL2" s="384"/>
      <c r="CM2" s="383"/>
    </row>
    <row r="3" spans="1:162" s="301" customFormat="1" ht="11.25" customHeight="1" x14ac:dyDescent="0.2">
      <c r="A3" s="597" t="s">
        <v>242</v>
      </c>
      <c r="B3" s="598"/>
      <c r="C3" s="598"/>
      <c r="D3" s="599"/>
      <c r="E3" s="598"/>
      <c r="F3" s="598"/>
      <c r="G3" s="598"/>
      <c r="H3" s="599"/>
      <c r="I3" s="598"/>
      <c r="J3" s="598"/>
      <c r="K3" s="599" t="str">
        <f>INPUT!K3</f>
        <v>1Q12/</v>
      </c>
      <c r="L3" s="599"/>
      <c r="M3" s="599" t="str">
        <f>INPUT!M3</f>
        <v>2Q12/</v>
      </c>
      <c r="N3" s="598"/>
      <c r="O3" s="599" t="str">
        <f>INPUT!O3</f>
        <v>3Q12/</v>
      </c>
      <c r="P3" s="599"/>
      <c r="Q3" s="599" t="str">
        <f>INPUT!Q3</f>
        <v>4Q12/</v>
      </c>
      <c r="R3" s="598"/>
      <c r="S3" s="599" t="str">
        <f>INPUT!S3</f>
        <v>1Q13/</v>
      </c>
      <c r="T3" s="599"/>
      <c r="U3" s="599" t="str">
        <f>INPUT!U3</f>
        <v>2Q13/</v>
      </c>
      <c r="V3" s="598"/>
      <c r="W3" s="599" t="str">
        <f>INPUT!W3</f>
        <v>3Q13/</v>
      </c>
      <c r="X3" s="599"/>
      <c r="Y3" s="599" t="str">
        <f>INPUT!Y3</f>
        <v>4Q13/</v>
      </c>
      <c r="Z3" s="599"/>
      <c r="AA3" s="599" t="str">
        <f>INPUT!AA3</f>
        <v>1Q14/</v>
      </c>
      <c r="AB3" s="599"/>
      <c r="AC3" s="599" t="str">
        <f>INPUT!AC3</f>
        <v>2Q14/</v>
      </c>
      <c r="AD3" s="599"/>
      <c r="AE3" s="599" t="str">
        <f>INPUT!AE3</f>
        <v>3Q14/</v>
      </c>
      <c r="AF3" s="599"/>
      <c r="AG3" s="599" t="str">
        <f>INPUT!AG3</f>
        <v>4Q14/</v>
      </c>
      <c r="AH3" s="599"/>
      <c r="AI3" s="599" t="str">
        <f>INPUT!AI3</f>
        <v>1Q15/</v>
      </c>
      <c r="AJ3" s="599"/>
      <c r="AK3" s="599" t="str">
        <f>INPUT!AK3</f>
        <v>2Q15/</v>
      </c>
      <c r="AL3" s="599"/>
      <c r="AM3" s="599" t="str">
        <f>INPUT!AM3</f>
        <v>3Q15/</v>
      </c>
      <c r="AN3" s="599"/>
      <c r="AO3" s="599" t="str">
        <f>INPUT!AO3</f>
        <v>4Q15/</v>
      </c>
      <c r="AP3" s="599"/>
      <c r="AQ3" s="599" t="str">
        <f>INPUT!AQ3</f>
        <v>1Q16/</v>
      </c>
      <c r="AR3" s="599"/>
      <c r="AS3" s="599" t="str">
        <f>INPUT!AS3</f>
        <v>2Q16/</v>
      </c>
      <c r="AT3" s="599"/>
      <c r="AU3" s="599" t="str">
        <f>INPUT!AU3</f>
        <v>3Q16/</v>
      </c>
      <c r="AV3" s="599"/>
      <c r="AW3" s="599" t="str">
        <f>INPUT!AW3</f>
        <v>4Q16/</v>
      </c>
      <c r="AX3" s="599"/>
      <c r="AY3" s="599" t="str">
        <f>INPUT!AY3</f>
        <v>1Q17/</v>
      </c>
      <c r="AZ3" s="599"/>
      <c r="BA3" s="599" t="str">
        <f>INPUT!BA3</f>
        <v>2Q17/</v>
      </c>
      <c r="BB3" s="599"/>
      <c r="BC3" s="599" t="str">
        <f>INPUT!BC3</f>
        <v>3Q17/</v>
      </c>
      <c r="BD3" s="599"/>
      <c r="BE3" s="599" t="str">
        <f>INPUT!BE3</f>
        <v>4Q17/</v>
      </c>
      <c r="BF3" s="599"/>
      <c r="BG3" s="599" t="str">
        <f>INPUT!BG3</f>
        <v>1Q18E/</v>
      </c>
      <c r="BH3" s="599"/>
      <c r="BI3" s="599" t="str">
        <f>INPUT!BI3</f>
        <v>2Q18E/</v>
      </c>
      <c r="BJ3" s="599"/>
      <c r="BK3" s="599" t="str">
        <f>INPUT!BK3</f>
        <v>3Q18E/</v>
      </c>
      <c r="BL3" s="599"/>
      <c r="BM3" s="599" t="str">
        <f>INPUT!BM3</f>
        <v>4Q18E/</v>
      </c>
      <c r="BN3" s="600"/>
      <c r="BO3" s="599"/>
      <c r="BP3" s="601" t="str">
        <f>INPUT!BV3</f>
        <v>2011/</v>
      </c>
      <c r="BQ3" s="599"/>
      <c r="BR3" s="601" t="str">
        <f>INPUT!BX3</f>
        <v>2012/</v>
      </c>
      <c r="BS3" s="599"/>
      <c r="BT3" s="601" t="str">
        <f>INPUT!BZ3</f>
        <v>2013/</v>
      </c>
      <c r="BU3" s="599"/>
      <c r="BV3" s="601" t="str">
        <f>INPUT!CB3</f>
        <v>2014/</v>
      </c>
      <c r="BW3" s="599"/>
      <c r="BX3" s="601" t="str">
        <f>INPUT!CD3</f>
        <v>2015/</v>
      </c>
      <c r="BY3" s="599"/>
      <c r="BZ3" s="601" t="str">
        <f>INPUT!CF3</f>
        <v>2016/</v>
      </c>
      <c r="CA3" s="599"/>
      <c r="CB3" s="601" t="str">
        <f>INPUT!CH3</f>
        <v>2017/</v>
      </c>
      <c r="CC3" s="599"/>
      <c r="CD3" s="601" t="str">
        <f>INPUT!CJ3</f>
        <v>2018E/</v>
      </c>
      <c r="CE3" s="599"/>
      <c r="CF3" s="601" t="str">
        <f>INPUT!CL3</f>
        <v>2019E/</v>
      </c>
      <c r="CG3" s="599"/>
      <c r="CH3" s="601" t="str">
        <f>INPUT!CN3</f>
        <v>2020E/</v>
      </c>
      <c r="CI3" s="599"/>
      <c r="CJ3" s="601" t="str">
        <f>INPUT!CP3</f>
        <v>2021E/</v>
      </c>
      <c r="CK3" s="599"/>
      <c r="CL3" s="601" t="str">
        <f>INPUT!CR3</f>
        <v>2022E/</v>
      </c>
      <c r="CM3" s="602" t="str">
        <f>INPUT!CS3</f>
        <v>5-Yr</v>
      </c>
      <c r="CN3" s="305"/>
      <c r="CO3" s="304"/>
      <c r="CP3" s="305"/>
      <c r="CQ3" s="304"/>
      <c r="CR3" s="305"/>
      <c r="CS3" s="304"/>
      <c r="CT3" s="305"/>
      <c r="CU3" s="304"/>
      <c r="CV3" s="305"/>
      <c r="CW3" s="304"/>
      <c r="CX3" s="305"/>
      <c r="CY3" s="304"/>
      <c r="CZ3" s="305"/>
      <c r="DA3" s="304"/>
      <c r="DB3" s="305"/>
      <c r="DC3" s="304"/>
      <c r="DD3" s="305"/>
      <c r="DE3" s="304"/>
      <c r="DF3" s="305"/>
      <c r="DG3" s="304"/>
      <c r="DH3" s="305"/>
      <c r="DI3" s="304"/>
      <c r="DJ3" s="305"/>
      <c r="DK3" s="304"/>
      <c r="DL3" s="305"/>
      <c r="DM3" s="304"/>
      <c r="DN3" s="305"/>
      <c r="DO3" s="304"/>
      <c r="DP3" s="305"/>
      <c r="DQ3" s="304"/>
      <c r="DR3" s="305"/>
      <c r="DS3" s="304"/>
      <c r="DT3" s="305"/>
      <c r="DU3" s="304"/>
      <c r="DV3" s="305"/>
      <c r="DW3" s="304"/>
      <c r="DX3" s="305"/>
      <c r="DY3" s="304"/>
      <c r="DZ3" s="305"/>
      <c r="EA3" s="304"/>
      <c r="EB3" s="305"/>
      <c r="EC3" s="304"/>
      <c r="ED3" s="305"/>
      <c r="EE3" s="306"/>
      <c r="EF3" s="304"/>
      <c r="EG3" s="305"/>
      <c r="EH3" s="304"/>
      <c r="EI3" s="305"/>
      <c r="EJ3" s="304"/>
      <c r="EK3" s="305"/>
      <c r="EL3" s="304"/>
      <c r="EM3" s="305"/>
      <c r="EN3" s="304"/>
      <c r="EO3" s="305"/>
      <c r="EP3" s="304"/>
      <c r="EQ3" s="305"/>
      <c r="ER3" s="304"/>
      <c r="ES3" s="305"/>
      <c r="ET3" s="304"/>
      <c r="EU3" s="305"/>
      <c r="EV3" s="304"/>
      <c r="EW3" s="305"/>
      <c r="EX3" s="304"/>
      <c r="EY3" s="305"/>
      <c r="EZ3" s="304"/>
      <c r="FA3" s="305"/>
      <c r="FB3" s="304"/>
      <c r="FC3" s="305"/>
      <c r="FD3" s="304"/>
      <c r="FE3" s="305"/>
      <c r="FF3" s="305"/>
    </row>
    <row r="4" spans="1:162" ht="11.25" customHeight="1" x14ac:dyDescent="0.2">
      <c r="A4" s="603"/>
      <c r="B4" s="512"/>
      <c r="C4" s="512"/>
      <c r="D4" s="512"/>
      <c r="E4" s="512"/>
      <c r="F4" s="512"/>
      <c r="G4" s="512"/>
      <c r="H4" s="512"/>
      <c r="I4" s="512"/>
      <c r="J4" s="512"/>
      <c r="K4" s="339" t="str">
        <f>INPUT!K4</f>
        <v>1Q11</v>
      </c>
      <c r="L4" s="512"/>
      <c r="M4" s="339" t="str">
        <f>INPUT!M4</f>
        <v>2Q11</v>
      </c>
      <c r="N4" s="512"/>
      <c r="O4" s="339" t="str">
        <f>INPUT!O4</f>
        <v>3Q11</v>
      </c>
      <c r="P4" s="512"/>
      <c r="Q4" s="339" t="str">
        <f>INPUT!Q4</f>
        <v>4Q11</v>
      </c>
      <c r="R4" s="512"/>
      <c r="S4" s="339" t="str">
        <f>INPUT!S4</f>
        <v>1Q12</v>
      </c>
      <c r="T4" s="512"/>
      <c r="U4" s="339" t="str">
        <f>INPUT!U4</f>
        <v>2Q12</v>
      </c>
      <c r="V4" s="512"/>
      <c r="W4" s="339" t="str">
        <f>INPUT!W4</f>
        <v>3Q12</v>
      </c>
      <c r="X4" s="512"/>
      <c r="Y4" s="339" t="str">
        <f>INPUT!Y4</f>
        <v>4Q12</v>
      </c>
      <c r="Z4" s="512"/>
      <c r="AA4" s="339" t="str">
        <f>INPUT!AA4</f>
        <v>1Q13</v>
      </c>
      <c r="AB4" s="512"/>
      <c r="AC4" s="339" t="str">
        <f>INPUT!AC4</f>
        <v>2Q13</v>
      </c>
      <c r="AD4" s="512"/>
      <c r="AE4" s="339" t="str">
        <f>INPUT!AE4</f>
        <v>3Q13</v>
      </c>
      <c r="AF4" s="512"/>
      <c r="AG4" s="339" t="str">
        <f>INPUT!AG4</f>
        <v>4Q13</v>
      </c>
      <c r="AH4" s="512"/>
      <c r="AI4" s="339" t="str">
        <f>INPUT!AI4</f>
        <v>1Q14</v>
      </c>
      <c r="AJ4" s="512"/>
      <c r="AK4" s="339" t="str">
        <f>INPUT!AK4</f>
        <v>2Q14</v>
      </c>
      <c r="AL4" s="512"/>
      <c r="AM4" s="339" t="str">
        <f>INPUT!AM4</f>
        <v>3Q14</v>
      </c>
      <c r="AN4" s="512"/>
      <c r="AO4" s="339" t="str">
        <f>INPUT!AO4</f>
        <v>4Q14</v>
      </c>
      <c r="AP4" s="512"/>
      <c r="AQ4" s="339" t="str">
        <f>INPUT!AQ4</f>
        <v>1Q15</v>
      </c>
      <c r="AR4" s="512"/>
      <c r="AS4" s="339" t="str">
        <f>INPUT!AS4</f>
        <v>2Q15</v>
      </c>
      <c r="AT4" s="512"/>
      <c r="AU4" s="339" t="str">
        <f>INPUT!AU4</f>
        <v>3Q15</v>
      </c>
      <c r="AV4" s="512"/>
      <c r="AW4" s="339" t="str">
        <f>INPUT!AW4</f>
        <v>4Q15</v>
      </c>
      <c r="AX4" s="512"/>
      <c r="AY4" s="339" t="str">
        <f>INPUT!AY4</f>
        <v>1Q16</v>
      </c>
      <c r="AZ4" s="512"/>
      <c r="BA4" s="339" t="str">
        <f>INPUT!BA4</f>
        <v>2Q16</v>
      </c>
      <c r="BB4" s="512"/>
      <c r="BC4" s="339" t="str">
        <f>INPUT!BC4</f>
        <v>3Q16</v>
      </c>
      <c r="BD4" s="512"/>
      <c r="BE4" s="339" t="str">
        <f>INPUT!BE4</f>
        <v>4Q16</v>
      </c>
      <c r="BF4" s="512"/>
      <c r="BG4" s="339" t="str">
        <f>INPUT!BG4</f>
        <v>1Q17</v>
      </c>
      <c r="BH4" s="512"/>
      <c r="BI4" s="339" t="str">
        <f>INPUT!BI4</f>
        <v>2Q17</v>
      </c>
      <c r="BJ4" s="512"/>
      <c r="BK4" s="339" t="str">
        <f>INPUT!BK4</f>
        <v>3Q17</v>
      </c>
      <c r="BL4" s="512"/>
      <c r="BM4" s="339" t="str">
        <f>INPUT!BM4</f>
        <v>4Q17</v>
      </c>
      <c r="BN4" s="333"/>
      <c r="BO4" s="512"/>
      <c r="BP4" s="340" t="str">
        <f>INPUT!BV4</f>
        <v>2010</v>
      </c>
      <c r="BQ4" s="512"/>
      <c r="BR4" s="340" t="str">
        <f>INPUT!BX4</f>
        <v>2011</v>
      </c>
      <c r="BS4" s="512"/>
      <c r="BT4" s="340" t="str">
        <f>INPUT!BZ4</f>
        <v>2012</v>
      </c>
      <c r="BU4" s="512"/>
      <c r="BV4" s="340" t="str">
        <f>INPUT!CB4</f>
        <v>2013</v>
      </c>
      <c r="BW4" s="512"/>
      <c r="BX4" s="340" t="str">
        <f>INPUT!CD4</f>
        <v>2014</v>
      </c>
      <c r="BY4" s="512"/>
      <c r="BZ4" s="340" t="str">
        <f>INPUT!CF4</f>
        <v>2015</v>
      </c>
      <c r="CA4" s="512"/>
      <c r="CB4" s="340">
        <f>INPUT!CH4</f>
        <v>2016</v>
      </c>
      <c r="CC4" s="512"/>
      <c r="CD4" s="340">
        <f>INPUT!CJ4</f>
        <v>2017</v>
      </c>
      <c r="CE4" s="512"/>
      <c r="CF4" s="340" t="str">
        <f>INPUT!CL4</f>
        <v>2018E</v>
      </c>
      <c r="CG4" s="512"/>
      <c r="CH4" s="340" t="str">
        <f>INPUT!CN4</f>
        <v>2019E</v>
      </c>
      <c r="CI4" s="512"/>
      <c r="CJ4" s="340" t="str">
        <f>INPUT!CP4</f>
        <v>2020E</v>
      </c>
      <c r="CK4" s="512"/>
      <c r="CL4" s="340" t="str">
        <f>INPUT!CR4</f>
        <v>2021E</v>
      </c>
      <c r="CM4" s="604" t="str">
        <f>INPUT!CS4</f>
        <v>CAGR</v>
      </c>
    </row>
    <row r="5" spans="1:162" s="298" customFormat="1" ht="11.25" customHeight="1" x14ac:dyDescent="0.2">
      <c r="A5" s="605"/>
      <c r="B5" s="375" t="str">
        <f>INPUT!B5</f>
        <v>1Q11</v>
      </c>
      <c r="C5" s="375"/>
      <c r="D5" s="375" t="str">
        <f>INPUT!D5</f>
        <v>2Q11</v>
      </c>
      <c r="E5" s="375"/>
      <c r="F5" s="375" t="str">
        <f>INPUT!F5</f>
        <v>3Q11</v>
      </c>
      <c r="G5" s="375"/>
      <c r="H5" s="375" t="str">
        <f>INPUT!H5</f>
        <v>4Q11</v>
      </c>
      <c r="I5" s="375"/>
      <c r="J5" s="375" t="str">
        <f>INPUT!J5</f>
        <v>1Q12</v>
      </c>
      <c r="K5" s="388" t="str">
        <f>INPUT!K5</f>
        <v>% Chg</v>
      </c>
      <c r="L5" s="375" t="s">
        <v>117</v>
      </c>
      <c r="M5" s="388" t="str">
        <f>INPUT!M5</f>
        <v>% Chg</v>
      </c>
      <c r="N5" s="375" t="s">
        <v>118</v>
      </c>
      <c r="O5" s="388" t="str">
        <f>INPUT!O5</f>
        <v>% Chg</v>
      </c>
      <c r="P5" s="375" t="s">
        <v>160</v>
      </c>
      <c r="Q5" s="388" t="str">
        <f>INPUT!Q5</f>
        <v>% Chg</v>
      </c>
      <c r="R5" s="375" t="s">
        <v>285</v>
      </c>
      <c r="S5" s="388" t="str">
        <f>INPUT!S5</f>
        <v>% Chg</v>
      </c>
      <c r="T5" s="375" t="s">
        <v>286</v>
      </c>
      <c r="U5" s="388" t="str">
        <f>INPUT!U5</f>
        <v>% Chg</v>
      </c>
      <c r="V5" s="375" t="s">
        <v>288</v>
      </c>
      <c r="W5" s="388" t="str">
        <f>INPUT!W5</f>
        <v>% Chg</v>
      </c>
      <c r="X5" s="375" t="s">
        <v>287</v>
      </c>
      <c r="Y5" s="388" t="str">
        <f>INPUT!Y5</f>
        <v>% Chg</v>
      </c>
      <c r="Z5" s="375" t="str">
        <f>INPUT!Z5</f>
        <v>1Q14</v>
      </c>
      <c r="AA5" s="388" t="str">
        <f>INPUT!AA5</f>
        <v>% Chg</v>
      </c>
      <c r="AB5" s="375" t="str">
        <f>INPUT!AB5</f>
        <v>2Q14</v>
      </c>
      <c r="AC5" s="388" t="str">
        <f>INPUT!AC5</f>
        <v>% Chg</v>
      </c>
      <c r="AD5" s="375" t="str">
        <f>INPUT!AD5</f>
        <v>3Q14</v>
      </c>
      <c r="AE5" s="388" t="str">
        <f>INPUT!AE5</f>
        <v>% Chg</v>
      </c>
      <c r="AF5" s="375" t="str">
        <f>INPUT!AF5</f>
        <v>4Q14</v>
      </c>
      <c r="AG5" s="388" t="str">
        <f>INPUT!AG5</f>
        <v>% Chg</v>
      </c>
      <c r="AH5" s="375" t="str">
        <f>INPUT!AH5</f>
        <v>1Q15</v>
      </c>
      <c r="AI5" s="388" t="str">
        <f>INPUT!AI5</f>
        <v>% Chg</v>
      </c>
      <c r="AJ5" s="375" t="str">
        <f>INPUT!AJ5</f>
        <v>2Q15</v>
      </c>
      <c r="AK5" s="388" t="str">
        <f>INPUT!AK5</f>
        <v>% Chg</v>
      </c>
      <c r="AL5" s="375" t="str">
        <f>INPUT!AL5</f>
        <v>3Q15</v>
      </c>
      <c r="AM5" s="388" t="str">
        <f>INPUT!AM5</f>
        <v>% Chg</v>
      </c>
      <c r="AN5" s="375" t="str">
        <f>INPUT!AN5</f>
        <v>4Q15</v>
      </c>
      <c r="AO5" s="388" t="str">
        <f>INPUT!AO5</f>
        <v>% Chg</v>
      </c>
      <c r="AP5" s="375" t="str">
        <f>INPUT!AP5</f>
        <v>1Q16</v>
      </c>
      <c r="AQ5" s="388" t="str">
        <f>INPUT!AQ5</f>
        <v>% Chg</v>
      </c>
      <c r="AR5" s="375" t="str">
        <f>INPUT!AR5</f>
        <v>2Q16</v>
      </c>
      <c r="AS5" s="388" t="str">
        <f>INPUT!AS5</f>
        <v>% Chg</v>
      </c>
      <c r="AT5" s="375" t="str">
        <f>INPUT!AT5</f>
        <v>3Q16</v>
      </c>
      <c r="AU5" s="388" t="str">
        <f>INPUT!AU5</f>
        <v>% Chg</v>
      </c>
      <c r="AV5" s="375" t="str">
        <f>INPUT!AV5</f>
        <v>4Q16</v>
      </c>
      <c r="AW5" s="388" t="str">
        <f>INPUT!AW5</f>
        <v>% Chg</v>
      </c>
      <c r="AX5" s="375" t="str">
        <f>INPUT!AX5</f>
        <v>1Q17</v>
      </c>
      <c r="AY5" s="388" t="str">
        <f>INPUT!AY5</f>
        <v>% Chg</v>
      </c>
      <c r="AZ5" s="375" t="str">
        <f>INPUT!AZ5</f>
        <v>2Q17</v>
      </c>
      <c r="BA5" s="388" t="str">
        <f>INPUT!BA5</f>
        <v>% Chg</v>
      </c>
      <c r="BB5" s="375" t="str">
        <f>INPUT!BB5</f>
        <v>3Q17</v>
      </c>
      <c r="BC5" s="388" t="str">
        <f>INPUT!BC5</f>
        <v>% Chg</v>
      </c>
      <c r="BD5" s="375" t="str">
        <f>INPUT!BD5</f>
        <v>4Q17</v>
      </c>
      <c r="BE5" s="388" t="str">
        <f>INPUT!BE5</f>
        <v>% Chg</v>
      </c>
      <c r="BF5" s="375" t="str">
        <f>INPUT!BF5</f>
        <v>1Q18E</v>
      </c>
      <c r="BG5" s="388" t="str">
        <f>INPUT!BG5</f>
        <v>% Chg</v>
      </c>
      <c r="BH5" s="375" t="str">
        <f>INPUT!BH5</f>
        <v>2Q18E</v>
      </c>
      <c r="BI5" s="388" t="str">
        <f>INPUT!BI5</f>
        <v>% Chg</v>
      </c>
      <c r="BJ5" s="375" t="str">
        <f>INPUT!BJ5</f>
        <v>3Q18E</v>
      </c>
      <c r="BK5" s="388" t="str">
        <f>INPUT!BK5</f>
        <v>% Chg</v>
      </c>
      <c r="BL5" s="375" t="str">
        <f>INPUT!BL5</f>
        <v>4Q18E</v>
      </c>
      <c r="BM5" s="388" t="str">
        <f>INPUT!BM5</f>
        <v>% Chg</v>
      </c>
      <c r="BN5" s="337"/>
      <c r="BO5" s="375" t="str">
        <f>INPUT!BU5</f>
        <v>2011</v>
      </c>
      <c r="BP5" s="389" t="str">
        <f>INPUT!BV5</f>
        <v>% Chg</v>
      </c>
      <c r="BQ5" s="375" t="str">
        <f>INPUT!BW5</f>
        <v>2012</v>
      </c>
      <c r="BR5" s="389" t="str">
        <f>INPUT!BX5</f>
        <v>% Chg</v>
      </c>
      <c r="BS5" s="375" t="str">
        <f>INPUT!BY5</f>
        <v>2013</v>
      </c>
      <c r="BT5" s="389" t="str">
        <f>INPUT!BZ5</f>
        <v>% Chg</v>
      </c>
      <c r="BU5" s="375" t="str">
        <f>INPUT!CA5</f>
        <v>2014</v>
      </c>
      <c r="BV5" s="389" t="str">
        <f>INPUT!CB5</f>
        <v>% Chg</v>
      </c>
      <c r="BW5" s="375" t="str">
        <f>INPUT!CC5</f>
        <v>2015</v>
      </c>
      <c r="BX5" s="389" t="str">
        <f>INPUT!CD5</f>
        <v>% Chg</v>
      </c>
      <c r="BY5" s="375">
        <f>INPUT!CE5</f>
        <v>2016</v>
      </c>
      <c r="BZ5" s="389" t="str">
        <f>INPUT!CF5</f>
        <v>% Chg</v>
      </c>
      <c r="CA5" s="375">
        <f>INPUT!CG5</f>
        <v>2017</v>
      </c>
      <c r="CB5" s="389" t="str">
        <f>INPUT!CH5</f>
        <v>% Chg</v>
      </c>
      <c r="CC5" s="375" t="str">
        <f>INPUT!CI5</f>
        <v>2018E</v>
      </c>
      <c r="CD5" s="389" t="str">
        <f>INPUT!CJ5</f>
        <v>% Chg</v>
      </c>
      <c r="CE5" s="375" t="str">
        <f>INPUT!CK5</f>
        <v>2019E</v>
      </c>
      <c r="CF5" s="389" t="str">
        <f>INPUT!CL5</f>
        <v>% Chg</v>
      </c>
      <c r="CG5" s="375" t="str">
        <f>INPUT!CM5</f>
        <v>2020E</v>
      </c>
      <c r="CH5" s="389" t="str">
        <f>INPUT!CN5</f>
        <v>% Chg</v>
      </c>
      <c r="CI5" s="375" t="str">
        <f>INPUT!CO5</f>
        <v>2021E</v>
      </c>
      <c r="CJ5" s="389" t="str">
        <f>INPUT!CP5</f>
        <v>% Chg</v>
      </c>
      <c r="CK5" s="375" t="str">
        <f>INPUT!CQ5</f>
        <v>2022E</v>
      </c>
      <c r="CL5" s="389" t="str">
        <f>INPUT!CR5</f>
        <v>% Chg</v>
      </c>
      <c r="CM5" s="606" t="str">
        <f>INPUT!CS5</f>
        <v>(%)</v>
      </c>
    </row>
    <row r="6" spans="1:162" ht="11.25" customHeight="1" x14ac:dyDescent="0.2">
      <c r="A6" s="607" t="s">
        <v>244</v>
      </c>
      <c r="B6" s="512"/>
      <c r="C6" s="512"/>
      <c r="D6" s="512"/>
      <c r="E6" s="512"/>
      <c r="F6" s="512"/>
      <c r="G6" s="512"/>
      <c r="H6" s="512"/>
      <c r="I6" s="512"/>
      <c r="J6" s="512"/>
      <c r="K6" s="513"/>
      <c r="L6" s="512"/>
      <c r="M6" s="513"/>
      <c r="N6" s="512"/>
      <c r="O6" s="513"/>
      <c r="P6" s="512"/>
      <c r="Q6" s="513"/>
      <c r="R6" s="512"/>
      <c r="S6" s="513"/>
      <c r="T6" s="512"/>
      <c r="U6" s="513"/>
      <c r="V6" s="512"/>
      <c r="W6" s="513"/>
      <c r="X6" s="512"/>
      <c r="Y6" s="513"/>
      <c r="Z6" s="512"/>
      <c r="AA6" s="513"/>
      <c r="AB6" s="512"/>
      <c r="AC6" s="513"/>
      <c r="AD6" s="512"/>
      <c r="AE6" s="513"/>
      <c r="AF6" s="512"/>
      <c r="AG6" s="513"/>
      <c r="AH6" s="512"/>
      <c r="AI6" s="513"/>
      <c r="AJ6" s="512"/>
      <c r="AK6" s="513"/>
      <c r="AL6" s="512"/>
      <c r="AM6" s="513"/>
      <c r="AN6" s="512"/>
      <c r="AO6" s="513"/>
      <c r="AP6" s="512"/>
      <c r="AQ6" s="513"/>
      <c r="AR6" s="512"/>
      <c r="AS6" s="513"/>
      <c r="AT6" s="512"/>
      <c r="AU6" s="513"/>
      <c r="AV6" s="512"/>
      <c r="AW6" s="513"/>
      <c r="AX6" s="512"/>
      <c r="AY6" s="513"/>
      <c r="AZ6" s="512"/>
      <c r="BA6" s="513"/>
      <c r="BB6" s="512"/>
      <c r="BC6" s="513"/>
      <c r="BD6" s="512"/>
      <c r="BE6" s="513"/>
      <c r="BF6" s="512"/>
      <c r="BG6" s="513"/>
      <c r="BH6" s="512"/>
      <c r="BI6" s="513"/>
      <c r="BJ6" s="512"/>
      <c r="BK6" s="513"/>
      <c r="BL6" s="512"/>
      <c r="BM6" s="513"/>
      <c r="BN6" s="343"/>
      <c r="BO6" s="512"/>
      <c r="BP6" s="514"/>
      <c r="BQ6" s="512"/>
      <c r="BR6" s="514"/>
      <c r="BS6" s="512"/>
      <c r="BT6" s="514"/>
      <c r="BU6" s="512"/>
      <c r="BV6" s="514"/>
      <c r="BW6" s="512"/>
      <c r="BX6" s="514"/>
      <c r="BY6" s="512"/>
      <c r="BZ6" s="514"/>
      <c r="CA6" s="512"/>
      <c r="CB6" s="514"/>
      <c r="CC6" s="512"/>
      <c r="CD6" s="514"/>
      <c r="CE6" s="512"/>
      <c r="CF6" s="514"/>
      <c r="CG6" s="512"/>
      <c r="CH6" s="514"/>
      <c r="CI6" s="512"/>
      <c r="CJ6" s="514"/>
      <c r="CK6" s="512"/>
      <c r="CL6" s="514"/>
      <c r="CM6" s="608"/>
    </row>
    <row r="7" spans="1:162" s="299" customFormat="1" ht="11.25" customHeight="1" x14ac:dyDescent="0.2">
      <c r="A7" s="609" t="s">
        <v>192</v>
      </c>
      <c r="B7" s="515">
        <f>INPUT!B90</f>
        <v>108.36500000000009</v>
      </c>
      <c r="C7" s="515"/>
      <c r="D7" s="515">
        <f>INPUT!D90</f>
        <v>132.928</v>
      </c>
      <c r="E7" s="515"/>
      <c r="F7" s="515">
        <f>INPUT!F90</f>
        <v>114.86999999999996</v>
      </c>
      <c r="G7" s="515"/>
      <c r="H7" s="515">
        <f>INPUT!H90</f>
        <v>41.507000000000062</v>
      </c>
      <c r="I7" s="515"/>
      <c r="J7" s="515">
        <f>INPUT!J90</f>
        <v>100.48499999999993</v>
      </c>
      <c r="K7" s="339">
        <f>INPUT!K90</f>
        <v>-7.2717205739862179</v>
      </c>
      <c r="L7" s="515">
        <f>INPUT!L90</f>
        <v>126.20999999999989</v>
      </c>
      <c r="M7" s="339">
        <f>INPUT!M90</f>
        <v>-5.0538637457872682</v>
      </c>
      <c r="N7" s="515">
        <f>INPUT!N90</f>
        <v>130.3960000000001</v>
      </c>
      <c r="O7" s="339">
        <f>INPUT!O90</f>
        <v>13.516148689823403</v>
      </c>
      <c r="P7" s="515">
        <f>INPUT!P90</f>
        <v>116.70000000000007</v>
      </c>
      <c r="Q7" s="339" t="str">
        <f>INPUT!Q90</f>
        <v>NM</v>
      </c>
      <c r="R7" s="515">
        <f>INPUT!R90</f>
        <v>128.30000000000007</v>
      </c>
      <c r="S7" s="339">
        <f>INPUT!S90</f>
        <v>27.680748370403705</v>
      </c>
      <c r="T7" s="515">
        <f>INPUT!T90</f>
        <v>127.08200000000011</v>
      </c>
      <c r="U7" s="339">
        <f>INPUT!U90</f>
        <v>0.69091197211015309</v>
      </c>
      <c r="V7" s="515">
        <f>INPUT!V90</f>
        <v>134.59999999999997</v>
      </c>
      <c r="W7" s="339">
        <f>INPUT!W90</f>
        <v>3.2240252768488853</v>
      </c>
      <c r="X7" s="515">
        <f>INPUT!X90</f>
        <v>134.39999999999992</v>
      </c>
      <c r="Y7" s="339">
        <f>INPUT!Y90</f>
        <v>15.167095115681084</v>
      </c>
      <c r="Z7" s="515">
        <f>INPUT!Z90</f>
        <v>126.20000000000003</v>
      </c>
      <c r="AA7" s="339">
        <f>INPUT!AA90</f>
        <v>-1.6367887763055644</v>
      </c>
      <c r="AB7" s="515">
        <f>INPUT!AB90</f>
        <v>128.60000000000011</v>
      </c>
      <c r="AC7" s="339">
        <f>INPUT!AC90</f>
        <v>1.1945043357831864</v>
      </c>
      <c r="AD7" s="515">
        <f>INPUT!AD90</f>
        <v>137.74</v>
      </c>
      <c r="AE7" s="339">
        <f>INPUT!AE90</f>
        <v>2.3328380386330227</v>
      </c>
      <c r="AF7" s="515">
        <f>INPUT!AF90</f>
        <v>145.39999999999984</v>
      </c>
      <c r="AG7" s="339">
        <f>INPUT!AG90</f>
        <v>8.1845238095237463</v>
      </c>
      <c r="AH7" s="515">
        <f>INPUT!AH90</f>
        <v>129.91000000000003</v>
      </c>
      <c r="AI7" s="339">
        <f>INPUT!AI90</f>
        <v>2.9397781299524528</v>
      </c>
      <c r="AJ7" s="515">
        <f>INPUT!AJ90</f>
        <v>124.90000000000003</v>
      </c>
      <c r="AK7" s="339">
        <f>INPUT!AK90</f>
        <v>-2.877138413685898</v>
      </c>
      <c r="AL7" s="515">
        <f>INPUT!AL90</f>
        <v>127.99999999999989</v>
      </c>
      <c r="AM7" s="339">
        <f>INPUT!AM90</f>
        <v>-7.0712937418325295</v>
      </c>
      <c r="AN7" s="515">
        <f>INPUT!AN90</f>
        <v>125.40000000000002</v>
      </c>
      <c r="AO7" s="339">
        <f>INPUT!AO90</f>
        <v>-13.755158184319004</v>
      </c>
      <c r="AP7" s="515">
        <f>INPUT!AP90</f>
        <v>101.89999999999988</v>
      </c>
      <c r="AQ7" s="339">
        <f>INPUT!AQ90</f>
        <v>-21.561080748210404</v>
      </c>
      <c r="AR7" s="515">
        <f>INPUT!AR90</f>
        <v>129.79999999999995</v>
      </c>
      <c r="AS7" s="339">
        <f>INPUT!AS90</f>
        <v>3.9231385108085881</v>
      </c>
      <c r="AT7" s="515">
        <f>INPUT!AT90</f>
        <v>130.99999999999997</v>
      </c>
      <c r="AU7" s="339">
        <f>INPUT!AU90</f>
        <v>2.3437500000000666</v>
      </c>
      <c r="AV7" s="515">
        <f>INPUT!AV90</f>
        <v>142.6</v>
      </c>
      <c r="AW7" s="339">
        <f>INPUT!AW90</f>
        <v>13.716108452950525</v>
      </c>
      <c r="AX7" s="515">
        <f>INPUT!AX90</f>
        <v>132.39999999999984</v>
      </c>
      <c r="AY7" s="339">
        <f>INPUT!AY90</f>
        <v>29.931305201177615</v>
      </c>
      <c r="AZ7" s="515">
        <f>INPUT!AZ90</f>
        <v>143.49999999999989</v>
      </c>
      <c r="BA7" s="339">
        <f>INPUT!BA90</f>
        <v>10.554699537750345</v>
      </c>
      <c r="BB7" s="515">
        <f>INPUT!BB90</f>
        <v>144.80000000000007</v>
      </c>
      <c r="BC7" s="339">
        <f>INPUT!BC90</f>
        <v>10.534351145038245</v>
      </c>
      <c r="BD7" s="515">
        <f>INPUT!BD90</f>
        <v>149.19999999999993</v>
      </c>
      <c r="BE7" s="339">
        <f>INPUT!BE90</f>
        <v>4.6283309957923846</v>
      </c>
      <c r="BF7" s="515">
        <f>INPUT!BF90</f>
        <v>146.08209365133052</v>
      </c>
      <c r="BG7" s="339">
        <f>INPUT!BG90</f>
        <v>10.333907591639502</v>
      </c>
      <c r="BH7" s="515">
        <f>INPUT!BH90</f>
        <v>144.52612268654821</v>
      </c>
      <c r="BI7" s="339">
        <f>INPUT!BI90</f>
        <v>0.71506807424970287</v>
      </c>
      <c r="BJ7" s="515">
        <f>INPUT!BJ90</f>
        <v>147.28583837809941</v>
      </c>
      <c r="BK7" s="339">
        <f>INPUT!BK90</f>
        <v>1.716739211394569</v>
      </c>
      <c r="BL7" s="515">
        <f>INPUT!BL90</f>
        <v>153.07992156593758</v>
      </c>
      <c r="BM7" s="339">
        <f>INPUT!BM90</f>
        <v>2.6004836232826012</v>
      </c>
      <c r="BN7" s="347"/>
      <c r="BO7" s="515">
        <f>INPUT!BU90</f>
        <v>397.66999999999945</v>
      </c>
      <c r="BP7" s="340">
        <f>INPUT!BV90</f>
        <v>28.612548512289493</v>
      </c>
      <c r="BQ7" s="515">
        <f>INPUT!BW90</f>
        <v>473.79100000000062</v>
      </c>
      <c r="BR7" s="340">
        <f>INPUT!BX90</f>
        <v>19.141750697815098</v>
      </c>
      <c r="BS7" s="515">
        <f>INPUT!BY90</f>
        <v>524.38200000000006</v>
      </c>
      <c r="BT7" s="340">
        <f>INPUT!BZ90</f>
        <v>10.67791494561936</v>
      </c>
      <c r="BU7" s="515">
        <f>INPUT!CA90</f>
        <v>537.94000000000005</v>
      </c>
      <c r="BV7" s="340">
        <f>INPUT!CB90</f>
        <v>2.5855197165425281</v>
      </c>
      <c r="BW7" s="515">
        <f>INPUT!CC90</f>
        <v>508.20999999999992</v>
      </c>
      <c r="BX7" s="340">
        <f>INPUT!CD90</f>
        <v>-5.5266386585864797</v>
      </c>
      <c r="BY7" s="515">
        <f>INPUT!CE90</f>
        <v>505.30000000000018</v>
      </c>
      <c r="BZ7" s="340">
        <f>INPUT!CF90</f>
        <v>-0.57259794179566059</v>
      </c>
      <c r="CA7" s="515">
        <f>INPUT!CG90</f>
        <v>569.9000000000002</v>
      </c>
      <c r="CB7" s="340">
        <f>INPUT!CH90</f>
        <v>12.784484464674462</v>
      </c>
      <c r="CC7" s="515">
        <f>INPUT!CI90</f>
        <v>590.97397628191584</v>
      </c>
      <c r="CD7" s="340">
        <f>INPUT!CJ90</f>
        <v>3.6978375648211381</v>
      </c>
      <c r="CE7" s="515">
        <f>INPUT!CK90</f>
        <v>617.18412268518705</v>
      </c>
      <c r="CF7" s="340">
        <f>INPUT!CL90</f>
        <v>4.4350762394261611</v>
      </c>
      <c r="CG7" s="515">
        <f>INPUT!CM90</f>
        <v>646.89799005747</v>
      </c>
      <c r="CH7" s="340">
        <f>INPUT!CN90</f>
        <v>4.814425109156506</v>
      </c>
      <c r="CI7" s="515">
        <f>INPUT!CO90</f>
        <v>677.64068580846333</v>
      </c>
      <c r="CJ7" s="340">
        <f>INPUT!CP90</f>
        <v>4.7523251306225589</v>
      </c>
      <c r="CK7" s="515">
        <f>INPUT!CQ90</f>
        <v>707.23859556709749</v>
      </c>
      <c r="CL7" s="340">
        <f>INPUT!CR90</f>
        <v>4.3677881771992721</v>
      </c>
      <c r="CM7" s="610">
        <f>INPUT!CS90</f>
        <v>4.4127319568730838</v>
      </c>
    </row>
    <row r="8" spans="1:162" ht="11.25" customHeight="1" x14ac:dyDescent="0.2">
      <c r="A8" s="603" t="s">
        <v>193</v>
      </c>
      <c r="B8" s="515">
        <f>INPUT!B175</f>
        <v>26.699999999999978</v>
      </c>
      <c r="C8" s="515"/>
      <c r="D8" s="515">
        <f>INPUT!D175</f>
        <v>41.700000000000031</v>
      </c>
      <c r="E8" s="515"/>
      <c r="F8" s="515">
        <f>INPUT!F175</f>
        <v>31.200000000000003</v>
      </c>
      <c r="G8" s="515"/>
      <c r="H8" s="515">
        <f>INPUT!H175</f>
        <v>22</v>
      </c>
      <c r="I8" s="515"/>
      <c r="J8" s="515">
        <f>INPUT!J175</f>
        <v>49.099999999999923</v>
      </c>
      <c r="K8" s="339">
        <f>INPUT!K175</f>
        <v>83.8951310861422</v>
      </c>
      <c r="L8" s="515">
        <f>INPUT!L175</f>
        <v>54.200000000000024</v>
      </c>
      <c r="M8" s="339">
        <f>INPUT!M175</f>
        <v>29.976019184652248</v>
      </c>
      <c r="N8" s="515">
        <f>INPUT!N175</f>
        <v>45.800000000000026</v>
      </c>
      <c r="O8" s="339">
        <f>INPUT!O175</f>
        <v>46.794871794871874</v>
      </c>
      <c r="P8" s="515">
        <f>INPUT!P175</f>
        <v>50.70000000000001</v>
      </c>
      <c r="Q8" s="339" t="str">
        <f>INPUT!Q175</f>
        <v>NM</v>
      </c>
      <c r="R8" s="515">
        <f>INPUT!R175</f>
        <v>45.674999999999955</v>
      </c>
      <c r="S8" s="339">
        <f>INPUT!S175</f>
        <v>-6.9755600814663481</v>
      </c>
      <c r="T8" s="515">
        <f>INPUT!T175</f>
        <v>44.499999999999972</v>
      </c>
      <c r="U8" s="339">
        <f>INPUT!U175</f>
        <v>-17.896678966789757</v>
      </c>
      <c r="V8" s="515">
        <f>INPUT!V175</f>
        <v>44.2</v>
      </c>
      <c r="W8" s="339">
        <f>INPUT!W175</f>
        <v>-3.4934497816594412</v>
      </c>
      <c r="X8" s="515">
        <f>INPUT!X175</f>
        <v>55.600000000000044</v>
      </c>
      <c r="Y8" s="339">
        <f>INPUT!Y175</f>
        <v>9.664694280078967</v>
      </c>
      <c r="Z8" s="515">
        <f>INPUT!Z175</f>
        <v>51.600000000000065</v>
      </c>
      <c r="AA8" s="339">
        <f>INPUT!AA175</f>
        <v>12.972085385878751</v>
      </c>
      <c r="AB8" s="515">
        <f>INPUT!AB175</f>
        <v>57.700000000000045</v>
      </c>
      <c r="AC8" s="339">
        <f>INPUT!AC175</f>
        <v>29.662921348314786</v>
      </c>
      <c r="AD8" s="515">
        <f>INPUT!AD175</f>
        <v>54.279999999999959</v>
      </c>
      <c r="AE8" s="339">
        <f>INPUT!AE175</f>
        <v>22.805429864253291</v>
      </c>
      <c r="AF8" s="515">
        <f>INPUT!AF175</f>
        <v>63.000000000000014</v>
      </c>
      <c r="AG8" s="339">
        <f>INPUT!AG175</f>
        <v>13.309352517985552</v>
      </c>
      <c r="AH8" s="515">
        <f>INPUT!AH175</f>
        <v>60.880000000000024</v>
      </c>
      <c r="AI8" s="339">
        <f>INPUT!AI175</f>
        <v>17.984496124030901</v>
      </c>
      <c r="AJ8" s="515">
        <f>INPUT!AJ175</f>
        <v>55.999999999999943</v>
      </c>
      <c r="AK8" s="339">
        <f>INPUT!AK175</f>
        <v>-2.9462738301561542</v>
      </c>
      <c r="AL8" s="515">
        <f>INPUT!AL175</f>
        <v>64.399999999999963</v>
      </c>
      <c r="AM8" s="339">
        <f>INPUT!AM175</f>
        <v>18.644067796610187</v>
      </c>
      <c r="AN8" s="515">
        <f>INPUT!AN175</f>
        <v>52.000000000000036</v>
      </c>
      <c r="AO8" s="339">
        <f>INPUT!AO175</f>
        <v>-17.46031746031742</v>
      </c>
      <c r="AP8" s="515">
        <f>INPUT!AP175</f>
        <v>0</v>
      </c>
      <c r="AQ8" s="339">
        <f>INPUT!AQ175</f>
        <v>0</v>
      </c>
      <c r="AR8" s="515">
        <f>INPUT!AR175</f>
        <v>0</v>
      </c>
      <c r="AS8" s="339">
        <f>INPUT!AS175</f>
        <v>0</v>
      </c>
      <c r="AT8" s="515">
        <f>INPUT!AT175</f>
        <v>0</v>
      </c>
      <c r="AU8" s="339">
        <f>INPUT!AU175</f>
        <v>0</v>
      </c>
      <c r="AV8" s="515">
        <f>INPUT!AV175</f>
        <v>0</v>
      </c>
      <c r="AW8" s="339" t="str">
        <f>INPUT!AW175</f>
        <v>NM</v>
      </c>
      <c r="AX8" s="515">
        <f>INPUT!AX175</f>
        <v>0</v>
      </c>
      <c r="AY8" s="339">
        <f>INPUT!AY175</f>
        <v>0</v>
      </c>
      <c r="AZ8" s="515">
        <f>INPUT!AZ175</f>
        <v>0</v>
      </c>
      <c r="BA8" s="339">
        <f>INPUT!BA175</f>
        <v>0</v>
      </c>
      <c r="BB8" s="515">
        <f>INPUT!BB175</f>
        <v>0</v>
      </c>
      <c r="BC8" s="339" t="str">
        <f>INPUT!BC175</f>
        <v>NA</v>
      </c>
      <c r="BD8" s="515">
        <f>INPUT!BD175</f>
        <v>0</v>
      </c>
      <c r="BE8" s="339" t="str">
        <f>INPUT!BE175</f>
        <v>NA</v>
      </c>
      <c r="BF8" s="515">
        <f>INPUT!BF175</f>
        <v>0</v>
      </c>
      <c r="BG8" s="339">
        <f>INPUT!BG175</f>
        <v>0</v>
      </c>
      <c r="BH8" s="515">
        <f>INPUT!BH175</f>
        <v>0</v>
      </c>
      <c r="BI8" s="339">
        <f>INPUT!BI175</f>
        <v>0</v>
      </c>
      <c r="BJ8" s="515">
        <f>INPUT!BJ175</f>
        <v>0</v>
      </c>
      <c r="BK8" s="339">
        <f>INPUT!BK175</f>
        <v>0</v>
      </c>
      <c r="BL8" s="515">
        <f>INPUT!BL175</f>
        <v>0</v>
      </c>
      <c r="BM8" s="339" t="str">
        <f>INPUT!BM175</f>
        <v>NA</v>
      </c>
      <c r="BN8" s="347"/>
      <c r="BO8" s="515">
        <f>INPUT!BU175</f>
        <v>121.60000000000014</v>
      </c>
      <c r="BP8" s="340">
        <f>INPUT!BV175</f>
        <v>-2.8753993610223016</v>
      </c>
      <c r="BQ8" s="515">
        <f>INPUT!BW175</f>
        <v>199.80000000000007</v>
      </c>
      <c r="BR8" s="340">
        <f>INPUT!BX175</f>
        <v>64.309210526315667</v>
      </c>
      <c r="BS8" s="515">
        <f>INPUT!BY175</f>
        <v>189.97499999999997</v>
      </c>
      <c r="BT8" s="340">
        <f>INPUT!BZ175</f>
        <v>-4.917417417417469</v>
      </c>
      <c r="BU8" s="515">
        <f>INPUT!CA175</f>
        <v>226.5800000000001</v>
      </c>
      <c r="BV8" s="340">
        <f>INPUT!CB175</f>
        <v>19.268324779576339</v>
      </c>
      <c r="BW8" s="515">
        <f>INPUT!CC175</f>
        <v>233.28000000000014</v>
      </c>
      <c r="BX8" s="340">
        <f>INPUT!CD175</f>
        <v>2.9570129755494889</v>
      </c>
      <c r="BY8" s="515">
        <f>INPUT!CE175</f>
        <v>0</v>
      </c>
      <c r="BZ8" s="340" t="str">
        <f>INPUT!CF175</f>
        <v>NM</v>
      </c>
      <c r="CA8" s="515">
        <f>INPUT!CG175</f>
        <v>0</v>
      </c>
      <c r="CB8" s="340" t="str">
        <f>INPUT!CH175</f>
        <v>NA</v>
      </c>
      <c r="CC8" s="515">
        <f>INPUT!CI175</f>
        <v>0</v>
      </c>
      <c r="CD8" s="340">
        <f>INPUT!CJ175</f>
        <v>0</v>
      </c>
      <c r="CE8" s="515">
        <f>INPUT!CK175</f>
        <v>0</v>
      </c>
      <c r="CF8" s="340">
        <f>INPUT!CL175</f>
        <v>0</v>
      </c>
      <c r="CG8" s="515">
        <f>INPUT!CM175</f>
        <v>0</v>
      </c>
      <c r="CH8" s="340">
        <f>INPUT!CN175</f>
        <v>0</v>
      </c>
      <c r="CI8" s="515">
        <f>INPUT!CO175</f>
        <v>0</v>
      </c>
      <c r="CJ8" s="340">
        <f>INPUT!CP175</f>
        <v>0</v>
      </c>
      <c r="CK8" s="515">
        <f>INPUT!CQ175</f>
        <v>0</v>
      </c>
      <c r="CL8" s="340">
        <f>INPUT!CR175</f>
        <v>0</v>
      </c>
      <c r="CM8" s="610">
        <f>INPUT!CS175</f>
        <v>0</v>
      </c>
    </row>
    <row r="9" spans="1:162" ht="11.25" customHeight="1" x14ac:dyDescent="0.2">
      <c r="A9" s="603" t="s">
        <v>187</v>
      </c>
      <c r="B9" s="515">
        <f>INPUT!B279</f>
        <v>25.297999999999988</v>
      </c>
      <c r="C9" s="515"/>
      <c r="D9" s="515">
        <f>INPUT!D279</f>
        <v>26.352000000000004</v>
      </c>
      <c r="E9" s="515"/>
      <c r="F9" s="515">
        <f>INPUT!F279</f>
        <v>22.780999999999992</v>
      </c>
      <c r="G9" s="515"/>
      <c r="H9" s="515">
        <f>INPUT!H279</f>
        <v>13.064999999999998</v>
      </c>
      <c r="I9" s="515"/>
      <c r="J9" s="515">
        <f>INPUT!J279</f>
        <v>32.994</v>
      </c>
      <c r="K9" s="339">
        <f>INPUT!K279</f>
        <v>30.421377183967181</v>
      </c>
      <c r="L9" s="515">
        <f>INPUT!L279</f>
        <v>29.094000000000012</v>
      </c>
      <c r="M9" s="339">
        <f>INPUT!M279</f>
        <v>10.405282331511877</v>
      </c>
      <c r="N9" s="515">
        <f>INPUT!N279</f>
        <v>38.959999999999994</v>
      </c>
      <c r="O9" s="339">
        <f>INPUT!O279</f>
        <v>71.019709406961979</v>
      </c>
      <c r="P9" s="515">
        <f>INPUT!P279</f>
        <v>31.219000000000008</v>
      </c>
      <c r="Q9" s="339" t="str">
        <f>INPUT!Q279</f>
        <v>NM</v>
      </c>
      <c r="R9" s="515">
        <f>INPUT!R279</f>
        <v>28.475000000000009</v>
      </c>
      <c r="S9" s="339">
        <f>INPUT!S279</f>
        <v>-13.696429653876441</v>
      </c>
      <c r="T9" s="515">
        <f>INPUT!T279</f>
        <v>41</v>
      </c>
      <c r="U9" s="339">
        <f>INPUT!U279</f>
        <v>40.922526981508156</v>
      </c>
      <c r="V9" s="515">
        <f>INPUT!V279</f>
        <v>42.500000000000028</v>
      </c>
      <c r="W9" s="339">
        <f>INPUT!W279</f>
        <v>9.0862422997947547</v>
      </c>
      <c r="X9" s="515">
        <f>INPUT!X279</f>
        <v>51.199999999999989</v>
      </c>
      <c r="Y9" s="339">
        <f>INPUT!Y279</f>
        <v>64.002690669143703</v>
      </c>
      <c r="Z9" s="515">
        <f>INPUT!Z279</f>
        <v>49.8</v>
      </c>
      <c r="AA9" s="339">
        <f>INPUT!AA279</f>
        <v>74.890254609306339</v>
      </c>
      <c r="AB9" s="515">
        <f>INPUT!AB279</f>
        <v>54.899999999999991</v>
      </c>
      <c r="AC9" s="339">
        <f>INPUT!AC279</f>
        <v>33.902439024390233</v>
      </c>
      <c r="AD9" s="515">
        <f>INPUT!AD279</f>
        <v>53.730000000000011</v>
      </c>
      <c r="AE9" s="339">
        <f>INPUT!AE279</f>
        <v>26.423529411764648</v>
      </c>
      <c r="AF9" s="515">
        <f>INPUT!AF279</f>
        <v>53.7</v>
      </c>
      <c r="AG9" s="339">
        <f>INPUT!AG279</f>
        <v>4.8828125000000222</v>
      </c>
      <c r="AH9" s="515">
        <f>INPUT!AH279</f>
        <v>44.54999999999999</v>
      </c>
      <c r="AI9" s="339">
        <f>INPUT!AI279</f>
        <v>-10.542168674698814</v>
      </c>
      <c r="AJ9" s="515">
        <f>INPUT!AJ279</f>
        <v>47</v>
      </c>
      <c r="AK9" s="339">
        <f>INPUT!AK279</f>
        <v>-14.389799635701262</v>
      </c>
      <c r="AL9" s="515">
        <f>INPUT!AL279</f>
        <v>45.599999999999994</v>
      </c>
      <c r="AM9" s="339">
        <f>INPUT!AM279</f>
        <v>-15.131211613623707</v>
      </c>
      <c r="AN9" s="515">
        <f>INPUT!AN279</f>
        <v>42.400000000000006</v>
      </c>
      <c r="AO9" s="339">
        <f>INPUT!AO279</f>
        <v>-21.042830540037237</v>
      </c>
      <c r="AP9" s="515">
        <f>INPUT!AP279</f>
        <v>22.700000000000017</v>
      </c>
      <c r="AQ9" s="339">
        <f>INPUT!AQ279</f>
        <v>-49.046015712682333</v>
      </c>
      <c r="AR9" s="515">
        <f>INPUT!AR279</f>
        <v>43.670588235294133</v>
      </c>
      <c r="AS9" s="339">
        <f>INPUT!AS279</f>
        <v>-7.0838548185231165</v>
      </c>
      <c r="AT9" s="515">
        <f>INPUT!AT279</f>
        <v>48.799999999999976</v>
      </c>
      <c r="AU9" s="339">
        <f>INPUT!AU279</f>
        <v>7.017543859649078</v>
      </c>
      <c r="AV9" s="515">
        <f>INPUT!AV279</f>
        <v>64.699999999999989</v>
      </c>
      <c r="AW9" s="339">
        <f>INPUT!AW279</f>
        <v>52.594339622641463</v>
      </c>
      <c r="AX9" s="515">
        <f>INPUT!AX279</f>
        <v>45.400000000000006</v>
      </c>
      <c r="AY9" s="339">
        <f>INPUT!AY279</f>
        <v>99.999999999999872</v>
      </c>
      <c r="AZ9" s="515">
        <f>INPUT!AZ279</f>
        <v>53.700000000000017</v>
      </c>
      <c r="BA9" s="339">
        <f>INPUT!BA279</f>
        <v>22.966056034482762</v>
      </c>
      <c r="BB9" s="515">
        <f>INPUT!BB279</f>
        <v>52.599999999999994</v>
      </c>
      <c r="BC9" s="339">
        <f>INPUT!BC279</f>
        <v>7.7868852459016757</v>
      </c>
      <c r="BD9" s="515">
        <f>INPUT!BD279</f>
        <v>59</v>
      </c>
      <c r="BE9" s="339">
        <f>INPUT!BE279</f>
        <v>-8.8098918083461939</v>
      </c>
      <c r="BF9" s="515">
        <f>INPUT!BF279</f>
        <v>49.016247705139676</v>
      </c>
      <c r="BG9" s="339">
        <f>INPUT!BG279</f>
        <v>7.9653033152856212</v>
      </c>
      <c r="BH9" s="515">
        <f>INPUT!BH279</f>
        <v>60.328951767677012</v>
      </c>
      <c r="BI9" s="339">
        <f>INPUT!BI279</f>
        <v>12.344416699584727</v>
      </c>
      <c r="BJ9" s="515">
        <f>INPUT!BJ279</f>
        <v>52.798766754802131</v>
      </c>
      <c r="BK9" s="339">
        <f>INPUT!BK279</f>
        <v>0.37788356426262659</v>
      </c>
      <c r="BL9" s="515">
        <f>INPUT!BL279</f>
        <v>55.339618962435878</v>
      </c>
      <c r="BM9" s="339">
        <f>INPUT!BM279</f>
        <v>-6.2040356568883404</v>
      </c>
      <c r="BN9" s="347"/>
      <c r="BO9" s="515">
        <f>INPUT!BU279</f>
        <v>87.496000000000038</v>
      </c>
      <c r="BP9" s="340">
        <f>INPUT!BV279</f>
        <v>74.642714570858473</v>
      </c>
      <c r="BQ9" s="515">
        <f>INPUT!BW279</f>
        <v>132.267</v>
      </c>
      <c r="BR9" s="340">
        <f>INPUT!BX279</f>
        <v>51.169196306116781</v>
      </c>
      <c r="BS9" s="515">
        <f>INPUT!BY279</f>
        <v>163.17500000000018</v>
      </c>
      <c r="BT9" s="340">
        <f>INPUT!BZ279</f>
        <v>23.367884657548888</v>
      </c>
      <c r="BU9" s="515">
        <f>INPUT!CA279</f>
        <v>212.12999999999997</v>
      </c>
      <c r="BV9" s="340">
        <f>INPUT!CB279</f>
        <v>30.001532097441231</v>
      </c>
      <c r="BW9" s="515">
        <f>INPUT!CC279</f>
        <v>179.54999999999993</v>
      </c>
      <c r="BX9" s="340">
        <f>INPUT!CD279</f>
        <v>-15.358506576156151</v>
      </c>
      <c r="BY9" s="515">
        <f>INPUT!CE279</f>
        <v>179.87058823529398</v>
      </c>
      <c r="BZ9" s="340">
        <f>INPUT!CF279</f>
        <v>0.17855095254473152</v>
      </c>
      <c r="CA9" s="515">
        <f>INPUT!CG279</f>
        <v>210.69999999999993</v>
      </c>
      <c r="CB9" s="340">
        <f>INPUT!CH279</f>
        <v>17.139773693505191</v>
      </c>
      <c r="CC9" s="515">
        <f>INPUT!CI279</f>
        <v>217.48358519005455</v>
      </c>
      <c r="CD9" s="340">
        <f>INPUT!CJ279</f>
        <v>3.2195468391336579</v>
      </c>
      <c r="CE9" s="515">
        <f>INPUT!CK279</f>
        <v>228.82649070227592</v>
      </c>
      <c r="CF9" s="340">
        <f>INPUT!CL279</f>
        <v>5.2155225886629575</v>
      </c>
      <c r="CG9" s="515">
        <f>INPUT!CM279</f>
        <v>238.92389714011205</v>
      </c>
      <c r="CH9" s="340">
        <f>INPUT!CN279</f>
        <v>4.4126912084553105</v>
      </c>
      <c r="CI9" s="515">
        <f>INPUT!CO279</f>
        <v>246.91519455282821</v>
      </c>
      <c r="CJ9" s="340">
        <f>INPUT!CP279</f>
        <v>3.3447041122177223</v>
      </c>
      <c r="CK9" s="515">
        <f>INPUT!CQ279</f>
        <v>255.60776598641326</v>
      </c>
      <c r="CL9" s="340">
        <f>INPUT!CR279</f>
        <v>3.5204684139943598</v>
      </c>
      <c r="CM9" s="610">
        <f>INPUT!CS279</f>
        <v>3.9398059780662686</v>
      </c>
    </row>
    <row r="10" spans="1:162" ht="11.25" customHeight="1" x14ac:dyDescent="0.2">
      <c r="A10" s="603" t="s">
        <v>194</v>
      </c>
      <c r="B10" s="515">
        <f>INPUT!B349</f>
        <v>77.527999999999977</v>
      </c>
      <c r="C10" s="515"/>
      <c r="D10" s="515">
        <f>INPUT!D349</f>
        <v>85.192000000000064</v>
      </c>
      <c r="E10" s="515"/>
      <c r="F10" s="515">
        <f>INPUT!F349</f>
        <v>65.16</v>
      </c>
      <c r="G10" s="515"/>
      <c r="H10" s="515">
        <f>INPUT!H349</f>
        <v>57.918999999999976</v>
      </c>
      <c r="I10" s="515"/>
      <c r="J10" s="515">
        <f>INPUT!J349</f>
        <v>46.764999999999951</v>
      </c>
      <c r="K10" s="339">
        <f>INPUT!K349</f>
        <v>-39.679857599834946</v>
      </c>
      <c r="L10" s="515">
        <f>INPUT!L349</f>
        <v>36.708000000000098</v>
      </c>
      <c r="M10" s="339" t="str">
        <f>INPUT!M349</f>
        <v>NM</v>
      </c>
      <c r="N10" s="515">
        <f>INPUT!N349</f>
        <v>44.452999999999946</v>
      </c>
      <c r="O10" s="339">
        <f>INPUT!O349</f>
        <v>-31.778698588090936</v>
      </c>
      <c r="P10" s="515">
        <f>INPUT!P349</f>
        <v>49.87300000000004</v>
      </c>
      <c r="Q10" s="339">
        <f>INPUT!Q349</f>
        <v>-13.891814430497663</v>
      </c>
      <c r="R10" s="515">
        <f>INPUT!R349</f>
        <v>51.774999999999991</v>
      </c>
      <c r="S10" s="339">
        <f>INPUT!S349</f>
        <v>10.713140168929858</v>
      </c>
      <c r="T10" s="515">
        <f>INPUT!T349</f>
        <v>44.9</v>
      </c>
      <c r="U10" s="339">
        <f>INPUT!U349</f>
        <v>22.316661218262723</v>
      </c>
      <c r="V10" s="515">
        <f>INPUT!V349</f>
        <v>60.299999999999969</v>
      </c>
      <c r="W10" s="339">
        <f>INPUT!W349</f>
        <v>35.648887589139179</v>
      </c>
      <c r="X10" s="515">
        <f>INPUT!X349</f>
        <v>51.7</v>
      </c>
      <c r="Y10" s="339">
        <f>INPUT!Y349</f>
        <v>3.6633047941771357</v>
      </c>
      <c r="Z10" s="515">
        <f>INPUT!Z349</f>
        <v>38.200000000000081</v>
      </c>
      <c r="AA10" s="339">
        <f>INPUT!AA349</f>
        <v>-26.21921776919346</v>
      </c>
      <c r="AB10" s="515">
        <f>INPUT!AB349</f>
        <v>64.89999999999992</v>
      </c>
      <c r="AC10" s="339">
        <f>INPUT!AC349</f>
        <v>44.54342984409783</v>
      </c>
      <c r="AD10" s="515">
        <f>INPUT!AD349</f>
        <v>41.790000000000013</v>
      </c>
      <c r="AE10" s="339">
        <f>INPUT!AE349</f>
        <v>-30.696517412935265</v>
      </c>
      <c r="AF10" s="515">
        <f>INPUT!AF349</f>
        <v>75.800000000000054</v>
      </c>
      <c r="AG10" s="339">
        <f>INPUT!AG349</f>
        <v>46.615087040619052</v>
      </c>
      <c r="AH10" s="515">
        <f>INPUT!AH349</f>
        <v>41.519999999999975</v>
      </c>
      <c r="AI10" s="339">
        <f>INPUT!AI349</f>
        <v>8.69109947643949</v>
      </c>
      <c r="AJ10" s="515">
        <f>INPUT!AJ349</f>
        <v>52.300000000000047</v>
      </c>
      <c r="AK10" s="339">
        <f>INPUT!AK349</f>
        <v>-19.414483821263307</v>
      </c>
      <c r="AL10" s="515">
        <f>INPUT!AL349</f>
        <v>18.400000000000045</v>
      </c>
      <c r="AM10" s="339" t="str">
        <f>INPUT!AM349</f>
        <v>NM</v>
      </c>
      <c r="AN10" s="515">
        <f>INPUT!AN349</f>
        <v>75.899999999999977</v>
      </c>
      <c r="AO10" s="339">
        <f>INPUT!AO349</f>
        <v>0.13192612137193915</v>
      </c>
      <c r="AP10" s="515">
        <f>INPUT!AP349</f>
        <v>48.999999999999964</v>
      </c>
      <c r="AQ10" s="339">
        <f>INPUT!AQ349</f>
        <v>18.015414258188798</v>
      </c>
      <c r="AR10" s="515">
        <f>INPUT!AR349</f>
        <v>54.299999999999983</v>
      </c>
      <c r="AS10" s="339">
        <f>INPUT!AS349</f>
        <v>3.8240917782025541</v>
      </c>
      <c r="AT10" s="515">
        <f>INPUT!AT349</f>
        <v>43.899999999999949</v>
      </c>
      <c r="AU10" s="339" t="str">
        <f>INPUT!AU349</f>
        <v>NM</v>
      </c>
      <c r="AV10" s="515">
        <f>INPUT!AV349</f>
        <v>42.499999999999979</v>
      </c>
      <c r="AW10" s="339">
        <f>INPUT!AW349</f>
        <v>-44.005270092226624</v>
      </c>
      <c r="AX10" s="515">
        <f>INPUT!AX349</f>
        <v>38.599999999999987</v>
      </c>
      <c r="AY10" s="339">
        <f>INPUT!AY349</f>
        <v>-21.224489795918334</v>
      </c>
      <c r="AZ10" s="515">
        <f>INPUT!AZ349</f>
        <v>59.299999999999955</v>
      </c>
      <c r="BA10" s="339">
        <f>INPUT!BA349</f>
        <v>9.2081031307550187</v>
      </c>
      <c r="BB10" s="515">
        <f>INPUT!BB349</f>
        <v>54.799999999999955</v>
      </c>
      <c r="BC10" s="339">
        <f>INPUT!BC349</f>
        <v>24.829157175398684</v>
      </c>
      <c r="BD10" s="515">
        <f>INPUT!BD349</f>
        <v>66</v>
      </c>
      <c r="BE10" s="339">
        <f>INPUT!BE349</f>
        <v>55.294117647058897</v>
      </c>
      <c r="BF10" s="515">
        <f>INPUT!BF349</f>
        <v>48.933121618771906</v>
      </c>
      <c r="BG10" s="339">
        <f>INPUT!BG349</f>
        <v>26.769745126352127</v>
      </c>
      <c r="BH10" s="515">
        <f>INPUT!BH349</f>
        <v>56.043941810855813</v>
      </c>
      <c r="BI10" s="339">
        <f>INPUT!BI349</f>
        <v>-5.4908232531941774</v>
      </c>
      <c r="BJ10" s="515">
        <f>INPUT!BJ349</f>
        <v>59.296178110277367</v>
      </c>
      <c r="BK10" s="339">
        <f>INPUT!BK349</f>
        <v>8.2047045807982055</v>
      </c>
      <c r="BL10" s="515">
        <f>INPUT!BL349</f>
        <v>60.63713400486904</v>
      </c>
      <c r="BM10" s="339">
        <f>INPUT!BM349</f>
        <v>-8.1255545380772176</v>
      </c>
      <c r="BN10" s="347"/>
      <c r="BO10" s="515">
        <f>INPUT!BU349</f>
        <v>285.79899999999975</v>
      </c>
      <c r="BP10" s="340">
        <f>INPUT!BV349</f>
        <v>-3.5327037425747498E-2</v>
      </c>
      <c r="BQ10" s="515">
        <f>INPUT!BW349</f>
        <v>177.79899999999975</v>
      </c>
      <c r="BR10" s="340">
        <f>INPUT!BX349</f>
        <v>-37.788795622098078</v>
      </c>
      <c r="BS10" s="515">
        <f>INPUT!BY349</f>
        <v>208.67499999999995</v>
      </c>
      <c r="BT10" s="340">
        <f>INPUT!BZ352</f>
        <v>17.365676972311572</v>
      </c>
      <c r="BU10" s="515">
        <f>INPUT!CA349</f>
        <v>220.69000000000017</v>
      </c>
      <c r="BV10" s="340">
        <f>INPUT!CB349</f>
        <v>5.7577572780640685</v>
      </c>
      <c r="BW10" s="515">
        <f>INPUT!CC349</f>
        <v>188.12000000000003</v>
      </c>
      <c r="BX10" s="340">
        <f>INPUT!CD349</f>
        <v>-14.758258190221628</v>
      </c>
      <c r="BY10" s="515">
        <f>INPUT!CE349</f>
        <v>189.6999999999999</v>
      </c>
      <c r="BZ10" s="340">
        <f>INPUT!CF349</f>
        <v>0.83988943227719659</v>
      </c>
      <c r="CA10" s="515">
        <f>INPUT!CG349</f>
        <v>218.69999999999996</v>
      </c>
      <c r="CB10" s="340">
        <f>INPUT!CH349</f>
        <v>15.287295730100192</v>
      </c>
      <c r="CC10" s="515">
        <f>INPUT!CI349</f>
        <v>224.91037554477407</v>
      </c>
      <c r="CD10" s="340">
        <f>INPUT!CJ349</f>
        <v>2.8396778897000985</v>
      </c>
      <c r="CE10" s="515">
        <f>INPUT!CK349</f>
        <v>227.57663464966186</v>
      </c>
      <c r="CF10" s="340">
        <f>INPUT!CL349</f>
        <v>1.1854762584561085</v>
      </c>
      <c r="CG10" s="515">
        <f>INPUT!CM349</f>
        <v>231.32052167082247</v>
      </c>
      <c r="CH10" s="340">
        <f>INPUT!CN349</f>
        <v>1.6451104600101241</v>
      </c>
      <c r="CI10" s="515">
        <f>INPUT!CO349</f>
        <v>235.11407968444178</v>
      </c>
      <c r="CJ10" s="340">
        <f>INPUT!CP349</f>
        <v>1.6399574003285622</v>
      </c>
      <c r="CK10" s="515">
        <f>INPUT!CQ349</f>
        <v>238.95766936922246</v>
      </c>
      <c r="CL10" s="340">
        <f>INPUT!CR349</f>
        <v>1.6347764837985723</v>
      </c>
      <c r="CM10" s="610">
        <f>INPUT!CS349</f>
        <v>1.7874977388157021</v>
      </c>
    </row>
    <row r="11" spans="1:162" ht="11.25" customHeight="1" x14ac:dyDescent="0.2">
      <c r="A11" s="603" t="s">
        <v>195</v>
      </c>
      <c r="B11" s="515">
        <f>INPUT!B422</f>
        <v>13.335955239999976</v>
      </c>
      <c r="C11" s="515"/>
      <c r="D11" s="515">
        <f>INPUT!D422</f>
        <v>30.890866800000012</v>
      </c>
      <c r="E11" s="515"/>
      <c r="F11" s="515">
        <f>INPUT!F422</f>
        <v>17.992191009999985</v>
      </c>
      <c r="G11" s="515"/>
      <c r="H11" s="515">
        <f>INPUT!H422</f>
        <v>21.099437460000019</v>
      </c>
      <c r="I11" s="515"/>
      <c r="J11" s="515">
        <f>INPUT!J422</f>
        <v>12.196000000000009</v>
      </c>
      <c r="K11" s="339">
        <f>INPUT!K422</f>
        <v>-8.5479833989002607</v>
      </c>
      <c r="L11" s="515">
        <f>INPUT!L422</f>
        <v>32.804999999999993</v>
      </c>
      <c r="M11" s="339">
        <f>INPUT!M422</f>
        <v>6.1964373236686798</v>
      </c>
      <c r="N11" s="515">
        <f>INPUT!N422</f>
        <v>35.429999999999986</v>
      </c>
      <c r="O11" s="339">
        <f>INPUT!O422</f>
        <v>96.918763147346198</v>
      </c>
      <c r="P11" s="515">
        <f>INPUT!P422</f>
        <v>28.621000000000038</v>
      </c>
      <c r="Q11" s="339">
        <f>INPUT!Q422</f>
        <v>35.64816623314853</v>
      </c>
      <c r="R11" s="515">
        <f>INPUT!R422</f>
        <v>10.774999999999991</v>
      </c>
      <c r="S11" s="339">
        <f>INPUT!S422</f>
        <v>-11.65136110200079</v>
      </c>
      <c r="T11" s="515">
        <f>INPUT!T422</f>
        <v>34.09999999999998</v>
      </c>
      <c r="U11" s="339">
        <f>INPUT!U422</f>
        <v>3.9475689681450543</v>
      </c>
      <c r="V11" s="515">
        <f>INPUT!V422</f>
        <v>25.09999999999998</v>
      </c>
      <c r="W11" s="339">
        <f>INPUT!W422</f>
        <v>-29.156082416031637</v>
      </c>
      <c r="X11" s="515">
        <f>INPUT!X422</f>
        <v>30.699999999999985</v>
      </c>
      <c r="Y11" s="339">
        <f>INPUT!Y422</f>
        <v>7.263897138464559</v>
      </c>
      <c r="Z11" s="515">
        <f>INPUT!Z422</f>
        <v>21.499999999999993</v>
      </c>
      <c r="AA11" s="339">
        <f>INPUT!AA422</f>
        <v>99.535962877030258</v>
      </c>
      <c r="AB11" s="515">
        <f>INPUT!AB422</f>
        <v>39.600000000000009</v>
      </c>
      <c r="AC11" s="339">
        <f>INPUT!AC422</f>
        <v>16.129032258064612</v>
      </c>
      <c r="AD11" s="515">
        <f>INPUT!AD422</f>
        <v>37.76</v>
      </c>
      <c r="AE11" s="339">
        <f>INPUT!AE422</f>
        <v>50.438247011952299</v>
      </c>
      <c r="AF11" s="516">
        <f>INPUT!AF422</f>
        <v>57.5</v>
      </c>
      <c r="AG11" s="339">
        <f>INPUT!AG422</f>
        <v>87.296416938110838</v>
      </c>
      <c r="AH11" s="516">
        <f>INPUT!AH422</f>
        <v>42.109999999999992</v>
      </c>
      <c r="AI11" s="339">
        <f>INPUT!AI422</f>
        <v>95.860465116279101</v>
      </c>
      <c r="AJ11" s="516">
        <f>INPUT!AJ422</f>
        <v>38.599999999999987</v>
      </c>
      <c r="AK11" s="339">
        <f>INPUT!AK422</f>
        <v>-2.5252525252525748</v>
      </c>
      <c r="AL11" s="516">
        <f>INPUT!AL422</f>
        <v>46.79999999999999</v>
      </c>
      <c r="AM11" s="339">
        <f>INPUT!AM422</f>
        <v>23.940677966101664</v>
      </c>
      <c r="AN11" s="516">
        <f>INPUT!AN422</f>
        <v>23.799999999999994</v>
      </c>
      <c r="AO11" s="339" t="str">
        <f>INPUT!AO422</f>
        <v>NM</v>
      </c>
      <c r="AP11" s="516">
        <f>INPUT!AP422</f>
        <v>23.099999999999998</v>
      </c>
      <c r="AQ11" s="339">
        <f>INPUT!AQ422</f>
        <v>-45.143671336974592</v>
      </c>
      <c r="AR11" s="516">
        <f>INPUT!AR422</f>
        <v>33.800000000000011</v>
      </c>
      <c r="AS11" s="339">
        <f>INPUT!AS422</f>
        <v>-12.435233160621706</v>
      </c>
      <c r="AT11" s="516">
        <f>INPUT!AT422</f>
        <v>23.500000000000011</v>
      </c>
      <c r="AU11" s="339">
        <f>INPUT!AU422</f>
        <v>-49.786324786324755</v>
      </c>
      <c r="AV11" s="516">
        <f>INPUT!AV422</f>
        <v>30.899999999999991</v>
      </c>
      <c r="AW11" s="339">
        <f>INPUT!AW422</f>
        <v>29.831932773109248</v>
      </c>
      <c r="AX11" s="516">
        <f>INPUT!AX422</f>
        <v>11.600000000000009</v>
      </c>
      <c r="AY11" s="339">
        <f>INPUT!AY422</f>
        <v>-49.783549783549738</v>
      </c>
      <c r="AZ11" s="516">
        <f>INPUT!AZ422</f>
        <v>26</v>
      </c>
      <c r="BA11" s="339">
        <f>INPUT!BA422</f>
        <v>-23.076923076923105</v>
      </c>
      <c r="BB11" s="516">
        <f>INPUT!BB422</f>
        <v>32.000000000000014</v>
      </c>
      <c r="BC11" s="339">
        <f>INPUT!BC422</f>
        <v>36.170212765957444</v>
      </c>
      <c r="BD11" s="516">
        <f>INPUT!BD422</f>
        <v>29</v>
      </c>
      <c r="BE11" s="339">
        <f>INPUT!BE422</f>
        <v>-6.1488673139158294</v>
      </c>
      <c r="BF11" s="516">
        <f>INPUT!BF422</f>
        <v>16.884465653513402</v>
      </c>
      <c r="BG11" s="339">
        <f>INPUT!BG422</f>
        <v>45.555738392356801</v>
      </c>
      <c r="BH11" s="516">
        <f>INPUT!BH422</f>
        <v>33.501306462761917</v>
      </c>
      <c r="BI11" s="339">
        <f>INPUT!BI422</f>
        <v>28.851178702930458</v>
      </c>
      <c r="BJ11" s="516">
        <f>INPUT!BJ422</f>
        <v>36.909836447959435</v>
      </c>
      <c r="BK11" s="339">
        <f>INPUT!BK422</f>
        <v>15.343238899873191</v>
      </c>
      <c r="BL11" s="516">
        <f>INPUT!BL422</f>
        <v>32.247343876921292</v>
      </c>
      <c r="BM11" s="339">
        <f>INPUT!BM422</f>
        <v>11.197737506625138</v>
      </c>
      <c r="BN11" s="347"/>
      <c r="BO11" s="515">
        <f>INPUT!BU422</f>
        <v>83.318450509999991</v>
      </c>
      <c r="BP11" s="340">
        <f>INPUT!BV422</f>
        <v>-0.81136844047613454</v>
      </c>
      <c r="BQ11" s="515">
        <f>INPUT!BW422</f>
        <v>109.05199999999988</v>
      </c>
      <c r="BR11" s="340">
        <f>INPUT!BX422</f>
        <v>30.885775398465086</v>
      </c>
      <c r="BS11" s="515">
        <f>INPUT!BY422</f>
        <v>100.67500000000008</v>
      </c>
      <c r="BT11" s="340">
        <f>INPUT!BZ422</f>
        <v>-7.6816564574696544</v>
      </c>
      <c r="BU11" s="515">
        <f>INPUT!CA422</f>
        <v>156.35999999999987</v>
      </c>
      <c r="BV11" s="340">
        <f>INPUT!CB422</f>
        <v>55.311646386888256</v>
      </c>
      <c r="BW11" s="515">
        <f>INPUT!CC422</f>
        <v>151.30999999999992</v>
      </c>
      <c r="BX11" s="340">
        <f>INPUT!CD422</f>
        <v>-3.2297262727039922</v>
      </c>
      <c r="BY11" s="515">
        <f>INPUT!CE422</f>
        <v>111.30000000000001</v>
      </c>
      <c r="BZ11" s="340">
        <f>INPUT!CF422</f>
        <v>-26.442403013680472</v>
      </c>
      <c r="CA11" s="515">
        <f>INPUT!CG422</f>
        <v>98.60000000000008</v>
      </c>
      <c r="CB11" s="340">
        <f>INPUT!CH422</f>
        <v>-11.410601976639645</v>
      </c>
      <c r="CC11" s="515">
        <f>INPUT!CI422</f>
        <v>119.54295244115605</v>
      </c>
      <c r="CD11" s="340">
        <f>INPUT!CJ422</f>
        <v>21.240316877440101</v>
      </c>
      <c r="CE11" s="515">
        <f>INPUT!CK422</f>
        <v>127.59095869892695</v>
      </c>
      <c r="CF11" s="340">
        <f>INPUT!CL422</f>
        <v>6.7323134433478815</v>
      </c>
      <c r="CG11" s="515">
        <f>INPUT!CM422</f>
        <v>130.03756043703845</v>
      </c>
      <c r="CH11" s="340">
        <f>INPUT!CN422</f>
        <v>1.917535351297639</v>
      </c>
      <c r="CI11" s="515">
        <f>INPUT!CO422</f>
        <v>132.45070490350696</v>
      </c>
      <c r="CJ11" s="340">
        <f>INPUT!CP422</f>
        <v>1.8557288050915943</v>
      </c>
      <c r="CK11" s="515">
        <f>INPUT!CQ422</f>
        <v>134.82208720827538</v>
      </c>
      <c r="CL11" s="340">
        <f>INPUT!CR422</f>
        <v>1.7903885875851122</v>
      </c>
      <c r="CM11" s="610">
        <f>INPUT!CS422</f>
        <v>6.4576380271017753</v>
      </c>
    </row>
    <row r="12" spans="1:162" s="300" customFormat="1" ht="11.25" customHeight="1" x14ac:dyDescent="0.2">
      <c r="A12" s="611" t="s">
        <v>246</v>
      </c>
      <c r="B12" s="517">
        <f>INPUT!B669</f>
        <v>251.22695524</v>
      </c>
      <c r="C12" s="517"/>
      <c r="D12" s="517">
        <f>INPUT!D669</f>
        <v>317.06286680000017</v>
      </c>
      <c r="E12" s="517"/>
      <c r="F12" s="517">
        <f>INPUT!F669</f>
        <v>252.00319100999991</v>
      </c>
      <c r="G12" s="517"/>
      <c r="H12" s="517">
        <f>INPUT!H669</f>
        <v>155.59043746000006</v>
      </c>
      <c r="I12" s="517"/>
      <c r="J12" s="517">
        <f>INPUT!J669</f>
        <v>241.53999999999982</v>
      </c>
      <c r="K12" s="339">
        <f>INPUT!K669</f>
        <v>-3.8558582341397751</v>
      </c>
      <c r="L12" s="517">
        <f>INPUT!L669</f>
        <v>279.01700000000005</v>
      </c>
      <c r="M12" s="339">
        <f>INPUT!M669</f>
        <v>-11.999471014686513</v>
      </c>
      <c r="N12" s="517">
        <f>INPUT!N669</f>
        <v>295.03900000000004</v>
      </c>
      <c r="O12" s="339">
        <f>INPUT!O669</f>
        <v>17.077485732429643</v>
      </c>
      <c r="P12" s="517">
        <f>INPUT!P669</f>
        <v>277.11300000000017</v>
      </c>
      <c r="Q12" s="339">
        <f>INPUT!Q669</f>
        <v>78.104133212712185</v>
      </c>
      <c r="R12" s="517">
        <f>INPUT!R669</f>
        <v>265</v>
      </c>
      <c r="S12" s="339">
        <f>INPUT!S669</f>
        <v>9.7126769893186129</v>
      </c>
      <c r="T12" s="517">
        <f>INPUT!T669</f>
        <v>291.58200000000005</v>
      </c>
      <c r="U12" s="339">
        <f>INPUT!U669</f>
        <v>4.5033098341678013</v>
      </c>
      <c r="V12" s="517">
        <f>INPUT!V669</f>
        <v>306.69999999999993</v>
      </c>
      <c r="W12" s="339">
        <f>INPUT!W669</f>
        <v>3.9523588406956023</v>
      </c>
      <c r="X12" s="517">
        <f>INPUT!X669</f>
        <v>323.59999999999997</v>
      </c>
      <c r="Y12" s="339">
        <f>INPUT!Y669</f>
        <v>16.775467047738559</v>
      </c>
      <c r="Z12" s="517">
        <f>INPUT!Z669</f>
        <v>287.30000000000018</v>
      </c>
      <c r="AA12" s="339">
        <f>INPUT!AA669</f>
        <v>8.4150943396227085</v>
      </c>
      <c r="AB12" s="517">
        <f>INPUT!AB669</f>
        <v>345.7000000000001</v>
      </c>
      <c r="AC12" s="339">
        <f>INPUT!AC669</f>
        <v>18.560130597910728</v>
      </c>
      <c r="AD12" s="517">
        <f>INPUT!AD669</f>
        <v>325.3</v>
      </c>
      <c r="AE12" s="339">
        <f>INPUT!AE669</f>
        <v>6.0645582001956688</v>
      </c>
      <c r="AF12" s="517">
        <f>INPUT!AF669</f>
        <v>395.39999999999992</v>
      </c>
      <c r="AG12" s="339">
        <f>INPUT!AG669</f>
        <v>22.187886279357215</v>
      </c>
      <c r="AH12" s="517">
        <f>INPUT!AH669</f>
        <v>318.97000000000003</v>
      </c>
      <c r="AI12" s="339">
        <f>INPUT!AI669</f>
        <v>11.023320570831817</v>
      </c>
      <c r="AJ12" s="517">
        <f>INPUT!AJ669</f>
        <v>318.8</v>
      </c>
      <c r="AK12" s="339">
        <f>INPUT!AK669</f>
        <v>-7.7813132774081861</v>
      </c>
      <c r="AL12" s="517">
        <f>INPUT!AL669</f>
        <v>303.19999999999993</v>
      </c>
      <c r="AM12" s="339">
        <f>INPUT!AM669</f>
        <v>-6.7937288656624855</v>
      </c>
      <c r="AN12" s="517">
        <f>INPUT!AN669</f>
        <v>319.50000000000006</v>
      </c>
      <c r="AO12" s="339">
        <f>INPUT!AO669</f>
        <v>-19.195751138087978</v>
      </c>
      <c r="AP12" s="517">
        <f>INPUT!AP669</f>
        <v>196.69999999999985</v>
      </c>
      <c r="AQ12" s="339">
        <f>INPUT!AQ669</f>
        <v>-38.332758566636414</v>
      </c>
      <c r="AR12" s="517">
        <f>INPUT!AR669</f>
        <v>261.57058823529405</v>
      </c>
      <c r="AS12" s="339">
        <f>INPUT!AS669</f>
        <v>-17.951509336482417</v>
      </c>
      <c r="AT12" s="517">
        <f>INPUT!AT669</f>
        <v>247.1999999999999</v>
      </c>
      <c r="AU12" s="339">
        <f>INPUT!AU669</f>
        <v>-18.469656992084449</v>
      </c>
      <c r="AV12" s="517">
        <f>INPUT!AV669</f>
        <v>280.69999999999993</v>
      </c>
      <c r="AW12" s="339">
        <f>INPUT!AW669</f>
        <v>-12.143974960876402</v>
      </c>
      <c r="AX12" s="517">
        <f>INPUT!AX669</f>
        <v>227.99999999999983</v>
      </c>
      <c r="AY12" s="339">
        <f>INPUT!AY669</f>
        <v>15.912557193695998</v>
      </c>
      <c r="AZ12" s="517">
        <f>INPUT!AZ669</f>
        <v>282.49999999999989</v>
      </c>
      <c r="BA12" s="339">
        <f>INPUT!BA669</f>
        <v>8.001439269570664</v>
      </c>
      <c r="BB12" s="517">
        <f>INPUT!BB669</f>
        <v>284.20000000000005</v>
      </c>
      <c r="BC12" s="339">
        <f>INPUT!BC669</f>
        <v>14.967637540453138</v>
      </c>
      <c r="BD12" s="517">
        <f>INPUT!BD669</f>
        <v>303.19999999999993</v>
      </c>
      <c r="BE12" s="339">
        <f>INPUT!BE669</f>
        <v>8.0156750979693658</v>
      </c>
      <c r="BF12" s="517">
        <f>INPUT!BF669</f>
        <v>260.91592862875552</v>
      </c>
      <c r="BG12" s="339">
        <f>INPUT!BG669</f>
        <v>14.43681080208583</v>
      </c>
      <c r="BH12" s="517">
        <f>INPUT!BH669</f>
        <v>294.40032272784299</v>
      </c>
      <c r="BI12" s="339">
        <f>INPUT!BI669</f>
        <v>4.2125036204754274</v>
      </c>
      <c r="BJ12" s="517">
        <f>INPUT!BJ669</f>
        <v>296.29061969113837</v>
      </c>
      <c r="BK12" s="339">
        <f>INPUT!BK669</f>
        <v>4.2542644937151097</v>
      </c>
      <c r="BL12" s="517">
        <f>INPUT!BL669</f>
        <v>301.30401841016374</v>
      </c>
      <c r="BM12" s="339">
        <f>INPUT!BM669</f>
        <v>-0.62532374334967056</v>
      </c>
      <c r="BN12" s="350"/>
      <c r="BO12" s="517">
        <f>INPUT!BU669</f>
        <v>975.88345050999942</v>
      </c>
      <c r="BP12" s="340">
        <f>INPUT!BV669</f>
        <v>14.218568645833219</v>
      </c>
      <c r="BQ12" s="517">
        <f>INPUT!BW669</f>
        <v>1092.7090000000003</v>
      </c>
      <c r="BR12" s="340">
        <f>INPUT!BX669</f>
        <v>11.971260443954401</v>
      </c>
      <c r="BS12" s="517">
        <f>INPUT!BY669</f>
        <v>1186.8820000000003</v>
      </c>
      <c r="BT12" s="340">
        <f>INPUT!BZ669</f>
        <v>8.6183055140938603</v>
      </c>
      <c r="BU12" s="517">
        <f>INPUT!CA669</f>
        <v>1353.7000000000003</v>
      </c>
      <c r="BV12" s="340">
        <f>INPUT!CB669</f>
        <v>14.055146172913568</v>
      </c>
      <c r="BW12" s="517">
        <f>INPUT!CC669</f>
        <v>1260.47</v>
      </c>
      <c r="BX12" s="340">
        <f>INPUT!CD669</f>
        <v>-6.8870503065671995</v>
      </c>
      <c r="BY12" s="517">
        <f>INPUT!CE669</f>
        <v>986.17058823529419</v>
      </c>
      <c r="BZ12" s="340">
        <f>INPUT!CF669</f>
        <v>-21.761677133506218</v>
      </c>
      <c r="CA12" s="517">
        <f>INPUT!CG669</f>
        <v>1097.9000000000001</v>
      </c>
      <c r="CB12" s="340">
        <f>INPUT!CH669</f>
        <v>11.329623200854178</v>
      </c>
      <c r="CC12" s="517">
        <f>INPUT!CI669</f>
        <v>1152.9108894579006</v>
      </c>
      <c r="CD12" s="340">
        <f>INPUT!CJ669</f>
        <v>5.0105555567811599</v>
      </c>
      <c r="CE12" s="517">
        <f>INPUT!CK669</f>
        <v>1201.1782067360518</v>
      </c>
      <c r="CF12" s="340">
        <f>INPUT!CL669</f>
        <v>4.186560966636943</v>
      </c>
      <c r="CG12" s="517">
        <f>INPUT!CM669</f>
        <v>1247.1799693054431</v>
      </c>
      <c r="CH12" s="340">
        <f>INPUT!CN669</f>
        <v>3.8297200458199621</v>
      </c>
      <c r="CI12" s="517">
        <f>INPUT!CO669</f>
        <v>1292.1206649492401</v>
      </c>
      <c r="CJ12" s="340">
        <f>INPUT!CP669</f>
        <v>3.6033849764941728</v>
      </c>
      <c r="CK12" s="517">
        <f>INPUT!CQ669</f>
        <v>1336.6261181310085</v>
      </c>
      <c r="CL12" s="340">
        <f>INPUT!CR669</f>
        <v>3.4443728352194336</v>
      </c>
      <c r="CM12" s="610">
        <f>INPUT!CS669</f>
        <v>4.0134332288120467</v>
      </c>
    </row>
    <row r="13" spans="1:162" s="300" customFormat="1" ht="11.25" customHeight="1" x14ac:dyDescent="0.2">
      <c r="A13" s="612" t="s">
        <v>186</v>
      </c>
      <c r="B13" s="515">
        <f>INPUT!B443</f>
        <v>-44.3</v>
      </c>
      <c r="C13" s="515"/>
      <c r="D13" s="515">
        <f>INPUT!D443</f>
        <v>-69.099999999999994</v>
      </c>
      <c r="E13" s="515"/>
      <c r="F13" s="515">
        <f>INPUT!F443</f>
        <v>-20.800000000000004</v>
      </c>
      <c r="G13" s="515"/>
      <c r="H13" s="515">
        <f>INPUT!H443</f>
        <v>-27.099999999999994</v>
      </c>
      <c r="I13" s="515"/>
      <c r="J13" s="515">
        <f>INPUT!J443</f>
        <v>-48.4</v>
      </c>
      <c r="K13" s="339">
        <f>INPUT!K443</f>
        <v>9.2550790067720037</v>
      </c>
      <c r="L13" s="515">
        <f>INPUT!L443</f>
        <v>-32.700000000000003</v>
      </c>
      <c r="M13" s="339" t="str">
        <f>INPUT!M443</f>
        <v>NM</v>
      </c>
      <c r="N13" s="515">
        <f>INPUT!N443</f>
        <v>-57.6</v>
      </c>
      <c r="O13" s="339" t="str">
        <f>INPUT!O443</f>
        <v>NM</v>
      </c>
      <c r="P13" s="515">
        <f>INPUT!P443</f>
        <v>-43.600000000000009</v>
      </c>
      <c r="Q13" s="339">
        <f>INPUT!Q443</f>
        <v>60.885608856088623</v>
      </c>
      <c r="R13" s="515">
        <f>INPUT!R443</f>
        <v>-50.1</v>
      </c>
      <c r="S13" s="339">
        <f>INPUT!S443</f>
        <v>3.512396694214881</v>
      </c>
      <c r="T13" s="515">
        <f>INPUT!T443</f>
        <v>-52.800000000000011</v>
      </c>
      <c r="U13" s="339">
        <f>INPUT!U443</f>
        <v>61.467889908256915</v>
      </c>
      <c r="V13" s="515">
        <f>INPUT!V443</f>
        <v>-63.699999999999996</v>
      </c>
      <c r="W13" s="339">
        <f>INPUT!W443</f>
        <v>10.590277777777768</v>
      </c>
      <c r="X13" s="515">
        <f>INPUT!X443</f>
        <v>-47.2</v>
      </c>
      <c r="Y13" s="339">
        <f>INPUT!Y443</f>
        <v>8.2568807339449499</v>
      </c>
      <c r="Z13" s="515">
        <f>INPUT!Z443</f>
        <v>-35.5</v>
      </c>
      <c r="AA13" s="339">
        <f>INPUT!AA443</f>
        <v>-29.141716566866272</v>
      </c>
      <c r="AB13" s="515">
        <f>INPUT!AB443</f>
        <v>-44.000000000000007</v>
      </c>
      <c r="AC13" s="339">
        <f>INPUT!AC443</f>
        <v>-16.666666666666675</v>
      </c>
      <c r="AD13" s="515">
        <f>INPUT!AD443</f>
        <v>-48.080000000000005</v>
      </c>
      <c r="AE13" s="339">
        <f>INPUT!AE443</f>
        <v>-24.521193092621651</v>
      </c>
      <c r="AF13" s="515">
        <f>INPUT!AF443</f>
        <v>-49.2</v>
      </c>
      <c r="AG13" s="339">
        <f>INPUT!AG443</f>
        <v>4.237288135593209</v>
      </c>
      <c r="AH13" s="515">
        <f>INPUT!AH443</f>
        <v>-48.28</v>
      </c>
      <c r="AI13" s="339">
        <f>INPUT!AI443</f>
        <v>36.000000000000007</v>
      </c>
      <c r="AJ13" s="515">
        <f>INPUT!AJ443</f>
        <v>-51.899999999999991</v>
      </c>
      <c r="AK13" s="339">
        <f>INPUT!AK443</f>
        <v>17.954545454545425</v>
      </c>
      <c r="AL13" s="515">
        <f>INPUT!AL443</f>
        <v>-75.400000000000006</v>
      </c>
      <c r="AM13" s="339">
        <f>INPUT!AM443</f>
        <v>56.82196339434276</v>
      </c>
      <c r="AN13" s="515">
        <f>INPUT!AN443</f>
        <v>-80</v>
      </c>
      <c r="AO13" s="339">
        <f>INPUT!AO443</f>
        <v>62.601626016260155</v>
      </c>
      <c r="AP13" s="515">
        <f>INPUT!AP443</f>
        <v>-102.5</v>
      </c>
      <c r="AQ13" s="339" t="str">
        <f>INPUT!AQ443</f>
        <v>NM</v>
      </c>
      <c r="AR13" s="515">
        <f>INPUT!AR443</f>
        <v>-108.2</v>
      </c>
      <c r="AS13" s="339" t="str">
        <f>INPUT!AS443</f>
        <v>NM</v>
      </c>
      <c r="AT13" s="515">
        <f>INPUT!AT443</f>
        <v>-107.6</v>
      </c>
      <c r="AU13" s="339">
        <f>INPUT!AU443</f>
        <v>42.705570291777171</v>
      </c>
      <c r="AV13" s="515">
        <f>INPUT!AV443</f>
        <v>-131.9</v>
      </c>
      <c r="AW13" s="339">
        <f>INPUT!AW443</f>
        <v>64.875000000000014</v>
      </c>
      <c r="AX13" s="515">
        <f>INPUT!AX443</f>
        <v>-95.1</v>
      </c>
      <c r="AY13" s="339">
        <f>INPUT!AY443</f>
        <v>-7.2195121951219576</v>
      </c>
      <c r="AZ13" s="515">
        <f>INPUT!AZ443</f>
        <v>-100.5</v>
      </c>
      <c r="BA13" s="339">
        <f>INPUT!BA443</f>
        <v>-7.1164510166358603</v>
      </c>
      <c r="BB13" s="515">
        <f>INPUT!BB443</f>
        <v>-110</v>
      </c>
      <c r="BC13" s="339">
        <f>INPUT!BC443</f>
        <v>2.2304832713754719</v>
      </c>
      <c r="BD13" s="515">
        <f>INPUT!BD443</f>
        <v>-88.699999999999989</v>
      </c>
      <c r="BE13" s="339">
        <f>INPUT!BE443</f>
        <v>-32.752084912812748</v>
      </c>
      <c r="BF13" s="515">
        <f>INPUT!BF443</f>
        <v>-78.5</v>
      </c>
      <c r="BG13" s="339">
        <f>INPUT!BG443</f>
        <v>-17.455310199789686</v>
      </c>
      <c r="BH13" s="515">
        <f>INPUT!BH443</f>
        <v>-81.5</v>
      </c>
      <c r="BI13" s="339">
        <f>INPUT!BI443</f>
        <v>-18.905472636815922</v>
      </c>
      <c r="BJ13" s="515">
        <f>INPUT!BJ443</f>
        <v>-70.352499999999992</v>
      </c>
      <c r="BK13" s="339">
        <f>INPUT!BK443</f>
        <v>-36.043181818181822</v>
      </c>
      <c r="BL13" s="515">
        <f>INPUT!BL443</f>
        <v>-65.352499999999992</v>
      </c>
      <c r="BM13" s="339">
        <f>INPUT!BM443</f>
        <v>-26.321871476888393</v>
      </c>
      <c r="BN13" s="347"/>
      <c r="BO13" s="515">
        <f>INPUT!BU443</f>
        <v>-161.29999999999995</v>
      </c>
      <c r="BP13" s="340" t="str">
        <f>INPUT!BV443</f>
        <v>NM</v>
      </c>
      <c r="BQ13" s="515">
        <f>INPUT!BW443</f>
        <v>-182.3</v>
      </c>
      <c r="BR13" s="340">
        <f>INPUT!BX443</f>
        <v>13.019218846869229</v>
      </c>
      <c r="BS13" s="515">
        <f>INPUT!BY443</f>
        <v>-213.79999999999998</v>
      </c>
      <c r="BT13" s="340">
        <f>INPUT!BZ443</f>
        <v>17.279210093252861</v>
      </c>
      <c r="BU13" s="515">
        <f>INPUT!CA443</f>
        <v>-176.78</v>
      </c>
      <c r="BV13" s="340">
        <f>INPUT!CB443</f>
        <v>-17.315247895229181</v>
      </c>
      <c r="BW13" s="515">
        <f>INPUT!CC443</f>
        <v>-255.58000000000004</v>
      </c>
      <c r="BX13" s="340">
        <v>-6.8796631454532076</v>
      </c>
      <c r="BY13" s="515">
        <f>INPUT!CE443</f>
        <v>-450.20000000000005</v>
      </c>
      <c r="BZ13" s="340">
        <f>INPUT!CF443</f>
        <v>76.148368416934019</v>
      </c>
      <c r="CA13" s="515">
        <f>INPUT!CG443</f>
        <v>-394.29999999999995</v>
      </c>
      <c r="CB13" s="340">
        <f>INPUT!CH443</f>
        <v>-12.416703687250131</v>
      </c>
      <c r="CC13" s="515">
        <f>INPUT!CI443</f>
        <v>-295.70500000000004</v>
      </c>
      <c r="CD13" s="340">
        <f>INPUT!CJ443</f>
        <v>-25.005072279989836</v>
      </c>
      <c r="CE13" s="515">
        <f>INPUT!CK443</f>
        <v>-232.40999999999997</v>
      </c>
      <c r="CF13" s="340">
        <f>INPUT!CL443</f>
        <v>-21.404778410916304</v>
      </c>
      <c r="CG13" s="515">
        <f>INPUT!CM443</f>
        <v>-232.72999999999996</v>
      </c>
      <c r="CH13" s="340">
        <f>INPUT!CN443</f>
        <v>0.13768770706938938</v>
      </c>
      <c r="CI13" s="515">
        <f>INPUT!CO443</f>
        <v>-233.05319999999998</v>
      </c>
      <c r="CJ13" s="340">
        <f>INPUT!CP443</f>
        <v>0.13887337257767474</v>
      </c>
      <c r="CK13" s="515">
        <f>INPUT!CQ443</f>
        <v>-233.37963199999996</v>
      </c>
      <c r="CL13" s="340">
        <f>INPUT!CR443</f>
        <v>0.14006758971769617</v>
      </c>
      <c r="CM13" s="610">
        <f>INPUT!CS443</f>
        <v>-9.9575642335450567</v>
      </c>
    </row>
    <row r="14" spans="1:162" s="300" customFormat="1" ht="11.25" customHeight="1" x14ac:dyDescent="0.2">
      <c r="A14" s="612" t="s">
        <v>221</v>
      </c>
      <c r="B14" s="515">
        <f>INPUT!B613</f>
        <v>15.6</v>
      </c>
      <c r="C14" s="515"/>
      <c r="D14" s="515">
        <f>INPUT!D613</f>
        <v>18.8</v>
      </c>
      <c r="E14" s="515"/>
      <c r="F14" s="515">
        <f>INPUT!F613</f>
        <v>20.900000000000002</v>
      </c>
      <c r="G14" s="515"/>
      <c r="H14" s="515">
        <f>INPUT!H613</f>
        <v>15</v>
      </c>
      <c r="I14" s="515"/>
      <c r="J14" s="515">
        <f>INPUT!J613</f>
        <v>24.29999999999999</v>
      </c>
      <c r="K14" s="339">
        <f>INPUT!K613</f>
        <v>55.769230769230703</v>
      </c>
      <c r="L14" s="515">
        <f>INPUT!L613</f>
        <v>39.800000000000004</v>
      </c>
      <c r="M14" s="339" t="str">
        <f>INPUT!M613</f>
        <v>NM</v>
      </c>
      <c r="N14" s="515">
        <f>INPUT!N613</f>
        <v>21.800000000000004</v>
      </c>
      <c r="O14" s="339">
        <f>INPUT!O613</f>
        <v>4.3062200956937913</v>
      </c>
      <c r="P14" s="515">
        <f>INPUT!P613</f>
        <v>23.800000000000004</v>
      </c>
      <c r="Q14" s="339">
        <f>INPUT!Q613</f>
        <v>58.666666666666686</v>
      </c>
      <c r="R14" s="515">
        <f>INPUT!R613</f>
        <v>21.4</v>
      </c>
      <c r="S14" s="339">
        <f>INPUT!S613</f>
        <v>-11.934156378600791</v>
      </c>
      <c r="T14" s="515">
        <f>INPUT!T613</f>
        <v>18</v>
      </c>
      <c r="U14" s="339" t="str">
        <f>INPUT!U613</f>
        <v>NM</v>
      </c>
      <c r="V14" s="515">
        <f>INPUT!V613</f>
        <v>14.499999999999993</v>
      </c>
      <c r="W14" s="339">
        <f>INPUT!W613</f>
        <v>-33.486238532110136</v>
      </c>
      <c r="X14" s="515">
        <f>INPUT!X613</f>
        <v>-3.3000000000000043</v>
      </c>
      <c r="Y14" s="339" t="str">
        <f>INPUT!Y613</f>
        <v>NM</v>
      </c>
      <c r="Z14" s="515">
        <f>INPUT!Z613</f>
        <v>0.89999999999999858</v>
      </c>
      <c r="AA14" s="339" t="str">
        <f>INPUT!AA613</f>
        <v>NM</v>
      </c>
      <c r="AB14" s="515">
        <f>INPUT!AB613</f>
        <v>10.5</v>
      </c>
      <c r="AC14" s="339">
        <f>INPUT!AC613</f>
        <v>-41.666666666666664</v>
      </c>
      <c r="AD14" s="515">
        <f>INPUT!AD613</f>
        <v>9.8699999999999974</v>
      </c>
      <c r="AE14" s="339">
        <f>INPUT!AE613</f>
        <v>-31.931034482758601</v>
      </c>
      <c r="AF14" s="515">
        <f>INPUT!AF613</f>
        <v>3.2000000000000006</v>
      </c>
      <c r="AG14" s="339" t="str">
        <f>INPUT!AG613</f>
        <v>NM</v>
      </c>
      <c r="AH14" s="515">
        <f>INPUT!AH613</f>
        <v>14.079999999999998</v>
      </c>
      <c r="AI14" s="339" t="str">
        <f>INPUT!AI613</f>
        <v>NM</v>
      </c>
      <c r="AJ14" s="515">
        <f>INPUT!AJ613</f>
        <v>4</v>
      </c>
      <c r="AK14" s="339" t="str">
        <f>INPUT!AK613</f>
        <v>NM</v>
      </c>
      <c r="AL14" s="515">
        <f>INPUT!AL613</f>
        <v>2.5999999999999996</v>
      </c>
      <c r="AM14" s="339" t="str">
        <f>INPUT!AM613</f>
        <v>NM</v>
      </c>
      <c r="AN14" s="515">
        <f>INPUT!AN613</f>
        <v>2</v>
      </c>
      <c r="AO14" s="339">
        <f>INPUT!AO613</f>
        <v>-37.500000000000014</v>
      </c>
      <c r="AP14" s="515">
        <f>INPUT!AP613</f>
        <v>3.7999999999999989</v>
      </c>
      <c r="AQ14" s="339" t="str">
        <f>INPUT!AQ613</f>
        <v>NM</v>
      </c>
      <c r="AR14" s="515">
        <f>INPUT!AR613</f>
        <v>1.9000000000000004</v>
      </c>
      <c r="AS14" s="339" t="str">
        <f>INPUT!AS613</f>
        <v>NM</v>
      </c>
      <c r="AT14" s="515">
        <f>INPUT!AT613</f>
        <v>-6.9</v>
      </c>
      <c r="AU14" s="339" t="str">
        <f>INPUT!AU613</f>
        <v>NM</v>
      </c>
      <c r="AV14" s="515">
        <f>INPUT!AV613</f>
        <v>0</v>
      </c>
      <c r="AW14" s="339" t="str">
        <f>INPUT!AW613</f>
        <v>NM</v>
      </c>
      <c r="AX14" s="515">
        <f>INPUT!AX613</f>
        <v>0</v>
      </c>
      <c r="AY14" s="339">
        <f>INPUT!AY613</f>
        <v>0</v>
      </c>
      <c r="AZ14" s="515">
        <f>INPUT!AZ613</f>
        <v>0</v>
      </c>
      <c r="BA14" s="339">
        <f>INPUT!BA613</f>
        <v>0</v>
      </c>
      <c r="BB14" s="515">
        <f>INPUT!BB613</f>
        <v>0</v>
      </c>
      <c r="BC14" s="339">
        <f>INPUT!BC613</f>
        <v>0</v>
      </c>
      <c r="BD14" s="515">
        <f>INPUT!BD613</f>
        <v>0</v>
      </c>
      <c r="BE14" s="339">
        <f>INPUT!BE613</f>
        <v>0</v>
      </c>
      <c r="BF14" s="515">
        <f>INPUT!BF613</f>
        <v>0</v>
      </c>
      <c r="BG14" s="339">
        <f>INPUT!BG613</f>
        <v>0</v>
      </c>
      <c r="BH14" s="515">
        <f>INPUT!BH613</f>
        <v>0</v>
      </c>
      <c r="BI14" s="339">
        <f>INPUT!BI613</f>
        <v>0</v>
      </c>
      <c r="BJ14" s="515">
        <f>INPUT!BJ613</f>
        <v>0</v>
      </c>
      <c r="BK14" s="339">
        <f>INPUT!BK613</f>
        <v>0</v>
      </c>
      <c r="BL14" s="515">
        <f>INPUT!BL613</f>
        <v>0</v>
      </c>
      <c r="BM14" s="339">
        <f>INPUT!BM613</f>
        <v>0</v>
      </c>
      <c r="BN14" s="347"/>
      <c r="BO14" s="515">
        <f>INPUT!BU613</f>
        <v>70.300000000000011</v>
      </c>
      <c r="BP14" s="340" t="str">
        <f>INPUT!BV613</f>
        <v>NM</v>
      </c>
      <c r="BQ14" s="515">
        <f>INPUT!BW613</f>
        <v>109.69999999999999</v>
      </c>
      <c r="BR14" s="340">
        <f>INPUT!BX613</f>
        <v>56.045519203413896</v>
      </c>
      <c r="BS14" s="515">
        <f>INPUT!BY613</f>
        <v>50.600000000000009</v>
      </c>
      <c r="BT14" s="340" t="str">
        <f>INPUT!BZ613</f>
        <v>NM</v>
      </c>
      <c r="BU14" s="515">
        <f>INPUT!CA613</f>
        <v>24.470000000000017</v>
      </c>
      <c r="BV14" s="340" t="str">
        <f>INPUT!CB613</f>
        <v>NM</v>
      </c>
      <c r="BW14" s="515">
        <f>INPUT!CC613</f>
        <v>22.679999999999993</v>
      </c>
      <c r="BX14" s="340">
        <f>INPUT!CD613</f>
        <v>-7.315079689415704</v>
      </c>
      <c r="BY14" s="515">
        <f>INPUT!CE613</f>
        <v>-1.1999999999999957</v>
      </c>
      <c r="BZ14" s="340">
        <f>INPUT!CF613</f>
        <v>0</v>
      </c>
      <c r="CA14" s="515">
        <f>INPUT!CG613</f>
        <v>0</v>
      </c>
      <c r="CB14" s="340">
        <f>INPUT!CH613</f>
        <v>0</v>
      </c>
      <c r="CC14" s="515">
        <f>INPUT!CI613</f>
        <v>0</v>
      </c>
      <c r="CD14" s="340">
        <f>INPUT!CJ613</f>
        <v>0</v>
      </c>
      <c r="CE14" s="515">
        <f>INPUT!CK613</f>
        <v>0</v>
      </c>
      <c r="CF14" s="340">
        <f>INPUT!CL613</f>
        <v>0</v>
      </c>
      <c r="CG14" s="515">
        <f>INPUT!CM613</f>
        <v>0</v>
      </c>
      <c r="CH14" s="340">
        <f>INPUT!CN613</f>
        <v>0</v>
      </c>
      <c r="CI14" s="515">
        <f>INPUT!CO613</f>
        <v>0</v>
      </c>
      <c r="CJ14" s="340">
        <f>INPUT!CP613</f>
        <v>0</v>
      </c>
      <c r="CK14" s="515">
        <f>INPUT!CQ613</f>
        <v>0</v>
      </c>
      <c r="CL14" s="340">
        <f>INPUT!CR613</f>
        <v>0</v>
      </c>
      <c r="CM14" s="610">
        <f>INPUT!CS613</f>
        <v>0</v>
      </c>
    </row>
    <row r="15" spans="1:162" s="300" customFormat="1" ht="11.25" customHeight="1" x14ac:dyDescent="0.2">
      <c r="A15" s="607" t="s">
        <v>248</v>
      </c>
      <c r="B15" s="517">
        <f>INPUT!B672</f>
        <v>222.52695523999998</v>
      </c>
      <c r="C15" s="517"/>
      <c r="D15" s="517">
        <f>INPUT!D672</f>
        <v>266.76286680000015</v>
      </c>
      <c r="E15" s="517"/>
      <c r="F15" s="517">
        <f>INPUT!F672</f>
        <v>252.1031910099999</v>
      </c>
      <c r="G15" s="517"/>
      <c r="H15" s="517">
        <f>INPUT!H672</f>
        <v>143.49043746000007</v>
      </c>
      <c r="I15" s="517"/>
      <c r="J15" s="517">
        <f>INPUT!J672</f>
        <v>217.4399999999998</v>
      </c>
      <c r="K15" s="339">
        <f>INPUT!K672</f>
        <v>-2.2859950761981995</v>
      </c>
      <c r="L15" s="517">
        <f>INPUT!L672</f>
        <v>286.11700000000008</v>
      </c>
      <c r="M15" s="339">
        <f>INPUT!M672</f>
        <v>7.2551826392352803</v>
      </c>
      <c r="N15" s="517">
        <f>INPUT!N672</f>
        <v>259.23900000000003</v>
      </c>
      <c r="O15" s="339">
        <f>INPUT!O672</f>
        <v>2.8305111733857746</v>
      </c>
      <c r="P15" s="517">
        <f>INPUT!P672</f>
        <v>257.31300000000016</v>
      </c>
      <c r="Q15" s="339">
        <f>INPUT!Q672</f>
        <v>79.324144908074246</v>
      </c>
      <c r="R15" s="517">
        <f>INPUT!R672</f>
        <v>236.3</v>
      </c>
      <c r="S15" s="339">
        <f>INPUT!S672</f>
        <v>8.6736571008095176</v>
      </c>
      <c r="T15" s="517">
        <f>INPUT!T672</f>
        <v>256.78200000000004</v>
      </c>
      <c r="U15" s="339">
        <f>INPUT!U672</f>
        <v>-10.252798680260177</v>
      </c>
      <c r="V15" s="517">
        <f>INPUT!V672</f>
        <v>257.49999999999994</v>
      </c>
      <c r="W15" s="339">
        <f>INPUT!W672</f>
        <v>-0.67080956183294127</v>
      </c>
      <c r="X15" s="517">
        <f>INPUT!X672</f>
        <v>273.09999999999997</v>
      </c>
      <c r="Y15" s="339">
        <f>INPUT!Y672</f>
        <v>6.135329345971563</v>
      </c>
      <c r="Z15" s="517">
        <f>INPUT!Z672</f>
        <v>252.70000000000019</v>
      </c>
      <c r="AA15" s="339">
        <f>INPUT!AA672</f>
        <v>6.9403300888701613</v>
      </c>
      <c r="AB15" s="517">
        <f>INPUT!AB672</f>
        <v>312.2000000000001</v>
      </c>
      <c r="AC15" s="339">
        <f>INPUT!AC672</f>
        <v>21.581730806676489</v>
      </c>
      <c r="AD15" s="517">
        <f>INPUT!AD672</f>
        <v>287.09000000000003</v>
      </c>
      <c r="AE15" s="339">
        <f>INPUT!AE672</f>
        <v>11.491262135922376</v>
      </c>
      <c r="AF15" s="517">
        <f>INPUT!AF672</f>
        <v>349.39999999999992</v>
      </c>
      <c r="AG15" s="339">
        <f>INPUT!AG672</f>
        <v>27.938484071768578</v>
      </c>
      <c r="AH15" s="517">
        <f>INPUT!AH672</f>
        <v>284.77000000000004</v>
      </c>
      <c r="AI15" s="339">
        <f>INPUT!AI672</f>
        <v>12.690937870993203</v>
      </c>
      <c r="AJ15" s="517">
        <f>INPUT!AJ672</f>
        <v>270.90000000000003</v>
      </c>
      <c r="AK15" s="339">
        <f>INPUT!AK672</f>
        <v>-13.228699551569523</v>
      </c>
      <c r="AL15" s="517">
        <f>INPUT!AL672</f>
        <v>230.39999999999992</v>
      </c>
      <c r="AM15" s="339">
        <f>INPUT!AM672</f>
        <v>-19.746420982967049</v>
      </c>
      <c r="AN15" s="517">
        <f>INPUT!AN672</f>
        <v>241.50000000000006</v>
      </c>
      <c r="AO15" s="339">
        <f>INPUT!AO672</f>
        <v>-30.881511161991959</v>
      </c>
      <c r="AP15" s="517">
        <f>INPUT!AP672</f>
        <v>97.999999999999844</v>
      </c>
      <c r="AQ15" s="339" t="str">
        <f>INPUT!AQ672</f>
        <v>NM</v>
      </c>
      <c r="AR15" s="517">
        <f>INPUT!AR672</f>
        <v>155.27058823529407</v>
      </c>
      <c r="AS15" s="339">
        <f>INPUT!AS672</f>
        <v>-42.683429961131772</v>
      </c>
      <c r="AT15" s="517">
        <f>INPUT!AT672</f>
        <v>132.6999999999999</v>
      </c>
      <c r="AU15" s="339">
        <f>INPUT!AU672</f>
        <v>-42.404513888888907</v>
      </c>
      <c r="AV15" s="517">
        <f>INPUT!AV672</f>
        <v>148.79999999999993</v>
      </c>
      <c r="AW15" s="339">
        <f>INPUT!AW672</f>
        <v>-38.38509316770191</v>
      </c>
      <c r="AX15" s="517">
        <f>INPUT!AX672</f>
        <v>132.89999999999984</v>
      </c>
      <c r="AY15" s="339">
        <f>INPUT!AY672</f>
        <v>35.612244897959222</v>
      </c>
      <c r="AZ15" s="517">
        <f>INPUT!AZ672</f>
        <v>181.99999999999989</v>
      </c>
      <c r="BA15" s="339">
        <f>INPUT!BA672</f>
        <v>17.214729504470338</v>
      </c>
      <c r="BB15" s="517">
        <f>INPUT!BB672</f>
        <v>174.20000000000005</v>
      </c>
      <c r="BC15" s="339">
        <f>INPUT!BC672</f>
        <v>31.27354935945754</v>
      </c>
      <c r="BD15" s="517">
        <f>INPUT!BD672</f>
        <v>214.49999999999994</v>
      </c>
      <c r="BE15" s="339">
        <f>INPUT!BE672</f>
        <v>44.153225806451644</v>
      </c>
      <c r="BF15" s="517">
        <f>INPUT!BF672</f>
        <v>182.41592862875552</v>
      </c>
      <c r="BG15" s="339">
        <f>INPUT!BG672</f>
        <v>37.258035085594997</v>
      </c>
      <c r="BH15" s="517">
        <f>INPUT!BH672</f>
        <v>212.90032272784299</v>
      </c>
      <c r="BI15" s="339">
        <f>INPUT!BI672</f>
        <v>16.978199301012697</v>
      </c>
      <c r="BJ15" s="517">
        <f>INPUT!BJ672</f>
        <v>225.93811969113838</v>
      </c>
      <c r="BK15" s="339">
        <f>INPUT!BK672</f>
        <v>29.700413140722336</v>
      </c>
      <c r="BL15" s="517">
        <f>INPUT!BL672</f>
        <v>235.95151841016374</v>
      </c>
      <c r="BM15" s="339">
        <f>INPUT!BM672</f>
        <v>10.00070788352625</v>
      </c>
      <c r="BN15" s="350"/>
      <c r="BO15" s="517">
        <f>INPUT!BU672</f>
        <v>884.88345050999942</v>
      </c>
      <c r="BP15" s="340">
        <f>INPUT!BV672</f>
        <v>98.939624665017732</v>
      </c>
      <c r="BQ15" s="517">
        <f>INPUT!BW672</f>
        <v>1020.1090000000004</v>
      </c>
      <c r="BR15" s="340">
        <f>INPUT!BX672</f>
        <v>15.281735624286362</v>
      </c>
      <c r="BS15" s="517">
        <f>INPUT!BY672</f>
        <v>1023.6820000000004</v>
      </c>
      <c r="BT15" s="340">
        <f>INPUT!BZ672</f>
        <v>0.35025668825585665</v>
      </c>
      <c r="BU15" s="517">
        <f>INPUT!CA672</f>
        <v>1201.3900000000003</v>
      </c>
      <c r="BV15" s="340">
        <f>INPUT!CB672</f>
        <v>17.359687871819563</v>
      </c>
      <c r="BW15" s="517">
        <f>INPUT!CC672</f>
        <v>1027.57</v>
      </c>
      <c r="BX15" s="340">
        <f>INPUT!CD672</f>
        <v>-14.468240954228051</v>
      </c>
      <c r="BY15" s="517">
        <f>INPUT!CE672</f>
        <v>534.7705882352941</v>
      </c>
      <c r="BZ15" s="340">
        <f>INPUT!CF672</f>
        <v>-47.957746116051055</v>
      </c>
      <c r="CA15" s="517">
        <f>INPUT!CG672</f>
        <v>703.60000000000014</v>
      </c>
      <c r="CB15" s="340">
        <f>INPUT!CH672</f>
        <v>31.570437020822585</v>
      </c>
      <c r="CC15" s="517">
        <f>INPUT!CI672</f>
        <v>857.20588945790053</v>
      </c>
      <c r="CD15" s="340">
        <f>INPUT!CJ672</f>
        <v>21.831422606296247</v>
      </c>
      <c r="CE15" s="517">
        <f>INPUT!CK672</f>
        <v>968.76820673605187</v>
      </c>
      <c r="CF15" s="340">
        <f>INPUT!CL672</f>
        <v>13.014646615261082</v>
      </c>
      <c r="CG15" s="517">
        <f>INPUT!CM672</f>
        <v>1014.4499693054431</v>
      </c>
      <c r="CH15" s="340">
        <f>INPUT!CN672</f>
        <v>4.7154481589874786</v>
      </c>
      <c r="CI15" s="517">
        <f>INPUT!CO672</f>
        <v>1059.06746494924</v>
      </c>
      <c r="CJ15" s="340">
        <f>INPUT!CP672</f>
        <v>4.3981957704966934</v>
      </c>
      <c r="CK15" s="517">
        <f>INPUT!CQ672</f>
        <v>1103.2464861310086</v>
      </c>
      <c r="CL15" s="340">
        <f>INPUT!CR672</f>
        <v>4.1715020661017066</v>
      </c>
      <c r="CM15" s="610">
        <f>INPUT!CS672</f>
        <v>9.4131053791285844</v>
      </c>
    </row>
    <row r="16" spans="1:162" s="300" customFormat="1" ht="4.5" customHeight="1" x14ac:dyDescent="0.2">
      <c r="A16" s="611"/>
      <c r="B16" s="518"/>
      <c r="C16" s="518"/>
      <c r="D16" s="518"/>
      <c r="E16" s="518"/>
      <c r="F16" s="518"/>
      <c r="G16" s="518"/>
      <c r="H16" s="518"/>
      <c r="I16" s="518"/>
      <c r="J16" s="518"/>
      <c r="K16" s="513"/>
      <c r="L16" s="518"/>
      <c r="M16" s="513"/>
      <c r="N16" s="518"/>
      <c r="O16" s="513"/>
      <c r="P16" s="518"/>
      <c r="Q16" s="513"/>
      <c r="R16" s="518"/>
      <c r="S16" s="513"/>
      <c r="T16" s="518"/>
      <c r="U16" s="513"/>
      <c r="V16" s="518"/>
      <c r="W16" s="513"/>
      <c r="X16" s="518"/>
      <c r="Y16" s="513"/>
      <c r="Z16" s="518"/>
      <c r="AA16" s="513"/>
      <c r="AB16" s="518"/>
      <c r="AC16" s="513"/>
      <c r="AD16" s="518"/>
      <c r="AE16" s="513"/>
      <c r="AF16" s="518"/>
      <c r="AG16" s="513"/>
      <c r="AH16" s="518"/>
      <c r="AI16" s="513"/>
      <c r="AJ16" s="518"/>
      <c r="AK16" s="513"/>
      <c r="AL16" s="518"/>
      <c r="AM16" s="513"/>
      <c r="AN16" s="518"/>
      <c r="AO16" s="513"/>
      <c r="AP16" s="518"/>
      <c r="AQ16" s="513"/>
      <c r="AR16" s="518"/>
      <c r="AS16" s="513"/>
      <c r="AT16" s="518"/>
      <c r="AU16" s="513"/>
      <c r="AV16" s="518"/>
      <c r="AW16" s="513"/>
      <c r="AX16" s="518"/>
      <c r="AY16" s="513"/>
      <c r="AZ16" s="518"/>
      <c r="BA16" s="513"/>
      <c r="BB16" s="518"/>
      <c r="BC16" s="513"/>
      <c r="BD16" s="518"/>
      <c r="BE16" s="513"/>
      <c r="BF16" s="518"/>
      <c r="BG16" s="513"/>
      <c r="BH16" s="518"/>
      <c r="BI16" s="513"/>
      <c r="BJ16" s="518"/>
      <c r="BK16" s="513"/>
      <c r="BL16" s="518"/>
      <c r="BM16" s="513"/>
      <c r="BN16" s="350"/>
      <c r="BO16" s="518"/>
      <c r="BP16" s="514"/>
      <c r="BQ16" s="518"/>
      <c r="BR16" s="514"/>
      <c r="BS16" s="518"/>
      <c r="BT16" s="514"/>
      <c r="BU16" s="518"/>
      <c r="BV16" s="514"/>
      <c r="BW16" s="518"/>
      <c r="BX16" s="514"/>
      <c r="BY16" s="518"/>
      <c r="BZ16" s="514"/>
      <c r="CA16" s="518"/>
      <c r="CB16" s="514"/>
      <c r="CC16" s="518"/>
      <c r="CD16" s="514"/>
      <c r="CE16" s="518"/>
      <c r="CF16" s="514"/>
      <c r="CG16" s="518"/>
      <c r="CH16" s="514"/>
      <c r="CI16" s="518"/>
      <c r="CJ16" s="514"/>
      <c r="CK16" s="518"/>
      <c r="CL16" s="514"/>
      <c r="CM16" s="608"/>
    </row>
    <row r="17" spans="1:147" ht="11.25" customHeight="1" x14ac:dyDescent="0.2">
      <c r="A17" s="603" t="s">
        <v>245</v>
      </c>
      <c r="B17" s="515">
        <f>INPUT!B673</f>
        <v>77.864055921754144</v>
      </c>
      <c r="C17" s="515"/>
      <c r="D17" s="515">
        <f>INPUT!D673</f>
        <v>93.295715865622284</v>
      </c>
      <c r="E17" s="515"/>
      <c r="F17" s="515">
        <f>INPUT!F673</f>
        <v>88.272944325954938</v>
      </c>
      <c r="G17" s="515"/>
      <c r="H17" s="515">
        <f>INPUT!H673</f>
        <v>50.258580078895257</v>
      </c>
      <c r="I17" s="515"/>
      <c r="J17" s="515">
        <f>INPUT!J673</f>
        <v>76.071468364769913</v>
      </c>
      <c r="K17" s="339">
        <f>INPUT!K673</f>
        <v>-2.3022016202002171</v>
      </c>
      <c r="L17" s="515">
        <f>INPUT!L673</f>
        <v>100.08055742788221</v>
      </c>
      <c r="M17" s="339">
        <f>INPUT!M673</f>
        <v>7.2724042034603364</v>
      </c>
      <c r="N17" s="515">
        <f>INPUT!N673</f>
        <v>90.808057667467352</v>
      </c>
      <c r="O17" s="339">
        <f>INPUT!O673</f>
        <v>2.8719030059213946</v>
      </c>
      <c r="P17" s="515">
        <f>INPUT!P673</f>
        <v>90.119185428939829</v>
      </c>
      <c r="Q17" s="339">
        <f>INPUT!Q673</f>
        <v>79.311045571665417</v>
      </c>
      <c r="R17" s="515">
        <f>INPUT!R673</f>
        <v>82.787879968823077</v>
      </c>
      <c r="S17" s="339">
        <f>INPUT!S673</f>
        <v>8.8290810581535428</v>
      </c>
      <c r="T17" s="515">
        <f>INPUT!T673</f>
        <v>89.873700000000099</v>
      </c>
      <c r="U17" s="339">
        <f>INPUT!U673</f>
        <v>-10.198641664478281</v>
      </c>
      <c r="V17" s="515">
        <f>INPUT!V673</f>
        <v>90.125000000000057</v>
      </c>
      <c r="W17" s="339">
        <f>INPUT!W673</f>
        <v>-0.75219940279815933</v>
      </c>
      <c r="X17" s="515">
        <f>INPUT!X673</f>
        <v>95.585000000000036</v>
      </c>
      <c r="Y17" s="339">
        <f>INPUT!Y673</f>
        <v>6.0650954012118508</v>
      </c>
      <c r="Z17" s="515">
        <f>INPUT!Z673</f>
        <v>88.445000000000064</v>
      </c>
      <c r="AA17" s="339">
        <f>INPUT!AA673</f>
        <v>6.8332708040203416</v>
      </c>
      <c r="AB17" s="515">
        <f>INPUT!AB673</f>
        <v>109.2700000000001</v>
      </c>
      <c r="AC17" s="339">
        <f>INPUT!AC673</f>
        <v>21.581730806676447</v>
      </c>
      <c r="AD17" s="515">
        <f>INPUT!AD673</f>
        <v>100.48149999999997</v>
      </c>
      <c r="AE17" s="339">
        <f>INPUT!AE673</f>
        <v>11.49126213592222</v>
      </c>
      <c r="AF17" s="515">
        <f>INPUT!AF673</f>
        <v>122.29</v>
      </c>
      <c r="AG17" s="339">
        <f>INPUT!AG673</f>
        <v>27.938484071768531</v>
      </c>
      <c r="AH17" s="515">
        <f>INPUT!AH673</f>
        <v>91.126400000000004</v>
      </c>
      <c r="AI17" s="339">
        <f>INPUT!AI673</f>
        <v>3.0317146249080551</v>
      </c>
      <c r="AJ17" s="515">
        <f>INPUT!AJ673</f>
        <v>86.687999999999931</v>
      </c>
      <c r="AK17" s="339">
        <f>INPUT!AK673</f>
        <v>-20.666239590006541</v>
      </c>
      <c r="AL17" s="515">
        <f>INPUT!AL673</f>
        <v>73.728000000000236</v>
      </c>
      <c r="AM17" s="339">
        <f>INPUT!AM673</f>
        <v>-26.62529918442673</v>
      </c>
      <c r="AN17" s="515">
        <f>INPUT!AN673</f>
        <v>77.280000000000044</v>
      </c>
      <c r="AO17" s="339">
        <f>INPUT!AO673</f>
        <v>-36.805953062392639</v>
      </c>
      <c r="AP17" s="515">
        <f>INPUT!AP673</f>
        <v>31.360000000000021</v>
      </c>
      <c r="AQ17" s="339" t="str">
        <f>INPUT!AQ673</f>
        <v>NM</v>
      </c>
      <c r="AR17" s="515">
        <f>INPUT!AR673</f>
        <v>49.686588235294025</v>
      </c>
      <c r="AS17" s="339">
        <f>INPUT!AS673</f>
        <v>-42.6834299611318</v>
      </c>
      <c r="AT17" s="515">
        <f>INPUT!AT673</f>
        <v>42.463999999999977</v>
      </c>
      <c r="AU17" s="339">
        <f>INPUT!AU673</f>
        <v>-42.404513888889106</v>
      </c>
      <c r="AV17" s="515">
        <f>INPUT!AV673</f>
        <v>47.616000000000049</v>
      </c>
      <c r="AW17" s="339">
        <f>INPUT!AW673</f>
        <v>-38.385093167701832</v>
      </c>
      <c r="AX17" s="515">
        <f>INPUT!AX673</f>
        <v>42.52800000000002</v>
      </c>
      <c r="AY17" s="339">
        <f>INPUT!AY673</f>
        <v>35.612244897959158</v>
      </c>
      <c r="AZ17" s="515">
        <f>INPUT!AZ673</f>
        <v>58.239999999999917</v>
      </c>
      <c r="BA17" s="339">
        <f>INPUT!BA673</f>
        <v>17.214729504470426</v>
      </c>
      <c r="BB17" s="515">
        <f>INPUT!BB673</f>
        <v>55.744000000000014</v>
      </c>
      <c r="BC17" s="339">
        <f>INPUT!BC673</f>
        <v>31.273549359457519</v>
      </c>
      <c r="BD17" s="515">
        <f>INPUT!BD673</f>
        <v>68.64</v>
      </c>
      <c r="BE17" s="339">
        <f>INPUT!BE673</f>
        <v>44.153225806451466</v>
      </c>
      <c r="BF17" s="515">
        <f>INPUT!BF673</f>
        <v>33.746946796319762</v>
      </c>
      <c r="BG17" s="339">
        <f>INPUT!BG673</f>
        <v>-20.64769846614055</v>
      </c>
      <c r="BH17" s="515">
        <f>INPUT!BH673</f>
        <v>39.386559704650928</v>
      </c>
      <c r="BI17" s="339">
        <f>INPUT!BI673</f>
        <v>-32.371978529102016</v>
      </c>
      <c r="BJ17" s="515">
        <f>INPUT!BJ673</f>
        <v>41.798552142860601</v>
      </c>
      <c r="BK17" s="339">
        <f>INPUT!BK673</f>
        <v>-25.016948653019899</v>
      </c>
      <c r="BL17" s="515">
        <f>INPUT!BL673</f>
        <v>43.651030905880297</v>
      </c>
      <c r="BM17" s="339">
        <f>INPUT!BM673</f>
        <v>-36.40584075483639</v>
      </c>
      <c r="BN17" s="347"/>
      <c r="BO17" s="515">
        <f>INPUT!BU673</f>
        <v>309.71635224264242</v>
      </c>
      <c r="BP17" s="340">
        <f>INPUT!BV673</f>
        <v>98.94421392769928</v>
      </c>
      <c r="BQ17" s="515">
        <f>INPUT!BW673</f>
        <v>357.091504143875</v>
      </c>
      <c r="BR17" s="340">
        <f>INPUT!BX673</f>
        <v>15.29630307156571</v>
      </c>
      <c r="BS17" s="515">
        <f>INPUT!BY673</f>
        <v>358.36131872783187</v>
      </c>
      <c r="BT17" s="340">
        <f>INPUT!BZ673</f>
        <v>0.35559921454901833</v>
      </c>
      <c r="BU17" s="515">
        <f>INPUT!CA673</f>
        <v>420.48650000000009</v>
      </c>
      <c r="BV17" s="340">
        <f>INPUT!CB673</f>
        <v>17.335905976881129</v>
      </c>
      <c r="BW17" s="515">
        <f>INPUT!CC673</f>
        <v>328.82240000000007</v>
      </c>
      <c r="BX17" s="340">
        <f>INPUT!CD673</f>
        <v>-21.799534586722757</v>
      </c>
      <c r="BY17" s="515">
        <f>INPUT!CE673</f>
        <v>171.12658823529415</v>
      </c>
      <c r="BZ17" s="340">
        <f>INPUT!CF673</f>
        <v>-47.957746116051055</v>
      </c>
      <c r="CA17" s="515">
        <f>INPUT!CG673</f>
        <v>225.15199999999993</v>
      </c>
      <c r="CB17" s="340">
        <f>INPUT!CH673</f>
        <v>31.570437020822496</v>
      </c>
      <c r="CC17" s="515">
        <f>INPUT!CI673</f>
        <v>158.58308954971159</v>
      </c>
      <c r="CD17" s="340">
        <f>INPUT!CJ673</f>
        <v>-29.566208805734952</v>
      </c>
      <c r="CE17" s="515">
        <f>INPUT!CK673</f>
        <v>179.22211824616949</v>
      </c>
      <c r="CF17" s="340">
        <f>INPUT!CL673</f>
        <v>13.014646615261016</v>
      </c>
      <c r="CG17" s="515">
        <f>INPUT!CM673</f>
        <v>187.67324432150701</v>
      </c>
      <c r="CH17" s="340">
        <f>INPUT!CN673</f>
        <v>4.7154481589875674</v>
      </c>
      <c r="CI17" s="515">
        <f>INPUT!CO673</f>
        <v>195.92748101560949</v>
      </c>
      <c r="CJ17" s="340">
        <f>INPUT!CP673</f>
        <v>4.3981957704967156</v>
      </c>
      <c r="CK17" s="515">
        <f>INPUT!CQ673</f>
        <v>204.1005999342367</v>
      </c>
      <c r="CL17" s="340">
        <f>INPUT!CR673</f>
        <v>4.1715020661017288</v>
      </c>
      <c r="CM17" s="610">
        <f>INPUT!CS673</f>
        <v>-1.9441080714628467</v>
      </c>
    </row>
    <row r="18" spans="1:147" ht="11.25" customHeight="1" x14ac:dyDescent="0.2">
      <c r="A18" s="603" t="s">
        <v>23</v>
      </c>
      <c r="B18" s="515">
        <f>INPUT!B674</f>
        <v>34.990842272468129</v>
      </c>
      <c r="C18" s="515"/>
      <c r="D18" s="515">
        <f>INPUT!D674</f>
        <v>34.973276822507977</v>
      </c>
      <c r="E18" s="515"/>
      <c r="F18" s="515">
        <f>INPUT!F674</f>
        <v>35.014608094529635</v>
      </c>
      <c r="G18" s="515"/>
      <c r="H18" s="515">
        <f>INPUT!H674</f>
        <v>35.025734793585478</v>
      </c>
      <c r="I18" s="515"/>
      <c r="J18" s="515">
        <f>INPUT!J674</f>
        <v>34.985038799103194</v>
      </c>
      <c r="K18" s="339">
        <f>INPUT!K674</f>
        <v>-1.6585692106940719E-2</v>
      </c>
      <c r="L18" s="515">
        <f>INPUT!L674</f>
        <v>34.978892350990044</v>
      </c>
      <c r="M18" s="339">
        <f>INPUT!M674</f>
        <v>1.6056626636862248E-2</v>
      </c>
      <c r="N18" s="515">
        <f>INPUT!N674</f>
        <v>35.028702343191938</v>
      </c>
      <c r="O18" s="339">
        <f>INPUT!O674</f>
        <v>4.0252481547842223E-2</v>
      </c>
      <c r="P18" s="515">
        <f>INPUT!P674</f>
        <v>35.023176220766061</v>
      </c>
      <c r="Q18" s="339">
        <f>INPUT!Q674</f>
        <v>-7.3048369563011306E-3</v>
      </c>
      <c r="R18" s="515">
        <f>INPUT!R674</f>
        <v>35.035074045206549</v>
      </c>
      <c r="S18" s="339">
        <f>INPUT!S674</f>
        <v>0.14301898131563462</v>
      </c>
      <c r="T18" s="515">
        <f>INPUT!T674</f>
        <v>35.000000000000028</v>
      </c>
      <c r="U18" s="339">
        <f>INPUT!U674</f>
        <v>6.0343960575370836E-2</v>
      </c>
      <c r="V18" s="515">
        <f>INPUT!V674</f>
        <v>35.000000000000028</v>
      </c>
      <c r="W18" s="339">
        <f>INPUT!W674</f>
        <v>-8.1939498959171519E-2</v>
      </c>
      <c r="X18" s="515">
        <f>INPUT!X674</f>
        <v>35.000000000000021</v>
      </c>
      <c r="Y18" s="339">
        <f>INPUT!Y674</f>
        <v>-6.6173954697745785E-2</v>
      </c>
      <c r="Z18" s="515">
        <f>INPUT!Z674</f>
        <v>35</v>
      </c>
      <c r="AA18" s="339">
        <f>INPUT!AA674</f>
        <v>-0.10011123470523575</v>
      </c>
      <c r="AB18" s="515">
        <f>INPUT!AB674</f>
        <v>35.000000000000021</v>
      </c>
      <c r="AC18" s="339">
        <f>INPUT!AC674</f>
        <v>-2.2204460492503131E-14</v>
      </c>
      <c r="AD18" s="515">
        <f>INPUT!AD674</f>
        <v>34.999999999999986</v>
      </c>
      <c r="AE18" s="339">
        <f>INPUT!AE674</f>
        <v>-1.2212453270876722E-13</v>
      </c>
      <c r="AF18" s="515">
        <f>INPUT!AF674</f>
        <v>35.000000000000007</v>
      </c>
      <c r="AG18" s="339">
        <f>INPUT!AG674</f>
        <v>-4.4408920985006262E-14</v>
      </c>
      <c r="AH18" s="515">
        <f>INPUT!AH674</f>
        <v>31.999999999999996</v>
      </c>
      <c r="AI18" s="339">
        <f>INPUT!AI674</f>
        <v>-8.5714285714285854</v>
      </c>
      <c r="AJ18" s="515">
        <f>INPUT!AJ674</f>
        <v>31.999999999999972</v>
      </c>
      <c r="AK18" s="339">
        <f>INPUT!AK674</f>
        <v>-8.571428571428708</v>
      </c>
      <c r="AL18" s="515">
        <f>INPUT!AL674</f>
        <v>32.000000000000114</v>
      </c>
      <c r="AM18" s="339">
        <f>INPUT!AM674</f>
        <v>-8.571428571428207</v>
      </c>
      <c r="AN18" s="515">
        <f>INPUT!AN674</f>
        <v>32.000000000000014</v>
      </c>
      <c r="AO18" s="339">
        <f>INPUT!AO674</f>
        <v>-8.5714285714285516</v>
      </c>
      <c r="AP18" s="515">
        <f>INPUT!AP674</f>
        <v>32.000000000000071</v>
      </c>
      <c r="AQ18" s="339">
        <f>INPUT!AQ674</f>
        <v>2.2204460492503131E-13</v>
      </c>
      <c r="AR18" s="515">
        <f>INPUT!AR674</f>
        <v>31.99999999999995</v>
      </c>
      <c r="AS18" s="339">
        <f>INPUT!AS674</f>
        <v>-6.6613381477509392E-14</v>
      </c>
      <c r="AT18" s="515">
        <f>INPUT!AT674</f>
        <v>32.000000000000007</v>
      </c>
      <c r="AU18" s="339">
        <f>INPUT!AU674</f>
        <v>-3.3306690738754696E-13</v>
      </c>
      <c r="AV18" s="515">
        <f>INPUT!AV674</f>
        <v>32.00000000000005</v>
      </c>
      <c r="AW18" s="339">
        <f>INPUT!AW674</f>
        <v>1.1102230246251565E-13</v>
      </c>
      <c r="AX18" s="515">
        <f>INPUT!AX674</f>
        <v>32.000000000000057</v>
      </c>
      <c r="AY18" s="339">
        <f>INPUT!AY674</f>
        <v>-4.4408920985006262E-14</v>
      </c>
      <c r="AZ18" s="515">
        <f>INPUT!AZ674</f>
        <v>31.999999999999972</v>
      </c>
      <c r="BA18" s="339">
        <f>INPUT!BA674</f>
        <v>6.6613381477509392E-14</v>
      </c>
      <c r="BB18" s="515">
        <f>INPUT!BB674</f>
        <v>32</v>
      </c>
      <c r="BC18" s="339">
        <f>INPUT!BC674</f>
        <v>-2.2204460492503131E-14</v>
      </c>
      <c r="BD18" s="515">
        <f>INPUT!BD674</f>
        <v>32.000000000000007</v>
      </c>
      <c r="BE18" s="339">
        <f>INPUT!BE674</f>
        <v>-1.3322676295501878E-13</v>
      </c>
      <c r="BF18" s="515">
        <f>INPUT!BF674</f>
        <v>18.499999999999993</v>
      </c>
      <c r="BG18" s="339">
        <f>INPUT!BG674</f>
        <v>-42.187500000000121</v>
      </c>
      <c r="BH18" s="515">
        <f>INPUT!BH674</f>
        <v>18.499999999999989</v>
      </c>
      <c r="BI18" s="339">
        <f>INPUT!BI674</f>
        <v>-42.187499999999979</v>
      </c>
      <c r="BJ18" s="515">
        <f>INPUT!BJ674</f>
        <v>18.5</v>
      </c>
      <c r="BK18" s="339">
        <f>INPUT!BK674</f>
        <v>-42.1875</v>
      </c>
      <c r="BL18" s="515">
        <f>INPUT!BL674</f>
        <v>18.500000000000004</v>
      </c>
      <c r="BM18" s="339">
        <f>INPUT!BM674</f>
        <v>-42.1875</v>
      </c>
      <c r="BN18" s="347"/>
      <c r="BO18" s="515">
        <f>INPUT!BU674</f>
        <v>35.00080740171358</v>
      </c>
      <c r="BP18" s="340">
        <f>INPUT!BV674</f>
        <v>2.3068620387922678E-3</v>
      </c>
      <c r="BQ18" s="515">
        <f>INPUT!BW674</f>
        <v>35.005230239501358</v>
      </c>
      <c r="BR18" s="340">
        <f>INPUT!BX674</f>
        <v>1.2636387889619627E-2</v>
      </c>
      <c r="BS18" s="515">
        <f>INPUT!BY674</f>
        <v>35.007093875620725</v>
      </c>
      <c r="BT18" s="340">
        <f>INPUT!BZ674</f>
        <v>5.3238790507004197E-3</v>
      </c>
      <c r="BU18" s="515">
        <f>INPUT!CA674</f>
        <v>35</v>
      </c>
      <c r="BV18" s="340">
        <f>INPUT!CB674</f>
        <v>-2.0264108885847953E-2</v>
      </c>
      <c r="BW18" s="515">
        <f>INPUT!CC674</f>
        <v>32.000000000000014</v>
      </c>
      <c r="BX18" s="340">
        <f>INPUT!CD674</f>
        <v>-8.5714285714285303</v>
      </c>
      <c r="BY18" s="515">
        <f>INPUT!CE674</f>
        <v>32.000000000000007</v>
      </c>
      <c r="BZ18" s="340">
        <f>INPUT!CF674</f>
        <v>-2.2204460492503131E-14</v>
      </c>
      <c r="CA18" s="515">
        <f>INPUT!CG674</f>
        <v>31.999999999999986</v>
      </c>
      <c r="CB18" s="340">
        <f>INPUT!CH674</f>
        <v>-6.6613381477509392E-14</v>
      </c>
      <c r="CC18" s="515">
        <f>INPUT!CI674</f>
        <v>18.5</v>
      </c>
      <c r="CD18" s="340">
        <f>INPUT!CJ674</f>
        <v>-42.187499999999979</v>
      </c>
      <c r="CE18" s="515">
        <f>INPUT!CK674</f>
        <v>18.499999999999989</v>
      </c>
      <c r="CF18" s="340">
        <f>INPUT!CL674</f>
        <v>-5.5511151231257827E-14</v>
      </c>
      <c r="CG18" s="515">
        <f>INPUT!CM674</f>
        <v>18.500000000000004</v>
      </c>
      <c r="CH18" s="340">
        <f>INPUT!CN674</f>
        <v>6.6613381477509392E-14</v>
      </c>
      <c r="CI18" s="515">
        <f>INPUT!CO674</f>
        <v>18.500000000000007</v>
      </c>
      <c r="CJ18" s="340">
        <f>INPUT!CP674</f>
        <v>2.2204460492503131E-14</v>
      </c>
      <c r="CK18" s="515">
        <f>INPUT!CQ674</f>
        <v>18.500000000000007</v>
      </c>
      <c r="CL18" s="340">
        <f>INPUT!CR674</f>
        <v>0</v>
      </c>
      <c r="CM18" s="610">
        <f>INPUT!CS674</f>
        <v>-10.380121660232023</v>
      </c>
    </row>
    <row r="19" spans="1:147" s="300" customFormat="1" ht="11.25" customHeight="1" x14ac:dyDescent="0.2">
      <c r="A19" s="607" t="s">
        <v>247</v>
      </c>
      <c r="B19" s="517">
        <f>INPUT!B675</f>
        <v>144.66289931824582</v>
      </c>
      <c r="C19" s="517"/>
      <c r="D19" s="517">
        <f>INPUT!D675</f>
        <v>173.46715093437786</v>
      </c>
      <c r="E19" s="517"/>
      <c r="F19" s="517">
        <f>INPUT!F675</f>
        <v>163.83024668404497</v>
      </c>
      <c r="G19" s="517"/>
      <c r="H19" s="517">
        <f>INPUT!H675</f>
        <v>93.231857381104817</v>
      </c>
      <c r="I19" s="517"/>
      <c r="J19" s="517">
        <f>INPUT!J675</f>
        <v>141.36853163522989</v>
      </c>
      <c r="K19" s="339">
        <f>INPUT!K675</f>
        <v>-2.2772719878706549</v>
      </c>
      <c r="L19" s="517">
        <f>INPUT!L675</f>
        <v>186.03644257211786</v>
      </c>
      <c r="M19" s="339">
        <f>INPUT!M675</f>
        <v>7.2459203774522862</v>
      </c>
      <c r="N19" s="517">
        <f>INPUT!N675</f>
        <v>168.43094233253268</v>
      </c>
      <c r="O19" s="339">
        <f>INPUT!O675</f>
        <v>2.8082089489618989</v>
      </c>
      <c r="P19" s="517">
        <f>INPUT!P675</f>
        <v>167.19381457106033</v>
      </c>
      <c r="Q19" s="339">
        <f>INPUT!Q675</f>
        <v>79.331206378974599</v>
      </c>
      <c r="R19" s="517">
        <f>INPUT!R675</f>
        <v>153.51212003117695</v>
      </c>
      <c r="S19" s="339">
        <f>INPUT!S675</f>
        <v>8.5900223023331002</v>
      </c>
      <c r="T19" s="517">
        <f>INPUT!T675</f>
        <v>166.90829999999994</v>
      </c>
      <c r="U19" s="339">
        <f>INPUT!U675</f>
        <v>-10.2819331028128</v>
      </c>
      <c r="V19" s="517">
        <f>INPUT!V675</f>
        <v>167.37499999999989</v>
      </c>
      <c r="W19" s="339">
        <f>INPUT!W675</f>
        <v>-0.62692894661127152</v>
      </c>
      <c r="X19" s="517">
        <f>INPUT!X675</f>
        <v>177.51499999999993</v>
      </c>
      <c r="Y19" s="339">
        <f>INPUT!Y675</f>
        <v>6.1731861644635844</v>
      </c>
      <c r="Z19" s="517">
        <f>INPUT!Z675</f>
        <v>164.25500000000011</v>
      </c>
      <c r="AA19" s="339">
        <f>INPUT!AA675</f>
        <v>6.9980663198719206</v>
      </c>
      <c r="AB19" s="517">
        <f>INPUT!AB675</f>
        <v>202.93</v>
      </c>
      <c r="AC19" s="339">
        <f>INPUT!AC675</f>
        <v>21.581730806676536</v>
      </c>
      <c r="AD19" s="517">
        <f>INPUT!AD675</f>
        <v>186.60850000000005</v>
      </c>
      <c r="AE19" s="339">
        <f>INPUT!AE675</f>
        <v>11.491262135922442</v>
      </c>
      <c r="AF19" s="517">
        <f>INPUT!AF675</f>
        <v>227.1099999999999</v>
      </c>
      <c r="AG19" s="339">
        <f>INPUT!AG675</f>
        <v>27.938484071768578</v>
      </c>
      <c r="AH19" s="517">
        <f>INPUT!AH675</f>
        <v>193.64360000000005</v>
      </c>
      <c r="AI19" s="339">
        <f>INPUT!AI675</f>
        <v>17.892058080423688</v>
      </c>
      <c r="AJ19" s="517">
        <f>INPUT!AJ675</f>
        <v>184.2120000000001</v>
      </c>
      <c r="AK19" s="339">
        <f>INPUT!AK675</f>
        <v>-9.2238703001034317</v>
      </c>
      <c r="AL19" s="517">
        <f>INPUT!AL675</f>
        <v>156.67199999999968</v>
      </c>
      <c r="AM19" s="339">
        <f>INPUT!AM675</f>
        <v>-16.042409643719523</v>
      </c>
      <c r="AN19" s="517">
        <f>INPUT!AN675</f>
        <v>164.22000000000003</v>
      </c>
      <c r="AO19" s="339">
        <f>INPUT!AO675</f>
        <v>-27.691427061776185</v>
      </c>
      <c r="AP19" s="517">
        <f>INPUT!AP675</f>
        <v>66.639999999999816</v>
      </c>
      <c r="AQ19" s="339" t="str">
        <f>INPUT!AQ675</f>
        <v>NM</v>
      </c>
      <c r="AR19" s="517">
        <f>INPUT!AR675</f>
        <v>105.58400000000005</v>
      </c>
      <c r="AS19" s="339">
        <f>INPUT!AS675</f>
        <v>-42.68342996113175</v>
      </c>
      <c r="AT19" s="517">
        <f>INPUT!AT675</f>
        <v>90.235999999999933</v>
      </c>
      <c r="AU19" s="339">
        <f>INPUT!AU675</f>
        <v>-42.404513888888815</v>
      </c>
      <c r="AV19" s="517">
        <f>INPUT!AV675</f>
        <v>101.18399999999988</v>
      </c>
      <c r="AW19" s="339">
        <f>INPUT!AW675</f>
        <v>-38.385093167701946</v>
      </c>
      <c r="AX19" s="517">
        <f>INPUT!AX675</f>
        <v>90.371999999999815</v>
      </c>
      <c r="AY19" s="339">
        <f>INPUT!AY675</f>
        <v>35.612244897959286</v>
      </c>
      <c r="AZ19" s="517">
        <f>INPUT!AZ675</f>
        <v>123.75999999999996</v>
      </c>
      <c r="BA19" s="339">
        <f>INPUT!BA675</f>
        <v>17.214729504470295</v>
      </c>
      <c r="BB19" s="517">
        <f>INPUT!BB675</f>
        <v>118.45600000000003</v>
      </c>
      <c r="BC19" s="339">
        <f>INPUT!BC675</f>
        <v>31.273549359457565</v>
      </c>
      <c r="BD19" s="517">
        <f>INPUT!BD675</f>
        <v>145.85999999999996</v>
      </c>
      <c r="BE19" s="339">
        <f>INPUT!BE675</f>
        <v>44.153225806451736</v>
      </c>
      <c r="BF19" s="517">
        <f>INPUT!BF675</f>
        <v>148.66898183243575</v>
      </c>
      <c r="BG19" s="339">
        <f>INPUT!BG675</f>
        <v>64.507792051117647</v>
      </c>
      <c r="BH19" s="517">
        <f>INPUT!BH675</f>
        <v>173.51376302319207</v>
      </c>
      <c r="BI19" s="339">
        <f>INPUT!BI675</f>
        <v>40.20181239753726</v>
      </c>
      <c r="BJ19" s="517">
        <f>INPUT!BJ675</f>
        <v>184.1395675482778</v>
      </c>
      <c r="BK19" s="339">
        <f>INPUT!BK675</f>
        <v>55.4497598671893</v>
      </c>
      <c r="BL19" s="517">
        <f>INPUT!BL675</f>
        <v>192.30048750428344</v>
      </c>
      <c r="BM19" s="339">
        <f>INPUT!BM675</f>
        <v>31.839083713343964</v>
      </c>
      <c r="BN19" s="350"/>
      <c r="BO19" s="517">
        <f>INPUT!BU675</f>
        <v>575.16709826735701</v>
      </c>
      <c r="BP19" s="340">
        <f>INPUT!BV675</f>
        <v>98.937153523573798</v>
      </c>
      <c r="BQ19" s="517">
        <f>INPUT!BW675</f>
        <v>663.01749585612538</v>
      </c>
      <c r="BR19" s="340">
        <f>INPUT!BX675</f>
        <v>15.273891335824041</v>
      </c>
      <c r="BS19" s="517">
        <f>INPUT!BY675</f>
        <v>665.32068127216849</v>
      </c>
      <c r="BT19" s="340">
        <f>INPUT!BZ675</f>
        <v>0.34737928191006517</v>
      </c>
      <c r="BU19" s="517">
        <f>INPUT!CA675</f>
        <v>780.90350000000024</v>
      </c>
      <c r="BV19" s="340">
        <f>INPUT!CB675</f>
        <v>17.372497501028271</v>
      </c>
      <c r="BW19" s="517">
        <f>INPUT!CC675</f>
        <v>698.74759999999992</v>
      </c>
      <c r="BX19" s="340">
        <f>INPUT!CD675</f>
        <v>-10.520621305961653</v>
      </c>
      <c r="BY19" s="517">
        <f>INPUT!CE675</f>
        <v>363.64399999999995</v>
      </c>
      <c r="BZ19" s="340">
        <f>INPUT!CF675</f>
        <v>-47.957746116051055</v>
      </c>
      <c r="CA19" s="517">
        <f>INPUT!CG675</f>
        <v>478.44800000000021</v>
      </c>
      <c r="CB19" s="340">
        <f>INPUT!CH675</f>
        <v>31.570437020822627</v>
      </c>
      <c r="CC19" s="517">
        <f>INPUT!CI675</f>
        <v>698.62279990818888</v>
      </c>
      <c r="CD19" s="340">
        <f>INPUT!CJ675</f>
        <v>46.018543270781478</v>
      </c>
      <c r="CE19" s="517">
        <f>INPUT!CK675</f>
        <v>789.54608848988232</v>
      </c>
      <c r="CF19" s="340">
        <f>INPUT!CL675</f>
        <v>13.014646615261105</v>
      </c>
      <c r="CG19" s="517">
        <f>INPUT!CM675</f>
        <v>826.77672498393611</v>
      </c>
      <c r="CH19" s="340">
        <f>INPUT!CN675</f>
        <v>4.7154481589874786</v>
      </c>
      <c r="CI19" s="517">
        <f>INPUT!CO675</f>
        <v>863.13998393363056</v>
      </c>
      <c r="CJ19" s="340">
        <f>INPUT!CP675</f>
        <v>4.3981957704966712</v>
      </c>
      <c r="CK19" s="517">
        <f>INPUT!CQ675</f>
        <v>899.14588619677193</v>
      </c>
      <c r="CL19" s="340">
        <f>INPUT!CR675</f>
        <v>4.1715020661017066</v>
      </c>
      <c r="CM19" s="610">
        <f>INPUT!CS675</f>
        <v>13.44858504106956</v>
      </c>
    </row>
    <row r="20" spans="1:147" ht="11.25" customHeight="1" x14ac:dyDescent="0.2">
      <c r="A20" s="603" t="s">
        <v>26</v>
      </c>
      <c r="B20" s="515">
        <f>INPUT!B676</f>
        <v>18.144055921754145</v>
      </c>
      <c r="C20" s="515"/>
      <c r="D20" s="515">
        <f>INPUT!D676</f>
        <v>21.93871586562226</v>
      </c>
      <c r="E20" s="515"/>
      <c r="F20" s="515">
        <f>INPUT!F676</f>
        <v>35.613944325954925</v>
      </c>
      <c r="G20" s="515"/>
      <c r="H20" s="515">
        <f>INPUT!H676</f>
        <v>77.055580078895233</v>
      </c>
      <c r="I20" s="515"/>
      <c r="J20" s="515">
        <f>INPUT!J676</f>
        <v>14.637468364769905</v>
      </c>
      <c r="K20" s="339">
        <f>INPUT!K676</f>
        <v>-19.326370972985995</v>
      </c>
      <c r="L20" s="515">
        <f>INPUT!L676</f>
        <v>-56.657442572117809</v>
      </c>
      <c r="M20" s="339" t="str">
        <f>INPUT!M676</f>
        <v>NM</v>
      </c>
      <c r="N20" s="515">
        <f>INPUT!N676</f>
        <v>7.1130576674673467</v>
      </c>
      <c r="O20" s="339" t="str">
        <f>INPUT!O676</f>
        <v>NM</v>
      </c>
      <c r="P20" s="515">
        <f>INPUT!P676</f>
        <v>-31.639814571060171</v>
      </c>
      <c r="Q20" s="339" t="str">
        <f>INPUT!Q676</f>
        <v>NM</v>
      </c>
      <c r="R20" s="515">
        <f>INPUT!R676</f>
        <v>13.18787996882307</v>
      </c>
      <c r="S20" s="339">
        <f>INPUT!S676</f>
        <v>-9.9032726139703708</v>
      </c>
      <c r="T20" s="515">
        <f>INPUT!T676</f>
        <v>9.8916999999999948</v>
      </c>
      <c r="U20" s="339" t="str">
        <f>INPUT!U676</f>
        <v>NM</v>
      </c>
      <c r="V20" s="515">
        <f>INPUT!V676</f>
        <v>115.50499999999994</v>
      </c>
      <c r="W20" s="339" t="str">
        <f>INPUT!W676</f>
        <v>NM</v>
      </c>
      <c r="X20" s="515">
        <f>INPUT!X676</f>
        <v>20.669999999999995</v>
      </c>
      <c r="Y20" s="339" t="str">
        <f>INPUT!Y676</f>
        <v>NM</v>
      </c>
      <c r="Z20" s="515">
        <f>INPUT!Z676</f>
        <v>-14.040000000000001</v>
      </c>
      <c r="AA20" s="339" t="str">
        <f>INPUT!AA676</f>
        <v>NM</v>
      </c>
      <c r="AB20" s="515">
        <f>INPUT!AB676</f>
        <v>10.399999999999997</v>
      </c>
      <c r="AC20" s="339">
        <f>INPUT!AC676</f>
        <v>5.1386515967932977</v>
      </c>
      <c r="AD20" s="515">
        <f>INPUT!AD676</f>
        <v>4.7515000000000072</v>
      </c>
      <c r="AE20" s="339" t="str">
        <f>INPUT!AE676</f>
        <v>NM</v>
      </c>
      <c r="AF20" s="515">
        <f>INPUT!AF676</f>
        <v>17.939999999999998</v>
      </c>
      <c r="AG20" s="339">
        <f>INPUT!AG676</f>
        <v>-13.207547169811306</v>
      </c>
      <c r="AH20" s="515">
        <f>INPUT!AH676</f>
        <v>3.352399999999998</v>
      </c>
      <c r="AI20" s="339" t="str">
        <f>INPUT!AI676</f>
        <v>NM</v>
      </c>
      <c r="AJ20" s="515">
        <f>INPUT!AJ676</f>
        <v>-5.7120000000000015</v>
      </c>
      <c r="AK20" s="339" t="str">
        <f>INPUT!AK676</f>
        <v>NM</v>
      </c>
      <c r="AL20" s="515">
        <f>INPUT!AL676</f>
        <v>-63.443999999999889</v>
      </c>
      <c r="AM20" s="339" t="str">
        <f>INPUT!AM676</f>
        <v>NM</v>
      </c>
      <c r="AN20" s="515">
        <f>INPUT!AN676</f>
        <v>31.823999999999995</v>
      </c>
      <c r="AO20" s="339">
        <f>INPUT!AO676</f>
        <v>77.391304347826079</v>
      </c>
      <c r="AP20" s="515">
        <f>INPUT!AP676</f>
        <v>-7.3439999999999914</v>
      </c>
      <c r="AQ20" s="339" t="str">
        <f>INPUT!AQ676</f>
        <v>NM</v>
      </c>
      <c r="AR20" s="515">
        <f>INPUT!AR676</f>
        <v>-16.844000000000015</v>
      </c>
      <c r="AS20" s="339" t="str">
        <f>INPUT!AS676</f>
        <v>NM</v>
      </c>
      <c r="AT20" s="515">
        <f>INPUT!AT676</f>
        <v>-115.32799999999999</v>
      </c>
      <c r="AU20" s="339">
        <f>INPUT!AU676</f>
        <v>81.779206859593017</v>
      </c>
      <c r="AV20" s="515">
        <f>INPUT!AV676</f>
        <v>0.54399999999999582</v>
      </c>
      <c r="AW20" s="339" t="str">
        <f>INPUT!AW676</f>
        <v>NM</v>
      </c>
      <c r="AX20" s="515">
        <f>INPUT!AX676</f>
        <v>8.4999999999999929</v>
      </c>
      <c r="AY20" s="339" t="str">
        <f>INPUT!AY676</f>
        <v>NM</v>
      </c>
      <c r="AZ20" s="515">
        <f>INPUT!AZ676</f>
        <v>-51.000000000000021</v>
      </c>
      <c r="BA20" s="339" t="str">
        <f>INPUT!BA676</f>
        <v>NM</v>
      </c>
      <c r="BB20" s="515">
        <f>INPUT!BB676</f>
        <v>-89.759999999999991</v>
      </c>
      <c r="BC20" s="339">
        <f>INPUT!BC676</f>
        <v>-22.169811320754718</v>
      </c>
      <c r="BD20" s="515">
        <f>INPUT!BD676</f>
        <v>12.919999999999998</v>
      </c>
      <c r="BE20" s="339" t="str">
        <f>INPUT!BE676</f>
        <v>NM</v>
      </c>
      <c r="BF20" s="515">
        <f>INPUT!BF676</f>
        <v>0</v>
      </c>
      <c r="BG20" s="339" t="str">
        <f>INPUT!BG676</f>
        <v>NM</v>
      </c>
      <c r="BH20" s="515">
        <f>INPUT!BH676</f>
        <v>0</v>
      </c>
      <c r="BI20" s="339" t="str">
        <f>INPUT!BI676</f>
        <v>NM</v>
      </c>
      <c r="BJ20" s="515">
        <f>INPUT!BJ676</f>
        <v>0</v>
      </c>
      <c r="BK20" s="339" t="str">
        <f>INPUT!BK676</f>
        <v>NM</v>
      </c>
      <c r="BL20" s="515">
        <f>INPUT!BL676</f>
        <v>0</v>
      </c>
      <c r="BM20" s="339" t="str">
        <f>INPUT!BM676</f>
        <v>NM</v>
      </c>
      <c r="BN20" s="347"/>
      <c r="BO20" s="515">
        <f>INPUT!BU676</f>
        <v>152.77735224264231</v>
      </c>
      <c r="BP20" s="340">
        <f>INPUT!BV676</f>
        <v>33.698566765242234</v>
      </c>
      <c r="BQ20" s="515">
        <f>INPUT!BW676</f>
        <v>-66.534495856124863</v>
      </c>
      <c r="BR20" s="340" t="str">
        <f>INPUT!BX676</f>
        <v>NM</v>
      </c>
      <c r="BS20" s="515">
        <f>INPUT!BY676</f>
        <v>159.24431872783157</v>
      </c>
      <c r="BT20" s="340" t="str">
        <f>INPUT!BZ676</f>
        <v>NM</v>
      </c>
      <c r="BU20" s="515">
        <f>INPUT!CA676</f>
        <v>19.051500000000008</v>
      </c>
      <c r="BV20" s="340" t="str">
        <f>INPUT!CB676</f>
        <v>NM</v>
      </c>
      <c r="BW20" s="515">
        <f>INPUT!CC676</f>
        <v>-33.979599999999998</v>
      </c>
      <c r="BX20" s="340" t="str">
        <f>INPUT!CD676</f>
        <v>NM</v>
      </c>
      <c r="BY20" s="515">
        <f>INPUT!CE676</f>
        <v>-138.97199999999998</v>
      </c>
      <c r="BZ20" s="340" t="str">
        <f>INPUT!CF676</f>
        <v>NM</v>
      </c>
      <c r="CA20" s="515">
        <f>INPUT!CG676</f>
        <v>-119.34000000000003</v>
      </c>
      <c r="CB20" s="340">
        <f>INPUT!CH676</f>
        <v>-14.126586650548278</v>
      </c>
      <c r="CC20" s="515">
        <f>INPUT!CI676</f>
        <v>0</v>
      </c>
      <c r="CD20" s="340" t="str">
        <f>INPUT!CJ676</f>
        <v>NM</v>
      </c>
      <c r="CE20" s="515">
        <f>INPUT!CK676</f>
        <v>0</v>
      </c>
      <c r="CF20" s="340" t="str">
        <f>INPUT!CL676</f>
        <v>NA</v>
      </c>
      <c r="CG20" s="515">
        <f>INPUT!CM676</f>
        <v>0</v>
      </c>
      <c r="CH20" s="340" t="str">
        <f>INPUT!CN676</f>
        <v>NA</v>
      </c>
      <c r="CI20" s="515">
        <f>INPUT!CO676</f>
        <v>0</v>
      </c>
      <c r="CJ20" s="340" t="str">
        <f>INPUT!CP676</f>
        <v>NA</v>
      </c>
      <c r="CK20" s="515">
        <f>INPUT!CQ676</f>
        <v>0</v>
      </c>
      <c r="CL20" s="340" t="str">
        <f>INPUT!CR676</f>
        <v>NA</v>
      </c>
      <c r="CM20" s="610" t="str">
        <f>INPUT!CS676</f>
        <v>NM</v>
      </c>
    </row>
    <row r="21" spans="1:147" ht="11.25" customHeight="1" x14ac:dyDescent="0.2">
      <c r="A21" s="607" t="s">
        <v>259</v>
      </c>
      <c r="B21" s="517">
        <f>INPUT!B677</f>
        <v>162.80695523999998</v>
      </c>
      <c r="C21" s="517"/>
      <c r="D21" s="517">
        <f>INPUT!D677</f>
        <v>195.40586680000013</v>
      </c>
      <c r="E21" s="517"/>
      <c r="F21" s="517">
        <f>INPUT!F677</f>
        <v>199.44419100999988</v>
      </c>
      <c r="G21" s="517"/>
      <c r="H21" s="517">
        <f>INPUT!H677</f>
        <v>170.28743746000004</v>
      </c>
      <c r="I21" s="517"/>
      <c r="J21" s="517">
        <f>INPUT!J677</f>
        <v>156.0059999999998</v>
      </c>
      <c r="K21" s="339">
        <f>INPUT!K677</f>
        <v>-4.1773124679929214</v>
      </c>
      <c r="L21" s="517">
        <f>INPUT!L677</f>
        <v>129.37900000000005</v>
      </c>
      <c r="M21" s="339">
        <f>INPUT!M677</f>
        <v>-33.789603086778982</v>
      </c>
      <c r="N21" s="517">
        <f>INPUT!N677</f>
        <v>175.54400000000004</v>
      </c>
      <c r="O21" s="339">
        <f>INPUT!O677</f>
        <v>-11.983397906435645</v>
      </c>
      <c r="P21" s="517">
        <f>INPUT!P677</f>
        <v>135.55400000000014</v>
      </c>
      <c r="Q21" s="339">
        <f>INPUT!Q677</f>
        <v>-20.396946467738509</v>
      </c>
      <c r="R21" s="517">
        <f>INPUT!R677</f>
        <v>166.70000000000002</v>
      </c>
      <c r="S21" s="339">
        <f>INPUT!S677</f>
        <v>6.8548645564915578</v>
      </c>
      <c r="T21" s="517">
        <f>INPUT!T677</f>
        <v>176.79999999999993</v>
      </c>
      <c r="U21" s="339">
        <f>INPUT!U677</f>
        <v>36.652779817435487</v>
      </c>
      <c r="V21" s="517">
        <f>INPUT!V677</f>
        <v>282.87999999999982</v>
      </c>
      <c r="W21" s="339">
        <f>INPUT!W677</f>
        <v>61.144784213644307</v>
      </c>
      <c r="X21" s="517">
        <f>INPUT!X677</f>
        <v>198.18499999999992</v>
      </c>
      <c r="Y21" s="339">
        <f>INPUT!Y677</f>
        <v>46.203726928013708</v>
      </c>
      <c r="Z21" s="517">
        <f>INPUT!Z677</f>
        <v>150.21500000000012</v>
      </c>
      <c r="AA21" s="339">
        <f>INPUT!AA677</f>
        <v>-9.8890221955608268</v>
      </c>
      <c r="AB21" s="517">
        <f>INPUT!AB677</f>
        <v>213.33</v>
      </c>
      <c r="AC21" s="339">
        <f>INPUT!AC677</f>
        <v>20.661764705882412</v>
      </c>
      <c r="AD21" s="517">
        <f>INPUT!AD677</f>
        <v>191.36000000000007</v>
      </c>
      <c r="AE21" s="339">
        <f>INPUT!AE677</f>
        <v>-32.352941176470516</v>
      </c>
      <c r="AF21" s="517">
        <f>INPUT!AF677</f>
        <v>245.0499999999999</v>
      </c>
      <c r="AG21" s="339">
        <f>INPUT!AG677</f>
        <v>23.647097408986561</v>
      </c>
      <c r="AH21" s="517">
        <f>INPUT!AH677</f>
        <v>196.99600000000004</v>
      </c>
      <c r="AI21" s="339">
        <f>INPUT!AI677</f>
        <v>31.14269546982651</v>
      </c>
      <c r="AJ21" s="517">
        <f>INPUT!AJ677</f>
        <v>178.50000000000011</v>
      </c>
      <c r="AK21" s="339">
        <f>INPUT!AK677</f>
        <v>-16.326817606525058</v>
      </c>
      <c r="AL21" s="517">
        <f>INPUT!AL677</f>
        <v>93.227999999999795</v>
      </c>
      <c r="AM21" s="339" t="str">
        <f>INPUT!AM677</f>
        <v>NM</v>
      </c>
      <c r="AN21" s="517">
        <f>INPUT!AN677</f>
        <v>196.04400000000001</v>
      </c>
      <c r="AO21" s="339">
        <f>INPUT!AO677</f>
        <v>-19.998367680065254</v>
      </c>
      <c r="AP21" s="517">
        <f>INPUT!AP677</f>
        <v>59.295999999999822</v>
      </c>
      <c r="AQ21" s="339" t="str">
        <f>INPUT!AQ677</f>
        <v>NM</v>
      </c>
      <c r="AR21" s="517">
        <f>INPUT!AR677</f>
        <v>88.740000000000038</v>
      </c>
      <c r="AS21" s="339" t="str">
        <f>INPUT!AS677</f>
        <v>NM</v>
      </c>
      <c r="AT21" s="517">
        <f>INPUT!AT677</f>
        <v>-25.092000000000056</v>
      </c>
      <c r="AU21" s="339" t="str">
        <f>INPUT!AU677</f>
        <v>NM</v>
      </c>
      <c r="AV21" s="517">
        <f>INPUT!AV677</f>
        <v>101.72799999999988</v>
      </c>
      <c r="AW21" s="339">
        <f>INPUT!AW677</f>
        <v>-48.109608047173147</v>
      </c>
      <c r="AX21" s="517">
        <f>INPUT!AX677</f>
        <v>98.871999999999815</v>
      </c>
      <c r="AY21" s="339">
        <f>INPUT!AY677</f>
        <v>66.743119266055231</v>
      </c>
      <c r="AZ21" s="517">
        <f>INPUT!AZ677</f>
        <v>72.759999999999934</v>
      </c>
      <c r="BA21" s="339">
        <f>INPUT!BA677</f>
        <v>-18.00766283524915</v>
      </c>
      <c r="BB21" s="517">
        <f>INPUT!BB677</f>
        <v>28.696000000000041</v>
      </c>
      <c r="BC21" s="339" t="str">
        <f>INPUT!BC677</f>
        <v>NM</v>
      </c>
      <c r="BD21" s="517">
        <f>INPUT!BD677</f>
        <v>158.77999999999994</v>
      </c>
      <c r="BE21" s="339">
        <f>INPUT!BE677</f>
        <v>56.08288770053489</v>
      </c>
      <c r="BF21" s="517">
        <f>INPUT!BF677</f>
        <v>148.66898183243575</v>
      </c>
      <c r="BG21" s="339">
        <f>INPUT!BG677</f>
        <v>50.365100162266387</v>
      </c>
      <c r="BH21" s="517">
        <f>INPUT!BH677</f>
        <v>173.51376302319207</v>
      </c>
      <c r="BI21" s="339" t="str">
        <f>INPUT!BI677</f>
        <v>NM</v>
      </c>
      <c r="BJ21" s="517">
        <f>INPUT!BJ677</f>
        <v>184.1395675482778</v>
      </c>
      <c r="BK21" s="339" t="str">
        <f>INPUT!BK677</f>
        <v>NM</v>
      </c>
      <c r="BL21" s="517">
        <f>INPUT!BL677</f>
        <v>192.30048750428344</v>
      </c>
      <c r="BM21" s="339">
        <f>INPUT!BM677</f>
        <v>21.111278186348102</v>
      </c>
      <c r="BN21" s="350"/>
      <c r="BO21" s="517">
        <f>INPUT!BU677</f>
        <v>727.94445050999934</v>
      </c>
      <c r="BP21" s="340">
        <f>INPUT!BV677</f>
        <v>80.456741741242709</v>
      </c>
      <c r="BQ21" s="517">
        <f>INPUT!BW677</f>
        <v>596.48300000000052</v>
      </c>
      <c r="BR21" s="340">
        <f>INPUT!BX677</f>
        <v>-18.059269552490807</v>
      </c>
      <c r="BS21" s="517">
        <f>INPUT!BY677</f>
        <v>824.56500000000005</v>
      </c>
      <c r="BT21" s="340">
        <f>INPUT!BZ677</f>
        <v>38.237803927354072</v>
      </c>
      <c r="BU21" s="517">
        <f>INPUT!CA677</f>
        <v>799.95500000000027</v>
      </c>
      <c r="BV21" s="340">
        <f>INPUT!CB677</f>
        <v>-2.9846040033229326</v>
      </c>
      <c r="BW21" s="517">
        <f>INPUT!CC677</f>
        <v>664.76799999999992</v>
      </c>
      <c r="BX21" s="340">
        <f>INPUT!CD677</f>
        <v>-16.899325587064308</v>
      </c>
      <c r="BY21" s="517">
        <f>INPUT!CE677</f>
        <v>224.67199999999997</v>
      </c>
      <c r="BZ21" s="340" t="str">
        <f>INPUT!CF677</f>
        <v>NM</v>
      </c>
      <c r="CA21" s="517">
        <f>INPUT!CG677</f>
        <v>359.10800000000017</v>
      </c>
      <c r="CB21" s="340">
        <f>INPUT!CH677</f>
        <v>59.836561743341512</v>
      </c>
      <c r="CC21" s="517">
        <f>INPUT!CI677</f>
        <v>698.62279990818888</v>
      </c>
      <c r="CD21" s="340">
        <f>INPUT!CJ677</f>
        <v>94.543925478738572</v>
      </c>
      <c r="CE21" s="517">
        <f>INPUT!CK677</f>
        <v>789.54608848988232</v>
      </c>
      <c r="CF21" s="340">
        <f>INPUT!CL677</f>
        <v>13.014646615261105</v>
      </c>
      <c r="CG21" s="517">
        <f>INPUT!CM677</f>
        <v>826.77672498393611</v>
      </c>
      <c r="CH21" s="340">
        <f>INPUT!CN677</f>
        <v>4.7154481589874786</v>
      </c>
      <c r="CI21" s="517">
        <f>INPUT!CO677</f>
        <v>863.13998393363056</v>
      </c>
      <c r="CJ21" s="340">
        <f>INPUT!CP677</f>
        <v>4.3981957704966712</v>
      </c>
      <c r="CK21" s="517">
        <f>INPUT!CQ677</f>
        <v>899.14588619677193</v>
      </c>
      <c r="CL21" s="340">
        <f>INPUT!CR677</f>
        <v>4.1715020661017066</v>
      </c>
      <c r="CM21" s="610">
        <f>INPUT!CS677</f>
        <v>20.149236749895149</v>
      </c>
    </row>
    <row r="22" spans="1:147" s="311" customFormat="1" ht="12" hidden="1" customHeight="1" outlineLevel="1" x14ac:dyDescent="0.2">
      <c r="A22" s="613" t="s">
        <v>249</v>
      </c>
      <c r="B22" s="589">
        <f>(B7+B8+B9+B10+B11+B13+B14-B17+B20)-B21</f>
        <v>0</v>
      </c>
      <c r="C22" s="589"/>
      <c r="D22" s="589">
        <f>(D7+D8+D9+D10+D11+D13+D14-D17+D20)-D21</f>
        <v>0</v>
      </c>
      <c r="E22" s="589"/>
      <c r="F22" s="589">
        <f>(F7+F8+F9+F10+F11+F13+F14-F17+F20)-F21</f>
        <v>0</v>
      </c>
      <c r="G22" s="589"/>
      <c r="H22" s="589">
        <f>(H7+H8+H9+H10+H11+H13+H14-H17+H20)-H21</f>
        <v>0</v>
      </c>
      <c r="I22" s="589"/>
      <c r="J22" s="589">
        <f>(J7+J8+J9+J10+J11+J13+J14-J17+J20)-J21</f>
        <v>0</v>
      </c>
      <c r="K22" s="589"/>
      <c r="L22" s="589">
        <f>(L7+L8+L9+L10+L11+L13+L14-L17+L20)-L21</f>
        <v>0</v>
      </c>
      <c r="M22" s="589"/>
      <c r="N22" s="589">
        <f>(N7+N8+N9+N10+N11+N13+N14-N17+N20)-N21</f>
        <v>0</v>
      </c>
      <c r="O22" s="589"/>
      <c r="P22" s="589">
        <f>(P7+P8+P9+P10+P11+P13+P14-P17+P20)-P21</f>
        <v>0</v>
      </c>
      <c r="Q22" s="589"/>
      <c r="R22" s="589">
        <f>(R7+R8+R9+R10+R11+R13+R14-R17+R20)-R21</f>
        <v>0</v>
      </c>
      <c r="S22" s="589"/>
      <c r="T22" s="589">
        <f>(T7+T8+T9+T10+T11+T13+T14-T17+T20)-T21</f>
        <v>0</v>
      </c>
      <c r="U22" s="589"/>
      <c r="V22" s="589">
        <f>(V7+V8+V9+V10+V11+V13+V14-V17+V20)-V21</f>
        <v>0</v>
      </c>
      <c r="W22" s="589"/>
      <c r="X22" s="589">
        <f>(X7+X8+X9+X10+X11+X13+X14-X17+X20)-X21</f>
        <v>0</v>
      </c>
      <c r="Y22" s="589"/>
      <c r="Z22" s="589">
        <f>(Z7+Z8+Z9+Z10+Z11+Z13+Z14-Z17+Z20)-Z21</f>
        <v>0</v>
      </c>
      <c r="AA22" s="589"/>
      <c r="AB22" s="589">
        <f>(AB7+AB8+AB9+AB10+AB11+AB13+AB14-AB17+AB20)-AB21</f>
        <v>0</v>
      </c>
      <c r="AC22" s="589"/>
      <c r="AD22" s="589">
        <f>(AD7+AD8+AD9+AD10+AD11+AD13+AD14-AD17+AD20)-AD21</f>
        <v>0</v>
      </c>
      <c r="AE22" s="589"/>
      <c r="AF22" s="589">
        <f>(AF7+AF8+AF9+AF10+AF11+AF13+AF14-AF17+AF20)-AF21</f>
        <v>0</v>
      </c>
      <c r="AG22" s="589"/>
      <c r="AH22" s="589">
        <f>(AH7+AH8+AH9+AH10+AH11+AH13+AH14-AH17+AH20)-AH21</f>
        <v>0</v>
      </c>
      <c r="AI22" s="589"/>
      <c r="AJ22" s="589">
        <f>(AJ7+AJ8+AJ9+AJ10+AJ11+AJ13+AJ14-AJ17+AJ20)-AJ21</f>
        <v>0</v>
      </c>
      <c r="AK22" s="589"/>
      <c r="AL22" s="589">
        <f>(AL7+AL8+AL9+AL10+AL11+AL13+AL14-AL17+AL20)-AL21</f>
        <v>0</v>
      </c>
      <c r="AM22" s="589"/>
      <c r="AN22" s="589">
        <f>(AN7+AN8+AN9+AN10+AN11+AN13+AN14-AN17+AN20)-AN21</f>
        <v>0</v>
      </c>
      <c r="AO22" s="589"/>
      <c r="AP22" s="589">
        <f>(AP7+AP8+AP9+AP10+AP11+AP13+AP14-AP17+AP20)-AP21</f>
        <v>0</v>
      </c>
      <c r="AQ22" s="589"/>
      <c r="AR22" s="589">
        <f>(AR7+AR8+AR9+AR10+AR11+AR13+AR14-AR17+AR20)-AR21</f>
        <v>0</v>
      </c>
      <c r="AS22" s="589"/>
      <c r="AT22" s="589">
        <f>(AT7+AT8+AT9+AT10+AT11+AT13+AT14-AT17+AT20)-AT21</f>
        <v>0</v>
      </c>
      <c r="AU22" s="589"/>
      <c r="AV22" s="589">
        <f>(AV7+AV8+AV9+AV10+AV11+AV13+AV14-AV17+AV20)-AV21</f>
        <v>0</v>
      </c>
      <c r="AW22" s="589"/>
      <c r="AX22" s="589">
        <f t="shared" ref="AX22" si="0">(AX7+AX8+AX9+AX10+AX11+AX13+AX14-AX17+AX20)-AX21</f>
        <v>0</v>
      </c>
      <c r="AY22" s="589"/>
      <c r="AZ22" s="589">
        <f t="shared" ref="AZ22" si="1">(AZ7+AZ8+AZ9+AZ10+AZ11+AZ13+AZ14-AZ17+AZ20)-AZ21</f>
        <v>0</v>
      </c>
      <c r="BA22" s="589"/>
      <c r="BB22" s="589">
        <f t="shared" ref="BB22" si="2">(BB7+BB8+BB9+BB10+BB11+BB13+BB14-BB17+BB20)-BB21</f>
        <v>0</v>
      </c>
      <c r="BC22" s="589"/>
      <c r="BD22" s="589">
        <f t="shared" ref="BD22" si="3">(BD7+BD8+BD9+BD10+BD11+BD13+BD14-BD17+BD20)-BD21</f>
        <v>0</v>
      </c>
      <c r="BE22" s="589"/>
      <c r="BF22" s="589">
        <f t="shared" ref="BF22" si="4">(BF7+BF8+BF9+BF10+BF11+BF13+BF14-BF17+BF20)-BF21</f>
        <v>0</v>
      </c>
      <c r="BG22" s="589"/>
      <c r="BH22" s="589">
        <f t="shared" ref="BH22" si="5">(BH7+BH8+BH9+BH10+BH11+BH13+BH14-BH17+BH20)-BH21</f>
        <v>0</v>
      </c>
      <c r="BI22" s="589"/>
      <c r="BJ22" s="589">
        <f t="shared" ref="BJ22" si="6">(BJ7+BJ8+BJ9+BJ10+BJ11+BJ13+BJ14-BJ17+BJ20)-BJ21</f>
        <v>0</v>
      </c>
      <c r="BK22" s="589"/>
      <c r="BL22" s="589">
        <f t="shared" ref="BL22" si="7">(BL7+BL8+BL9+BL10+BL11+BL13+BL14-BL17+BL20)-BL21</f>
        <v>0</v>
      </c>
      <c r="BM22" s="589"/>
      <c r="BN22" s="589"/>
      <c r="BO22" s="589">
        <f>(BO7+BO8+BO9+BO10+BO11+BO13+BO14-BO17+BO20)-BO21</f>
        <v>0</v>
      </c>
      <c r="BP22" s="589"/>
      <c r="BQ22" s="589">
        <f>(BQ7+BQ8+BQ9+BQ10+BQ11+BQ13+BQ14-BQ17+BQ20)-BQ21</f>
        <v>0</v>
      </c>
      <c r="BR22" s="589"/>
      <c r="BS22" s="589">
        <f>(BS7+BS8+BS9+BS10+BS11+BS13+BS14-BS17+BS20)-BS21</f>
        <v>0</v>
      </c>
      <c r="BT22" s="589"/>
      <c r="BU22" s="589">
        <f>(BU7+BU8+BU9+BU10+BU11+BU13+BU14-BU17+BU20)-BU21</f>
        <v>0</v>
      </c>
      <c r="BV22" s="589"/>
      <c r="BW22" s="589">
        <f>(BW7+BW8+BW9+BW10+BW11+BW13+BW14-BW17+BW20)-BW21</f>
        <v>0</v>
      </c>
      <c r="BX22" s="589"/>
      <c r="BY22" s="589">
        <f>(BY7+BY8+BY9+BY10+BY11+BY13+BY14-BY17+BY20)-BY21</f>
        <v>0</v>
      </c>
      <c r="BZ22" s="589"/>
      <c r="CA22" s="589">
        <f>(CA7+CA8+CA9+CA10+CA11+CA13+CA14-CA17+CA20)-CA21</f>
        <v>0</v>
      </c>
      <c r="CB22" s="589"/>
      <c r="CC22" s="589">
        <f>(CC7+CC8+CC9+CC10+CC11+CC13+CC14-CC17+CC20)-CC21</f>
        <v>0</v>
      </c>
      <c r="CD22" s="589"/>
      <c r="CE22" s="589">
        <f>(CE7+CE8+CE9+CE10+CE11+CE13+CE14-CE17+CE20)-CE21</f>
        <v>0</v>
      </c>
      <c r="CF22" s="589"/>
      <c r="CG22" s="589"/>
      <c r="CH22" s="589"/>
      <c r="CI22" s="589"/>
      <c r="CJ22" s="589"/>
      <c r="CK22" s="589"/>
      <c r="CL22" s="589"/>
      <c r="CM22" s="614"/>
      <c r="CN22" s="307"/>
      <c r="CO22" s="307"/>
      <c r="CP22" s="307"/>
      <c r="CQ22" s="307"/>
      <c r="CR22" s="307"/>
      <c r="CS22" s="307"/>
      <c r="CT22" s="307"/>
      <c r="CU22" s="308"/>
      <c r="CV22" s="309"/>
      <c r="CW22" s="308"/>
      <c r="CX22" s="309"/>
      <c r="CY22" s="308"/>
      <c r="CZ22" s="309"/>
      <c r="DA22" s="308"/>
      <c r="DB22" s="309"/>
      <c r="DC22" s="308"/>
      <c r="DD22" s="309"/>
      <c r="DE22" s="308"/>
      <c r="DF22" s="309"/>
      <c r="DG22" s="308"/>
      <c r="DH22" s="309"/>
      <c r="DI22" s="308"/>
      <c r="DJ22" s="309"/>
      <c r="DK22" s="308"/>
      <c r="DL22" s="309"/>
      <c r="DM22" s="308"/>
      <c r="DN22" s="309"/>
      <c r="DO22" s="308"/>
      <c r="DP22" s="308"/>
      <c r="DQ22" s="309"/>
      <c r="DR22" s="308"/>
      <c r="DS22" s="309"/>
      <c r="DT22" s="308"/>
      <c r="DU22" s="309"/>
      <c r="DV22" s="308"/>
      <c r="DW22" s="309"/>
      <c r="DX22" s="308"/>
      <c r="DY22" s="309"/>
      <c r="DZ22" s="308"/>
      <c r="EA22" s="309"/>
      <c r="EB22" s="308"/>
      <c r="EC22" s="309"/>
      <c r="ED22" s="308"/>
      <c r="EE22" s="309"/>
      <c r="EF22" s="308"/>
      <c r="EG22" s="309"/>
      <c r="EH22" s="308"/>
      <c r="EI22" s="309"/>
      <c r="EJ22" s="308"/>
      <c r="EK22" s="309"/>
      <c r="EL22" s="308"/>
      <c r="EM22" s="309"/>
      <c r="EN22" s="308"/>
      <c r="EO22" s="309"/>
      <c r="EP22" s="308"/>
      <c r="EQ22" s="310"/>
    </row>
    <row r="23" spans="1:147" ht="4.5" customHeight="1" collapsed="1" x14ac:dyDescent="0.2">
      <c r="A23" s="603"/>
      <c r="B23" s="519"/>
      <c r="C23" s="519"/>
      <c r="D23" s="519"/>
      <c r="E23" s="519"/>
      <c r="F23" s="519"/>
      <c r="G23" s="519"/>
      <c r="H23" s="519"/>
      <c r="I23" s="519"/>
      <c r="J23" s="519"/>
      <c r="K23" s="513"/>
      <c r="L23" s="519"/>
      <c r="M23" s="513"/>
      <c r="N23" s="519"/>
      <c r="O23" s="513"/>
      <c r="P23" s="519"/>
      <c r="Q23" s="513"/>
      <c r="R23" s="519"/>
      <c r="S23" s="513"/>
      <c r="T23" s="519"/>
      <c r="U23" s="513"/>
      <c r="V23" s="519"/>
      <c r="W23" s="513"/>
      <c r="X23" s="519"/>
      <c r="Y23" s="513"/>
      <c r="Z23" s="519"/>
      <c r="AA23" s="513"/>
      <c r="AB23" s="519"/>
      <c r="AC23" s="513"/>
      <c r="AD23" s="519"/>
      <c r="AE23" s="513"/>
      <c r="AF23" s="519"/>
      <c r="AG23" s="513"/>
      <c r="AH23" s="519"/>
      <c r="AI23" s="513"/>
      <c r="AJ23" s="519"/>
      <c r="AK23" s="513"/>
      <c r="AL23" s="519"/>
      <c r="AM23" s="513"/>
      <c r="AN23" s="519"/>
      <c r="AO23" s="513"/>
      <c r="AP23" s="519"/>
      <c r="AQ23" s="513"/>
      <c r="AR23" s="519"/>
      <c r="AS23" s="513"/>
      <c r="AT23" s="519"/>
      <c r="AU23" s="513"/>
      <c r="AV23" s="519"/>
      <c r="AW23" s="513"/>
      <c r="AX23" s="519"/>
      <c r="AY23" s="513"/>
      <c r="AZ23" s="519"/>
      <c r="BA23" s="513"/>
      <c r="BB23" s="519"/>
      <c r="BC23" s="513"/>
      <c r="BD23" s="519"/>
      <c r="BE23" s="513"/>
      <c r="BF23" s="519"/>
      <c r="BG23" s="513"/>
      <c r="BH23" s="519"/>
      <c r="BI23" s="513"/>
      <c r="BJ23" s="519"/>
      <c r="BK23" s="513"/>
      <c r="BL23" s="519"/>
      <c r="BM23" s="513"/>
      <c r="BN23" s="356"/>
      <c r="BO23" s="519"/>
      <c r="BP23" s="514"/>
      <c r="BQ23" s="519"/>
      <c r="BR23" s="514"/>
      <c r="BS23" s="519"/>
      <c r="BT23" s="514"/>
      <c r="BU23" s="519"/>
      <c r="BV23" s="514"/>
      <c r="BW23" s="519"/>
      <c r="BX23" s="514"/>
      <c r="BY23" s="519"/>
      <c r="BZ23" s="514"/>
      <c r="CA23" s="519"/>
      <c r="CB23" s="514"/>
      <c r="CC23" s="519"/>
      <c r="CD23" s="514"/>
      <c r="CE23" s="519"/>
      <c r="CF23" s="514"/>
      <c r="CG23" s="519"/>
      <c r="CH23" s="514"/>
      <c r="CI23" s="519"/>
      <c r="CJ23" s="514"/>
      <c r="CK23" s="519"/>
      <c r="CL23" s="514"/>
      <c r="CM23" s="608"/>
    </row>
    <row r="24" spans="1:147" ht="11.25" customHeight="1" x14ac:dyDescent="0.2">
      <c r="A24" s="603" t="s">
        <v>256</v>
      </c>
      <c r="B24" s="515">
        <f>INPUT!B756</f>
        <v>230</v>
      </c>
      <c r="C24" s="515"/>
      <c r="D24" s="515">
        <f>INPUT!D756</f>
        <v>230</v>
      </c>
      <c r="E24" s="515"/>
      <c r="F24" s="515">
        <f>INPUT!F756</f>
        <v>230</v>
      </c>
      <c r="G24" s="515"/>
      <c r="H24" s="515">
        <f>INPUT!H756</f>
        <v>230</v>
      </c>
      <c r="I24" s="515"/>
      <c r="J24" s="515">
        <f>INPUT!J756</f>
        <v>230</v>
      </c>
      <c r="K24" s="339">
        <f>INPUT!K756</f>
        <v>0</v>
      </c>
      <c r="L24" s="515">
        <f>INPUT!L756</f>
        <v>230</v>
      </c>
      <c r="M24" s="339">
        <f>INPUT!M756</f>
        <v>0</v>
      </c>
      <c r="N24" s="515">
        <f>INPUT!N756</f>
        <v>230</v>
      </c>
      <c r="O24" s="339">
        <f>INPUT!O756</f>
        <v>0</v>
      </c>
      <c r="P24" s="515">
        <f>INPUT!P756</f>
        <v>230</v>
      </c>
      <c r="Q24" s="339">
        <f>INPUT!Q756</f>
        <v>0</v>
      </c>
      <c r="R24" s="515">
        <f>INPUT!R756</f>
        <v>230</v>
      </c>
      <c r="S24" s="339">
        <f>INPUT!S756</f>
        <v>0</v>
      </c>
      <c r="T24" s="515">
        <f>INPUT!T756</f>
        <v>250.3</v>
      </c>
      <c r="U24" s="339">
        <f>INPUT!U756</f>
        <v>8.8260869565217384</v>
      </c>
      <c r="V24" s="515">
        <f>INPUT!V756</f>
        <v>262.3</v>
      </c>
      <c r="W24" s="339">
        <f>INPUT!W756</f>
        <v>14.043478260869581</v>
      </c>
      <c r="X24" s="515">
        <f>INPUT!X756</f>
        <v>263.3</v>
      </c>
      <c r="Y24" s="339">
        <f>INPUT!Y756</f>
        <v>14.478260869565229</v>
      </c>
      <c r="Z24" s="515">
        <f>INPUT!Z756</f>
        <v>263.5</v>
      </c>
      <c r="AA24" s="339">
        <f>INPUT!AA756</f>
        <v>14.565217391304341</v>
      </c>
      <c r="AB24" s="515">
        <f>INPUT!AB756</f>
        <v>256.2</v>
      </c>
      <c r="AC24" s="339">
        <f>INPUT!AC756</f>
        <v>2.3571713943268069</v>
      </c>
      <c r="AD24" s="515">
        <f>INPUT!AD756</f>
        <v>254.4</v>
      </c>
      <c r="AE24" s="339">
        <f>INPUT!AE756</f>
        <v>-3.0118185284025989</v>
      </c>
      <c r="AF24" s="515">
        <f>INPUT!AF756</f>
        <v>246.4</v>
      </c>
      <c r="AG24" s="339">
        <f>INPUT!AG756</f>
        <v>-6.418533991644515</v>
      </c>
      <c r="AH24" s="515">
        <f>INPUT!AH756</f>
        <v>240.7</v>
      </c>
      <c r="AI24" s="339">
        <f>INPUT!AI756</f>
        <v>-8.6527514231499065</v>
      </c>
      <c r="AJ24" s="515">
        <f>INPUT!AJ756</f>
        <v>229.8</v>
      </c>
      <c r="AK24" s="339">
        <f>INPUT!AK756</f>
        <v>-10.304449648711934</v>
      </c>
      <c r="AL24" s="515">
        <f>INPUT!AL756</f>
        <v>223.6</v>
      </c>
      <c r="AM24" s="339">
        <f>INPUT!AM756</f>
        <v>-12.106918238993714</v>
      </c>
      <c r="AN24" s="515">
        <f>INPUT!AN756</f>
        <v>216</v>
      </c>
      <c r="AO24" s="339">
        <f>INPUT!AO756</f>
        <v>-12.337662337662337</v>
      </c>
      <c r="AP24" s="515">
        <f>INPUT!AP756</f>
        <v>209.1</v>
      </c>
      <c r="AQ24" s="339">
        <f>INPUT!AQ756</f>
        <v>-13.128375571250517</v>
      </c>
      <c r="AR24" s="515">
        <f>INPUT!AR756</f>
        <v>203.5</v>
      </c>
      <c r="AS24" s="339">
        <f>INPUT!AS756</f>
        <v>-11.444734551784164</v>
      </c>
      <c r="AT24" s="515">
        <f>INPUT!AT756</f>
        <v>201.5</v>
      </c>
      <c r="AU24" s="339">
        <f>INPUT!AU756</f>
        <v>-9.8837209302325526</v>
      </c>
      <c r="AV24" s="515">
        <f>INPUT!AV756</f>
        <v>197.1</v>
      </c>
      <c r="AW24" s="339">
        <f>INPUT!AW756</f>
        <v>-8.7500000000000018</v>
      </c>
      <c r="AX24" s="515">
        <f>INPUT!AX756</f>
        <v>194.4</v>
      </c>
      <c r="AY24" s="339">
        <f>INPUT!AY756</f>
        <v>-7.0301291248206503</v>
      </c>
      <c r="AZ24" s="515">
        <f>INPUT!AZ756</f>
        <v>187.7</v>
      </c>
      <c r="BA24" s="339">
        <f>INPUT!BA756</f>
        <v>-7.7641277641277711</v>
      </c>
      <c r="BB24" s="515">
        <f>INPUT!BB756</f>
        <v>182.4</v>
      </c>
      <c r="BC24" s="339">
        <f>INPUT!BC756</f>
        <v>-9.4789081885855992</v>
      </c>
      <c r="BD24" s="515">
        <f>INPUT!BD756</f>
        <v>183</v>
      </c>
      <c r="BE24" s="339">
        <f>INPUT!BE756</f>
        <v>-7.1537290715372848</v>
      </c>
      <c r="BF24" s="515">
        <f>INPUT!BF756</f>
        <v>171.62136220045448</v>
      </c>
      <c r="BG24" s="339">
        <f>INPUT!BG756</f>
        <v>-11.717406275486375</v>
      </c>
      <c r="BH24" s="515">
        <f>INPUT!BH756</f>
        <v>165.88108058885376</v>
      </c>
      <c r="BI24" s="339">
        <f>INPUT!BI756</f>
        <v>-11.624357704393306</v>
      </c>
      <c r="BJ24" s="515">
        <f>INPUT!BJ756</f>
        <v>161.21496926599849</v>
      </c>
      <c r="BK24" s="339">
        <f>INPUT!BK756</f>
        <v>-11.614600183114865</v>
      </c>
      <c r="BL24" s="515">
        <f>INPUT!BL756</f>
        <v>158.95081145967904</v>
      </c>
      <c r="BM24" s="339">
        <f>INPUT!BM756</f>
        <v>-13.141633082142601</v>
      </c>
      <c r="BN24" s="347"/>
      <c r="BO24" s="515">
        <f>INPUT!BU756</f>
        <v>230</v>
      </c>
      <c r="BP24" s="340" t="str">
        <f>INPUT!BV756</f>
        <v>NA</v>
      </c>
      <c r="BQ24" s="515">
        <f>INPUT!BW756</f>
        <v>230</v>
      </c>
      <c r="BR24" s="340">
        <f>INPUT!BX756</f>
        <v>0</v>
      </c>
      <c r="BS24" s="515">
        <f>INPUT!BY756</f>
        <v>251.8</v>
      </c>
      <c r="BT24" s="340">
        <f>INPUT!BZ756</f>
        <v>9.4782608695652257</v>
      </c>
      <c r="BU24" s="515">
        <f>INPUT!CA756</f>
        <v>255.125</v>
      </c>
      <c r="BV24" s="340">
        <f>INPUT!CB756</f>
        <v>1.3204924543288366</v>
      </c>
      <c r="BW24" s="515">
        <f>INPUT!CC756</f>
        <v>227.52500000000001</v>
      </c>
      <c r="BX24" s="340">
        <f>INPUT!CD756</f>
        <v>-10.818226359627637</v>
      </c>
      <c r="BY24" s="515">
        <f>INPUT!CE756</f>
        <v>202.8</v>
      </c>
      <c r="BZ24" s="340">
        <f>INPUT!CF756</f>
        <v>-10.866937699153933</v>
      </c>
      <c r="CA24" s="515">
        <f>INPUT!CG756</f>
        <v>186.875</v>
      </c>
      <c r="CB24" s="340">
        <f>INPUT!CH756</f>
        <v>-7.8525641025641075</v>
      </c>
      <c r="CC24" s="515">
        <f>INPUT!CI756</f>
        <v>164.41705587874645</v>
      </c>
      <c r="CD24" s="340">
        <f>INPUT!CJ756</f>
        <v>-12.017628961205906</v>
      </c>
      <c r="CE24" s="515">
        <f>INPUT!CK756</f>
        <v>150.45983702213059</v>
      </c>
      <c r="CF24" s="340">
        <f>INPUT!CL756</f>
        <v>-8.4889117993384939</v>
      </c>
      <c r="CG24" s="515">
        <f>INPUT!CM756</f>
        <v>142.62393387589015</v>
      </c>
      <c r="CH24" s="340">
        <f>INPUT!CN756</f>
        <v>-5.2079699814428837</v>
      </c>
      <c r="CI24" s="515">
        <f>INPUT!CO756</f>
        <v>134.83130346424653</v>
      </c>
      <c r="CJ24" s="340">
        <f>INPUT!CP756</f>
        <v>-5.4637606745756129</v>
      </c>
      <c r="CK24" s="515">
        <f>INPUT!CQ756</f>
        <v>126.7190180303338</v>
      </c>
      <c r="CL24" s="340">
        <f>INPUT!CR756</f>
        <v>-6.0166187120366139</v>
      </c>
      <c r="CM24" s="610">
        <f>INPUT!CS756</f>
        <v>-7.4752077490880753</v>
      </c>
    </row>
    <row r="25" spans="1:147" s="317" customFormat="1" ht="11.25" customHeight="1" x14ac:dyDescent="0.2">
      <c r="A25" s="615" t="s">
        <v>47</v>
      </c>
      <c r="B25" s="313">
        <f>INPUT!B761</f>
        <v>0.62896912747063405</v>
      </c>
      <c r="C25" s="313"/>
      <c r="D25" s="315">
        <f>INPUT!D761</f>
        <v>0.75420500406251245</v>
      </c>
      <c r="E25" s="313"/>
      <c r="F25" s="313">
        <f>INPUT!F761</f>
        <v>0.71230542036541289</v>
      </c>
      <c r="G25" s="313"/>
      <c r="H25" s="315">
        <f>INPUT!H761</f>
        <v>0.40535590165697749</v>
      </c>
      <c r="I25" s="313"/>
      <c r="J25" s="313">
        <f>INPUT!J761</f>
        <v>0.61464578971839079</v>
      </c>
      <c r="K25" s="314">
        <f>INPUT!K761</f>
        <v>-2.277271987870666</v>
      </c>
      <c r="L25" s="313">
        <f>INPUT!L761</f>
        <v>0.80885409813964293</v>
      </c>
      <c r="M25" s="314">
        <f>INPUT!M761</f>
        <v>7.2459203774522862</v>
      </c>
      <c r="N25" s="313">
        <f>INPUT!N761</f>
        <v>0.73230844492405511</v>
      </c>
      <c r="O25" s="314">
        <f>INPUT!O761</f>
        <v>2.8082089489618989</v>
      </c>
      <c r="P25" s="313">
        <f>INPUT!P761</f>
        <v>0.72692962856982757</v>
      </c>
      <c r="Q25" s="314">
        <f>INPUT!Q761</f>
        <v>79.331206378974599</v>
      </c>
      <c r="R25" s="313">
        <f>INPUT!R761</f>
        <v>0.66744400013555194</v>
      </c>
      <c r="S25" s="314">
        <f>INPUT!S761</f>
        <v>8.5900223023331002</v>
      </c>
      <c r="T25" s="313">
        <f>INPUT!T761</f>
        <v>0.66683300039952031</v>
      </c>
      <c r="U25" s="314">
        <f>INPUT!U761</f>
        <v>-17.558308484406503</v>
      </c>
      <c r="V25" s="313">
        <f>INPUT!V761</f>
        <v>0.63810522302706774</v>
      </c>
      <c r="W25" s="314">
        <f>INPUT!W761</f>
        <v>-12.863872122457476</v>
      </c>
      <c r="X25" s="313">
        <f>INPUT!X761</f>
        <v>0.67419293581465978</v>
      </c>
      <c r="Y25" s="314">
        <f>INPUT!Y761</f>
        <v>-7.254717744676709</v>
      </c>
      <c r="Z25" s="313">
        <f>INPUT!Z761</f>
        <v>0.62335863377609146</v>
      </c>
      <c r="AA25" s="314">
        <f>INPUT!AA761</f>
        <v>-6.6051034020093269</v>
      </c>
      <c r="AB25" s="313">
        <f>INPUT!AB761</f>
        <v>0.79207650273224051</v>
      </c>
      <c r="AC25" s="314">
        <f>INPUT!AC761</f>
        <v>18.781839269754631</v>
      </c>
      <c r="AD25" s="313">
        <f>INPUT!AD761</f>
        <v>0.73352397798742153</v>
      </c>
      <c r="AE25" s="314">
        <f>INPUT!AE761</f>
        <v>14.953451486841418</v>
      </c>
      <c r="AF25" s="313">
        <f>INPUT!AF761</f>
        <v>0.92171266233766191</v>
      </c>
      <c r="AG25" s="314">
        <f>INPUT!AG761</f>
        <v>36.713485617275431</v>
      </c>
      <c r="AH25" s="313">
        <f>INPUT!AH761</f>
        <v>0.80450186954715441</v>
      </c>
      <c r="AI25" s="314">
        <f>INPUT!AI761</f>
        <v>29.059232672171365</v>
      </c>
      <c r="AJ25" s="313">
        <f>INPUT!AJ761</f>
        <v>0.80161879895561394</v>
      </c>
      <c r="AK25" s="314">
        <f>INPUT!AK761</f>
        <v>1.2047190126784013</v>
      </c>
      <c r="AL25" s="313">
        <f>INPUT!AL761</f>
        <v>0.70067978533094677</v>
      </c>
      <c r="AM25" s="314">
        <f>INPUT!AM761</f>
        <v>-4.4775895051978765</v>
      </c>
      <c r="AN25" s="313">
        <f>INPUT!AN761</f>
        <v>0.76027777777777794</v>
      </c>
      <c r="AO25" s="314">
        <f>INPUT!AO761</f>
        <v>-17.514664944544677</v>
      </c>
      <c r="AP25" s="313">
        <f>INPUT!AP761</f>
        <v>0.31869918699186905</v>
      </c>
      <c r="AQ25" s="314" t="str">
        <f>INPUT!AQ761</f>
        <v>NM</v>
      </c>
      <c r="AR25" s="313">
        <f>INPUT!AR761</f>
        <v>0.51884029484029504</v>
      </c>
      <c r="AS25" s="314">
        <f>INPUT!AS761</f>
        <v>-35.275932211636729</v>
      </c>
      <c r="AT25" s="313">
        <f>INPUT!AT761</f>
        <v>0.44782133995037188</v>
      </c>
      <c r="AU25" s="314">
        <f>INPUT!AU761</f>
        <v>-36.087589605734692</v>
      </c>
      <c r="AV25" s="313">
        <f>INPUT!AV761</f>
        <v>0.51336377473363715</v>
      </c>
      <c r="AW25" s="314">
        <f>INPUT!AW761</f>
        <v>-32.476814430358303</v>
      </c>
      <c r="AX25" s="313">
        <f>INPUT!AX761</f>
        <v>0.46487654320987559</v>
      </c>
      <c r="AY25" s="314">
        <f>INPUT!AY761</f>
        <v>45.866874527588905</v>
      </c>
      <c r="AZ25" s="313">
        <f>INPUT!AZ761</f>
        <v>0.65935002663825237</v>
      </c>
      <c r="BA25" s="314">
        <f>INPUT!BA761</f>
        <v>27.081499489396421</v>
      </c>
      <c r="BB25" s="313">
        <f>INPUT!BB761</f>
        <v>0.64942982456140363</v>
      </c>
      <c r="BC25" s="314">
        <f>INPUT!BC761</f>
        <v>45.019847565409506</v>
      </c>
      <c r="BD25" s="313">
        <f>INPUT!BD761</f>
        <v>0.79704918032786864</v>
      </c>
      <c r="BE25" s="314">
        <f>INPUT!BE761</f>
        <v>55.260113696457047</v>
      </c>
      <c r="BF25" s="313">
        <f>INPUT!BF761</f>
        <v>0.86626151853281375</v>
      </c>
      <c r="BG25" s="314">
        <f>INPUT!BG761</f>
        <v>86.342273273557453</v>
      </c>
      <c r="BH25" s="313">
        <f>INPUT!BH761</f>
        <v>1.0460129775333231</v>
      </c>
      <c r="BI25" s="314">
        <f>INPUT!BI761</f>
        <v>58.643047739984475</v>
      </c>
      <c r="BJ25" s="313">
        <f>INPUT!BJ761</f>
        <v>1.1421989433528013</v>
      </c>
      <c r="BK25" s="314">
        <f>INPUT!BK761</f>
        <v>75.877192601093157</v>
      </c>
      <c r="BL25" s="313">
        <f>INPUT!BL761</f>
        <v>1.2098112978370306</v>
      </c>
      <c r="BM25" s="314">
        <f>INPUT!BM761</f>
        <v>51.786279654584291</v>
      </c>
      <c r="BN25" s="313"/>
      <c r="BO25" s="313">
        <f>INPUT!BU761</f>
        <v>2.5007265142058999</v>
      </c>
      <c r="BP25" s="387" t="str">
        <f>INPUT!BV761</f>
        <v>NA</v>
      </c>
      <c r="BQ25" s="313">
        <f>INPUT!BW761</f>
        <v>2.8826847645918496</v>
      </c>
      <c r="BR25" s="387">
        <f>INPUT!BX761</f>
        <v>15.273891335824041</v>
      </c>
      <c r="BS25" s="313">
        <f>INPUT!BY761</f>
        <v>2.6422584641468165</v>
      </c>
      <c r="BT25" s="387">
        <f>INPUT!BZ761</f>
        <v>-8.3403604652926511</v>
      </c>
      <c r="BU25" s="313">
        <f>INPUT!CA761</f>
        <v>3.0608662420382173</v>
      </c>
      <c r="BV25" s="387">
        <f>INPUT!CB761</f>
        <v>15.842802041191263</v>
      </c>
      <c r="BW25" s="313">
        <f>INPUT!CC761</f>
        <v>3.0710805405999335</v>
      </c>
      <c r="BX25" s="387">
        <f>INPUT!CD761</f>
        <v>0.33370613917824699</v>
      </c>
      <c r="BY25" s="313">
        <f>INPUT!CE761</f>
        <v>1.7931163708086781</v>
      </c>
      <c r="BZ25" s="387">
        <f>INPUT!CF761</f>
        <v>-41.612851011116945</v>
      </c>
      <c r="CA25" s="313">
        <f>INPUT!CG761</f>
        <v>2.560256856187292</v>
      </c>
      <c r="CB25" s="387">
        <f>INPUT!CH761</f>
        <v>42.782526436510146</v>
      </c>
      <c r="CC25" s="313">
        <f>INPUT!CI761</f>
        <v>4.2490895860792328</v>
      </c>
      <c r="CD25" s="387">
        <f>INPUT!CJ761</f>
        <v>65.963410109051821</v>
      </c>
      <c r="CE25" s="313">
        <f>INPUT!CK761</f>
        <v>5.2475537932009786</v>
      </c>
      <c r="CF25" s="387">
        <f>INPUT!CL761</f>
        <v>23.498309152927497</v>
      </c>
      <c r="CG25" s="313">
        <f>INPUT!CM761</f>
        <v>5.7969002993802468</v>
      </c>
      <c r="CH25" s="387">
        <f>INPUT!CN761</f>
        <v>10.468620767471348</v>
      </c>
      <c r="CI25" s="313">
        <f>INPUT!CO761</f>
        <v>6.401629011637576</v>
      </c>
      <c r="CJ25" s="387">
        <f>INPUT!CP761</f>
        <v>10.43193225734762</v>
      </c>
      <c r="CK25" s="313">
        <f>INPUT!CQ761</f>
        <v>7.0955875461529843</v>
      </c>
      <c r="CL25" s="387">
        <f>INPUT!CR761</f>
        <v>10.84034287606881</v>
      </c>
      <c r="CM25" s="616">
        <f>INPUT!CS761</f>
        <v>22.61425535916446</v>
      </c>
      <c r="CN25" s="313"/>
      <c r="CO25" s="314"/>
      <c r="CP25" s="313"/>
      <c r="CQ25" s="314"/>
      <c r="CR25" s="313"/>
      <c r="CS25" s="314"/>
      <c r="CT25" s="313"/>
      <c r="CU25" s="314"/>
      <c r="CV25" s="313"/>
      <c r="CW25" s="314"/>
      <c r="CX25" s="313"/>
      <c r="CY25" s="314"/>
      <c r="CZ25" s="313"/>
      <c r="DA25" s="314"/>
      <c r="DB25" s="313"/>
      <c r="DC25" s="314"/>
      <c r="DD25" s="313"/>
      <c r="DE25" s="314"/>
      <c r="DF25" s="313"/>
      <c r="DG25" s="314"/>
      <c r="DH25" s="313"/>
      <c r="DI25" s="314"/>
      <c r="DJ25" s="313"/>
      <c r="DK25" s="314"/>
      <c r="DL25" s="313"/>
      <c r="DM25" s="314"/>
      <c r="DN25" s="313"/>
      <c r="DO25" s="314"/>
      <c r="DP25" s="316"/>
      <c r="DQ25" s="313"/>
      <c r="DR25" s="314"/>
      <c r="DS25" s="313"/>
      <c r="DT25" s="314"/>
      <c r="DU25" s="313"/>
      <c r="DV25" s="314"/>
      <c r="DW25" s="313"/>
      <c r="DX25" s="314"/>
      <c r="DY25" s="313"/>
      <c r="DZ25" s="314"/>
      <c r="EA25" s="313"/>
      <c r="EB25" s="314"/>
      <c r="EC25" s="313"/>
      <c r="ED25" s="314"/>
      <c r="EE25" s="313"/>
      <c r="EF25" s="314"/>
      <c r="EG25" s="313"/>
      <c r="EH25" s="314"/>
      <c r="EI25" s="313"/>
      <c r="EJ25" s="314"/>
      <c r="EK25" s="313"/>
      <c r="EL25" s="314"/>
      <c r="EM25" s="313"/>
      <c r="EN25" s="314"/>
      <c r="EO25" s="313"/>
      <c r="EP25" s="314"/>
      <c r="EQ25" s="314"/>
    </row>
    <row r="26" spans="1:147" s="311" customFormat="1" ht="12" hidden="1" customHeight="1" outlineLevel="1" x14ac:dyDescent="0.2">
      <c r="A26" s="617" t="s">
        <v>249</v>
      </c>
      <c r="B26" s="588">
        <f>(B19/B67)-B25</f>
        <v>0</v>
      </c>
      <c r="C26" s="588"/>
      <c r="D26" s="588">
        <f>(D19/D67)-D25</f>
        <v>0</v>
      </c>
      <c r="E26" s="588"/>
      <c r="F26" s="588">
        <f>(F19/F67)-F25</f>
        <v>0</v>
      </c>
      <c r="G26" s="588"/>
      <c r="H26" s="588">
        <f>(H19/H67)-H25</f>
        <v>0</v>
      </c>
      <c r="I26" s="588"/>
      <c r="J26" s="588">
        <f>(J19/J67)-J25</f>
        <v>0</v>
      </c>
      <c r="K26" s="308"/>
      <c r="L26" s="588">
        <f>(L19/L67)-L25</f>
        <v>0</v>
      </c>
      <c r="M26" s="308"/>
      <c r="N26" s="588">
        <f>(N19/N67)-N25</f>
        <v>0</v>
      </c>
      <c r="O26" s="308"/>
      <c r="P26" s="588">
        <f>(P19/P67)-P25</f>
        <v>0</v>
      </c>
      <c r="Q26" s="308"/>
      <c r="R26" s="588">
        <f>(R19/R67)-R25</f>
        <v>0</v>
      </c>
      <c r="S26" s="308"/>
      <c r="T26" s="588">
        <f>(T19/T67)-T25</f>
        <v>0</v>
      </c>
      <c r="U26" s="308"/>
      <c r="V26" s="588">
        <f>(V19/V67)-V25</f>
        <v>0</v>
      </c>
      <c r="W26" s="308"/>
      <c r="X26" s="588">
        <f>(X19/X67)-X25</f>
        <v>0</v>
      </c>
      <c r="Y26" s="308"/>
      <c r="Z26" s="588">
        <f>(Z19/Z67)-Z25</f>
        <v>0</v>
      </c>
      <c r="AA26" s="308"/>
      <c r="AB26" s="588">
        <f>(AB19/AB67)-AB25</f>
        <v>0</v>
      </c>
      <c r="AC26" s="308"/>
      <c r="AD26" s="588">
        <f>(AD19/AD67)-AD25</f>
        <v>0</v>
      </c>
      <c r="AE26" s="308"/>
      <c r="AF26" s="588">
        <f>(AF19/AF67)-AF25</f>
        <v>0</v>
      </c>
      <c r="AG26" s="308"/>
      <c r="AH26" s="588">
        <f>(AH19/AH67)-AH25</f>
        <v>0</v>
      </c>
      <c r="AI26" s="308"/>
      <c r="AJ26" s="588">
        <f>(AJ19/AJ67)-AJ25</f>
        <v>0</v>
      </c>
      <c r="AK26" s="308"/>
      <c r="AL26" s="588">
        <f>(AL19/AL67)-AL25</f>
        <v>0</v>
      </c>
      <c r="AM26" s="308"/>
      <c r="AN26" s="588">
        <f>(AN19/AN67)-AN25</f>
        <v>0</v>
      </c>
      <c r="AO26" s="308"/>
      <c r="AP26" s="588">
        <f>(AP19/AP67)-AP25</f>
        <v>0</v>
      </c>
      <c r="AQ26" s="308"/>
      <c r="AR26" s="588">
        <f>(AR19/AR67)-AR25</f>
        <v>0</v>
      </c>
      <c r="AS26" s="308"/>
      <c r="AT26" s="588">
        <f>(AT19/AT67)-AT25</f>
        <v>0</v>
      </c>
      <c r="AU26" s="308"/>
      <c r="AV26" s="588">
        <f>(AV19/AV67)-AV25</f>
        <v>0</v>
      </c>
      <c r="AW26" s="308"/>
      <c r="AX26" s="588">
        <f t="shared" ref="AX26" si="8">(AX19/AX67)-AX25</f>
        <v>0</v>
      </c>
      <c r="AY26" s="308"/>
      <c r="AZ26" s="588">
        <f t="shared" ref="AZ26" si="9">(AZ19/AZ67)-AZ25</f>
        <v>0</v>
      </c>
      <c r="BA26" s="308"/>
      <c r="BB26" s="588">
        <f t="shared" ref="BB26" si="10">(BB19/BB67)-BB25</f>
        <v>0</v>
      </c>
      <c r="BC26" s="308"/>
      <c r="BD26" s="588">
        <f t="shared" ref="BD26" si="11">(BD19/BD67)-BD25</f>
        <v>0</v>
      </c>
      <c r="BE26" s="308"/>
      <c r="BF26" s="588">
        <f t="shared" ref="BF26" si="12">(BF19/BF67)-BF25</f>
        <v>0</v>
      </c>
      <c r="BG26" s="308"/>
      <c r="BH26" s="588">
        <f t="shared" ref="BH26" si="13">(BH19/BH67)-BH25</f>
        <v>0</v>
      </c>
      <c r="BI26" s="308"/>
      <c r="BJ26" s="588">
        <f t="shared" ref="BJ26" si="14">(BJ19/BJ67)-BJ25</f>
        <v>0</v>
      </c>
      <c r="BK26" s="308"/>
      <c r="BL26" s="588">
        <f t="shared" ref="BL26" si="15">(BL19/BL67)-BL25</f>
        <v>0</v>
      </c>
      <c r="BM26" s="308"/>
      <c r="BN26" s="588"/>
      <c r="BO26" s="588">
        <f>(BO19/BO67)-BO25</f>
        <v>0</v>
      </c>
      <c r="BP26" s="591"/>
      <c r="BQ26" s="588">
        <f>(BQ19/BQ67)-BQ25</f>
        <v>0</v>
      </c>
      <c r="BR26" s="591"/>
      <c r="BS26" s="588">
        <f>(BS19/BS67)-BS25</f>
        <v>0</v>
      </c>
      <c r="BT26" s="591"/>
      <c r="BU26" s="588">
        <f>(BU19/BU67)-BU25</f>
        <v>0</v>
      </c>
      <c r="BV26" s="591"/>
      <c r="BW26" s="588">
        <f>(BW19/BW67)-BW25</f>
        <v>0</v>
      </c>
      <c r="BX26" s="591"/>
      <c r="BY26" s="588">
        <f>(BY19/BY67)-BY25</f>
        <v>0</v>
      </c>
      <c r="BZ26" s="591"/>
      <c r="CA26" s="588">
        <f>(CA19/CA67)-CA25</f>
        <v>0</v>
      </c>
      <c r="CB26" s="591"/>
      <c r="CC26" s="588">
        <f>(CC19/CC67)-CC25</f>
        <v>0</v>
      </c>
      <c r="CD26" s="591"/>
      <c r="CE26" s="588">
        <f>(CE19/CE67)-CE25</f>
        <v>0</v>
      </c>
      <c r="CF26" s="591"/>
      <c r="CG26" s="588"/>
      <c r="CH26" s="591"/>
      <c r="CI26" s="588"/>
      <c r="CJ26" s="591"/>
      <c r="CK26" s="588"/>
      <c r="CL26" s="591"/>
      <c r="CM26" s="618"/>
      <c r="CN26" s="309"/>
      <c r="CO26" s="308"/>
      <c r="CP26" s="309"/>
      <c r="CQ26" s="308"/>
      <c r="CR26" s="309"/>
      <c r="CS26" s="308"/>
      <c r="CT26" s="309"/>
      <c r="CU26" s="308"/>
      <c r="CV26" s="309"/>
      <c r="CW26" s="308"/>
      <c r="CX26" s="309"/>
      <c r="CY26" s="308"/>
      <c r="CZ26" s="309"/>
      <c r="DA26" s="308"/>
      <c r="DB26" s="309"/>
      <c r="DC26" s="308"/>
      <c r="DD26" s="309"/>
      <c r="DE26" s="308"/>
      <c r="DF26" s="309"/>
      <c r="DG26" s="308"/>
      <c r="DH26" s="309"/>
      <c r="DI26" s="308"/>
      <c r="DJ26" s="309"/>
      <c r="DK26" s="308"/>
      <c r="DL26" s="309"/>
      <c r="DM26" s="308"/>
      <c r="DN26" s="309"/>
      <c r="DO26" s="308"/>
      <c r="DP26" s="308"/>
      <c r="DQ26" s="309"/>
      <c r="DR26" s="308"/>
      <c r="DS26" s="309"/>
      <c r="DT26" s="308"/>
      <c r="DU26" s="309"/>
      <c r="DV26" s="308"/>
      <c r="DW26" s="309"/>
      <c r="DX26" s="308"/>
      <c r="DY26" s="309"/>
      <c r="DZ26" s="308"/>
      <c r="EA26" s="309"/>
      <c r="EB26" s="308"/>
      <c r="EC26" s="309"/>
      <c r="ED26" s="308"/>
      <c r="EE26" s="309"/>
      <c r="EF26" s="308"/>
      <c r="EG26" s="309"/>
      <c r="EH26" s="308"/>
      <c r="EI26" s="309"/>
      <c r="EJ26" s="308"/>
      <c r="EK26" s="309"/>
      <c r="EL26" s="308"/>
      <c r="EM26" s="309"/>
      <c r="EN26" s="308"/>
      <c r="EO26" s="309"/>
      <c r="EP26" s="308"/>
      <c r="EQ26" s="310"/>
    </row>
    <row r="27" spans="1:147" s="331" customFormat="1" ht="11.25" customHeight="1" collapsed="1" x14ac:dyDescent="0.2">
      <c r="A27" s="603" t="s">
        <v>405</v>
      </c>
      <c r="B27" s="519"/>
      <c r="C27" s="519"/>
      <c r="D27" s="519"/>
      <c r="E27" s="519"/>
      <c r="F27" s="519"/>
      <c r="G27" s="519"/>
      <c r="H27" s="519"/>
      <c r="I27" s="519"/>
      <c r="J27" s="519"/>
      <c r="K27" s="513"/>
      <c r="L27" s="519"/>
      <c r="M27" s="513"/>
      <c r="N27" s="519"/>
      <c r="O27" s="513"/>
      <c r="P27" s="519"/>
      <c r="Q27" s="513"/>
      <c r="R27" s="520">
        <f>R28-R25</f>
        <v>5.7338608560100313E-2</v>
      </c>
      <c r="S27" s="513"/>
      <c r="T27" s="520">
        <f>T28-T25</f>
        <v>3.9519376747902402E-2</v>
      </c>
      <c r="U27" s="513"/>
      <c r="V27" s="520">
        <f>V28-V25</f>
        <v>0.44035455585207728</v>
      </c>
      <c r="W27" s="513"/>
      <c r="X27" s="520">
        <f>X28-X25</f>
        <v>7.8503608051651907E-2</v>
      </c>
      <c r="Y27" s="513"/>
      <c r="Z27" s="520">
        <f>Z28-Z25</f>
        <v>-5.3282732447817782E-2</v>
      </c>
      <c r="AA27" s="513"/>
      <c r="AB27" s="520">
        <f>AB28-AB25</f>
        <v>4.0593286494925662E-2</v>
      </c>
      <c r="AC27" s="513"/>
      <c r="AD27" s="520">
        <f>AD28-AD25</f>
        <v>1.8677279874213748E-2</v>
      </c>
      <c r="AE27" s="513"/>
      <c r="AF27" s="520">
        <f>AF28-AF25</f>
        <v>7.2808441558441572E-2</v>
      </c>
      <c r="AG27" s="513"/>
      <c r="AH27" s="520">
        <f>AH28-AH25</f>
        <v>1.3927710843373409E-2</v>
      </c>
      <c r="AI27" s="513"/>
      <c r="AJ27" s="520">
        <f>AJ28-AJ25</f>
        <v>-2.4856396866840935E-2</v>
      </c>
      <c r="AK27" s="513"/>
      <c r="AL27" s="520">
        <f>AL28-AL25</f>
        <v>-0.28373881932021433</v>
      </c>
      <c r="AM27" s="513"/>
      <c r="AN27" s="520">
        <f>AN28-AN25</f>
        <v>0.14733333333333321</v>
      </c>
      <c r="AO27" s="513"/>
      <c r="AP27" s="520">
        <f>AP28-AP25</f>
        <v>-3.5121951219512115E-2</v>
      </c>
      <c r="AQ27" s="513"/>
      <c r="AR27" s="520">
        <f>AR28-AR25</f>
        <v>-8.2771498771498808E-2</v>
      </c>
      <c r="AS27" s="513"/>
      <c r="AT27" s="520">
        <f>AT28-AT25</f>
        <v>-0.57234739454094286</v>
      </c>
      <c r="AU27" s="513"/>
      <c r="AV27" s="520">
        <f>AV28-AV25</f>
        <v>2.7600202942668073E-3</v>
      </c>
      <c r="AW27" s="513"/>
      <c r="AX27" s="520">
        <f t="shared" ref="AX27" si="16">AX28-AX25</f>
        <v>4.3724279835390956E-2</v>
      </c>
      <c r="AY27" s="513"/>
      <c r="AZ27" s="520">
        <f t="shared" ref="AZ27" si="17">AZ28-AZ25</f>
        <v>-0.27171017581246687</v>
      </c>
      <c r="BA27" s="513"/>
      <c r="BB27" s="520">
        <f t="shared" ref="BB27" si="18">BB28-BB25</f>
        <v>-0.49210526315789471</v>
      </c>
      <c r="BC27" s="513"/>
      <c r="BD27" s="520">
        <f t="shared" ref="BD27" si="19">BD28-BD25</f>
        <v>7.0601092896174777E-2</v>
      </c>
      <c r="BE27" s="513"/>
      <c r="BF27" s="520">
        <f t="shared" ref="BF27" si="20">BF28-BF25</f>
        <v>0</v>
      </c>
      <c r="BG27" s="513"/>
      <c r="BH27" s="520">
        <f t="shared" ref="BH27" si="21">BH28-BH25</f>
        <v>0</v>
      </c>
      <c r="BI27" s="513"/>
      <c r="BJ27" s="520">
        <f t="shared" ref="BJ27" si="22">BJ28-BJ25</f>
        <v>0</v>
      </c>
      <c r="BK27" s="513"/>
      <c r="BL27" s="520">
        <f t="shared" ref="BL27" si="23">BL28-BL25</f>
        <v>0</v>
      </c>
      <c r="BM27" s="513"/>
      <c r="BN27" s="356"/>
      <c r="BO27" s="519"/>
      <c r="BP27" s="514"/>
      <c r="BQ27" s="520">
        <f>BQ28-BQ25</f>
        <v>-0.28928041676576033</v>
      </c>
      <c r="BR27" s="514"/>
      <c r="BS27" s="520">
        <f>BS28-BS25</f>
        <v>0.6324238233829691</v>
      </c>
      <c r="BT27" s="514"/>
      <c r="BU27" s="520">
        <f>BU28-BU25</f>
        <v>7.4675159235668698E-2</v>
      </c>
      <c r="BV27" s="514"/>
      <c r="BW27" s="520">
        <f>BW28-BW25</f>
        <v>-0.14934446764091946</v>
      </c>
      <c r="BX27" s="514"/>
      <c r="BY27" s="520">
        <f>BY28-BY25</f>
        <v>-0.68526627218934943</v>
      </c>
      <c r="BZ27" s="514"/>
      <c r="CA27" s="520">
        <f>CA28-CA25</f>
        <v>-0.63860869565217415</v>
      </c>
      <c r="CB27" s="514"/>
      <c r="CC27" s="520">
        <f>CC28-CC25</f>
        <v>0</v>
      </c>
      <c r="CD27" s="514"/>
      <c r="CE27" s="520">
        <f>CE28-CE25</f>
        <v>0</v>
      </c>
      <c r="CF27" s="514"/>
      <c r="CG27" s="520"/>
      <c r="CH27" s="514"/>
      <c r="CI27" s="520"/>
      <c r="CJ27" s="514"/>
      <c r="CK27" s="520"/>
      <c r="CL27" s="514"/>
      <c r="CM27" s="608"/>
    </row>
    <row r="28" spans="1:147" s="330" customFormat="1" ht="11.25" customHeight="1" x14ac:dyDescent="0.2">
      <c r="A28" s="619" t="s">
        <v>45</v>
      </c>
      <c r="B28" s="325">
        <f>INPUT!B758</f>
        <v>0.70785632713043478</v>
      </c>
      <c r="C28" s="325"/>
      <c r="D28" s="327">
        <f>INPUT!D758</f>
        <v>0.84959072521739176</v>
      </c>
      <c r="E28" s="325"/>
      <c r="F28" s="325">
        <f>INPUT!F758</f>
        <v>0.86714865656521711</v>
      </c>
      <c r="G28" s="325"/>
      <c r="H28" s="327">
        <f>INPUT!H758</f>
        <v>0.74038016286956521</v>
      </c>
      <c r="I28" s="325"/>
      <c r="J28" s="325">
        <f>INPUT!J758</f>
        <v>0.67828695652173832</v>
      </c>
      <c r="K28" s="326">
        <f>INPUT!K758</f>
        <v>-4.177312467992933</v>
      </c>
      <c r="L28" s="325">
        <f>INPUT!L758</f>
        <v>0.56251739130434786</v>
      </c>
      <c r="M28" s="326">
        <f>INPUT!M758</f>
        <v>-33.789603086778996</v>
      </c>
      <c r="N28" s="325">
        <f>INPUT!N758</f>
        <v>0.76323478260869571</v>
      </c>
      <c r="O28" s="326">
        <f>INPUT!O758</f>
        <v>-11.983397906435689</v>
      </c>
      <c r="P28" s="325">
        <f>INPUT!P758</f>
        <v>0.58936521739130499</v>
      </c>
      <c r="Q28" s="326">
        <f>INPUT!Q758</f>
        <v>-20.396946467738488</v>
      </c>
      <c r="R28" s="325">
        <f>INPUT!R758</f>
        <v>0.72478260869565225</v>
      </c>
      <c r="S28" s="326">
        <f>INPUT!S758</f>
        <v>6.8548645564915578</v>
      </c>
      <c r="T28" s="325">
        <f>INPUT!T758</f>
        <v>0.70635237714742272</v>
      </c>
      <c r="U28" s="326">
        <f>INPUT!U758</f>
        <v>25.56987358374019</v>
      </c>
      <c r="V28" s="325">
        <f>INPUT!V758</f>
        <v>1.078459778879145</v>
      </c>
      <c r="W28" s="326">
        <f>INPUT!W758</f>
        <v>41.301183260153195</v>
      </c>
      <c r="X28" s="325">
        <f>INPUT!X758</f>
        <v>0.75269654386631168</v>
      </c>
      <c r="Y28" s="326">
        <f>INPUT!Y758</f>
        <v>27.713092265260709</v>
      </c>
      <c r="Z28" s="325">
        <f>INPUT!Z758</f>
        <v>0.57007590132827368</v>
      </c>
      <c r="AA28" s="326">
        <f>INPUT!AA758</f>
        <v>-21.345256565385164</v>
      </c>
      <c r="AB28" s="325">
        <f>INPUT!AB758</f>
        <v>0.83266978922716617</v>
      </c>
      <c r="AC28" s="326">
        <f>INPUT!AC758</f>
        <v>17.883058961289478</v>
      </c>
      <c r="AD28" s="325">
        <f>INPUT!AD758</f>
        <v>0.75220125786163528</v>
      </c>
      <c r="AE28" s="326">
        <f>INPUT!AE758</f>
        <v>-30.252266000739848</v>
      </c>
      <c r="AF28" s="325">
        <f>INPUT!AF758</f>
        <v>0.99452110389610349</v>
      </c>
      <c r="AG28" s="326">
        <f>INPUT!AG758</f>
        <v>32.127762775106206</v>
      </c>
      <c r="AH28" s="325">
        <f>INPUT!AH758</f>
        <v>0.81842958039052782</v>
      </c>
      <c r="AI28" s="326">
        <f>INPUT!AI758</f>
        <v>43.565019760279533</v>
      </c>
      <c r="AJ28" s="325">
        <f>INPUT!AJ758</f>
        <v>0.77676240208877301</v>
      </c>
      <c r="AK28" s="326">
        <f>INPUT!AK758</f>
        <v>-6.7142326840370909</v>
      </c>
      <c r="AL28" s="325">
        <f>INPUT!AL758</f>
        <v>0.41694096601073244</v>
      </c>
      <c r="AM28" s="326">
        <f>INPUT!AM758</f>
        <v>-44.570557194225366</v>
      </c>
      <c r="AN28" s="325">
        <f>INPUT!AN758</f>
        <v>0.90761111111111115</v>
      </c>
      <c r="AO28" s="326">
        <f>INPUT!AO758</f>
        <v>-8.738878686889251</v>
      </c>
      <c r="AP28" s="325">
        <f>INPUT!AP758</f>
        <v>0.28357723577235694</v>
      </c>
      <c r="AQ28" s="326" t="str">
        <f>INPUT!AQ758</f>
        <v>NM</v>
      </c>
      <c r="AR28" s="325">
        <f>INPUT!AR758</f>
        <v>0.43606879606879623</v>
      </c>
      <c r="AS28" s="326">
        <f>INPUT!AS758</f>
        <v>-43.860723060723053</v>
      </c>
      <c r="AT28" s="325">
        <f>INPUT!AT758</f>
        <v>-0.12452605459057099</v>
      </c>
      <c r="AU28" s="326" t="str">
        <f>INPUT!AU758</f>
        <v>NM</v>
      </c>
      <c r="AV28" s="325">
        <f>INPUT!AV758</f>
        <v>0.51612379502790395</v>
      </c>
      <c r="AW28" s="326">
        <f>INPUT!AW758</f>
        <v>-43.133817037997979</v>
      </c>
      <c r="AX28" s="325">
        <f>INPUT!AX758</f>
        <v>0.50860082304526655</v>
      </c>
      <c r="AY28" s="326">
        <f>INPUT!AY758</f>
        <v>79.351781062408151</v>
      </c>
      <c r="AZ28" s="325">
        <f>INPUT!AZ758</f>
        <v>0.3876398508257855</v>
      </c>
      <c r="BA28" s="326">
        <f>INPUT!BA758</f>
        <v>-11.10580387305914</v>
      </c>
      <c r="BB28" s="325">
        <f>INPUT!BB758</f>
        <v>0.15732456140350895</v>
      </c>
      <c r="BC28" s="326" t="str">
        <f>INPUT!BC758</f>
        <v>NM</v>
      </c>
      <c r="BD28" s="325">
        <f>INPUT!BD758</f>
        <v>0.86765027322404342</v>
      </c>
      <c r="BE28" s="326">
        <f>INPUT!BE758</f>
        <v>68.108946261067913</v>
      </c>
      <c r="BF28" s="325">
        <f>INPUT!BF758</f>
        <v>0.86626151853281397</v>
      </c>
      <c r="BG28" s="326">
        <f>INPUT!BG758</f>
        <v>70.32247674041119</v>
      </c>
      <c r="BH28" s="325">
        <f>INPUT!BH758</f>
        <v>1.0460129775333231</v>
      </c>
      <c r="BI28" s="326" t="str">
        <f>INPUT!BI758</f>
        <v>NM</v>
      </c>
      <c r="BJ28" s="325">
        <f>INPUT!BJ758</f>
        <v>1.1421989433528013</v>
      </c>
      <c r="BK28" s="326" t="str">
        <f>INPUT!BK758</f>
        <v>NM</v>
      </c>
      <c r="BL28" s="325">
        <f>INPUT!BL758</f>
        <v>1.2098112978370306</v>
      </c>
      <c r="BM28" s="326">
        <f>INPUT!BM758</f>
        <v>39.435361824018564</v>
      </c>
      <c r="BN28" s="325"/>
      <c r="BO28" s="325">
        <f>INPUT!BU758</f>
        <v>3.1649758717826053</v>
      </c>
      <c r="BP28" s="326" t="str">
        <f>INPUT!BV758</f>
        <v>NA</v>
      </c>
      <c r="BQ28" s="325">
        <f>INPUT!BW758</f>
        <v>2.5934043478260893</v>
      </c>
      <c r="BR28" s="326">
        <f>INPUT!BX758</f>
        <v>-18.059269552490786</v>
      </c>
      <c r="BS28" s="325">
        <f>INPUT!BY758</f>
        <v>3.2746822875297856</v>
      </c>
      <c r="BT28" s="326">
        <f>INPUT!BZ758</f>
        <v>26.26963821799615</v>
      </c>
      <c r="BU28" s="325">
        <f>INPUT!CA758</f>
        <v>3.135541401273886</v>
      </c>
      <c r="BV28" s="326">
        <f>INPUT!CB758</f>
        <v>-4.2489888801047204</v>
      </c>
      <c r="BW28" s="325">
        <f>INPUT!CC758</f>
        <v>2.9217360729590141</v>
      </c>
      <c r="BX28" s="326">
        <f>INPUT!CD758</f>
        <v>-6.8187691040535681</v>
      </c>
      <c r="BY28" s="325">
        <f>INPUT!CE758</f>
        <v>1.1078500986193287</v>
      </c>
      <c r="BZ28" s="326" t="str">
        <f>INPUT!CF758</f>
        <v>NM</v>
      </c>
      <c r="CA28" s="325">
        <f>INPUT!CG758</f>
        <v>1.9216481605351179</v>
      </c>
      <c r="CB28" s="326">
        <f>INPUT!CH758</f>
        <v>73.457416570165464</v>
      </c>
      <c r="CC28" s="325">
        <f>INPUT!CI758</f>
        <v>4.2490895860792328</v>
      </c>
      <c r="CD28" s="326" t="str">
        <f>INPUT!CJ758</f>
        <v>NM</v>
      </c>
      <c r="CE28" s="325">
        <f>INPUT!CK758</f>
        <v>5.2475537932009786</v>
      </c>
      <c r="CF28" s="326">
        <f>INPUT!CL758</f>
        <v>23.498309152927497</v>
      </c>
      <c r="CG28" s="325">
        <f>INPUT!CM758</f>
        <v>5.7969002993802468</v>
      </c>
      <c r="CH28" s="326">
        <f>INPUT!CN758</f>
        <v>10.468620767471348</v>
      </c>
      <c r="CI28" s="325">
        <f>INPUT!CO758</f>
        <v>6.401629011637576</v>
      </c>
      <c r="CJ28" s="326">
        <f>INPUT!CP758</f>
        <v>10.43193225734762</v>
      </c>
      <c r="CK28" s="325">
        <f>INPUT!CQ758</f>
        <v>7.0955875461529843</v>
      </c>
      <c r="CL28" s="326">
        <f>INPUT!CR758</f>
        <v>10.84034287606881</v>
      </c>
      <c r="CM28" s="620">
        <f>INPUT!CS758</f>
        <v>29.856262118449607</v>
      </c>
      <c r="CN28" s="325"/>
      <c r="CO28" s="326"/>
      <c r="CP28" s="325"/>
      <c r="CQ28" s="326"/>
      <c r="CR28" s="325"/>
      <c r="CS28" s="326"/>
      <c r="CT28" s="325"/>
      <c r="CU28" s="326"/>
      <c r="CV28" s="325"/>
      <c r="CW28" s="326"/>
      <c r="CX28" s="325"/>
      <c r="CY28" s="326"/>
      <c r="CZ28" s="325"/>
      <c r="DA28" s="326"/>
      <c r="DB28" s="325"/>
      <c r="DC28" s="326"/>
      <c r="DD28" s="325"/>
      <c r="DE28" s="326"/>
      <c r="DF28" s="325"/>
      <c r="DG28" s="326"/>
      <c r="DH28" s="325"/>
      <c r="DI28" s="326"/>
      <c r="DJ28" s="325"/>
      <c r="DK28" s="326"/>
      <c r="DL28" s="325"/>
      <c r="DM28" s="326"/>
      <c r="DN28" s="325"/>
      <c r="DO28" s="326"/>
      <c r="DP28" s="329"/>
      <c r="DQ28" s="325"/>
      <c r="DR28" s="326"/>
      <c r="DS28" s="325"/>
      <c r="DT28" s="326"/>
      <c r="DU28" s="325"/>
      <c r="DV28" s="326"/>
      <c r="DW28" s="325"/>
      <c r="DX28" s="326"/>
      <c r="DY28" s="325"/>
      <c r="DZ28" s="326"/>
      <c r="EA28" s="325"/>
      <c r="EB28" s="326"/>
      <c r="EC28" s="325"/>
      <c r="ED28" s="326"/>
      <c r="EE28" s="325"/>
      <c r="EF28" s="326"/>
      <c r="EG28" s="325"/>
      <c r="EH28" s="326"/>
      <c r="EI28" s="325"/>
      <c r="EJ28" s="326"/>
      <c r="EK28" s="325"/>
      <c r="EL28" s="326"/>
      <c r="EM28" s="325"/>
      <c r="EN28" s="326"/>
      <c r="EO28" s="325"/>
      <c r="EP28" s="326"/>
      <c r="EQ28" s="326"/>
    </row>
    <row r="29" spans="1:147" s="311" customFormat="1" ht="12" hidden="1" customHeight="1" outlineLevel="1" x14ac:dyDescent="0.2">
      <c r="A29" s="617" t="s">
        <v>249</v>
      </c>
      <c r="B29" s="588">
        <f>(B21/B67)-B28</f>
        <v>0</v>
      </c>
      <c r="C29" s="588"/>
      <c r="D29" s="588">
        <f>(D21/D67)-D28</f>
        <v>0</v>
      </c>
      <c r="E29" s="588"/>
      <c r="F29" s="588">
        <f>(F21/F67)-F28</f>
        <v>0</v>
      </c>
      <c r="G29" s="588"/>
      <c r="H29" s="588">
        <f>(H21/H67)-H28</f>
        <v>0</v>
      </c>
      <c r="I29" s="588"/>
      <c r="J29" s="588">
        <f>(J21/J67)-J28</f>
        <v>0</v>
      </c>
      <c r="K29" s="308"/>
      <c r="L29" s="588">
        <f>(L21/L67)-L28</f>
        <v>0</v>
      </c>
      <c r="M29" s="308"/>
      <c r="N29" s="588">
        <f>(N21/N67)-N28</f>
        <v>0</v>
      </c>
      <c r="O29" s="308"/>
      <c r="P29" s="588">
        <f>(P21/P67)-P28</f>
        <v>0</v>
      </c>
      <c r="Q29" s="308"/>
      <c r="R29" s="588">
        <f>(R21/R67)-R28</f>
        <v>0</v>
      </c>
      <c r="S29" s="308"/>
      <c r="T29" s="588">
        <f>(T21/T67)-T28</f>
        <v>0</v>
      </c>
      <c r="U29" s="308"/>
      <c r="V29" s="588">
        <f>(V21/V67)-V28</f>
        <v>0</v>
      </c>
      <c r="W29" s="308"/>
      <c r="X29" s="588">
        <f>(X21/X67)-X28</f>
        <v>0</v>
      </c>
      <c r="Y29" s="308"/>
      <c r="Z29" s="588">
        <f>(Z21/Z67)-Z28</f>
        <v>0</v>
      </c>
      <c r="AA29" s="308"/>
      <c r="AB29" s="588">
        <f>(AB21/AB67)-AB28</f>
        <v>0</v>
      </c>
      <c r="AC29" s="308"/>
      <c r="AD29" s="588">
        <f>(AD21/AD67)-AD28</f>
        <v>0</v>
      </c>
      <c r="AE29" s="308"/>
      <c r="AF29" s="588">
        <f>(AF21/AF67)-AF28</f>
        <v>0</v>
      </c>
      <c r="AG29" s="308"/>
      <c r="AH29" s="588">
        <f>(AH21/AH67)-AH28</f>
        <v>0</v>
      </c>
      <c r="AI29" s="308"/>
      <c r="AJ29" s="588">
        <f>(AJ21/AJ67)-AJ28</f>
        <v>0</v>
      </c>
      <c r="AK29" s="308"/>
      <c r="AL29" s="588">
        <f>(AL21/AL67)-AL28</f>
        <v>0</v>
      </c>
      <c r="AM29" s="308"/>
      <c r="AN29" s="588">
        <f>(AN21/AN67)-AN28</f>
        <v>0</v>
      </c>
      <c r="AO29" s="308"/>
      <c r="AP29" s="588">
        <f>(AP21/AP67)-AP28</f>
        <v>0</v>
      </c>
      <c r="AQ29" s="308"/>
      <c r="AR29" s="588">
        <f>(AR21/AR67)-AR28</f>
        <v>0</v>
      </c>
      <c r="AS29" s="308"/>
      <c r="AT29" s="588">
        <f>(AT21/AT67)-AT28</f>
        <v>0</v>
      </c>
      <c r="AU29" s="308"/>
      <c r="AV29" s="588">
        <f>(AV21/AV67)-AV28</f>
        <v>0</v>
      </c>
      <c r="AW29" s="308"/>
      <c r="AX29" s="588">
        <f t="shared" ref="AX29" si="24">(AX21/AX67)-AX28</f>
        <v>0</v>
      </c>
      <c r="AY29" s="308"/>
      <c r="AZ29" s="588">
        <f t="shared" ref="AZ29" si="25">(AZ21/AZ67)-AZ28</f>
        <v>0</v>
      </c>
      <c r="BA29" s="308"/>
      <c r="BB29" s="588">
        <f t="shared" ref="BB29" si="26">(BB21/BB67)-BB28</f>
        <v>0</v>
      </c>
      <c r="BC29" s="308"/>
      <c r="BD29" s="588">
        <f t="shared" ref="BD29" si="27">(BD21/BD67)-BD28</f>
        <v>0</v>
      </c>
      <c r="BE29" s="308"/>
      <c r="BF29" s="588">
        <f t="shared" ref="BF29" si="28">(BF21/BF67)-BF28</f>
        <v>0</v>
      </c>
      <c r="BG29" s="308"/>
      <c r="BH29" s="588">
        <f t="shared" ref="BH29" si="29">(BH21/BH67)-BH28</f>
        <v>0</v>
      </c>
      <c r="BI29" s="308"/>
      <c r="BJ29" s="588">
        <f t="shared" ref="BJ29" si="30">(BJ21/BJ67)-BJ28</f>
        <v>0</v>
      </c>
      <c r="BK29" s="308"/>
      <c r="BL29" s="588">
        <f t="shared" ref="BL29" si="31">(BL21/BL67)-BL28</f>
        <v>0</v>
      </c>
      <c r="BM29" s="308"/>
      <c r="BN29" s="588"/>
      <c r="BO29" s="588">
        <f>(BO21/BO67)-BO28</f>
        <v>0</v>
      </c>
      <c r="BP29" s="591"/>
      <c r="BQ29" s="588">
        <f>(BQ21/BQ67)-BQ28</f>
        <v>0</v>
      </c>
      <c r="BR29" s="591"/>
      <c r="BS29" s="588">
        <f>(BS21/BS67)-BS28</f>
        <v>0</v>
      </c>
      <c r="BT29" s="591"/>
      <c r="BU29" s="588">
        <f>(BU21/BU67)-BU28</f>
        <v>0</v>
      </c>
      <c r="BV29" s="591"/>
      <c r="BW29" s="588">
        <f>(BW21/BW67)-BW28</f>
        <v>0</v>
      </c>
      <c r="BX29" s="591"/>
      <c r="BY29" s="588">
        <f>(BY21/BY67)-BY28</f>
        <v>0</v>
      </c>
      <c r="BZ29" s="591"/>
      <c r="CA29" s="588">
        <f>(CA21/CA67)-CA28</f>
        <v>0</v>
      </c>
      <c r="CB29" s="591"/>
      <c r="CC29" s="588">
        <f>(CC21/CC67)-CC28</f>
        <v>0</v>
      </c>
      <c r="CD29" s="591"/>
      <c r="CE29" s="588">
        <f>(CE21/CE67)-CE28</f>
        <v>0</v>
      </c>
      <c r="CF29" s="591"/>
      <c r="CG29" s="588"/>
      <c r="CH29" s="591"/>
      <c r="CI29" s="588"/>
      <c r="CJ29" s="591"/>
      <c r="CK29" s="588"/>
      <c r="CL29" s="591"/>
      <c r="CM29" s="618"/>
      <c r="CN29" s="309"/>
      <c r="CO29" s="308"/>
      <c r="CP29" s="309"/>
      <c r="CQ29" s="308"/>
      <c r="CR29" s="309"/>
      <c r="CS29" s="308"/>
      <c r="CT29" s="309"/>
      <c r="CU29" s="308"/>
      <c r="CV29" s="309"/>
      <c r="CW29" s="308"/>
      <c r="CX29" s="309"/>
      <c r="CY29" s="308"/>
      <c r="CZ29" s="309"/>
      <c r="DA29" s="308"/>
      <c r="DB29" s="309"/>
      <c r="DC29" s="308"/>
      <c r="DD29" s="309"/>
      <c r="DE29" s="308"/>
      <c r="DF29" s="309"/>
      <c r="DG29" s="308"/>
      <c r="DH29" s="309"/>
      <c r="DI29" s="308"/>
      <c r="DJ29" s="309"/>
      <c r="DK29" s="308"/>
      <c r="DL29" s="309"/>
      <c r="DM29" s="308"/>
      <c r="DN29" s="309"/>
      <c r="DO29" s="308"/>
      <c r="DP29" s="308"/>
      <c r="DQ29" s="309"/>
      <c r="DR29" s="308"/>
      <c r="DS29" s="309"/>
      <c r="DT29" s="308"/>
      <c r="DU29" s="309"/>
      <c r="DV29" s="308"/>
      <c r="DW29" s="309"/>
      <c r="DX29" s="308"/>
      <c r="DY29" s="309"/>
      <c r="DZ29" s="308"/>
      <c r="EA29" s="309"/>
      <c r="EB29" s="308"/>
      <c r="EC29" s="309"/>
      <c r="ED29" s="308"/>
      <c r="EE29" s="309"/>
      <c r="EF29" s="308"/>
      <c r="EG29" s="309"/>
      <c r="EH29" s="308"/>
      <c r="EI29" s="309"/>
      <c r="EJ29" s="308"/>
      <c r="EK29" s="309"/>
      <c r="EL29" s="308"/>
      <c r="EM29" s="309"/>
      <c r="EN29" s="308"/>
      <c r="EO29" s="309"/>
      <c r="EP29" s="308"/>
      <c r="EQ29" s="310"/>
    </row>
    <row r="30" spans="1:147" s="331" customFormat="1" ht="4.5" customHeight="1" collapsed="1" x14ac:dyDescent="0.2">
      <c r="A30" s="603"/>
      <c r="B30" s="519"/>
      <c r="C30" s="519"/>
      <c r="D30" s="519"/>
      <c r="E30" s="519"/>
      <c r="F30" s="519"/>
      <c r="G30" s="519"/>
      <c r="H30" s="519"/>
      <c r="I30" s="519"/>
      <c r="J30" s="519"/>
      <c r="K30" s="513"/>
      <c r="L30" s="519"/>
      <c r="M30" s="513"/>
      <c r="N30" s="519"/>
      <c r="O30" s="513"/>
      <c r="P30" s="519"/>
      <c r="Q30" s="513"/>
      <c r="R30" s="519"/>
      <c r="S30" s="513"/>
      <c r="T30" s="519"/>
      <c r="U30" s="513"/>
      <c r="V30" s="519"/>
      <c r="W30" s="513"/>
      <c r="X30" s="519"/>
      <c r="Y30" s="513"/>
      <c r="Z30" s="519"/>
      <c r="AA30" s="513"/>
      <c r="AB30" s="519"/>
      <c r="AC30" s="513"/>
      <c r="AD30" s="519"/>
      <c r="AE30" s="513"/>
      <c r="AF30" s="519"/>
      <c r="AG30" s="513"/>
      <c r="AH30" s="519"/>
      <c r="AI30" s="513"/>
      <c r="AJ30" s="519"/>
      <c r="AK30" s="513"/>
      <c r="AL30" s="519"/>
      <c r="AM30" s="513"/>
      <c r="AN30" s="519"/>
      <c r="AO30" s="513"/>
      <c r="AP30" s="519"/>
      <c r="AQ30" s="513"/>
      <c r="AR30" s="519"/>
      <c r="AS30" s="513"/>
      <c r="AT30" s="519"/>
      <c r="AU30" s="513"/>
      <c r="AV30" s="519"/>
      <c r="AW30" s="513"/>
      <c r="AX30" s="519"/>
      <c r="AY30" s="513"/>
      <c r="AZ30" s="519"/>
      <c r="BA30" s="513"/>
      <c r="BB30" s="519"/>
      <c r="BC30" s="513"/>
      <c r="BD30" s="519"/>
      <c r="BE30" s="513"/>
      <c r="BF30" s="519"/>
      <c r="BG30" s="513"/>
      <c r="BH30" s="519"/>
      <c r="BI30" s="513"/>
      <c r="BJ30" s="519"/>
      <c r="BK30" s="513"/>
      <c r="BL30" s="519"/>
      <c r="BM30" s="513"/>
      <c r="BN30" s="356"/>
      <c r="BO30" s="519"/>
      <c r="BP30" s="514"/>
      <c r="BQ30" s="519"/>
      <c r="BR30" s="514"/>
      <c r="BS30" s="519"/>
      <c r="BT30" s="514"/>
      <c r="BU30" s="519"/>
      <c r="BV30" s="514"/>
      <c r="BW30" s="519"/>
      <c r="BX30" s="514"/>
      <c r="BY30" s="519"/>
      <c r="BZ30" s="514"/>
      <c r="CA30" s="519"/>
      <c r="CB30" s="514"/>
      <c r="CC30" s="519"/>
      <c r="CD30" s="514"/>
      <c r="CE30" s="519"/>
      <c r="CF30" s="514"/>
      <c r="CG30" s="519"/>
      <c r="CH30" s="514"/>
      <c r="CI30" s="519"/>
      <c r="CJ30" s="514"/>
      <c r="CK30" s="519"/>
      <c r="CL30" s="514"/>
      <c r="CM30" s="608"/>
    </row>
    <row r="31" spans="1:147" s="360" customFormat="1" ht="12" hidden="1" customHeight="1" outlineLevel="1" x14ac:dyDescent="0.2">
      <c r="A31" s="611" t="s">
        <v>403</v>
      </c>
      <c r="B31" s="390">
        <f>INPUT!B763</f>
        <v>0.70785632713043478</v>
      </c>
      <c r="C31" s="390"/>
      <c r="D31" s="391">
        <f>INPUT!D763</f>
        <v>0.84959072521739176</v>
      </c>
      <c r="E31" s="390"/>
      <c r="F31" s="390">
        <f>INPUT!F763</f>
        <v>0.86714865656521711</v>
      </c>
      <c r="G31" s="390"/>
      <c r="H31" s="391">
        <f>INPUT!H763</f>
        <v>0.74038016286956521</v>
      </c>
      <c r="I31" s="390"/>
      <c r="J31" s="390">
        <f>INPUT!J763</f>
        <v>0.67828695652173832</v>
      </c>
      <c r="K31" s="340">
        <f>INPUT!K763</f>
        <v>-4.177312467992933</v>
      </c>
      <c r="L31" s="390">
        <f>INPUT!L763</f>
        <v>0.56251739130434786</v>
      </c>
      <c r="M31" s="340">
        <f>INPUT!M763</f>
        <v>-33.789603086778996</v>
      </c>
      <c r="N31" s="390">
        <f>INPUT!N763</f>
        <v>0.76323478260869571</v>
      </c>
      <c r="O31" s="340">
        <f>INPUT!O763</f>
        <v>-11.983397906435689</v>
      </c>
      <c r="P31" s="390">
        <f>INPUT!P763</f>
        <v>0.58936521739130499</v>
      </c>
      <c r="Q31" s="340">
        <f>INPUT!Q763</f>
        <v>-20.396946467738488</v>
      </c>
      <c r="R31" s="390">
        <f>INPUT!R763</f>
        <v>0.72478260869565225</v>
      </c>
      <c r="S31" s="340">
        <f>INPUT!S763</f>
        <v>6.8548645564915578</v>
      </c>
      <c r="T31" s="390">
        <f>INPUT!T763</f>
        <v>0.70635237714742272</v>
      </c>
      <c r="U31" s="340">
        <f>INPUT!U763</f>
        <v>25.56987358374019</v>
      </c>
      <c r="V31" s="390">
        <f>INPUT!V763</f>
        <v>1.078459778879145</v>
      </c>
      <c r="W31" s="340">
        <f>INPUT!W763</f>
        <v>41.301183260153195</v>
      </c>
      <c r="X31" s="390">
        <f>INPUT!X763</f>
        <v>0.75269654386631168</v>
      </c>
      <c r="Y31" s="340">
        <f>INPUT!Y763</f>
        <v>27.713092265260709</v>
      </c>
      <c r="Z31" s="390">
        <f>INPUT!Z763</f>
        <v>0.57007590132827368</v>
      </c>
      <c r="AA31" s="340">
        <f>INPUT!AA763</f>
        <v>-21.345256565385164</v>
      </c>
      <c r="AB31" s="390">
        <f>INPUT!AB763</f>
        <v>0.83266978922716617</v>
      </c>
      <c r="AC31" s="340">
        <f>INPUT!AC763</f>
        <v>17.883058961289478</v>
      </c>
      <c r="AD31" s="390">
        <f>INPUT!AD763</f>
        <v>0.75220125786163528</v>
      </c>
      <c r="AE31" s="340">
        <f>INPUT!AE763</f>
        <v>-30.252266000739848</v>
      </c>
      <c r="AF31" s="390">
        <f>INPUT!AF763</f>
        <v>0.99452110389610349</v>
      </c>
      <c r="AG31" s="340">
        <f>INPUT!AG763</f>
        <v>32.127762775106206</v>
      </c>
      <c r="AH31" s="390">
        <f>INPUT!AH763</f>
        <v>0.81842958039052782</v>
      </c>
      <c r="AI31" s="340">
        <f>INPUT!AI763</f>
        <v>43.565019760279533</v>
      </c>
      <c r="AJ31" s="390">
        <f>INPUT!AJ763</f>
        <v>0.77676240208877301</v>
      </c>
      <c r="AK31" s="340">
        <f>INPUT!AK763</f>
        <v>-6.7142326840370909</v>
      </c>
      <c r="AL31" s="390">
        <f>INPUT!AL763</f>
        <v>0.41694096601073244</v>
      </c>
      <c r="AM31" s="340">
        <f>INPUT!AM763</f>
        <v>-44.570557194225366</v>
      </c>
      <c r="AN31" s="390">
        <f>INPUT!AN763</f>
        <v>0.90761111111111115</v>
      </c>
      <c r="AO31" s="340">
        <f>INPUT!AO763</f>
        <v>-8.738878686889251</v>
      </c>
      <c r="AP31" s="390">
        <f>INPUT!AP763</f>
        <v>0.28357723577235694</v>
      </c>
      <c r="AQ31" s="340" t="str">
        <f>INPUT!AQ763</f>
        <v>NM</v>
      </c>
      <c r="AR31" s="390">
        <f>INPUT!AR763</f>
        <v>0.43606879606879623</v>
      </c>
      <c r="AS31" s="340">
        <f>INPUT!AS763</f>
        <v>-43.860723060723053</v>
      </c>
      <c r="AT31" s="390">
        <f>INPUT!AT763</f>
        <v>-0.12452605459057099</v>
      </c>
      <c r="AU31" s="340" t="str">
        <f>INPUT!AU763</f>
        <v>NM</v>
      </c>
      <c r="AV31" s="390">
        <f>INPUT!AV763</f>
        <v>0.51612379502790395</v>
      </c>
      <c r="AW31" s="340">
        <f>INPUT!AW763</f>
        <v>-43.133817037997979</v>
      </c>
      <c r="AX31" s="390">
        <f>INPUT!AX763</f>
        <v>0.50860082304526655</v>
      </c>
      <c r="AY31" s="340">
        <f>INPUT!AY763</f>
        <v>79.351781062408151</v>
      </c>
      <c r="AZ31" s="390">
        <f>INPUT!AZ763</f>
        <v>0.3876398508257855</v>
      </c>
      <c r="BA31" s="340">
        <f>INPUT!BA763</f>
        <v>-11.10580387305914</v>
      </c>
      <c r="BB31" s="390">
        <f>INPUT!BB763</f>
        <v>0.15732456140350895</v>
      </c>
      <c r="BC31" s="340" t="str">
        <f>INPUT!BC763</f>
        <v>NM</v>
      </c>
      <c r="BD31" s="390">
        <f>INPUT!BD763</f>
        <v>0.86765027322404342</v>
      </c>
      <c r="BE31" s="340">
        <f>INPUT!BE763</f>
        <v>68.108946261067913</v>
      </c>
      <c r="BF31" s="390">
        <f>INPUT!BF763</f>
        <v>0.86626151853281375</v>
      </c>
      <c r="BG31" s="340">
        <f>INPUT!BG763</f>
        <v>70.322476740411147</v>
      </c>
      <c r="BH31" s="390">
        <f>INPUT!BH763</f>
        <v>1.0460129775333231</v>
      </c>
      <c r="BI31" s="340" t="str">
        <f>INPUT!BI763</f>
        <v>NM</v>
      </c>
      <c r="BJ31" s="390">
        <f>INPUT!BJ763</f>
        <v>1.1421989433528013</v>
      </c>
      <c r="BK31" s="340" t="str">
        <f>INPUT!BK763</f>
        <v>NM</v>
      </c>
      <c r="BL31" s="390">
        <f>INPUT!BL763</f>
        <v>1.2098112978370306</v>
      </c>
      <c r="BM31" s="340">
        <f>INPUT!BM763</f>
        <v>39.435361824018564</v>
      </c>
      <c r="BN31" s="390"/>
      <c r="BO31" s="390">
        <f>INPUT!BU763</f>
        <v>3.1649758717826089</v>
      </c>
      <c r="BP31" s="340" t="str">
        <f>INPUT!BV763</f>
        <v>NA</v>
      </c>
      <c r="BQ31" s="390">
        <f>INPUT!BW763</f>
        <v>2.5934043478260866</v>
      </c>
      <c r="BR31" s="340">
        <f>INPUT!BX763</f>
        <v>-18.059269552490964</v>
      </c>
      <c r="BS31" s="390">
        <f>INPUT!BY763</f>
        <v>3.2746822875297839</v>
      </c>
      <c r="BT31" s="340">
        <f>INPUT!BZ763</f>
        <v>26.269638217996217</v>
      </c>
      <c r="BU31" s="390">
        <f>INPUT!CA763</f>
        <v>3.1355414012738851</v>
      </c>
      <c r="BV31" s="340">
        <f>INPUT!CB763</f>
        <v>-4.2489888801046982</v>
      </c>
      <c r="BW31" s="390">
        <f>INPUT!CC763</f>
        <v>2.9217360729590149</v>
      </c>
      <c r="BX31" s="340">
        <f>INPUT!CD763</f>
        <v>-6.8187691040535121</v>
      </c>
      <c r="BY31" s="390">
        <f>INPUT!CE763</f>
        <v>1.1078500986193278</v>
      </c>
      <c r="BZ31" s="340" t="str">
        <f>INPUT!CF763</f>
        <v>NM</v>
      </c>
      <c r="CA31" s="390">
        <f>INPUT!CG763</f>
        <v>1.9216481605351157</v>
      </c>
      <c r="CB31" s="340">
        <f>INPUT!CH763</f>
        <v>73.457416570165407</v>
      </c>
      <c r="CC31" s="390">
        <f>INPUT!CI763</f>
        <v>4.2490895860792346</v>
      </c>
      <c r="CD31" s="340" t="str">
        <f>INPUT!CJ763</f>
        <v>NM</v>
      </c>
      <c r="CE31" s="390">
        <f>INPUT!CK763</f>
        <v>5.2475537932009786</v>
      </c>
      <c r="CF31" s="340">
        <f>INPUT!CL763</f>
        <v>23.498309152927455</v>
      </c>
      <c r="CG31" s="390">
        <f>INPUT!CM763</f>
        <v>5.7969002993802468</v>
      </c>
      <c r="CH31" s="340">
        <f>INPUT!CN763</f>
        <v>10.468620767471348</v>
      </c>
      <c r="CI31" s="390">
        <f>INPUT!CO763</f>
        <v>6.401629011637576</v>
      </c>
      <c r="CJ31" s="340">
        <f>INPUT!CP763</f>
        <v>10.43193225734762</v>
      </c>
      <c r="CK31" s="390">
        <f>INPUT!CQ763</f>
        <v>7.0955875461529843</v>
      </c>
      <c r="CL31" s="340">
        <f>INPUT!CR763</f>
        <v>10.84034287606881</v>
      </c>
      <c r="CM31" s="604">
        <f>INPUT!CS763</f>
        <v>29.856262118449649</v>
      </c>
      <c r="CN31" s="390"/>
      <c r="CO31" s="340"/>
      <c r="CP31" s="390"/>
      <c r="CQ31" s="340"/>
      <c r="CR31" s="390"/>
      <c r="CS31" s="340"/>
      <c r="CT31" s="390"/>
      <c r="CU31" s="340"/>
      <c r="CV31" s="390"/>
      <c r="CW31" s="340"/>
      <c r="CX31" s="390"/>
      <c r="CY31" s="340"/>
      <c r="CZ31" s="390"/>
      <c r="DA31" s="340"/>
      <c r="DB31" s="390"/>
      <c r="DC31" s="340"/>
      <c r="DD31" s="390"/>
      <c r="DE31" s="340"/>
      <c r="DF31" s="390"/>
      <c r="DG31" s="340"/>
      <c r="DH31" s="390"/>
      <c r="DI31" s="340"/>
      <c r="DJ31" s="390"/>
      <c r="DK31" s="340"/>
      <c r="DL31" s="390"/>
      <c r="DM31" s="340"/>
      <c r="DN31" s="390"/>
      <c r="DO31" s="340"/>
      <c r="DP31" s="392"/>
      <c r="DQ31" s="390"/>
      <c r="DR31" s="340"/>
      <c r="DS31" s="390"/>
      <c r="DT31" s="340"/>
      <c r="DU31" s="390"/>
      <c r="DV31" s="340"/>
      <c r="DW31" s="390"/>
      <c r="DX31" s="340"/>
      <c r="DY31" s="390"/>
      <c r="DZ31" s="340"/>
      <c r="EA31" s="390"/>
      <c r="EB31" s="340"/>
      <c r="EC31" s="390"/>
      <c r="ED31" s="340"/>
      <c r="EE31" s="390"/>
      <c r="EF31" s="340"/>
      <c r="EG31" s="390"/>
      <c r="EH31" s="340"/>
      <c r="EI31" s="390"/>
      <c r="EJ31" s="340"/>
      <c r="EK31" s="390"/>
      <c r="EL31" s="340"/>
      <c r="EM31" s="390"/>
      <c r="EN31" s="340"/>
      <c r="EO31" s="390"/>
      <c r="EP31" s="340"/>
      <c r="EQ31" s="340"/>
    </row>
    <row r="32" spans="1:147" s="331" customFormat="1" hidden="1" outlineLevel="1" x14ac:dyDescent="0.2">
      <c r="A32" s="603"/>
      <c r="B32" s="519"/>
      <c r="C32" s="519"/>
      <c r="D32" s="519"/>
      <c r="E32" s="519"/>
      <c r="F32" s="519"/>
      <c r="G32" s="519"/>
      <c r="H32" s="519"/>
      <c r="I32" s="519"/>
      <c r="J32" s="519"/>
      <c r="K32" s="513"/>
      <c r="L32" s="519"/>
      <c r="M32" s="513"/>
      <c r="N32" s="519"/>
      <c r="O32" s="513"/>
      <c r="P32" s="519"/>
      <c r="Q32" s="513"/>
      <c r="R32" s="519"/>
      <c r="S32" s="513"/>
      <c r="T32" s="519"/>
      <c r="U32" s="513"/>
      <c r="V32" s="519"/>
      <c r="W32" s="513"/>
      <c r="X32" s="519"/>
      <c r="Y32" s="513"/>
      <c r="Z32" s="519"/>
      <c r="AA32" s="513"/>
      <c r="AB32" s="519"/>
      <c r="AC32" s="513"/>
      <c r="AD32" s="519"/>
      <c r="AE32" s="513"/>
      <c r="AF32" s="519"/>
      <c r="AG32" s="513"/>
      <c r="AH32" s="519"/>
      <c r="AI32" s="513"/>
      <c r="AJ32" s="519"/>
      <c r="AK32" s="513"/>
      <c r="AL32" s="519"/>
      <c r="AM32" s="513"/>
      <c r="AN32" s="519"/>
      <c r="AO32" s="513"/>
      <c r="AP32" s="519"/>
      <c r="AQ32" s="513"/>
      <c r="AR32" s="519"/>
      <c r="AS32" s="513"/>
      <c r="AT32" s="519"/>
      <c r="AU32" s="513"/>
      <c r="AV32" s="519"/>
      <c r="AW32" s="513"/>
      <c r="AX32" s="519"/>
      <c r="AY32" s="513"/>
      <c r="AZ32" s="519"/>
      <c r="BA32" s="513"/>
      <c r="BB32" s="519"/>
      <c r="BC32" s="513"/>
      <c r="BD32" s="519"/>
      <c r="BE32" s="513"/>
      <c r="BF32" s="519"/>
      <c r="BG32" s="513"/>
      <c r="BH32" s="519"/>
      <c r="BI32" s="513"/>
      <c r="BJ32" s="519"/>
      <c r="BK32" s="513"/>
      <c r="BL32" s="519"/>
      <c r="BM32" s="513"/>
      <c r="BN32" s="347"/>
      <c r="BO32" s="519"/>
      <c r="BP32" s="514"/>
      <c r="BQ32" s="519"/>
      <c r="BR32" s="514"/>
      <c r="BS32" s="519"/>
      <c r="BT32" s="514"/>
      <c r="BU32" s="519"/>
      <c r="BV32" s="514"/>
      <c r="BW32" s="519"/>
      <c r="BX32" s="514"/>
      <c r="BY32" s="519"/>
      <c r="BZ32" s="514"/>
      <c r="CA32" s="519"/>
      <c r="CB32" s="514"/>
      <c r="CC32" s="519"/>
      <c r="CD32" s="514"/>
      <c r="CE32" s="519"/>
      <c r="CF32" s="514"/>
      <c r="CG32" s="519"/>
      <c r="CH32" s="514"/>
      <c r="CI32" s="519"/>
      <c r="CJ32" s="514"/>
      <c r="CK32" s="519"/>
      <c r="CL32" s="514"/>
      <c r="CM32" s="608"/>
    </row>
    <row r="33" spans="1:147" s="331" customFormat="1" ht="11.25" customHeight="1" collapsed="1" x14ac:dyDescent="0.2">
      <c r="A33" s="603" t="s">
        <v>224</v>
      </c>
      <c r="B33" s="515">
        <f>INPUT!B685</f>
        <v>-64.7</v>
      </c>
      <c r="C33" s="515"/>
      <c r="D33" s="515">
        <f>INPUT!D685</f>
        <v>196.3</v>
      </c>
      <c r="E33" s="515"/>
      <c r="F33" s="515">
        <f>INPUT!F685</f>
        <v>813.00000000000011</v>
      </c>
      <c r="G33" s="515"/>
      <c r="H33" s="515">
        <f>INPUT!H685</f>
        <v>-1509.1000000000001</v>
      </c>
      <c r="I33" s="515"/>
      <c r="J33" s="515">
        <f>INPUT!J685</f>
        <v>-907.8</v>
      </c>
      <c r="K33" s="515" t="str">
        <f>INPUT!K685</f>
        <v>NM</v>
      </c>
      <c r="L33" s="515">
        <f>INPUT!L685</f>
        <v>382.00000000000006</v>
      </c>
      <c r="M33" s="515">
        <f>INPUT!M685</f>
        <v>94.600101884870114</v>
      </c>
      <c r="N33" s="515">
        <f>INPUT!N685</f>
        <v>0.79999999999996163</v>
      </c>
      <c r="O33" s="515" t="str">
        <f>INPUT!O685</f>
        <v>NM</v>
      </c>
      <c r="P33" s="515">
        <f>INPUT!P685</f>
        <v>-167.3</v>
      </c>
      <c r="Q33" s="515" t="str">
        <f>INPUT!Q685</f>
        <v>NM</v>
      </c>
      <c r="R33" s="515">
        <f>INPUT!R685</f>
        <v>-477.1</v>
      </c>
      <c r="S33" s="515">
        <f>INPUT!S685</f>
        <v>-47.444371006829691</v>
      </c>
      <c r="T33" s="515">
        <f>INPUT!T685</f>
        <v>-338.40000000000003</v>
      </c>
      <c r="U33" s="515" t="str">
        <f>INPUT!U685</f>
        <v>NM</v>
      </c>
      <c r="V33" s="515">
        <f>INPUT!V685</f>
        <v>-167.39999999999998</v>
      </c>
      <c r="W33" s="515" t="str">
        <f>INPUT!W685</f>
        <v>NM</v>
      </c>
      <c r="X33" s="515">
        <f>INPUT!X685</f>
        <v>-226.39999999999995</v>
      </c>
      <c r="Y33" s="515">
        <f>INPUT!Y685</f>
        <v>35.325762104004731</v>
      </c>
      <c r="Z33" s="515">
        <f>INPUT!Z685</f>
        <v>20.200000000000045</v>
      </c>
      <c r="AA33" s="515" t="str">
        <f>INPUT!AA685</f>
        <v>NM</v>
      </c>
      <c r="AB33" s="515">
        <f>INPUT!AB685</f>
        <v>-82.09999999999998</v>
      </c>
      <c r="AC33" s="521" t="str">
        <f>INPUT!AC685</f>
        <v>NM</v>
      </c>
      <c r="AD33" s="515">
        <f>INPUT!AD685</f>
        <v>135.99999999999989</v>
      </c>
      <c r="AE33" s="515" t="str">
        <f>INPUT!AE685</f>
        <v>NM</v>
      </c>
      <c r="AF33" s="515">
        <f>INPUT!AF685</f>
        <v>-317.3</v>
      </c>
      <c r="AG33" s="515">
        <f>INPUT!AG685</f>
        <v>40.15017667844527</v>
      </c>
      <c r="AH33" s="515">
        <f>INPUT!AH685</f>
        <v>-29.400000000000034</v>
      </c>
      <c r="AI33" s="515" t="str">
        <f>INPUT!AI685</f>
        <v>NM</v>
      </c>
      <c r="AJ33" s="515">
        <f>INPUT!AJ685</f>
        <v>180.5</v>
      </c>
      <c r="AK33" s="515" t="str">
        <f>INPUT!AK685</f>
        <v>NM</v>
      </c>
      <c r="AL33" s="515">
        <f>INPUT!AL685</f>
        <v>-7.1000000000000227</v>
      </c>
      <c r="AM33" s="515" t="str">
        <f>INPUT!AM685</f>
        <v>NM</v>
      </c>
      <c r="AN33" s="515">
        <f>INPUT!AN685</f>
        <v>-317.3</v>
      </c>
      <c r="AO33" s="515">
        <f>INPUT!AO685</f>
        <v>0</v>
      </c>
      <c r="AP33" s="515">
        <f>INPUT!AP685</f>
        <v>88.999999999999972</v>
      </c>
      <c r="AQ33" s="515" t="str">
        <f>INPUT!AQ685</f>
        <v>NM</v>
      </c>
      <c r="AR33" s="515">
        <f>INPUT!AR685</f>
        <v>114.70000000000005</v>
      </c>
      <c r="AS33" s="515">
        <f>INPUT!AS685</f>
        <v>-36.454293628808841</v>
      </c>
      <c r="AT33" s="515">
        <f>INPUT!AT685</f>
        <v>-276.10000000000002</v>
      </c>
      <c r="AU33" s="515" t="str">
        <f>INPUT!AU685</f>
        <v>NM</v>
      </c>
      <c r="AV33" s="515">
        <f>INPUT!AV685</f>
        <v>-663.2</v>
      </c>
      <c r="AW33" s="515" t="str">
        <f>INPUT!AW685</f>
        <v>NM</v>
      </c>
      <c r="AX33" s="515">
        <f>INPUT!AX685</f>
        <v>-332.09999999999991</v>
      </c>
      <c r="AY33" s="515" t="str">
        <f>INPUT!AY685</f>
        <v>NM</v>
      </c>
      <c r="AZ33" s="515">
        <f>INPUT!AZ685</f>
        <v>26.800000000000011</v>
      </c>
      <c r="BA33" s="515" t="str">
        <f>INPUT!BA685</f>
        <v>NM</v>
      </c>
      <c r="BB33" s="515">
        <f>INPUT!BB685</f>
        <v>198.20000000000002</v>
      </c>
      <c r="BC33" s="515" t="str">
        <f>INPUT!BC685</f>
        <v>NM</v>
      </c>
      <c r="BD33" s="515">
        <f>INPUT!BD685</f>
        <v>0</v>
      </c>
      <c r="BE33" s="515" t="str">
        <f>INPUT!BE685</f>
        <v>NM</v>
      </c>
      <c r="BF33" s="515">
        <f>INPUT!BF685</f>
        <v>52.2</v>
      </c>
      <c r="BG33" s="515" t="str">
        <f>INPUT!BG685</f>
        <v>NM</v>
      </c>
      <c r="BH33" s="515">
        <f>INPUT!BH685</f>
        <v>47.2</v>
      </c>
      <c r="BI33" s="515">
        <f>INPUT!BI685</f>
        <v>76.119402985074558</v>
      </c>
      <c r="BJ33" s="515">
        <f>INPUT!BJ685</f>
        <v>0</v>
      </c>
      <c r="BK33" s="515" t="str">
        <f>INPUT!BK685</f>
        <v>NM</v>
      </c>
      <c r="BL33" s="515">
        <f>INPUT!BL685</f>
        <v>0</v>
      </c>
      <c r="BM33" s="515" t="str">
        <f>INPUT!BM685</f>
        <v>NA</v>
      </c>
      <c r="BN33" s="515"/>
      <c r="BO33" s="515">
        <f>INPUT!BU685</f>
        <v>-564.50000000000023</v>
      </c>
      <c r="BP33" s="515" t="str">
        <f>INPUT!BV685</f>
        <v>NA</v>
      </c>
      <c r="BQ33" s="515">
        <f>INPUT!BW685</f>
        <v>-692.29999999999973</v>
      </c>
      <c r="BR33" s="515">
        <f>INPUT!BX685</f>
        <v>22.639503985828057</v>
      </c>
      <c r="BS33" s="515">
        <f>INPUT!BY685</f>
        <v>-1209.3000000000002</v>
      </c>
      <c r="BT33" s="515">
        <f>INPUT!BZ685</f>
        <v>74.67860754008386</v>
      </c>
      <c r="BU33" s="515">
        <f>INPUT!CA685</f>
        <v>-243.20000000000027</v>
      </c>
      <c r="BV33" s="515" t="str">
        <f>INPUT!CB685</f>
        <v>NM</v>
      </c>
      <c r="BW33" s="515">
        <f>INPUT!CC685</f>
        <v>-173.30000000000018</v>
      </c>
      <c r="BX33" s="515">
        <f>INPUT!CD685</f>
        <v>-28.74177631578948</v>
      </c>
      <c r="BY33" s="515">
        <f>INPUT!CE685</f>
        <v>-735.5999999999998</v>
      </c>
      <c r="BZ33" s="515" t="str">
        <f>INPUT!CF685</f>
        <v>NM</v>
      </c>
      <c r="CA33" s="515">
        <f>INPUT!CG685</f>
        <v>-107.09999999999985</v>
      </c>
      <c r="CB33" s="515" t="str">
        <f>INPUT!CH685</f>
        <v>NM</v>
      </c>
      <c r="CC33" s="515">
        <f>INPUT!CI685</f>
        <v>99.4</v>
      </c>
      <c r="CD33" s="515" t="str">
        <f>INPUT!CJ685</f>
        <v>NM</v>
      </c>
      <c r="CE33" s="515">
        <f>INPUT!CK685</f>
        <v>0</v>
      </c>
      <c r="CF33" s="515" t="str">
        <f>INPUT!CL685</f>
        <v>NM</v>
      </c>
      <c r="CG33" s="515">
        <f>INPUT!CM685</f>
        <v>0</v>
      </c>
      <c r="CH33" s="515" t="str">
        <f>INPUT!CN685</f>
        <v>NA</v>
      </c>
      <c r="CI33" s="515">
        <f>INPUT!CO685</f>
        <v>0</v>
      </c>
      <c r="CJ33" s="515" t="str">
        <f>INPUT!CP685</f>
        <v>NA</v>
      </c>
      <c r="CK33" s="515">
        <f>INPUT!CQ685</f>
        <v>0</v>
      </c>
      <c r="CL33" s="515" t="str">
        <f>INPUT!CR685</f>
        <v>NA</v>
      </c>
      <c r="CM33" s="621" t="str">
        <f>INPUT!CS685</f>
        <v>NM</v>
      </c>
    </row>
    <row r="34" spans="1:147" s="331" customFormat="1" ht="11.25" customHeight="1" x14ac:dyDescent="0.2">
      <c r="A34" s="603" t="s">
        <v>27</v>
      </c>
      <c r="B34" s="515">
        <f>INPUT!B686</f>
        <v>39</v>
      </c>
      <c r="C34" s="515"/>
      <c r="D34" s="515">
        <f>INPUT!D686</f>
        <v>52.8</v>
      </c>
      <c r="E34" s="515"/>
      <c r="F34" s="515">
        <f>INPUT!F686</f>
        <v>-51.5</v>
      </c>
      <c r="G34" s="515"/>
      <c r="H34" s="515">
        <f>INPUT!H686</f>
        <v>31.5</v>
      </c>
      <c r="I34" s="515"/>
      <c r="J34" s="515">
        <f>INPUT!J686</f>
        <v>60.3</v>
      </c>
      <c r="K34" s="515">
        <f>INPUT!K686</f>
        <v>54.615384615384599</v>
      </c>
      <c r="L34" s="515">
        <f>INPUT!L686</f>
        <v>132.6</v>
      </c>
      <c r="M34" s="515" t="str">
        <f>INPUT!M686</f>
        <v>NM</v>
      </c>
      <c r="N34" s="515">
        <f>INPUT!N686</f>
        <v>207.9</v>
      </c>
      <c r="O34" s="515" t="str">
        <f>INPUT!O686</f>
        <v>NM</v>
      </c>
      <c r="P34" s="515">
        <f>INPUT!P686</f>
        <v>54.7</v>
      </c>
      <c r="Q34" s="515">
        <f>INPUT!Q686</f>
        <v>73.650793650793659</v>
      </c>
      <c r="R34" s="515">
        <f>INPUT!R686</f>
        <v>41.8</v>
      </c>
      <c r="S34" s="515">
        <f>INPUT!S686</f>
        <v>-30.679933665008296</v>
      </c>
      <c r="T34" s="515">
        <f>INPUT!T686</f>
        <v>0.8</v>
      </c>
      <c r="U34" s="515" t="str">
        <f>INPUT!U686</f>
        <v>NM</v>
      </c>
      <c r="V34" s="515">
        <f>INPUT!V686</f>
        <v>64.099999999999994</v>
      </c>
      <c r="W34" s="515" t="str">
        <f>INPUT!W686</f>
        <v>NM</v>
      </c>
      <c r="X34" s="515">
        <f>INPUT!X686</f>
        <v>105.4</v>
      </c>
      <c r="Y34" s="515">
        <f>INPUT!Y686</f>
        <v>92.687385740402178</v>
      </c>
      <c r="Z34" s="515">
        <f>INPUT!Z686</f>
        <v>57.6</v>
      </c>
      <c r="AA34" s="515">
        <f>INPUT!AA686</f>
        <v>37.799043062200965</v>
      </c>
      <c r="AB34" s="515">
        <f>INPUT!AB686</f>
        <v>73</v>
      </c>
      <c r="AC34" s="521" t="str">
        <f>INPUT!AC686</f>
        <v>NM</v>
      </c>
      <c r="AD34" s="515">
        <f>INPUT!AD686</f>
        <v>43.4</v>
      </c>
      <c r="AE34" s="515">
        <f>INPUT!AE686</f>
        <v>-32.293291731669257</v>
      </c>
      <c r="AF34" s="515">
        <f>INPUT!AF686</f>
        <v>41.1</v>
      </c>
      <c r="AG34" s="515" t="str">
        <f>INPUT!AG686</f>
        <v>NM</v>
      </c>
      <c r="AH34" s="515">
        <f>INPUT!AH686</f>
        <v>50.4</v>
      </c>
      <c r="AI34" s="515">
        <f>INPUT!AI686</f>
        <v>-12.5</v>
      </c>
      <c r="AJ34" s="515">
        <f>INPUT!AJ686</f>
        <v>-9.4</v>
      </c>
      <c r="AK34" s="515" t="str">
        <f>INPUT!AK686</f>
        <v>NM</v>
      </c>
      <c r="AL34" s="515">
        <f>INPUT!AL686</f>
        <v>-64.599999999999994</v>
      </c>
      <c r="AM34" s="515" t="str">
        <f>INPUT!AM686</f>
        <v>NM</v>
      </c>
      <c r="AN34" s="515">
        <f>INPUT!AN686</f>
        <v>-59.7</v>
      </c>
      <c r="AO34" s="515" t="str">
        <f>INPUT!AO686</f>
        <v>NM</v>
      </c>
      <c r="AP34" s="515">
        <f>INPUT!AP686</f>
        <v>-60.4</v>
      </c>
      <c r="AQ34" s="515" t="str">
        <f>INPUT!AQ686</f>
        <v>NM</v>
      </c>
      <c r="AR34" s="515">
        <f>INPUT!AR686</f>
        <v>-24.7</v>
      </c>
      <c r="AS34" s="515" t="str">
        <f>INPUT!AS686</f>
        <v>NM</v>
      </c>
      <c r="AT34" s="515">
        <f>INPUT!AT686</f>
        <v>-65.599999999999994</v>
      </c>
      <c r="AU34" s="515">
        <f>INPUT!AU686</f>
        <v>1.5479876160990669</v>
      </c>
      <c r="AV34" s="515">
        <f>INPUT!AV686</f>
        <v>18</v>
      </c>
      <c r="AW34" s="515" t="str">
        <f>INPUT!AW686</f>
        <v>NM</v>
      </c>
      <c r="AX34" s="515">
        <f>INPUT!AX686</f>
        <v>-20</v>
      </c>
      <c r="AY34" s="515" t="str">
        <f>INPUT!AY686</f>
        <v>NM</v>
      </c>
      <c r="AZ34" s="515">
        <f>INPUT!AZ686</f>
        <v>2</v>
      </c>
      <c r="BA34" s="515" t="str">
        <f>INPUT!BA686</f>
        <v>NM</v>
      </c>
      <c r="BB34" s="515">
        <f>INPUT!BB686</f>
        <v>-12</v>
      </c>
      <c r="BC34" s="515" t="str">
        <f>INPUT!BC686</f>
        <v>NM</v>
      </c>
      <c r="BD34" s="515">
        <f>INPUT!BD686</f>
        <v>-54</v>
      </c>
      <c r="BE34" s="515" t="str">
        <f>INPUT!BE686</f>
        <v>NM</v>
      </c>
      <c r="BF34" s="515">
        <f>INPUT!BF686</f>
        <v>-3.4193865821460219</v>
      </c>
      <c r="BG34" s="515" t="str">
        <f>INPUT!BG686</f>
        <v>NM</v>
      </c>
      <c r="BH34" s="515">
        <f>INPUT!BH686</f>
        <v>-3.9908165495334176</v>
      </c>
      <c r="BI34" s="515" t="str">
        <f>INPUT!BI686</f>
        <v>NM</v>
      </c>
      <c r="BJ34" s="515">
        <f>INPUT!BJ686</f>
        <v>-4.2352100536103885</v>
      </c>
      <c r="BK34" s="515" t="str">
        <f>INPUT!BK686</f>
        <v>NM</v>
      </c>
      <c r="BL34" s="515">
        <f>INPUT!BL686</f>
        <v>-4.4229112125985184</v>
      </c>
      <c r="BM34" s="515" t="str">
        <f>INPUT!BM686</f>
        <v>NM</v>
      </c>
      <c r="BN34" s="515"/>
      <c r="BO34" s="515">
        <f>INPUT!BU686</f>
        <v>71.8</v>
      </c>
      <c r="BP34" s="515" t="str">
        <f>INPUT!BV686</f>
        <v>NA</v>
      </c>
      <c r="BQ34" s="515">
        <f>INPUT!BW686</f>
        <v>455.49999999999994</v>
      </c>
      <c r="BR34" s="515" t="str">
        <f>INPUT!BX686</f>
        <v>NM</v>
      </c>
      <c r="BS34" s="515">
        <f>INPUT!BY686</f>
        <v>212.1</v>
      </c>
      <c r="BT34" s="515" t="str">
        <f>INPUT!BZ686</f>
        <v>NM</v>
      </c>
      <c r="BU34" s="515">
        <f>INPUT!CA686</f>
        <v>215.1</v>
      </c>
      <c r="BV34" s="515">
        <f>INPUT!CB686</f>
        <v>1.4144271570014189</v>
      </c>
      <c r="BW34" s="515">
        <f>INPUT!CC686</f>
        <v>-83.3</v>
      </c>
      <c r="BX34" s="515" t="str">
        <f>INPUT!CD686</f>
        <v>NM</v>
      </c>
      <c r="BY34" s="515">
        <f>INPUT!CE686</f>
        <v>-132.69999999999999</v>
      </c>
      <c r="BZ34" s="515">
        <f>INPUT!CF686</f>
        <v>59.303721488595443</v>
      </c>
      <c r="CA34" s="515">
        <f>INPUT!CG686</f>
        <v>-84</v>
      </c>
      <c r="CB34" s="515">
        <f>INPUT!CH686</f>
        <v>-36.699321778447626</v>
      </c>
      <c r="CC34" s="515">
        <f>INPUT!CI686</f>
        <v>-16.068324397888347</v>
      </c>
      <c r="CD34" s="515" t="str">
        <f>INPUT!CJ686</f>
        <v>NM</v>
      </c>
      <c r="CE34" s="515">
        <f>INPUT!CK686</f>
        <v>-18.159560035267294</v>
      </c>
      <c r="CF34" s="515">
        <f>INPUT!CL686</f>
        <v>13.014646615261082</v>
      </c>
      <c r="CG34" s="515">
        <f>INPUT!CM686</f>
        <v>-19.015864674630532</v>
      </c>
      <c r="CH34" s="515">
        <f>INPUT!CN686</f>
        <v>4.7154481589874786</v>
      </c>
      <c r="CI34" s="515">
        <f>INPUT!CO686</f>
        <v>-19.852219630473506</v>
      </c>
      <c r="CJ34" s="515">
        <f>INPUT!CP686</f>
        <v>4.3981957704966934</v>
      </c>
      <c r="CK34" s="515">
        <f>INPUT!CQ686</f>
        <v>-20.680355382525757</v>
      </c>
      <c r="CL34" s="515">
        <f>INPUT!CR686</f>
        <v>4.1715020661017066</v>
      </c>
      <c r="CM34" s="621">
        <f>INPUT!CS686</f>
        <v>-24.446299140391837</v>
      </c>
    </row>
    <row r="35" spans="1:147" s="331" customFormat="1" ht="11.25" customHeight="1" x14ac:dyDescent="0.2">
      <c r="A35" s="622" t="s">
        <v>331</v>
      </c>
      <c r="B35" s="515">
        <f>INPUT!B687</f>
        <v>4.5999999999999996</v>
      </c>
      <c r="C35" s="515"/>
      <c r="D35" s="515">
        <f>INPUT!D687</f>
        <v>-15.1</v>
      </c>
      <c r="E35" s="515"/>
      <c r="F35" s="515">
        <f>INPUT!F687</f>
        <v>-167.7</v>
      </c>
      <c r="G35" s="515"/>
      <c r="H35" s="515">
        <f>INPUT!H687</f>
        <v>-90.9</v>
      </c>
      <c r="I35" s="515"/>
      <c r="J35" s="515">
        <f>INPUT!J687</f>
        <v>137.4</v>
      </c>
      <c r="K35" s="515" t="str">
        <f>INPUT!K687</f>
        <v>NM</v>
      </c>
      <c r="L35" s="515">
        <f>INPUT!L687</f>
        <v>-44.1</v>
      </c>
      <c r="M35" s="515" t="str">
        <f>INPUT!M687</f>
        <v>NM</v>
      </c>
      <c r="N35" s="515">
        <f>INPUT!N687</f>
        <v>20.6</v>
      </c>
      <c r="O35" s="515" t="str">
        <f>INPUT!O687</f>
        <v>NM</v>
      </c>
      <c r="P35" s="515">
        <f>INPUT!P687</f>
        <v>-16.7</v>
      </c>
      <c r="Q35" s="515" t="str">
        <f>INPUT!Q687</f>
        <v>NM</v>
      </c>
      <c r="R35" s="515">
        <f>INPUT!R687</f>
        <v>3.1</v>
      </c>
      <c r="S35" s="515" t="str">
        <f>INPUT!S687</f>
        <v>NM</v>
      </c>
      <c r="T35" s="515">
        <f>INPUT!T687</f>
        <v>32.4</v>
      </c>
      <c r="U35" s="515" t="str">
        <f>INPUT!U687</f>
        <v>NM</v>
      </c>
      <c r="V35" s="515">
        <f>INPUT!V687</f>
        <v>10.5</v>
      </c>
      <c r="W35" s="515">
        <f>INPUT!W687</f>
        <v>-49.029126213592235</v>
      </c>
      <c r="X35" s="515">
        <f>INPUT!X687</f>
        <v>-26.6</v>
      </c>
      <c r="Y35" s="515">
        <f>INPUT!Y687</f>
        <v>59.281437125748518</v>
      </c>
      <c r="Z35" s="515">
        <f>INPUT!Z687</f>
        <v>6.4</v>
      </c>
      <c r="AA35" s="515" t="str">
        <f>INPUT!AA687</f>
        <v>NM</v>
      </c>
      <c r="AB35" s="515">
        <f>INPUT!AB687</f>
        <v>-20.3</v>
      </c>
      <c r="AC35" s="521" t="str">
        <f>INPUT!AC687</f>
        <v>NM</v>
      </c>
      <c r="AD35" s="515">
        <f>INPUT!AD687</f>
        <v>33.4</v>
      </c>
      <c r="AE35" s="515" t="str">
        <f>INPUT!AE687</f>
        <v>NM</v>
      </c>
      <c r="AF35" s="515">
        <f>INPUT!AF687</f>
        <v>-32.299999999999997</v>
      </c>
      <c r="AG35" s="515">
        <f>INPUT!AG687</f>
        <v>21.42857142857142</v>
      </c>
      <c r="AH35" s="515">
        <f>INPUT!AH687</f>
        <v>-47.2</v>
      </c>
      <c r="AI35" s="515" t="str">
        <f>INPUT!AI687</f>
        <v>NM</v>
      </c>
      <c r="AJ35" s="515">
        <f>INPUT!AJ687</f>
        <v>24.6</v>
      </c>
      <c r="AK35" s="515" t="str">
        <f>INPUT!AK687</f>
        <v>NM</v>
      </c>
      <c r="AL35" s="515">
        <f>INPUT!AL687</f>
        <v>-31.7</v>
      </c>
      <c r="AM35" s="515" t="str">
        <f>INPUT!AM687</f>
        <v>NM</v>
      </c>
      <c r="AN35" s="515">
        <f>INPUT!AN687</f>
        <v>-39.6</v>
      </c>
      <c r="AO35" s="515">
        <f>INPUT!AO687</f>
        <v>22.600619195046455</v>
      </c>
      <c r="AP35" s="515">
        <f>INPUT!AP687</f>
        <v>93.5</v>
      </c>
      <c r="AQ35" s="515" t="str">
        <f>INPUT!AQ687</f>
        <v>NM</v>
      </c>
      <c r="AR35" s="515">
        <f>INPUT!AR687</f>
        <v>21.2</v>
      </c>
      <c r="AS35" s="515">
        <f>INPUT!AS687</f>
        <v>-13.821138211382122</v>
      </c>
      <c r="AT35" s="515">
        <f>INPUT!AT687</f>
        <v>-53.5</v>
      </c>
      <c r="AU35" s="515">
        <f>INPUT!AU687</f>
        <v>68.769716088328067</v>
      </c>
      <c r="AV35" s="515">
        <f>INPUT!AV687</f>
        <v>-4</v>
      </c>
      <c r="AW35" s="515" t="str">
        <f>INPUT!AW687</f>
        <v>NM</v>
      </c>
      <c r="AX35" s="515">
        <f>INPUT!AX687</f>
        <v>8</v>
      </c>
      <c r="AY35" s="515" t="str">
        <f>INPUT!AY687</f>
        <v>NM</v>
      </c>
      <c r="AZ35" s="515">
        <f>INPUT!AZ687</f>
        <v>-1</v>
      </c>
      <c r="BA35" s="515" t="str">
        <f>INPUT!BA687</f>
        <v>NM</v>
      </c>
      <c r="BB35" s="515">
        <f>INPUT!BB687</f>
        <v>5</v>
      </c>
      <c r="BC35" s="515" t="str">
        <f>INPUT!BC687</f>
        <v>NM</v>
      </c>
      <c r="BD35" s="515">
        <f>INPUT!BD687</f>
        <v>34</v>
      </c>
      <c r="BE35" s="515" t="str">
        <f>INPUT!BE687</f>
        <v>NM</v>
      </c>
      <c r="BF35" s="515">
        <f>INPUT!BF687</f>
        <v>6</v>
      </c>
      <c r="BG35" s="515">
        <f>INPUT!BG687</f>
        <v>-25</v>
      </c>
      <c r="BH35" s="515">
        <f>INPUT!BH687</f>
        <v>6</v>
      </c>
      <c r="BI35" s="515" t="str">
        <f>INPUT!BI687</f>
        <v>NM</v>
      </c>
      <c r="BJ35" s="515">
        <f>INPUT!BJ687</f>
        <v>7</v>
      </c>
      <c r="BK35" s="515">
        <f>INPUT!BK687</f>
        <v>39.999999999999993</v>
      </c>
      <c r="BL35" s="515">
        <f>INPUT!BL687</f>
        <v>7</v>
      </c>
      <c r="BM35" s="515" t="str">
        <f>INPUT!BM687</f>
        <v>NM</v>
      </c>
      <c r="BN35" s="515"/>
      <c r="BO35" s="515">
        <f>INPUT!BU687</f>
        <v>-269.10000000000002</v>
      </c>
      <c r="BP35" s="515" t="str">
        <f>INPUT!BV687</f>
        <v>NA</v>
      </c>
      <c r="BQ35" s="515">
        <f>INPUT!BW687</f>
        <v>97.2</v>
      </c>
      <c r="BR35" s="515" t="str">
        <f>INPUT!BX687</f>
        <v>NM</v>
      </c>
      <c r="BS35" s="515">
        <f>INPUT!BY687</f>
        <v>19.399999999999999</v>
      </c>
      <c r="BT35" s="515" t="str">
        <f>INPUT!BZ687</f>
        <v>NM</v>
      </c>
      <c r="BU35" s="515">
        <f>INPUT!CA687</f>
        <v>-12.799999999999997</v>
      </c>
      <c r="BV35" s="515" t="str">
        <f>INPUT!CB687</f>
        <v>NM</v>
      </c>
      <c r="BW35" s="515">
        <f>INPUT!CC687</f>
        <v>-93.9</v>
      </c>
      <c r="BX35" s="515" t="str">
        <f>INPUT!CD687</f>
        <v>NM</v>
      </c>
      <c r="BY35" s="515">
        <f>INPUT!CE687</f>
        <v>57.2</v>
      </c>
      <c r="BZ35" s="515" t="str">
        <f>INPUT!CF687</f>
        <v>NM</v>
      </c>
      <c r="CA35" s="515">
        <f>INPUT!CG687</f>
        <v>46</v>
      </c>
      <c r="CB35" s="515">
        <f>INPUT!CH687</f>
        <v>-19.580419580419584</v>
      </c>
      <c r="CC35" s="515">
        <f>INPUT!CI687</f>
        <v>26</v>
      </c>
      <c r="CD35" s="515">
        <f>INPUT!CJ687</f>
        <v>-43.478260869565219</v>
      </c>
      <c r="CE35" s="515">
        <f>INPUT!CK687</f>
        <v>26</v>
      </c>
      <c r="CF35" s="515">
        <f>INPUT!CL687</f>
        <v>0</v>
      </c>
      <c r="CG35" s="515">
        <f>INPUT!CM687</f>
        <v>26</v>
      </c>
      <c r="CH35" s="515">
        <f>INPUT!CN687</f>
        <v>0</v>
      </c>
      <c r="CI35" s="515">
        <f>INPUT!CO687</f>
        <v>26</v>
      </c>
      <c r="CJ35" s="515">
        <f>INPUT!CP687</f>
        <v>0</v>
      </c>
      <c r="CK35" s="515">
        <f>INPUT!CQ687</f>
        <v>26</v>
      </c>
      <c r="CL35" s="515">
        <f>INPUT!CR687</f>
        <v>0</v>
      </c>
      <c r="CM35" s="621">
        <f>INPUT!CS687</f>
        <v>-10.783926968058989</v>
      </c>
    </row>
    <row r="36" spans="1:147" s="331" customFormat="1" ht="11.25" customHeight="1" x14ac:dyDescent="0.2">
      <c r="A36" s="603" t="s">
        <v>14</v>
      </c>
      <c r="B36" s="515">
        <f>INPUT!B688</f>
        <v>-66.7</v>
      </c>
      <c r="C36" s="515"/>
      <c r="D36" s="515">
        <f>INPUT!D688</f>
        <v>158.4</v>
      </c>
      <c r="E36" s="515"/>
      <c r="F36" s="515">
        <f>INPUT!F688</f>
        <v>-45.6</v>
      </c>
      <c r="G36" s="515"/>
      <c r="H36" s="515">
        <f>INPUT!H688</f>
        <v>-105.7</v>
      </c>
      <c r="I36" s="515"/>
      <c r="J36" s="515">
        <f>INPUT!J688</f>
        <v>-42.7</v>
      </c>
      <c r="K36" s="515">
        <f>INPUT!K688</f>
        <v>-35.982008995502248</v>
      </c>
      <c r="L36" s="515">
        <f>INPUT!L688</f>
        <v>183.9</v>
      </c>
      <c r="M36" s="515">
        <f>INPUT!M688</f>
        <v>16.098484848484841</v>
      </c>
      <c r="N36" s="515">
        <f>INPUT!N688</f>
        <v>-126</v>
      </c>
      <c r="O36" s="515" t="str">
        <f>INPUT!O688</f>
        <v>NM</v>
      </c>
      <c r="P36" s="515">
        <f>INPUT!P688</f>
        <v>-187.9</v>
      </c>
      <c r="Q36" s="515">
        <f>INPUT!Q688</f>
        <v>77.767265846736052</v>
      </c>
      <c r="R36" s="515">
        <f>INPUT!R688</f>
        <v>-38.799999999999997</v>
      </c>
      <c r="S36" s="515">
        <f>INPUT!S688</f>
        <v>-9.1334894613583231</v>
      </c>
      <c r="T36" s="515">
        <f>INPUT!T688</f>
        <v>-42</v>
      </c>
      <c r="U36" s="515" t="str">
        <f>INPUT!U688</f>
        <v>NM</v>
      </c>
      <c r="V36" s="515">
        <f>INPUT!V688</f>
        <v>77.8</v>
      </c>
      <c r="W36" s="515" t="str">
        <f>INPUT!W688</f>
        <v>NM</v>
      </c>
      <c r="X36" s="515">
        <f>INPUT!X688</f>
        <v>470.29999999999995</v>
      </c>
      <c r="Y36" s="515" t="str">
        <f>INPUT!Y688</f>
        <v>NM</v>
      </c>
      <c r="Z36" s="515">
        <f>INPUT!Z688</f>
        <v>-13</v>
      </c>
      <c r="AA36" s="515" t="str">
        <f>INPUT!AA688</f>
        <v>NM</v>
      </c>
      <c r="AB36" s="515">
        <f>INPUT!AB688</f>
        <v>122.1</v>
      </c>
      <c r="AC36" s="521" t="str">
        <f>INPUT!AC688</f>
        <v>NM</v>
      </c>
      <c r="AD36" s="515">
        <f>INPUT!AD688</f>
        <v>52.699999999999989</v>
      </c>
      <c r="AE36" s="515">
        <f>INPUT!AE688</f>
        <v>-32.262210796915184</v>
      </c>
      <c r="AF36" s="515">
        <f>INPUT!AF688</f>
        <v>-554.30000000000007</v>
      </c>
      <c r="AG36" s="515" t="str">
        <f>INPUT!AG688</f>
        <v>NM</v>
      </c>
      <c r="AH36" s="515">
        <f>INPUT!AH688</f>
        <v>-2.0999999999999996</v>
      </c>
      <c r="AI36" s="515" t="str">
        <f>INPUT!AI688</f>
        <v>NM</v>
      </c>
      <c r="AJ36" s="515">
        <f>INPUT!AJ688</f>
        <v>28.000000000000007</v>
      </c>
      <c r="AK36" s="515" t="str">
        <f>INPUT!AK688</f>
        <v>NM</v>
      </c>
      <c r="AL36" s="515">
        <f>INPUT!AL688</f>
        <v>46.7</v>
      </c>
      <c r="AM36" s="515">
        <f>INPUT!AM688</f>
        <v>-11.385199240986687</v>
      </c>
      <c r="AN36" s="515">
        <f>INPUT!AN688</f>
        <v>-115.10000000000001</v>
      </c>
      <c r="AO36" s="515" t="str">
        <f>INPUT!AO688</f>
        <v>NM</v>
      </c>
      <c r="AP36" s="515">
        <f>INPUT!AP688</f>
        <v>-7.6</v>
      </c>
      <c r="AQ36" s="515" t="str">
        <f>INPUT!AQ688</f>
        <v>NM</v>
      </c>
      <c r="AR36" s="515">
        <f>INPUT!AR688</f>
        <v>-135</v>
      </c>
      <c r="AS36" s="515" t="str">
        <f>INPUT!AS688</f>
        <v>NM</v>
      </c>
      <c r="AT36" s="515">
        <f>INPUT!AT688</f>
        <v>-17.199999999999996</v>
      </c>
      <c r="AU36" s="515" t="str">
        <f>INPUT!AU688</f>
        <v>NM</v>
      </c>
      <c r="AV36" s="515">
        <f>INPUT!AV688</f>
        <v>-54</v>
      </c>
      <c r="AW36" s="515" t="str">
        <f>INPUT!AW688</f>
        <v>NM</v>
      </c>
      <c r="AX36" s="515">
        <f>INPUT!AX688</f>
        <v>-19</v>
      </c>
      <c r="AY36" s="515" t="str">
        <f>INPUT!AY688</f>
        <v>NM</v>
      </c>
      <c r="AZ36" s="515">
        <f>INPUT!AZ688</f>
        <v>47</v>
      </c>
      <c r="BA36" s="515" t="str">
        <f>INPUT!BA688</f>
        <v>NM</v>
      </c>
      <c r="BB36" s="515">
        <f>INPUT!BB688</f>
        <v>4</v>
      </c>
      <c r="BC36" s="515" t="str">
        <f>INPUT!BC688</f>
        <v>NM</v>
      </c>
      <c r="BD36" s="515">
        <f>INPUT!BD688</f>
        <v>6</v>
      </c>
      <c r="BE36" s="515" t="str">
        <f>INPUT!BE688</f>
        <v>NM</v>
      </c>
      <c r="BF36" s="515">
        <f>INPUT!BF688</f>
        <v>4</v>
      </c>
      <c r="BG36" s="515" t="str">
        <f>INPUT!BG688</f>
        <v>NM</v>
      </c>
      <c r="BH36" s="515">
        <f>INPUT!BH688</f>
        <v>4</v>
      </c>
      <c r="BI36" s="515" t="str">
        <f>INPUT!BI688</f>
        <v>NM</v>
      </c>
      <c r="BJ36" s="515">
        <f>INPUT!BJ688</f>
        <v>4</v>
      </c>
      <c r="BK36" s="515">
        <f>INPUT!BK688</f>
        <v>0</v>
      </c>
      <c r="BL36" s="515">
        <f>INPUT!BL688</f>
        <v>5</v>
      </c>
      <c r="BM36" s="515">
        <f>INPUT!BM688</f>
        <v>-16.666666666666664</v>
      </c>
      <c r="BN36" s="515"/>
      <c r="BO36" s="515">
        <f>INPUT!BU688</f>
        <v>-59.6</v>
      </c>
      <c r="BP36" s="515" t="str">
        <f>INPUT!BV688</f>
        <v>NA</v>
      </c>
      <c r="BQ36" s="515">
        <f>INPUT!BW688</f>
        <v>-172.70000000000002</v>
      </c>
      <c r="BR36" s="515" t="str">
        <f>INPUT!BX688</f>
        <v>NM</v>
      </c>
      <c r="BS36" s="515">
        <f>INPUT!BY688</f>
        <v>467.29999999999995</v>
      </c>
      <c r="BT36" s="515" t="str">
        <f>INPUT!BZ688</f>
        <v>NM</v>
      </c>
      <c r="BU36" s="515">
        <f>INPUT!CA688</f>
        <v>-392.50000000000011</v>
      </c>
      <c r="BV36" s="515" t="str">
        <f>INPUT!CB688</f>
        <v>NM</v>
      </c>
      <c r="BW36" s="515">
        <f>INPUT!CC688</f>
        <v>-42.5</v>
      </c>
      <c r="BX36" s="515" t="str">
        <f>INPUT!CD688</f>
        <v>NM</v>
      </c>
      <c r="BY36" s="515">
        <f>INPUT!CE688</f>
        <v>-213.79999999999998</v>
      </c>
      <c r="BZ36" s="515" t="str">
        <f>INPUT!CF688</f>
        <v>NM</v>
      </c>
      <c r="CA36" s="515">
        <f>INPUT!CG688</f>
        <v>38</v>
      </c>
      <c r="CB36" s="515" t="str">
        <f>INPUT!CH688</f>
        <v>NM</v>
      </c>
      <c r="CC36" s="515">
        <f>INPUT!CI688</f>
        <v>17</v>
      </c>
      <c r="CD36" s="515" t="str">
        <f>INPUT!CJ688</f>
        <v>NM</v>
      </c>
      <c r="CE36" s="515">
        <f>INPUT!CK688</f>
        <v>17</v>
      </c>
      <c r="CF36" s="515">
        <f>INPUT!CL688</f>
        <v>0</v>
      </c>
      <c r="CG36" s="515">
        <f>INPUT!CM688</f>
        <v>17</v>
      </c>
      <c r="CH36" s="515">
        <f>INPUT!CN688</f>
        <v>0</v>
      </c>
      <c r="CI36" s="515">
        <f>INPUT!CO688</f>
        <v>17</v>
      </c>
      <c r="CJ36" s="515">
        <f>INPUT!CP688</f>
        <v>0</v>
      </c>
      <c r="CK36" s="515">
        <f>INPUT!CQ688</f>
        <v>17</v>
      </c>
      <c r="CL36" s="515">
        <f>INPUT!CR688</f>
        <v>0</v>
      </c>
      <c r="CM36" s="621">
        <f>INPUT!CS688</f>
        <v>-14.860113878585924</v>
      </c>
    </row>
    <row r="37" spans="1:147" s="331" customFormat="1" ht="11.25" customHeight="1" x14ac:dyDescent="0.2">
      <c r="A37" s="622" t="s">
        <v>333</v>
      </c>
      <c r="B37" s="515">
        <f>INPUT!B689</f>
        <v>168.39304476000001</v>
      </c>
      <c r="C37" s="515"/>
      <c r="D37" s="515">
        <f>INPUT!D689</f>
        <v>-38.30586680000016</v>
      </c>
      <c r="E37" s="515"/>
      <c r="F37" s="515">
        <f>INPUT!F689</f>
        <v>284.95580898999992</v>
      </c>
      <c r="G37" s="515"/>
      <c r="H37" s="515">
        <f>INPUT!H689</f>
        <v>-218.68743746000007</v>
      </c>
      <c r="I37" s="515"/>
      <c r="J37" s="515">
        <f>INPUT!J689</f>
        <v>76.047999999999988</v>
      </c>
      <c r="K37" s="515" t="str">
        <f>INPUT!K689</f>
        <v>NM</v>
      </c>
      <c r="L37" s="515">
        <f>INPUT!L689</f>
        <v>68.600999999999999</v>
      </c>
      <c r="M37" s="515" t="str">
        <f>INPUT!M689</f>
        <v>NM</v>
      </c>
      <c r="N37" s="515">
        <f>INPUT!N689</f>
        <v>107.54300000000001</v>
      </c>
      <c r="O37" s="515" t="str">
        <f>INPUT!O689</f>
        <v>NM</v>
      </c>
      <c r="P37" s="515">
        <f>INPUT!P689</f>
        <v>74.265000000000001</v>
      </c>
      <c r="Q37" s="515" t="str">
        <f>INPUT!Q689</f>
        <v>NM</v>
      </c>
      <c r="R37" s="515">
        <f>INPUT!R689</f>
        <v>78.7</v>
      </c>
      <c r="S37" s="515">
        <f>INPUT!S689</f>
        <v>3.4872711971386749</v>
      </c>
      <c r="T37" s="515">
        <f>INPUT!T689</f>
        <v>85.10000000000008</v>
      </c>
      <c r="U37" s="515">
        <f>INPUT!U689</f>
        <v>24.050669815308922</v>
      </c>
      <c r="V37" s="515">
        <f>INPUT!V689</f>
        <v>180.02000000000007</v>
      </c>
      <c r="W37" s="515">
        <f>INPUT!W689</f>
        <v>67.393507713193827</v>
      </c>
      <c r="X37" s="515">
        <f>INPUT!X689</f>
        <v>132.81500000000003</v>
      </c>
      <c r="Y37" s="515">
        <f>INPUT!Y689</f>
        <v>78.839291725577354</v>
      </c>
      <c r="Z37" s="515">
        <f>INPUT!Z689</f>
        <v>50.185000000000045</v>
      </c>
      <c r="AA37" s="515">
        <f>INPUT!AA689</f>
        <v>-36.232528589580625</v>
      </c>
      <c r="AB37" s="515">
        <f>INPUT!AB689</f>
        <v>108.7700000000001</v>
      </c>
      <c r="AC37" s="521">
        <f>INPUT!AC689</f>
        <v>27.814336075205624</v>
      </c>
      <c r="AD37" s="515">
        <f>INPUT!AD689</f>
        <v>65.639999999999958</v>
      </c>
      <c r="AE37" s="515" t="str">
        <f>INPUT!AE689</f>
        <v>NM</v>
      </c>
      <c r="AF37" s="515">
        <f>INPUT!AF689</f>
        <v>1937.65</v>
      </c>
      <c r="AG37" s="515" t="str">
        <f>INPUT!AG689</f>
        <v>NM</v>
      </c>
      <c r="AH37" s="515">
        <f>INPUT!AH689</f>
        <v>47.104000000000006</v>
      </c>
      <c r="AI37" s="515">
        <f>INPUT!AI689</f>
        <v>-6.1392846468068862</v>
      </c>
      <c r="AJ37" s="515">
        <f>INPUT!AJ689</f>
        <v>-35.100000000000065</v>
      </c>
      <c r="AK37" s="515" t="str">
        <f>INPUT!AK689</f>
        <v>NM</v>
      </c>
      <c r="AL37" s="515">
        <f>INPUT!AL689</f>
        <v>79.772000000000105</v>
      </c>
      <c r="AM37" s="515">
        <f>INPUT!AM689</f>
        <v>21.529555149299441</v>
      </c>
      <c r="AN37" s="515">
        <f>INPUT!AN689</f>
        <v>175.15600000000006</v>
      </c>
      <c r="AO37" s="515" t="str">
        <f>INPUT!AO689</f>
        <v>NM</v>
      </c>
      <c r="AP37" s="515">
        <f>INPUT!AP689</f>
        <v>-21.095999999999986</v>
      </c>
      <c r="AQ37" s="515" t="str">
        <f>INPUT!AQ689</f>
        <v>NM</v>
      </c>
      <c r="AR37" s="515">
        <f>INPUT!AR689</f>
        <v>24.659999999999926</v>
      </c>
      <c r="AS37" s="515" t="str">
        <f>INPUT!AS689</f>
        <v>NM</v>
      </c>
      <c r="AT37" s="515">
        <f>INPUT!AT689</f>
        <v>107.59199999999998</v>
      </c>
      <c r="AU37" s="515">
        <f>INPUT!AU689</f>
        <v>34.874392017248958</v>
      </c>
      <c r="AV37" s="515">
        <f>INPUT!AV689</f>
        <v>47.872000000000043</v>
      </c>
      <c r="AW37" s="515" t="str">
        <f>INPUT!AW689</f>
        <v>NM</v>
      </c>
      <c r="AX37" s="515">
        <f>INPUT!AX689</f>
        <v>46.528000000000027</v>
      </c>
      <c r="AY37" s="515" t="str">
        <f>INPUT!AY689</f>
        <v>NM</v>
      </c>
      <c r="AZ37" s="515">
        <f>INPUT!AZ689</f>
        <v>34.239999999999924</v>
      </c>
      <c r="BA37" s="515">
        <f>INPUT!BA689</f>
        <v>38.848337388483479</v>
      </c>
      <c r="BB37" s="515">
        <f>INPUT!BB689</f>
        <v>13.504000000000014</v>
      </c>
      <c r="BC37" s="515" t="str">
        <f>INPUT!BC689</f>
        <v>NM</v>
      </c>
      <c r="BD37" s="515">
        <f>INPUT!BD689</f>
        <v>74.72</v>
      </c>
      <c r="BE37" s="515">
        <f>INPUT!BE689</f>
        <v>56.08288770053462</v>
      </c>
      <c r="BF37" s="515">
        <f>INPUT!BF689</f>
        <v>4.0664621085794099</v>
      </c>
      <c r="BG37" s="515" t="str">
        <f>INPUT!BG689</f>
        <v>NM</v>
      </c>
      <c r="BH37" s="515">
        <f>INPUT!BH689</f>
        <v>3.6810287567371995</v>
      </c>
      <c r="BI37" s="515" t="str">
        <f>INPUT!BI689</f>
        <v>NM</v>
      </c>
      <c r="BJ37" s="515">
        <f>INPUT!BJ689</f>
        <v>0.46799038645515056</v>
      </c>
      <c r="BK37" s="515" t="str">
        <f>INPUT!BK689</f>
        <v>NM</v>
      </c>
      <c r="BL37" s="515">
        <f>INPUT!BL689</f>
        <v>0.52418548660384068</v>
      </c>
      <c r="BM37" s="515" t="str">
        <f>INPUT!BM689</f>
        <v>NM</v>
      </c>
      <c r="BN37" s="515"/>
      <c r="BO37" s="515">
        <f>INPUT!BU689</f>
        <v>196.3555494899997</v>
      </c>
      <c r="BP37" s="515" t="str">
        <f>INPUT!BV689</f>
        <v>NA</v>
      </c>
      <c r="BQ37" s="515">
        <f>INPUT!BW689</f>
        <v>326.45699999999999</v>
      </c>
      <c r="BR37" s="515">
        <f>INPUT!BX689</f>
        <v>66.258097032610877</v>
      </c>
      <c r="BS37" s="515">
        <f>INPUT!BY689</f>
        <v>476.63500000000022</v>
      </c>
      <c r="BT37" s="515">
        <f>INPUT!BZ689</f>
        <v>46.002383162254205</v>
      </c>
      <c r="BU37" s="515">
        <f>INPUT!CA689</f>
        <v>2162.2450000000003</v>
      </c>
      <c r="BV37" s="515" t="str">
        <f>INPUT!CB689</f>
        <v>NM</v>
      </c>
      <c r="BW37" s="515">
        <f>INPUT!CC689</f>
        <v>266.93200000000013</v>
      </c>
      <c r="BX37" s="515" t="str">
        <f>INPUT!CD689</f>
        <v>NM</v>
      </c>
      <c r="BY37" s="515">
        <f>INPUT!CE689</f>
        <v>159.02799999999996</v>
      </c>
      <c r="BZ37" s="515">
        <f>INPUT!CF689</f>
        <v>-40.423778340551195</v>
      </c>
      <c r="CA37" s="515">
        <f>INPUT!CG689</f>
        <v>168.99199999999996</v>
      </c>
      <c r="CB37" s="515">
        <f>INPUT!CH689</f>
        <v>6.2655632970294528</v>
      </c>
      <c r="CC37" s="515">
        <f>INPUT!CI689</f>
        <v>8.7396667383756004</v>
      </c>
      <c r="CD37" s="515" t="str">
        <f>INPUT!CJ689</f>
        <v>NM</v>
      </c>
      <c r="CE37" s="515">
        <f>INPUT!CK689</f>
        <v>0</v>
      </c>
      <c r="CF37" s="515" t="str">
        <f>INPUT!CL689</f>
        <v>NM</v>
      </c>
      <c r="CG37" s="515">
        <f>INPUT!CM689</f>
        <v>0</v>
      </c>
      <c r="CH37" s="515" t="str">
        <f>INPUT!CN689</f>
        <v>NA</v>
      </c>
      <c r="CI37" s="515">
        <f>INPUT!CO689</f>
        <v>0</v>
      </c>
      <c r="CJ37" s="515" t="str">
        <f>INPUT!CP689</f>
        <v>NA</v>
      </c>
      <c r="CK37" s="515">
        <f>INPUT!CQ689</f>
        <v>0</v>
      </c>
      <c r="CL37" s="515" t="str">
        <f>INPUT!CR689</f>
        <v>NA</v>
      </c>
      <c r="CM37" s="621" t="str">
        <f>INPUT!CS689</f>
        <v>NM</v>
      </c>
    </row>
    <row r="38" spans="1:147" s="331" customFormat="1" ht="11.25" customHeight="1" x14ac:dyDescent="0.2">
      <c r="A38" s="622" t="s">
        <v>332</v>
      </c>
      <c r="B38" s="515">
        <f>INPUT!B690</f>
        <v>51.3</v>
      </c>
      <c r="C38" s="515"/>
      <c r="D38" s="515">
        <f>INPUT!D690</f>
        <v>-183.1</v>
      </c>
      <c r="E38" s="515"/>
      <c r="F38" s="515">
        <f>INPUT!F690</f>
        <v>8.6999999999999993</v>
      </c>
      <c r="G38" s="515"/>
      <c r="H38" s="515">
        <f>INPUT!H690</f>
        <v>-67.8</v>
      </c>
      <c r="I38" s="515"/>
      <c r="J38" s="515">
        <f>INPUT!J690</f>
        <v>15.6</v>
      </c>
      <c r="K38" s="515" t="str">
        <f>INPUT!K690</f>
        <v>NM</v>
      </c>
      <c r="L38" s="515">
        <f>INPUT!L690</f>
        <v>-217.7</v>
      </c>
      <c r="M38" s="515">
        <f>INPUT!M690</f>
        <v>18.89677771709448</v>
      </c>
      <c r="N38" s="515">
        <f>INPUT!N690</f>
        <v>-20.3</v>
      </c>
      <c r="O38" s="515" t="str">
        <f>INPUT!O690</f>
        <v>NM</v>
      </c>
      <c r="P38" s="515">
        <f>INPUT!P690</f>
        <v>84.2</v>
      </c>
      <c r="Q38" s="515" t="str">
        <f>INPUT!Q690</f>
        <v>NM</v>
      </c>
      <c r="R38" s="515">
        <f>INPUT!R690</f>
        <v>13.5</v>
      </c>
      <c r="S38" s="515">
        <f>INPUT!S690</f>
        <v>-13.461538461538458</v>
      </c>
      <c r="T38" s="515">
        <f>INPUT!T690</f>
        <v>3.1</v>
      </c>
      <c r="U38" s="515" t="str">
        <f>INPUT!U690</f>
        <v>NM</v>
      </c>
      <c r="V38" s="515">
        <f>INPUT!V690</f>
        <v>-101.1</v>
      </c>
      <c r="W38" s="515" t="str">
        <f>INPUT!W690</f>
        <v>NM</v>
      </c>
      <c r="X38" s="515">
        <f>INPUT!X690</f>
        <v>-105.6</v>
      </c>
      <c r="Y38" s="515" t="str">
        <f>INPUT!Y690</f>
        <v>NM</v>
      </c>
      <c r="Z38" s="515">
        <f>INPUT!Z690</f>
        <v>-13.5</v>
      </c>
      <c r="AA38" s="515" t="str">
        <f>INPUT!AA690</f>
        <v>NM</v>
      </c>
      <c r="AB38" s="515">
        <f>INPUT!AB690</f>
        <v>-166.6</v>
      </c>
      <c r="AC38" s="521" t="str">
        <f>INPUT!AC690</f>
        <v>NM</v>
      </c>
      <c r="AD38" s="515">
        <f>INPUT!AD690</f>
        <v>-116.6</v>
      </c>
      <c r="AE38" s="515">
        <f>INPUT!AE690</f>
        <v>15.331355093966369</v>
      </c>
      <c r="AF38" s="515">
        <f>INPUT!AF690</f>
        <v>59</v>
      </c>
      <c r="AG38" s="515" t="str">
        <f>INPUT!AG690</f>
        <v>NM</v>
      </c>
      <c r="AH38" s="515">
        <f>INPUT!AH690</f>
        <v>-26.1</v>
      </c>
      <c r="AI38" s="515">
        <f>INPUT!AI690</f>
        <v>93.333333333333329</v>
      </c>
      <c r="AJ38" s="515">
        <f>INPUT!AJ690</f>
        <v>-81.900000000000006</v>
      </c>
      <c r="AK38" s="515" t="str">
        <f>INPUT!AK690</f>
        <v>NM</v>
      </c>
      <c r="AL38" s="515">
        <f>INPUT!AL690</f>
        <v>-75.900000000000006</v>
      </c>
      <c r="AM38" s="515">
        <f>INPUT!AM690</f>
        <v>-34.90566037735848</v>
      </c>
      <c r="AN38" s="515">
        <f>INPUT!AN690</f>
        <v>53.6</v>
      </c>
      <c r="AO38" s="515">
        <f>INPUT!AO690</f>
        <v>-9.1525423728813564</v>
      </c>
      <c r="AP38" s="515">
        <f>INPUT!AP690</f>
        <v>-0.7</v>
      </c>
      <c r="AQ38" s="515" t="str">
        <f>INPUT!AQ690</f>
        <v>NM</v>
      </c>
      <c r="AR38" s="515">
        <f>INPUT!AR690</f>
        <v>25.5</v>
      </c>
      <c r="AS38" s="515" t="str">
        <f>INPUT!AS690</f>
        <v>NM</v>
      </c>
      <c r="AT38" s="515">
        <f>INPUT!AT690</f>
        <v>-11.6</v>
      </c>
      <c r="AU38" s="515" t="str">
        <f>INPUT!AU690</f>
        <v>NM</v>
      </c>
      <c r="AV38" s="515">
        <f>INPUT!AV690</f>
        <v>-42.5</v>
      </c>
      <c r="AW38" s="515" t="str">
        <f>INPUT!AW690</f>
        <v>NM</v>
      </c>
      <c r="AX38" s="515">
        <f>INPUT!AX690</f>
        <v>-1.1000000000000001</v>
      </c>
      <c r="AY38" s="515">
        <f>INPUT!AY690</f>
        <v>57.14285714285716</v>
      </c>
      <c r="AZ38" s="515">
        <f>INPUT!AZ690</f>
        <v>-52</v>
      </c>
      <c r="BA38" s="515" t="str">
        <f>INPUT!BA690</f>
        <v>NM</v>
      </c>
      <c r="BB38" s="515">
        <f>INPUT!BB690</f>
        <v>-65.400000000000006</v>
      </c>
      <c r="BC38" s="515" t="str">
        <f>INPUT!BC690</f>
        <v>NM</v>
      </c>
      <c r="BD38" s="515">
        <f>INPUT!BD690</f>
        <v>-82</v>
      </c>
      <c r="BE38" s="515">
        <f>INPUT!BE690</f>
        <v>92.941176470588232</v>
      </c>
      <c r="BF38" s="515">
        <f>INPUT!BF690</f>
        <v>0</v>
      </c>
      <c r="BG38" s="515" t="str">
        <f>INPUT!BG690</f>
        <v>NM</v>
      </c>
      <c r="BH38" s="515">
        <f>INPUT!BH690</f>
        <v>0</v>
      </c>
      <c r="BI38" s="515" t="str">
        <f>INPUT!BI690</f>
        <v>NM</v>
      </c>
      <c r="BJ38" s="515">
        <f>INPUT!BJ690</f>
        <v>0</v>
      </c>
      <c r="BK38" s="515" t="str">
        <f>INPUT!BK690</f>
        <v>NM</v>
      </c>
      <c r="BL38" s="515">
        <f>INPUT!BL690</f>
        <v>0</v>
      </c>
      <c r="BM38" s="515" t="str">
        <f>INPUT!BM690</f>
        <v>NM</v>
      </c>
      <c r="BN38" s="515"/>
      <c r="BO38" s="515">
        <f>INPUT!BU690</f>
        <v>-190.9</v>
      </c>
      <c r="BP38" s="515" t="str">
        <f>INPUT!BV690</f>
        <v>NA</v>
      </c>
      <c r="BQ38" s="515">
        <f>INPUT!BW690</f>
        <v>-138.19999999999999</v>
      </c>
      <c r="BR38" s="515">
        <f>INPUT!BX690</f>
        <v>-27.606076479832385</v>
      </c>
      <c r="BS38" s="515">
        <f>INPUT!BY690</f>
        <v>-190.1</v>
      </c>
      <c r="BT38" s="515">
        <f>INPUT!BZ690</f>
        <v>37.554269175108537</v>
      </c>
      <c r="BU38" s="515">
        <f>INPUT!CA690</f>
        <v>-237.7</v>
      </c>
      <c r="BV38" s="515">
        <f>INPUT!CB690</f>
        <v>25.039452919516037</v>
      </c>
      <c r="BW38" s="515">
        <f>INPUT!CC690</f>
        <v>-130.30000000000001</v>
      </c>
      <c r="BX38" s="515">
        <f>INPUT!CD690</f>
        <v>-45.183003786285227</v>
      </c>
      <c r="BY38" s="515">
        <f>INPUT!CE690</f>
        <v>-29.299999999999997</v>
      </c>
      <c r="BZ38" s="515" t="str">
        <f>INPUT!CF690</f>
        <v>NM</v>
      </c>
      <c r="CA38" s="515">
        <f>INPUT!CG690</f>
        <v>-200.5</v>
      </c>
      <c r="CB38" s="515" t="str">
        <f>INPUT!CH690</f>
        <v>NM</v>
      </c>
      <c r="CC38" s="515">
        <f>INPUT!CI690</f>
        <v>0</v>
      </c>
      <c r="CD38" s="515" t="str">
        <f>INPUT!CJ690</f>
        <v>NM</v>
      </c>
      <c r="CE38" s="515">
        <f>INPUT!CK690</f>
        <v>0</v>
      </c>
      <c r="CF38" s="515" t="str">
        <f>INPUT!CL690</f>
        <v>NA</v>
      </c>
      <c r="CG38" s="515">
        <f>INPUT!CM690</f>
        <v>0</v>
      </c>
      <c r="CH38" s="515" t="str">
        <f>INPUT!CN690</f>
        <v>NA</v>
      </c>
      <c r="CI38" s="515">
        <f>INPUT!CO690</f>
        <v>0</v>
      </c>
      <c r="CJ38" s="515" t="str">
        <f>INPUT!CP690</f>
        <v>NA</v>
      </c>
      <c r="CK38" s="515">
        <f>INPUT!CQ690</f>
        <v>0</v>
      </c>
      <c r="CL38" s="515" t="str">
        <f>INPUT!CR690</f>
        <v>NA</v>
      </c>
      <c r="CM38" s="621" t="str">
        <f>INPUT!CS690</f>
        <v>NM</v>
      </c>
    </row>
    <row r="39" spans="1:147" s="342" customFormat="1" ht="11.25" customHeight="1" x14ac:dyDescent="0.2">
      <c r="A39" s="607" t="s">
        <v>250</v>
      </c>
      <c r="B39" s="517">
        <f>INPUT!B694</f>
        <v>294.7</v>
      </c>
      <c r="C39" s="517"/>
      <c r="D39" s="517">
        <f>INPUT!D694</f>
        <v>366.4</v>
      </c>
      <c r="E39" s="517"/>
      <c r="F39" s="517">
        <f>INPUT!F694</f>
        <v>1041.3</v>
      </c>
      <c r="G39" s="517"/>
      <c r="H39" s="517">
        <f>INPUT!H694</f>
        <v>-1790.4</v>
      </c>
      <c r="I39" s="517"/>
      <c r="J39" s="517">
        <f>INPUT!J694</f>
        <v>-505.14600000000024</v>
      </c>
      <c r="K39" s="339" t="str">
        <f>INPUT!K694</f>
        <v>NM</v>
      </c>
      <c r="L39" s="517">
        <f>INPUT!L694</f>
        <v>634.68000000000006</v>
      </c>
      <c r="M39" s="339">
        <f>INPUT!M694</f>
        <v>73.220524017467284</v>
      </c>
      <c r="N39" s="517">
        <f>INPUT!N694</f>
        <v>366.08699999999999</v>
      </c>
      <c r="O39" s="339" t="str">
        <f>INPUT!O694</f>
        <v>NM</v>
      </c>
      <c r="P39" s="517">
        <f>INPUT!P694</f>
        <v>-23.180999999999926</v>
      </c>
      <c r="Q39" s="339" t="str">
        <f>INPUT!Q694</f>
        <v>NM</v>
      </c>
      <c r="R39" s="517">
        <f>INPUT!R694</f>
        <v>-212.1</v>
      </c>
      <c r="S39" s="339" t="str">
        <f>INPUT!S694</f>
        <v>NM</v>
      </c>
      <c r="T39" s="517">
        <f>INPUT!T694</f>
        <v>-82.200000000000017</v>
      </c>
      <c r="U39" s="339" t="str">
        <f>INPUT!U694</f>
        <v>NM</v>
      </c>
      <c r="V39" s="517">
        <f>INPUT!V694</f>
        <v>346.79999999999995</v>
      </c>
      <c r="W39" s="339">
        <f>INPUT!W694</f>
        <v>-5.2684198018503885</v>
      </c>
      <c r="X39" s="517">
        <f>INPUT!X694</f>
        <v>548.1</v>
      </c>
      <c r="Y39" s="339" t="str">
        <f>INPUT!Y694</f>
        <v>NM</v>
      </c>
      <c r="Z39" s="517">
        <f>INPUT!Z694</f>
        <v>258.10000000000019</v>
      </c>
      <c r="AA39" s="339" t="str">
        <f>INPUT!AA694</f>
        <v>NM</v>
      </c>
      <c r="AB39" s="517">
        <f>INPUT!AB694</f>
        <v>248.20000000000013</v>
      </c>
      <c r="AC39" s="339" t="str">
        <f>INPUT!AC694</f>
        <v>NM</v>
      </c>
      <c r="AD39" s="517">
        <f>INPUT!AD694</f>
        <v>405.9</v>
      </c>
      <c r="AE39" s="339">
        <f>INPUT!AE694</f>
        <v>17.041522491349493</v>
      </c>
      <c r="AF39" s="517">
        <f>INPUT!AF694</f>
        <v>1378.8999999999999</v>
      </c>
      <c r="AG39" s="339" t="str">
        <f>INPUT!AG694</f>
        <v>NM</v>
      </c>
      <c r="AH39" s="517">
        <f>INPUT!AH694</f>
        <v>189.7</v>
      </c>
      <c r="AI39" s="339">
        <f>INPUT!AI694</f>
        <v>-26.501356063541326</v>
      </c>
      <c r="AJ39" s="517">
        <f>INPUT!AJ694</f>
        <v>285.20000000000005</v>
      </c>
      <c r="AK39" s="339">
        <f>INPUT!AK694</f>
        <v>14.907332796132099</v>
      </c>
      <c r="AL39" s="517">
        <f>INPUT!AL694</f>
        <v>40.399999999999878</v>
      </c>
      <c r="AM39" s="339" t="str">
        <f>INPUT!AM694</f>
        <v>NM</v>
      </c>
      <c r="AN39" s="517">
        <f>INPUT!AN694</f>
        <v>-106.89999999999995</v>
      </c>
      <c r="AO39" s="339" t="str">
        <f>INPUT!AO694</f>
        <v>NM</v>
      </c>
      <c r="AP39" s="517">
        <f>INPUT!AP694</f>
        <v>151.9999999999998</v>
      </c>
      <c r="AQ39" s="339">
        <f>INPUT!AQ694</f>
        <v>-19.873484449130309</v>
      </c>
      <c r="AR39" s="517">
        <f>INPUT!AR694</f>
        <v>115.10000000000001</v>
      </c>
      <c r="AS39" s="339" t="str">
        <f>INPUT!AS694</f>
        <v>NM</v>
      </c>
      <c r="AT39" s="517">
        <f>INPUT!AT694</f>
        <v>-341.50000000000011</v>
      </c>
      <c r="AU39" s="339" t="str">
        <f>INPUT!AU694</f>
        <v>NM</v>
      </c>
      <c r="AV39" s="517">
        <f>INPUT!AV694</f>
        <v>-596.10000000000014</v>
      </c>
      <c r="AW39" s="339" t="str">
        <f>INPUT!AW694</f>
        <v>NM</v>
      </c>
      <c r="AX39" s="517">
        <f>INPUT!AX694</f>
        <v>-218.8000000000001</v>
      </c>
      <c r="AY39" s="339" t="str">
        <f>INPUT!AY694</f>
        <v>NM</v>
      </c>
      <c r="AZ39" s="517">
        <f>INPUT!AZ694</f>
        <v>129.79999999999987</v>
      </c>
      <c r="BA39" s="339">
        <f>INPUT!BA694</f>
        <v>12.771503040833942</v>
      </c>
      <c r="BB39" s="517">
        <f>INPUT!BB694</f>
        <v>172.00000000000006</v>
      </c>
      <c r="BC39" s="339" t="str">
        <f>INPUT!BC694</f>
        <v>NM</v>
      </c>
      <c r="BD39" s="517">
        <f>INPUT!BD694</f>
        <v>137.49999999999994</v>
      </c>
      <c r="BE39" s="339" t="str">
        <f>INPUT!BE694</f>
        <v>NM</v>
      </c>
      <c r="BF39" s="517">
        <f>INPUT!BF694</f>
        <v>211.51605735886915</v>
      </c>
      <c r="BG39" s="339" t="str">
        <f>INPUT!BG694</f>
        <v>NM</v>
      </c>
      <c r="BH39" s="517">
        <f>INPUT!BH694</f>
        <v>230.40397523039584</v>
      </c>
      <c r="BI39" s="339">
        <f>INPUT!BI694</f>
        <v>77.506914661322085</v>
      </c>
      <c r="BJ39" s="517">
        <f>INPUT!BJ694</f>
        <v>191.37234788112255</v>
      </c>
      <c r="BK39" s="339">
        <f>INPUT!BK694</f>
        <v>11.262992954140971</v>
      </c>
      <c r="BL39" s="517">
        <f>INPUT!BL694</f>
        <v>200.40176177828877</v>
      </c>
      <c r="BM39" s="339">
        <f>INPUT!BM694</f>
        <v>45.746735838755527</v>
      </c>
      <c r="BN39" s="350"/>
      <c r="BO39" s="517">
        <f>INPUT!BU694</f>
        <v>-88.000000000001137</v>
      </c>
      <c r="BP39" s="340" t="str">
        <f>INPUT!BV694</f>
        <v>NA</v>
      </c>
      <c r="BQ39" s="517">
        <f>INPUT!BW694</f>
        <v>472.44000000000068</v>
      </c>
      <c r="BR39" s="340" t="str">
        <f>INPUT!BX694</f>
        <v>NM</v>
      </c>
      <c r="BS39" s="517">
        <f>INPUT!BY694</f>
        <v>600.6</v>
      </c>
      <c r="BT39" s="340">
        <f>INPUT!BZ694</f>
        <v>27.127254254508326</v>
      </c>
      <c r="BU39" s="517">
        <f>INPUT!CA694</f>
        <v>2291.1000000000004</v>
      </c>
      <c r="BV39" s="340" t="str">
        <f>INPUT!CB694</f>
        <v>NM</v>
      </c>
      <c r="BW39" s="517">
        <f>INPUT!CC694</f>
        <v>408.39999999999981</v>
      </c>
      <c r="BX39" s="340" t="str">
        <f>INPUT!CD694</f>
        <v>NM</v>
      </c>
      <c r="BY39" s="517">
        <f>INPUT!CE694</f>
        <v>-670.49999999999955</v>
      </c>
      <c r="BZ39" s="340" t="str">
        <f>INPUT!CF694</f>
        <v>NM</v>
      </c>
      <c r="CA39" s="517">
        <f>INPUT!CG694</f>
        <v>220.50000000000028</v>
      </c>
      <c r="CB39" s="340" t="str">
        <f>INPUT!CH694</f>
        <v>NM</v>
      </c>
      <c r="CC39" s="517">
        <f>INPUT!CI694</f>
        <v>833.69414224867614</v>
      </c>
      <c r="CD39" s="340" t="str">
        <f>INPUT!CJ694</f>
        <v>NM</v>
      </c>
      <c r="CE39" s="517">
        <f>INPUT!CK694</f>
        <v>814.38652845461502</v>
      </c>
      <c r="CF39" s="340">
        <f>INPUT!CL694</f>
        <v>-2.3159109337129058</v>
      </c>
      <c r="CG39" s="517">
        <f>INPUT!CM694</f>
        <v>850.7608603093056</v>
      </c>
      <c r="CH39" s="340">
        <f>INPUT!CN694</f>
        <v>4.466470230507702</v>
      </c>
      <c r="CI39" s="517">
        <f>INPUT!CO694</f>
        <v>886.28776430315702</v>
      </c>
      <c r="CJ39" s="340">
        <f>INPUT!CP694</f>
        <v>4.1758977935274499</v>
      </c>
      <c r="CK39" s="517">
        <f>INPUT!CQ694</f>
        <v>921.46553081424622</v>
      </c>
      <c r="CL39" s="340">
        <f>INPUT!CR694</f>
        <v>3.9691134107834314</v>
      </c>
      <c r="CM39" s="610">
        <f>INPUT!CS694</f>
        <v>33.111047197798712</v>
      </c>
    </row>
    <row r="40" spans="1:147" s="360" customFormat="1" ht="12" hidden="1" customHeight="1" outlineLevel="1" x14ac:dyDescent="0.2">
      <c r="A40" s="613" t="s">
        <v>249</v>
      </c>
      <c r="B40" s="589">
        <f>(B21+B33+B34+B35+B36+B37)+B38-B39</f>
        <v>0</v>
      </c>
      <c r="C40" s="589"/>
      <c r="D40" s="589">
        <f>(D21+D33+D34+D35+D36+D37)+D38-D39</f>
        <v>0</v>
      </c>
      <c r="E40" s="589"/>
      <c r="F40" s="589">
        <f>(F21+F33+F34+F35+F36+F37)+F38-F39</f>
        <v>0</v>
      </c>
      <c r="G40" s="589"/>
      <c r="H40" s="589">
        <f>(H21+H33+H34+H35+H36+H37)+H38-H39</f>
        <v>0</v>
      </c>
      <c r="I40" s="589"/>
      <c r="J40" s="589">
        <f>(J21+J33+J34+J35+J36+J37)+J38-J39</f>
        <v>0</v>
      </c>
      <c r="K40" s="589"/>
      <c r="L40" s="589">
        <f>(L21+L33+L34+L35+L36+L37)+L38-L39</f>
        <v>0</v>
      </c>
      <c r="M40" s="589"/>
      <c r="N40" s="589">
        <f>(N21+N33+N34+N35+N36+N37)+N38-N39</f>
        <v>0</v>
      </c>
      <c r="O40" s="589"/>
      <c r="P40" s="589">
        <f>(P21+P33+P34+P35+P36+P37)+P38-P39</f>
        <v>5.6843418860808015E-14</v>
      </c>
      <c r="Q40" s="589"/>
      <c r="R40" s="589">
        <f>(R21+R33+R34+R35+R36+R37)+R38-R39</f>
        <v>0</v>
      </c>
      <c r="S40" s="589"/>
      <c r="T40" s="589">
        <f>(T21+T33+T34+T35+T36+T37)+T38-T39</f>
        <v>0</v>
      </c>
      <c r="U40" s="589"/>
      <c r="V40" s="589">
        <f>(V21+V33+V34+V35+V36+V37)+V38-V39</f>
        <v>0</v>
      </c>
      <c r="W40" s="589"/>
      <c r="X40" s="589">
        <f>(X21+X33+X34+X35+X36+X37)+X38-X39</f>
        <v>0</v>
      </c>
      <c r="Y40" s="589"/>
      <c r="Z40" s="589">
        <f>(Z21+Z33+Z34+Z35+Z36+Z37)+Z38-Z39</f>
        <v>0</v>
      </c>
      <c r="AA40" s="589"/>
      <c r="AB40" s="589">
        <f>(AB21+AB33+AB34+AB35+AB36+AB37)+AB38-AB39</f>
        <v>0</v>
      </c>
      <c r="AC40" s="589"/>
      <c r="AD40" s="589">
        <f>(AD21+AD33+AD34+AD35+AD36+AD37)+AD38-AD39</f>
        <v>0</v>
      </c>
      <c r="AE40" s="589"/>
      <c r="AF40" s="589">
        <f>(AF21+AF33+AF34+AF35+AF36+AF37)+AF38-AF39</f>
        <v>0</v>
      </c>
      <c r="AG40" s="589"/>
      <c r="AH40" s="589">
        <f>(AH21+AH33+AH34+AH35+AH36+AH37)+AH38-AH39</f>
        <v>0</v>
      </c>
      <c r="AI40" s="589"/>
      <c r="AJ40" s="589">
        <f>(AJ21+AJ33+AJ34+AJ35+AJ36+AJ37)+AJ38-AJ39</f>
        <v>0</v>
      </c>
      <c r="AK40" s="589"/>
      <c r="AL40" s="589">
        <f>(AL21+AL33+AL34+AL35+AL36+AL37)+AL38-AL39</f>
        <v>0</v>
      </c>
      <c r="AM40" s="589"/>
      <c r="AN40" s="589">
        <f>(AN21+AN33+AN34+AN35+AN36+AN37)+AN38-AN39</f>
        <v>0</v>
      </c>
      <c r="AO40" s="589"/>
      <c r="AP40" s="589">
        <f>(AP21+AP33+AP34+AP35+AP36+AP37)+AP38-AP39</f>
        <v>0</v>
      </c>
      <c r="AQ40" s="589"/>
      <c r="AR40" s="589">
        <f>(AR21+AR33+AR34+AR35+AR36+AR37)+AR38-AR39</f>
        <v>0</v>
      </c>
      <c r="AS40" s="589"/>
      <c r="AT40" s="589">
        <f>(AT21+AT33+AT34+AT35+AT36+AT37)+AT38-AT39</f>
        <v>0</v>
      </c>
      <c r="AU40" s="589"/>
      <c r="AV40" s="589">
        <f>(AV21+AV33+AV34+AV35+AV36+AV37)+AV38-AV39</f>
        <v>0</v>
      </c>
      <c r="AW40" s="589"/>
      <c r="AX40" s="589">
        <f t="shared" ref="AX40" si="32">(AX21+AX33+AX34+AX35+AX36+AX37)+AX38-AX39</f>
        <v>0</v>
      </c>
      <c r="AY40" s="589"/>
      <c r="AZ40" s="589">
        <f t="shared" ref="AZ40" si="33">(AZ21+AZ33+AZ34+AZ35+AZ36+AZ37)+AZ38-AZ39</f>
        <v>0</v>
      </c>
      <c r="BA40" s="589"/>
      <c r="BB40" s="589">
        <f t="shared" ref="BB40" si="34">(BB21+BB33+BB34+BB35+BB36+BB37)+BB38-BB39</f>
        <v>0</v>
      </c>
      <c r="BC40" s="589"/>
      <c r="BD40" s="589">
        <f t="shared" ref="BD40" si="35">(BD21+BD33+BD34+BD35+BD36+BD37)+BD38-BD39</f>
        <v>0</v>
      </c>
      <c r="BE40" s="589"/>
      <c r="BF40" s="589">
        <f t="shared" ref="BF40" si="36">(BF21+BF33+BF34+BF35+BF36+BF37)+BF38-BF39</f>
        <v>0</v>
      </c>
      <c r="BG40" s="589"/>
      <c r="BH40" s="589">
        <f t="shared" ref="BH40" si="37">(BH21+BH33+BH34+BH35+BH36+BH37)+BH38-BH39</f>
        <v>0</v>
      </c>
      <c r="BI40" s="589"/>
      <c r="BJ40" s="589">
        <f t="shared" ref="BJ40" si="38">(BJ21+BJ33+BJ34+BJ35+BJ36+BJ37)+BJ38-BJ39</f>
        <v>0</v>
      </c>
      <c r="BK40" s="589"/>
      <c r="BL40" s="589">
        <f t="shared" ref="BL40" si="39">(BL21+BL33+BL34+BL35+BL36+BL37)+BL38-BL39</f>
        <v>0</v>
      </c>
      <c r="BM40" s="589"/>
      <c r="BN40" s="589"/>
      <c r="BO40" s="589">
        <f>(BO21+BO33+BO34+BO35+BO36+BO37)+BO38-BO39</f>
        <v>0</v>
      </c>
      <c r="BP40" s="589"/>
      <c r="BQ40" s="589">
        <f>(BQ21+BQ33+BQ34+BQ35+BQ36+BQ37)+BQ38-BQ39</f>
        <v>0</v>
      </c>
      <c r="BR40" s="589"/>
      <c r="BS40" s="589">
        <f>(BS21+BS33+BS34+BS35+BS36+BS37)+BS38-BS39</f>
        <v>0</v>
      </c>
      <c r="BT40" s="589"/>
      <c r="BU40" s="589">
        <f>(BU21+BU33+BU34+BU35+BU36+BU37)+BU38-BU39</f>
        <v>0</v>
      </c>
      <c r="BV40" s="589"/>
      <c r="BW40" s="589">
        <f>(BW21+BW33+BW34+BW35+BW36+BW37)+BW38-BW39</f>
        <v>0</v>
      </c>
      <c r="BX40" s="589"/>
      <c r="BY40" s="589">
        <f>(BY21+BY33+BY34+BY35+BY36+BY37)+BY38-BY39</f>
        <v>0</v>
      </c>
      <c r="BZ40" s="589"/>
      <c r="CA40" s="589">
        <f>(CA21+CA33+CA34+CA35+CA36+CA37)+CA38-CA39</f>
        <v>0</v>
      </c>
      <c r="CB40" s="589"/>
      <c r="CC40" s="589">
        <f>(CC21+CC33+CC34+CC35+CC36+CC37)+CC38-CC39</f>
        <v>0</v>
      </c>
      <c r="CD40" s="589"/>
      <c r="CE40" s="589">
        <f>(CE21+CE33+CE34+CE35+CE36+CE37)+CE38-CE39</f>
        <v>0</v>
      </c>
      <c r="CF40" s="589"/>
      <c r="CG40" s="589"/>
      <c r="CH40" s="589"/>
      <c r="CI40" s="589"/>
      <c r="CJ40" s="589"/>
      <c r="CK40" s="589"/>
      <c r="CL40" s="589"/>
      <c r="CM40" s="614"/>
      <c r="CN40" s="354"/>
      <c r="CO40" s="354"/>
      <c r="CP40" s="354"/>
      <c r="CQ40" s="354"/>
      <c r="CR40" s="354"/>
      <c r="CS40" s="354"/>
      <c r="CT40" s="354"/>
      <c r="CU40" s="357"/>
      <c r="CV40" s="358"/>
      <c r="CW40" s="357"/>
      <c r="CX40" s="358"/>
      <c r="CY40" s="357"/>
      <c r="CZ40" s="358"/>
      <c r="DA40" s="357"/>
      <c r="DB40" s="358"/>
      <c r="DC40" s="357"/>
      <c r="DD40" s="358"/>
      <c r="DE40" s="357"/>
      <c r="DF40" s="358"/>
      <c r="DG40" s="357"/>
      <c r="DH40" s="358"/>
      <c r="DI40" s="357"/>
      <c r="DJ40" s="358"/>
      <c r="DK40" s="357"/>
      <c r="DL40" s="358"/>
      <c r="DM40" s="357"/>
      <c r="DN40" s="358"/>
      <c r="DO40" s="357"/>
      <c r="DP40" s="357"/>
      <c r="DQ40" s="358"/>
      <c r="DR40" s="357"/>
      <c r="DS40" s="358"/>
      <c r="DT40" s="357"/>
      <c r="DU40" s="358"/>
      <c r="DV40" s="357"/>
      <c r="DW40" s="358"/>
      <c r="DX40" s="357"/>
      <c r="DY40" s="358"/>
      <c r="DZ40" s="357"/>
      <c r="EA40" s="358"/>
      <c r="EB40" s="357"/>
      <c r="EC40" s="358"/>
      <c r="ED40" s="357"/>
      <c r="EE40" s="358"/>
      <c r="EF40" s="357"/>
      <c r="EG40" s="358"/>
      <c r="EH40" s="357"/>
      <c r="EI40" s="358"/>
      <c r="EJ40" s="357"/>
      <c r="EK40" s="358"/>
      <c r="EL40" s="357"/>
      <c r="EM40" s="358"/>
      <c r="EN40" s="357"/>
      <c r="EO40" s="358"/>
      <c r="EP40" s="357"/>
      <c r="EQ40" s="359"/>
    </row>
    <row r="41" spans="1:147" s="330" customFormat="1" ht="11.25" customHeight="1" collapsed="1" x14ac:dyDescent="0.2">
      <c r="A41" s="619" t="s">
        <v>251</v>
      </c>
      <c r="B41" s="325">
        <f>INPUT!B759</f>
        <v>1.28</v>
      </c>
      <c r="C41" s="325"/>
      <c r="D41" s="327">
        <f>INPUT!D759</f>
        <v>1.59</v>
      </c>
      <c r="E41" s="325"/>
      <c r="F41" s="325">
        <f>INPUT!F759</f>
        <v>4.53</v>
      </c>
      <c r="G41" s="325"/>
      <c r="H41" s="327">
        <f>INPUT!H759</f>
        <v>-7.78</v>
      </c>
      <c r="I41" s="325"/>
      <c r="J41" s="325">
        <f>INPUT!J759</f>
        <v>-2.2000000000000002</v>
      </c>
      <c r="K41" s="326" t="str">
        <f>INPUT!K759</f>
        <v>NM</v>
      </c>
      <c r="L41" s="325">
        <f>INPUT!L759</f>
        <v>2.76</v>
      </c>
      <c r="M41" s="326">
        <f>INPUT!M759</f>
        <v>73.584905660377345</v>
      </c>
      <c r="N41" s="325">
        <f>INPUT!N759</f>
        <v>1.59</v>
      </c>
      <c r="O41" s="326" t="str">
        <f>INPUT!O759</f>
        <v>NM</v>
      </c>
      <c r="P41" s="325">
        <f>INPUT!P759</f>
        <v>-0.1</v>
      </c>
      <c r="Q41" s="326" t="str">
        <f>INPUT!Q759</f>
        <v>NM</v>
      </c>
      <c r="R41" s="325">
        <f>INPUT!R759</f>
        <v>-0.92</v>
      </c>
      <c r="S41" s="326" t="str">
        <f>INPUT!S759</f>
        <v>NM</v>
      </c>
      <c r="T41" s="325">
        <f>INPUT!T759</f>
        <v>-0.33</v>
      </c>
      <c r="U41" s="326" t="str">
        <f>INPUT!U759</f>
        <v>NM</v>
      </c>
      <c r="V41" s="325">
        <f>INPUT!V759</f>
        <v>1.32</v>
      </c>
      <c r="W41" s="326">
        <f>INPUT!W759</f>
        <v>-16.981132075471695</v>
      </c>
      <c r="X41" s="325">
        <f>INPUT!X759</f>
        <v>2.08</v>
      </c>
      <c r="Y41" s="326" t="str">
        <f>INPUT!Y759</f>
        <v>NM</v>
      </c>
      <c r="Z41" s="325">
        <f>INPUT!Z759</f>
        <v>0.98</v>
      </c>
      <c r="AA41" s="326" t="str">
        <f>INPUT!AA759</f>
        <v>NM</v>
      </c>
      <c r="AB41" s="325">
        <f>INPUT!AB759</f>
        <v>0.97</v>
      </c>
      <c r="AC41" s="326" t="str">
        <f>INPUT!AC759</f>
        <v>NM</v>
      </c>
      <c r="AD41" s="325">
        <f>INPUT!AD759</f>
        <v>1.6</v>
      </c>
      <c r="AE41" s="326">
        <f>INPUT!AE759</f>
        <v>21.212121212121215</v>
      </c>
      <c r="AF41" s="325">
        <f>INPUT!AF759</f>
        <v>5.6</v>
      </c>
      <c r="AG41" s="326" t="str">
        <f>INPUT!AG759</f>
        <v>NM</v>
      </c>
      <c r="AH41" s="325">
        <f>INPUT!AH759</f>
        <v>0.79</v>
      </c>
      <c r="AI41" s="326">
        <f>INPUT!AI759</f>
        <v>-19.387755102040817</v>
      </c>
      <c r="AJ41" s="325">
        <f>INPUT!AJ759</f>
        <v>1.24</v>
      </c>
      <c r="AK41" s="326">
        <f>INPUT!AK759</f>
        <v>27.835051546391764</v>
      </c>
      <c r="AL41" s="325">
        <f>INPUT!AL759</f>
        <v>0.18</v>
      </c>
      <c r="AM41" s="326" t="str">
        <f>INPUT!AM759</f>
        <v>NM</v>
      </c>
      <c r="AN41" s="325">
        <f>INPUT!AN759</f>
        <v>-0.49</v>
      </c>
      <c r="AO41" s="326" t="str">
        <f>INPUT!AO759</f>
        <v>NM</v>
      </c>
      <c r="AP41" s="325">
        <f>INPUT!AP759</f>
        <v>0.73</v>
      </c>
      <c r="AQ41" s="326">
        <f>INPUT!AQ759</f>
        <v>-7.5949367088607662</v>
      </c>
      <c r="AR41" s="325">
        <f>INPUT!AR759</f>
        <v>0.56999999999999995</v>
      </c>
      <c r="AS41" s="326" t="str">
        <f>INPUT!AS759</f>
        <v>NM</v>
      </c>
      <c r="AT41" s="325">
        <f>INPUT!AT759</f>
        <v>-1.69</v>
      </c>
      <c r="AU41" s="326" t="str">
        <f>INPUT!AU759</f>
        <v>NM</v>
      </c>
      <c r="AV41" s="325">
        <f>INPUT!AV759</f>
        <v>-3.06</v>
      </c>
      <c r="AW41" s="326" t="str">
        <f>INPUT!AW759</f>
        <v>NM</v>
      </c>
      <c r="AX41" s="325">
        <f>INPUT!AX759</f>
        <v>-1.1399999999999999</v>
      </c>
      <c r="AY41" s="326" t="str">
        <f>INPUT!AY759</f>
        <v>NM</v>
      </c>
      <c r="AZ41" s="325">
        <f>INPUT!AZ759</f>
        <v>0.7</v>
      </c>
      <c r="BA41" s="326">
        <f>INPUT!BA759</f>
        <v>22.807017543859654</v>
      </c>
      <c r="BB41" s="325">
        <f>INPUT!BB759</f>
        <v>0.94298245614035114</v>
      </c>
      <c r="BC41" s="326" t="str">
        <f>INPUT!BC759</f>
        <v>NM</v>
      </c>
      <c r="BD41" s="325">
        <f>INPUT!BD759</f>
        <v>0.75136612021857896</v>
      </c>
      <c r="BE41" s="326" t="str">
        <f>INPUT!BE759</f>
        <v>NM</v>
      </c>
      <c r="BF41" s="325">
        <f>INPUT!BF759</f>
        <v>1.23</v>
      </c>
      <c r="BG41" s="326" t="str">
        <f>INPUT!BG759</f>
        <v>NM</v>
      </c>
      <c r="BH41" s="325">
        <f>INPUT!BH759</f>
        <v>1.39</v>
      </c>
      <c r="BI41" s="326">
        <f>INPUT!BI759</f>
        <v>98.571428571428584</v>
      </c>
      <c r="BJ41" s="325">
        <f>INPUT!BJ759</f>
        <v>1.19</v>
      </c>
      <c r="BK41" s="326">
        <f>INPUT!BK759</f>
        <v>26.195348837209266</v>
      </c>
      <c r="BL41" s="325">
        <f>INPUT!BL759</f>
        <v>1.26</v>
      </c>
      <c r="BM41" s="326">
        <f>INPUT!BM759</f>
        <v>67.694545454545519</v>
      </c>
      <c r="BN41" s="325"/>
      <c r="BO41" s="325">
        <f>INPUT!BU759</f>
        <v>-0.38</v>
      </c>
      <c r="BP41" s="326" t="str">
        <f>INPUT!BV759</f>
        <v>NA</v>
      </c>
      <c r="BQ41" s="325">
        <f>INPUT!BW759</f>
        <v>2.0499999999999998</v>
      </c>
      <c r="BR41" s="326" t="str">
        <f>INPUT!BX759</f>
        <v>NM</v>
      </c>
      <c r="BS41" s="325">
        <f>INPUT!BY759</f>
        <v>2.39</v>
      </c>
      <c r="BT41" s="326">
        <f>INPUT!BZ759</f>
        <v>16.585365853658551</v>
      </c>
      <c r="BU41" s="325">
        <f>INPUT!CA759</f>
        <v>8.98</v>
      </c>
      <c r="BV41" s="326" t="str">
        <f>INPUT!CB759</f>
        <v>NM</v>
      </c>
      <c r="BW41" s="325">
        <f>INPUT!CC759</f>
        <v>1.79</v>
      </c>
      <c r="BX41" s="326" t="str">
        <f>INPUT!CD759</f>
        <v>NM</v>
      </c>
      <c r="BY41" s="325">
        <f>INPUT!CE759</f>
        <v>-3.31</v>
      </c>
      <c r="BZ41" s="326" t="str">
        <f>INPUT!CF759</f>
        <v>NM</v>
      </c>
      <c r="CA41" s="325">
        <f>INPUT!CG759</f>
        <v>1.18</v>
      </c>
      <c r="CB41" s="326" t="str">
        <f>INPUT!CH759</f>
        <v>NM</v>
      </c>
      <c r="CC41" s="325">
        <f>INPUT!CI759</f>
        <v>5.07</v>
      </c>
      <c r="CD41" s="326" t="str">
        <f>INPUT!CJ759</f>
        <v>NM</v>
      </c>
      <c r="CE41" s="325">
        <f>INPUT!CK759</f>
        <v>5.41</v>
      </c>
      <c r="CF41" s="326">
        <f>INPUT!CL759</f>
        <v>6.7061143984220806</v>
      </c>
      <c r="CG41" s="325">
        <f>INPUT!CM759</f>
        <v>5.97</v>
      </c>
      <c r="CH41" s="326">
        <f>INPUT!CN759</f>
        <v>10.351201478743066</v>
      </c>
      <c r="CI41" s="325">
        <f>INPUT!CO759</f>
        <v>6.57</v>
      </c>
      <c r="CJ41" s="326">
        <f>INPUT!CP759</f>
        <v>10.050251256281406</v>
      </c>
      <c r="CK41" s="325">
        <f>INPUT!CQ759</f>
        <v>7.27</v>
      </c>
      <c r="CL41" s="326">
        <f>INPUT!CR759</f>
        <v>10.654490106544889</v>
      </c>
      <c r="CM41" s="620">
        <f>INPUT!CS759</f>
        <v>43.856828233055786</v>
      </c>
      <c r="CN41" s="325"/>
      <c r="CO41" s="326"/>
      <c r="CP41" s="325"/>
      <c r="CQ41" s="326"/>
      <c r="CR41" s="325"/>
      <c r="CS41" s="326"/>
      <c r="CT41" s="325"/>
      <c r="CU41" s="326"/>
      <c r="CV41" s="325"/>
      <c r="CW41" s="326"/>
      <c r="CX41" s="325"/>
      <c r="CY41" s="326"/>
      <c r="CZ41" s="325"/>
      <c r="DA41" s="326"/>
      <c r="DB41" s="325"/>
      <c r="DC41" s="326"/>
      <c r="DD41" s="325"/>
      <c r="DE41" s="326"/>
      <c r="DF41" s="325"/>
      <c r="DG41" s="326"/>
      <c r="DH41" s="325"/>
      <c r="DI41" s="326"/>
      <c r="DJ41" s="325"/>
      <c r="DK41" s="326"/>
      <c r="DL41" s="325"/>
      <c r="DM41" s="326"/>
      <c r="DN41" s="325"/>
      <c r="DO41" s="326"/>
      <c r="DP41" s="329"/>
      <c r="DQ41" s="325"/>
      <c r="DR41" s="326"/>
      <c r="DS41" s="325"/>
      <c r="DT41" s="326"/>
      <c r="DU41" s="325"/>
      <c r="DV41" s="326"/>
      <c r="DW41" s="325"/>
      <c r="DX41" s="326"/>
      <c r="DY41" s="325"/>
      <c r="DZ41" s="326"/>
      <c r="EA41" s="325"/>
      <c r="EB41" s="326"/>
      <c r="EC41" s="325"/>
      <c r="ED41" s="326"/>
      <c r="EE41" s="325"/>
      <c r="EF41" s="326"/>
      <c r="EG41" s="325"/>
      <c r="EH41" s="326"/>
      <c r="EI41" s="325"/>
      <c r="EJ41" s="326"/>
      <c r="EK41" s="325"/>
      <c r="EL41" s="326"/>
      <c r="EM41" s="325"/>
      <c r="EN41" s="326"/>
      <c r="EO41" s="325"/>
      <c r="EP41" s="326"/>
      <c r="EQ41" s="326"/>
    </row>
    <row r="42" spans="1:147" s="311" customFormat="1" ht="12" hidden="1" customHeight="1" outlineLevel="1" x14ac:dyDescent="0.2">
      <c r="A42" s="617" t="s">
        <v>249</v>
      </c>
      <c r="B42" s="588">
        <f>(B39/B67)-B41</f>
        <v>1.3043478260867936E-3</v>
      </c>
      <c r="C42" s="588"/>
      <c r="D42" s="588">
        <f>(D39/D67)-D41</f>
        <v>3.043478260869481E-3</v>
      </c>
      <c r="E42" s="588"/>
      <c r="F42" s="588">
        <f>(F39/F67)-F41</f>
        <v>-2.6086956521744753E-3</v>
      </c>
      <c r="G42" s="588"/>
      <c r="H42" s="588">
        <f>(H39/H67)-H41</f>
        <v>-4.3478260869562746E-3</v>
      </c>
      <c r="I42" s="588"/>
      <c r="J42" s="588">
        <f>(J39/J67)-J41</f>
        <v>3.7130434782599586E-3</v>
      </c>
      <c r="K42" s="308"/>
      <c r="L42" s="588">
        <f>(L39/L67)-L41</f>
        <v>-5.2173913043418452E-4</v>
      </c>
      <c r="M42" s="308"/>
      <c r="N42" s="588">
        <f>(N39/N67)-N41</f>
        <v>1.6826086956520658E-3</v>
      </c>
      <c r="O42" s="308"/>
      <c r="P42" s="588">
        <f>(P39/P67)-P41</f>
        <v>-7.8695652173881026E-4</v>
      </c>
      <c r="Q42" s="308"/>
      <c r="R42" s="588">
        <f>(R39/R67)-R41</f>
        <v>-2.1739130434782483E-3</v>
      </c>
      <c r="S42" s="308"/>
      <c r="T42" s="588">
        <f>(T39/T67)-T41</f>
        <v>1.5940870954853636E-3</v>
      </c>
      <c r="U42" s="308"/>
      <c r="V42" s="588">
        <f>(V39/V67)-V41</f>
        <v>2.1502096835681606E-3</v>
      </c>
      <c r="W42" s="308"/>
      <c r="X42" s="588">
        <f>(X39/X67)-X41</f>
        <v>1.6559058108622793E-3</v>
      </c>
      <c r="Y42" s="308"/>
      <c r="Z42" s="588">
        <f>(Z39/Z67)-Z41</f>
        <v>-4.9335863377530931E-4</v>
      </c>
      <c r="AA42" s="308"/>
      <c r="AB42" s="588">
        <f>(AB39/AB67)-AB41</f>
        <v>-1.2256049960962523E-3</v>
      </c>
      <c r="AC42" s="308"/>
      <c r="AD42" s="588">
        <f>(AD39/AD67)-AD41</f>
        <v>-4.4811320754718498E-3</v>
      </c>
      <c r="AE42" s="308"/>
      <c r="AF42" s="588">
        <f>(AF39/AF67)-AF41</f>
        <v>-3.8149350649350211E-3</v>
      </c>
      <c r="AG42" s="308"/>
      <c r="AH42" s="588">
        <f>(AH39/AH67)-AH41</f>
        <v>-1.8820108018280379E-3</v>
      </c>
      <c r="AI42" s="308"/>
      <c r="AJ42" s="588">
        <f>(AJ39/AJ67)-AJ41</f>
        <v>1.0791993037424508E-3</v>
      </c>
      <c r="AK42" s="308"/>
      <c r="AL42" s="588">
        <f>(AL39/AL67)-AL41</f>
        <v>6.7978533094759097E-4</v>
      </c>
      <c r="AM42" s="308"/>
      <c r="AN42" s="588">
        <f>(AN39/AN67)-AN41</f>
        <v>-4.9074074074071938E-3</v>
      </c>
      <c r="AO42" s="308"/>
      <c r="AP42" s="588">
        <f>(AP39/AP67)-AP41</f>
        <v>-3.0750836920142577E-3</v>
      </c>
      <c r="AQ42" s="308"/>
      <c r="AR42" s="588">
        <f>(AR39/AR67)-AR41</f>
        <v>-4.3980343980343228E-3</v>
      </c>
      <c r="AS42" s="308"/>
      <c r="AT42" s="588">
        <f>(AT39/AT67)-AT41</f>
        <v>-4.7890818858566941E-3</v>
      </c>
      <c r="AU42" s="308"/>
      <c r="AV42" s="588">
        <f>(AV39/AV67)-AV41</f>
        <v>3.5646879756467964E-2</v>
      </c>
      <c r="AW42" s="308"/>
      <c r="AX42" s="588">
        <f t="shared" ref="AX42" si="40">(AX39/AX67)-AX41</f>
        <v>1.4485596707818349E-2</v>
      </c>
      <c r="AY42" s="308"/>
      <c r="AZ42" s="588">
        <f t="shared" ref="AZ42" si="41">(AZ39/AZ67)-AZ41</f>
        <v>-8.4709643047422567E-3</v>
      </c>
      <c r="BA42" s="308"/>
      <c r="BB42" s="588">
        <f t="shared" ref="BB42" si="42">(BB39/BB67)-BB41</f>
        <v>0</v>
      </c>
      <c r="BC42" s="308"/>
      <c r="BD42" s="588">
        <f t="shared" ref="BD42" si="43">(BD39/BD67)-BD41</f>
        <v>0</v>
      </c>
      <c r="BE42" s="308"/>
      <c r="BF42" s="588">
        <f t="shared" ref="BF42" si="44">(BF39/BF67)-BF41</f>
        <v>2.4576302559438101E-3</v>
      </c>
      <c r="BG42" s="308"/>
      <c r="BH42" s="588">
        <f t="shared" ref="BH42" si="45">(BH39/BH67)-BH41</f>
        <v>-1.0292119360737484E-3</v>
      </c>
      <c r="BI42" s="308"/>
      <c r="BJ42" s="588">
        <f t="shared" ref="BJ42" si="46">(BJ39/BJ67)-BJ41</f>
        <v>-2.9368584540958587E-3</v>
      </c>
      <c r="BK42" s="308"/>
      <c r="BL42" s="588">
        <f t="shared" ref="BL42" si="47">(BL39/BL67)-BL41</f>
        <v>7.7847566776689803E-4</v>
      </c>
      <c r="BM42" s="308"/>
      <c r="BN42" s="588"/>
      <c r="BO42" s="588">
        <f>(BO39/BO67)-BO41</f>
        <v>-2.6086956521788607E-3</v>
      </c>
      <c r="BP42" s="591"/>
      <c r="BQ42" s="588">
        <f>(BQ39/BQ67)-BQ41</f>
        <v>4.086956521742291E-3</v>
      </c>
      <c r="BR42" s="591"/>
      <c r="BS42" s="588">
        <f>(BS39/BS67)-BS41</f>
        <v>-4.7736298649723174E-3</v>
      </c>
      <c r="BT42" s="591"/>
      <c r="BU42" s="588">
        <f>(BU39/BU67)-BU41</f>
        <v>3.0377266046244245E-4</v>
      </c>
      <c r="BV42" s="591"/>
      <c r="BW42" s="588">
        <f>(BW39/BW67)-BW41</f>
        <v>4.9675859795617061E-3</v>
      </c>
      <c r="BX42" s="591"/>
      <c r="BY42" s="588">
        <f>(BY39/BY67)-BY41</f>
        <v>3.7869822485232518E-3</v>
      </c>
      <c r="BZ42" s="591"/>
      <c r="CA42" s="588">
        <f>(CA39/CA67)-CA41</f>
        <v>-6.6889632105437968E-5</v>
      </c>
      <c r="CB42" s="591"/>
      <c r="CC42" s="588">
        <f>(CC39/CC67)-CC41</f>
        <v>6.0619588946497771E-4</v>
      </c>
      <c r="CD42" s="591"/>
      <c r="CE42" s="588">
        <f>(CE39/CE67)-CE41</f>
        <v>2.6506087789384125E-3</v>
      </c>
      <c r="CF42" s="591"/>
      <c r="CG42" s="588"/>
      <c r="CH42" s="591"/>
      <c r="CI42" s="588"/>
      <c r="CJ42" s="591"/>
      <c r="CK42" s="588"/>
      <c r="CL42" s="591"/>
      <c r="CM42" s="618"/>
      <c r="CN42" s="309"/>
      <c r="CO42" s="308"/>
      <c r="CP42" s="309"/>
      <c r="CQ42" s="308"/>
      <c r="CR42" s="309"/>
      <c r="CS42" s="308"/>
      <c r="CT42" s="309"/>
      <c r="CU42" s="308"/>
      <c r="CV42" s="309"/>
      <c r="CW42" s="308"/>
      <c r="CX42" s="309"/>
      <c r="CY42" s="308"/>
      <c r="CZ42" s="309"/>
      <c r="DA42" s="308"/>
      <c r="DB42" s="309"/>
      <c r="DC42" s="308"/>
      <c r="DD42" s="309"/>
      <c r="DE42" s="308"/>
      <c r="DF42" s="309"/>
      <c r="DG42" s="308"/>
      <c r="DH42" s="309"/>
      <c r="DI42" s="308"/>
      <c r="DJ42" s="309"/>
      <c r="DK42" s="308"/>
      <c r="DL42" s="309"/>
      <c r="DM42" s="308"/>
      <c r="DN42" s="309"/>
      <c r="DO42" s="308"/>
      <c r="DP42" s="308"/>
      <c r="DQ42" s="309"/>
      <c r="DR42" s="308"/>
      <c r="DS42" s="309"/>
      <c r="DT42" s="308"/>
      <c r="DU42" s="309"/>
      <c r="DV42" s="308"/>
      <c r="DW42" s="309"/>
      <c r="DX42" s="308"/>
      <c r="DY42" s="309"/>
      <c r="DZ42" s="308"/>
      <c r="EA42" s="309"/>
      <c r="EB42" s="308"/>
      <c r="EC42" s="309"/>
      <c r="ED42" s="308"/>
      <c r="EE42" s="309"/>
      <c r="EF42" s="308"/>
      <c r="EG42" s="309"/>
      <c r="EH42" s="308"/>
      <c r="EI42" s="309"/>
      <c r="EJ42" s="308"/>
      <c r="EK42" s="309"/>
      <c r="EL42" s="308"/>
      <c r="EM42" s="309"/>
      <c r="EN42" s="308"/>
      <c r="EO42" s="309"/>
      <c r="EP42" s="308"/>
      <c r="EQ42" s="310"/>
    </row>
    <row r="43" spans="1:147" s="331" customFormat="1" ht="11.25" customHeight="1" collapsed="1" x14ac:dyDescent="0.2">
      <c r="A43" s="607" t="s">
        <v>69</v>
      </c>
      <c r="B43" s="512"/>
      <c r="C43" s="512"/>
      <c r="D43" s="512"/>
      <c r="E43" s="512"/>
      <c r="F43" s="512"/>
      <c r="G43" s="512"/>
      <c r="H43" s="512"/>
      <c r="I43" s="512"/>
      <c r="J43" s="512"/>
      <c r="K43" s="513"/>
      <c r="L43" s="512"/>
      <c r="M43" s="513"/>
      <c r="N43" s="512"/>
      <c r="O43" s="513"/>
      <c r="P43" s="512"/>
      <c r="Q43" s="513"/>
      <c r="R43" s="512"/>
      <c r="S43" s="513"/>
      <c r="T43" s="512"/>
      <c r="U43" s="513"/>
      <c r="V43" s="512"/>
      <c r="W43" s="513"/>
      <c r="X43" s="512"/>
      <c r="Y43" s="513"/>
      <c r="Z43" s="512"/>
      <c r="AA43" s="513"/>
      <c r="AB43" s="512"/>
      <c r="AC43" s="513"/>
      <c r="AD43" s="512"/>
      <c r="AE43" s="513"/>
      <c r="AF43" s="512"/>
      <c r="AG43" s="513"/>
      <c r="AH43" s="512"/>
      <c r="AI43" s="513"/>
      <c r="AJ43" s="512"/>
      <c r="AK43" s="513"/>
      <c r="AL43" s="512"/>
      <c r="AM43" s="513"/>
      <c r="AN43" s="512"/>
      <c r="AO43" s="513"/>
      <c r="AP43" s="512"/>
      <c r="AQ43" s="513"/>
      <c r="AR43" s="512"/>
      <c r="AS43" s="513"/>
      <c r="AT43" s="512"/>
      <c r="AU43" s="513"/>
      <c r="AV43" s="512"/>
      <c r="AW43" s="513"/>
      <c r="AX43" s="512"/>
      <c r="AY43" s="513"/>
      <c r="AZ43" s="512"/>
      <c r="BA43" s="513"/>
      <c r="BB43" s="512"/>
      <c r="BC43" s="513"/>
      <c r="BD43" s="512"/>
      <c r="BE43" s="513"/>
      <c r="BF43" s="512"/>
      <c r="BG43" s="513"/>
      <c r="BH43" s="512"/>
      <c r="BI43" s="513"/>
      <c r="BJ43" s="512"/>
      <c r="BK43" s="513"/>
      <c r="BL43" s="512"/>
      <c r="BM43" s="513"/>
      <c r="BN43" s="361"/>
      <c r="BO43" s="512"/>
      <c r="BP43" s="514"/>
      <c r="BQ43" s="512"/>
      <c r="BR43" s="514"/>
      <c r="BS43" s="512"/>
      <c r="BT43" s="514"/>
      <c r="BU43" s="512"/>
      <c r="BV43" s="514"/>
      <c r="BW43" s="512"/>
      <c r="BX43" s="514"/>
      <c r="BY43" s="512"/>
      <c r="BZ43" s="514"/>
      <c r="CA43" s="512"/>
      <c r="CB43" s="514"/>
      <c r="CC43" s="512"/>
      <c r="CD43" s="514"/>
      <c r="CE43" s="512"/>
      <c r="CF43" s="514"/>
      <c r="CG43" s="512"/>
      <c r="CH43" s="514"/>
      <c r="CI43" s="512"/>
      <c r="CJ43" s="514"/>
      <c r="CK43" s="512"/>
      <c r="CL43" s="514"/>
      <c r="CM43" s="608"/>
    </row>
    <row r="44" spans="1:147" s="331" customFormat="1" ht="11.25" customHeight="1" x14ac:dyDescent="0.2">
      <c r="A44" s="623" t="s">
        <v>387</v>
      </c>
      <c r="B44" s="522">
        <f>INPUT!B830</f>
        <v>17.640801304583377</v>
      </c>
      <c r="C44" s="522"/>
      <c r="D44" s="522">
        <f>INPUT!D830</f>
        <v>15.020099872210007</v>
      </c>
      <c r="E44" s="522"/>
      <c r="F44" s="522">
        <f>INPUT!F830</f>
        <v>11.074695486145812</v>
      </c>
      <c r="G44" s="522"/>
      <c r="H44" s="522">
        <f>INPUT!H830</f>
        <v>9.3320968603918342</v>
      </c>
      <c r="I44" s="522"/>
      <c r="J44" s="522">
        <f>INPUT!J830</f>
        <v>9.3853720164237568</v>
      </c>
      <c r="K44" s="339">
        <f>INPUT!K830</f>
        <v>-46.797359970347387</v>
      </c>
      <c r="L44" s="522">
        <f>INPUT!L830</f>
        <v>7.7477094436792626</v>
      </c>
      <c r="M44" s="339">
        <f>INPUT!M830</f>
        <v>-48.417723519841751</v>
      </c>
      <c r="N44" s="522">
        <f>INPUT!N830</f>
        <v>9.8032990583094257</v>
      </c>
      <c r="O44" s="339">
        <f>INPUT!O830</f>
        <v>-11.480193107132141</v>
      </c>
      <c r="P44" s="522">
        <f>INPUT!P830</f>
        <v>7.2980510390869027</v>
      </c>
      <c r="Q44" s="339">
        <f>INPUT!Q830</f>
        <v>-21.796235634223006</v>
      </c>
      <c r="R44" s="522">
        <f>INPUT!R830</f>
        <v>10.999216462534536</v>
      </c>
      <c r="S44" s="339">
        <f>INPUT!S830</f>
        <v>17.1953167470257</v>
      </c>
      <c r="T44" s="522">
        <f>INPUT!T830</f>
        <v>11.452538845839298</v>
      </c>
      <c r="U44" s="339">
        <f>INPUT!U830</f>
        <v>47.818383344028348</v>
      </c>
      <c r="V44" s="522">
        <f>INPUT!V830</f>
        <v>16.426456071075997</v>
      </c>
      <c r="W44" s="339">
        <f>INPUT!W830</f>
        <v>67.560491354720867</v>
      </c>
      <c r="X44" s="522">
        <f>INPUT!X830</f>
        <v>10.111415105771005</v>
      </c>
      <c r="Y44" s="339">
        <f>INPUT!Y830</f>
        <v>38.549525779092079</v>
      </c>
      <c r="Z44" s="522">
        <f>INPUT!Z830</f>
        <v>7.2444704336241106</v>
      </c>
      <c r="AA44" s="339">
        <f>INPUT!AA830</f>
        <v>-34.136486373368669</v>
      </c>
      <c r="AB44" s="522">
        <f>INPUT!AB830</f>
        <v>10.216097788738967</v>
      </c>
      <c r="AC44" s="339">
        <f>INPUT!AC830</f>
        <v>-10.796217971786481</v>
      </c>
      <c r="AD44" s="522">
        <f>INPUT!AD830</f>
        <v>9.1306966951563542</v>
      </c>
      <c r="AE44" s="339">
        <f>INPUT!AE830</f>
        <v>-44.414688989222384</v>
      </c>
      <c r="AF44" s="522">
        <f>INPUT!AF830</f>
        <v>10.424665255724417</v>
      </c>
      <c r="AG44" s="339">
        <f>INPUT!AG830</f>
        <v>3.0979852639481331</v>
      </c>
      <c r="AH44" s="522">
        <f>INPUT!AH830</f>
        <v>7.7035443867101412</v>
      </c>
      <c r="AI44" s="339">
        <f>INPUT!AI830</f>
        <v>6.3368876620064407</v>
      </c>
      <c r="AJ44" s="522">
        <f>INPUT!AJ830</f>
        <v>7.106669719017809</v>
      </c>
      <c r="AK44" s="339">
        <f>INPUT!AK830</f>
        <v>-30.436553506257823</v>
      </c>
      <c r="AL44" s="522">
        <f>INPUT!AL830</f>
        <v>3.788408594503978</v>
      </c>
      <c r="AM44" s="339" t="str">
        <f>INPUT!AM830</f>
        <v>NM</v>
      </c>
      <c r="AN44" s="522">
        <f>INPUT!AN830</f>
        <v>8.357724097136737</v>
      </c>
      <c r="AO44" s="339">
        <f>INPUT!AO830</f>
        <v>-19.827410356919383</v>
      </c>
      <c r="AP44" s="522">
        <f>INPUT!AP830</f>
        <v>2.6606539906893194</v>
      </c>
      <c r="AQ44" s="339" t="str">
        <f>INPUT!AQ830</f>
        <v>NM</v>
      </c>
      <c r="AR44" s="522">
        <f>INPUT!AR830</f>
        <v>4.1080242805807448</v>
      </c>
      <c r="AS44" s="339">
        <f>INPUT!AS830</f>
        <v>-42.194805119654518</v>
      </c>
      <c r="AT44" s="522">
        <f>INPUT!AT830</f>
        <v>-1.1512666249906829</v>
      </c>
      <c r="AU44" s="339" t="str">
        <f>INPUT!AU830</f>
        <v>NM</v>
      </c>
      <c r="AV44" s="522">
        <f>INPUT!AV830</f>
        <v>4.6144564650382112</v>
      </c>
      <c r="AW44" s="339">
        <f>INPUT!AW830</f>
        <v>-44.788121605748245</v>
      </c>
      <c r="AX44" s="522">
        <f>INPUT!AX830</f>
        <v>4.4501856644536879</v>
      </c>
      <c r="AY44" s="339">
        <f>INPUT!AY830</f>
        <v>67.259090435157958</v>
      </c>
      <c r="AZ44" s="522">
        <f>INPUT!AZ830</f>
        <v>3.2589440680812918</v>
      </c>
      <c r="BA44" s="339">
        <f>INPUT!BA830</f>
        <v>-20.668821664788695</v>
      </c>
      <c r="BB44" s="522">
        <f>INPUT!BB830</f>
        <v>1.2750873412167243</v>
      </c>
      <c r="BC44" s="339" t="str">
        <f>INPUT!BC830</f>
        <v>NM</v>
      </c>
      <c r="BD44" s="522">
        <f>INPUT!BD830</f>
        <v>8.7388205509232453</v>
      </c>
      <c r="BE44" s="339">
        <f>INPUT!BE830</f>
        <v>89.37919594937344</v>
      </c>
      <c r="BF44" s="522">
        <f>INPUT!BF830</f>
        <v>11.060857376158106</v>
      </c>
      <c r="BG44" s="339" t="str">
        <f>INPUT!BG830</f>
        <v>NM</v>
      </c>
      <c r="BH44" s="522">
        <f>INPUT!BH830</f>
        <v>13.104842446068735</v>
      </c>
      <c r="BI44" s="339" t="str">
        <f>INPUT!BI830</f>
        <v>NM</v>
      </c>
      <c r="BJ44" s="522">
        <f>INPUT!BJ830</f>
        <v>14.015198678718185</v>
      </c>
      <c r="BK44" s="339" t="str">
        <f>INPUT!BK830</f>
        <v>NM</v>
      </c>
      <c r="BL44" s="522">
        <f>INPUT!BL830</f>
        <v>14.79316640345999</v>
      </c>
      <c r="BM44" s="339">
        <f>INPUT!BM830</f>
        <v>69.281041042742444</v>
      </c>
      <c r="BN44" s="347"/>
      <c r="BO44" s="522"/>
      <c r="BP44" s="340"/>
      <c r="BQ44" s="522">
        <f>INPUT!BW830</f>
        <v>8.279254082489544</v>
      </c>
      <c r="BR44" s="340">
        <f>INPUT!BX830</f>
        <v>-21.444582780617637</v>
      </c>
      <c r="BS44" s="522">
        <f>INPUT!BY830</f>
        <v>12.231293399961062</v>
      </c>
      <c r="BT44" s="340">
        <f>INPUT!BZ830</f>
        <v>47.734243666105172</v>
      </c>
      <c r="BU44" s="522">
        <f>INPUT!CA830</f>
        <v>9.2929955913872355</v>
      </c>
      <c r="BV44" s="340">
        <f>INPUT!CB830</f>
        <v>-24.022789025592182</v>
      </c>
      <c r="BW44" s="522">
        <f>INPUT!CC830</f>
        <v>6.731504054235363</v>
      </c>
      <c r="BX44" s="340">
        <f>INPUT!CD830</f>
        <v>-27.563679676399154</v>
      </c>
      <c r="BY44" s="522">
        <f>INPUT!CE830</f>
        <v>2.5609921519232617</v>
      </c>
      <c r="BZ44" s="340" t="str">
        <f>INPUT!CF830</f>
        <v>NM</v>
      </c>
      <c r="CA44" s="522">
        <f>INPUT!CG830</f>
        <v>4.2139738055319658</v>
      </c>
      <c r="CB44" s="340">
        <f>INPUT!CH830</f>
        <v>64.544580988557215</v>
      </c>
      <c r="CC44" s="522">
        <f>INPUT!CI830</f>
        <v>13.226664697244642</v>
      </c>
      <c r="CD44" s="340" t="str">
        <f>INPUT!CJ830</f>
        <v>NM</v>
      </c>
      <c r="CE44" s="522">
        <f>INPUT!CK830</f>
        <v>14.779638021147946</v>
      </c>
      <c r="CF44" s="340">
        <f>INPUT!CL830</f>
        <v>11.741231515658047</v>
      </c>
      <c r="CG44" s="522">
        <f>INPUT!CM830</f>
        <v>14.526046831713677</v>
      </c>
      <c r="CH44" s="340">
        <f>INPUT!CN830</f>
        <v>-1.7158146165109689</v>
      </c>
      <c r="CI44" s="522">
        <f>INPUT!CO830</f>
        <v>14.223853756185974</v>
      </c>
      <c r="CJ44" s="340">
        <f>INPUT!CP830</f>
        <v>-2.080353168543736</v>
      </c>
      <c r="CK44" s="522">
        <f>INPUT!CQ830</f>
        <v>13.893146400577077</v>
      </c>
      <c r="CL44" s="340">
        <f>INPUT!CR830</f>
        <v>-2.3250193743384884</v>
      </c>
      <c r="CM44" s="610">
        <f>INPUT!CS830</f>
        <v>0</v>
      </c>
    </row>
    <row r="45" spans="1:147" s="331" customFormat="1" ht="11.25" customHeight="1" x14ac:dyDescent="0.2">
      <c r="A45" s="623" t="s">
        <v>390</v>
      </c>
      <c r="B45" s="522">
        <f>INPUT!B831</f>
        <v>15.674818433009621</v>
      </c>
      <c r="C45" s="522"/>
      <c r="D45" s="522">
        <f>INPUT!D831</f>
        <v>13.333754887967784</v>
      </c>
      <c r="E45" s="522"/>
      <c r="F45" s="522">
        <f>INPUT!F831</f>
        <v>9.0971318054331149</v>
      </c>
      <c r="G45" s="522"/>
      <c r="H45" s="522">
        <f>INPUT!H831</f>
        <v>5.1092948283931943</v>
      </c>
      <c r="I45" s="522"/>
      <c r="J45" s="522">
        <f>INPUT!J831</f>
        <v>8.5047771291630117</v>
      </c>
      <c r="K45" s="339">
        <f>INPUT!K831</f>
        <v>-45.742420140237229</v>
      </c>
      <c r="L45" s="522">
        <f>INPUT!L831</f>
        <v>11.140573841075385</v>
      </c>
      <c r="M45" s="339">
        <f>INPUT!M831</f>
        <v>-16.448337811215485</v>
      </c>
      <c r="N45" s="522">
        <f>INPUT!N831</f>
        <v>9.4060685546568763</v>
      </c>
      <c r="O45" s="339">
        <f>INPUT!O831</f>
        <v>3.3959796981203993</v>
      </c>
      <c r="P45" s="522">
        <f>INPUT!P831</f>
        <v>9.0014975003262805</v>
      </c>
      <c r="Q45" s="339">
        <f>INPUT!Q831</f>
        <v>76.178862302161022</v>
      </c>
      <c r="R45" s="522">
        <f>INPUT!R831</f>
        <v>10.129052416589676</v>
      </c>
      <c r="S45" s="339">
        <f>INPUT!S831</f>
        <v>19.098387444592756</v>
      </c>
      <c r="T45" s="522">
        <f>INPUT!T831</f>
        <v>10.81178613938348</v>
      </c>
      <c r="U45" s="339">
        <f>INPUT!U831</f>
        <v>-2.9512636097762002</v>
      </c>
      <c r="V45" s="522">
        <f>INPUT!V831</f>
        <v>9.7192381394808596</v>
      </c>
      <c r="W45" s="339">
        <f>INPUT!W831</f>
        <v>3.329441870471328</v>
      </c>
      <c r="X45" s="522">
        <f>INPUT!X831</f>
        <v>9.0568299947066642</v>
      </c>
      <c r="Y45" s="339">
        <f>INPUT!Y831</f>
        <v>0.61470321330843181</v>
      </c>
      <c r="Z45" s="522">
        <f>INPUT!Z831</f>
        <v>7.9215823391467435</v>
      </c>
      <c r="AA45" s="339">
        <f>INPUT!AA831</f>
        <v>-21.793451022402355</v>
      </c>
      <c r="AB45" s="522">
        <f>INPUT!AB831</f>
        <v>9.7180552396231157</v>
      </c>
      <c r="AC45" s="339">
        <f>INPUT!AC831</f>
        <v>-10.116098169721399</v>
      </c>
      <c r="AD45" s="522">
        <f>INPUT!AD831</f>
        <v>8.9039800075150755</v>
      </c>
      <c r="AE45" s="339">
        <f>INPUT!AE831</f>
        <v>-8.3880868054266084</v>
      </c>
      <c r="AF45" s="522">
        <f>INPUT!AF831</f>
        <v>9.6614802131302682</v>
      </c>
      <c r="AG45" s="339">
        <f>INPUT!AG831</f>
        <v>6.6761794002647257</v>
      </c>
      <c r="AH45" s="522">
        <f>INPUT!AH831</f>
        <v>7.5724485157178014</v>
      </c>
      <c r="AI45" s="339">
        <f>INPUT!AI831</f>
        <v>-4.4073747956086766</v>
      </c>
      <c r="AJ45" s="522">
        <f>INPUT!AJ831</f>
        <v>7.3340831500263812</v>
      </c>
      <c r="AK45" s="339">
        <f>INPUT!AK831</f>
        <v>-24.531370020172773</v>
      </c>
      <c r="AL45" s="522">
        <f>INPUT!AL831</f>
        <v>6.3665159750088769</v>
      </c>
      <c r="AM45" s="339">
        <f>INPUT!AM831</f>
        <v>-28.498087713186081</v>
      </c>
      <c r="AN45" s="522">
        <f>INPUT!AN831</f>
        <v>7.001007178142638</v>
      </c>
      <c r="AO45" s="339">
        <f>INPUT!AO831</f>
        <v>-27.536909213683014</v>
      </c>
      <c r="AP45" s="522">
        <f>INPUT!AP831</f>
        <v>2.9901845308205655</v>
      </c>
      <c r="AQ45" s="339" t="str">
        <f>INPUT!AQ831</f>
        <v>NM</v>
      </c>
      <c r="AR45" s="522">
        <f>INPUT!AR831</f>
        <v>4.8877804331850054</v>
      </c>
      <c r="AS45" s="339">
        <f>INPUT!AS831</f>
        <v>-33.35526291152803</v>
      </c>
      <c r="AT45" s="522">
        <f>INPUT!AT831</f>
        <v>4.1401919007117396</v>
      </c>
      <c r="AU45" s="339">
        <f>INPUT!AU831</f>
        <v>-34.969268639807872</v>
      </c>
      <c r="AV45" s="522">
        <f>INPUT!AV831</f>
        <v>4.5897802272572585</v>
      </c>
      <c r="AW45" s="339">
        <f>INPUT!AW831</f>
        <v>-34.441143817325383</v>
      </c>
      <c r="AX45" s="522">
        <f>INPUT!AX831</f>
        <v>4.0676043659277514</v>
      </c>
      <c r="AY45" s="339">
        <f>INPUT!AY831</f>
        <v>36.031884454017991</v>
      </c>
      <c r="AZ45" s="522">
        <f>INPUT!AZ831</f>
        <v>5.5432506578579011</v>
      </c>
      <c r="BA45" s="339">
        <f>INPUT!BA831</f>
        <v>13.410386035809996</v>
      </c>
      <c r="BB45" s="522">
        <f>INPUT!BB831</f>
        <v>5.2635121999988899</v>
      </c>
      <c r="BC45" s="339">
        <f>INPUT!BC831</f>
        <v>27.132082913693935</v>
      </c>
      <c r="BD45" s="522">
        <f>INPUT!BD831</f>
        <v>8.0277387930322757</v>
      </c>
      <c r="BE45" s="339">
        <f>INPUT!BE831</f>
        <v>74.904644570083434</v>
      </c>
      <c r="BF45" s="522">
        <f>INPUT!BF831</f>
        <v>11.060857376158104</v>
      </c>
      <c r="BG45" s="339" t="str">
        <f>INPUT!BG831</f>
        <v>NM</v>
      </c>
      <c r="BH45" s="522">
        <f>INPUT!BH831</f>
        <v>13.104842446068735</v>
      </c>
      <c r="BI45" s="339" t="str">
        <f>INPUT!BI831</f>
        <v>NM</v>
      </c>
      <c r="BJ45" s="522">
        <f>INPUT!BJ831</f>
        <v>14.015198678718185</v>
      </c>
      <c r="BK45" s="339" t="str">
        <f>INPUT!BK831</f>
        <v>NM</v>
      </c>
      <c r="BL45" s="522">
        <f>INPUT!BL831</f>
        <v>14.79316640345999</v>
      </c>
      <c r="BM45" s="339">
        <f>INPUT!BM831</f>
        <v>84.275632090817496</v>
      </c>
      <c r="BN45" s="347"/>
      <c r="BO45" s="522"/>
      <c r="BP45" s="340"/>
      <c r="BQ45" s="522">
        <f>INPUT!BW831</f>
        <v>9.2027606978385226</v>
      </c>
      <c r="BR45" s="340" t="str">
        <f>INPUT!BX831</f>
        <v>NA</v>
      </c>
      <c r="BS45" s="522">
        <f>INPUT!BY831</f>
        <v>9.8691218493410116</v>
      </c>
      <c r="BT45" s="340">
        <f>INPUT!BZ831</f>
        <v>7.2408831804025908</v>
      </c>
      <c r="BU45" s="522">
        <f>INPUT!CA831</f>
        <v>9.0716762602882177</v>
      </c>
      <c r="BV45" s="340">
        <f>INPUT!CB831</f>
        <v>-8.0802081606282101</v>
      </c>
      <c r="BW45" s="522">
        <f>INPUT!CC831</f>
        <v>7.0755847187097318</v>
      </c>
      <c r="BX45" s="340">
        <f>INPUT!CD831</f>
        <v>-22.003557934672902</v>
      </c>
      <c r="BY45" s="522">
        <f>INPUT!CE831</f>
        <v>4.1451067782989552</v>
      </c>
      <c r="BZ45" s="340">
        <f>INPUT!CF831</f>
        <v>-41.416759983974352</v>
      </c>
      <c r="CA45" s="522">
        <f>INPUT!CG831</f>
        <v>5.6143760075218534</v>
      </c>
      <c r="CB45" s="340">
        <f>INPUT!CH831</f>
        <v>35.445871670062211</v>
      </c>
      <c r="CC45" s="522">
        <f>INPUT!CI831</f>
        <v>13.226664697244642</v>
      </c>
      <c r="CD45" s="340" t="str">
        <f>INPUT!CJ831</f>
        <v>NM</v>
      </c>
      <c r="CE45" s="522">
        <f>INPUT!CK831</f>
        <v>14.779638021147946</v>
      </c>
      <c r="CF45" s="340">
        <f>INPUT!CL831</f>
        <v>11.741231515658047</v>
      </c>
      <c r="CG45" s="522">
        <f>INPUT!CM831</f>
        <v>14.526046831713677</v>
      </c>
      <c r="CH45" s="340">
        <f>INPUT!CN831</f>
        <v>-1.7158146165109689</v>
      </c>
      <c r="CI45" s="522">
        <f>INPUT!CO831</f>
        <v>14.223853756185974</v>
      </c>
      <c r="CJ45" s="340">
        <f>INPUT!CP831</f>
        <v>-2.080353168543736</v>
      </c>
      <c r="CK45" s="522">
        <f>INPUT!CQ831</f>
        <v>13.893146400577077</v>
      </c>
      <c r="CL45" s="340">
        <f>INPUT!CR831</f>
        <v>-2.3250193743384884</v>
      </c>
      <c r="CM45" s="610">
        <f>INPUT!CS831</f>
        <v>0</v>
      </c>
    </row>
    <row r="46" spans="1:147" s="331" customFormat="1" ht="11.25" customHeight="1" x14ac:dyDescent="0.2">
      <c r="A46" s="623" t="s">
        <v>374</v>
      </c>
      <c r="B46" s="522">
        <f>INPUT!B886</f>
        <v>10.673066424544379</v>
      </c>
      <c r="C46" s="522"/>
      <c r="D46" s="522">
        <f>INPUT!D886</f>
        <v>10.2658112150883</v>
      </c>
      <c r="E46" s="522"/>
      <c r="F46" s="522">
        <f>INPUT!F886</f>
        <v>8.2984185324956261</v>
      </c>
      <c r="G46" s="522"/>
      <c r="H46" s="522">
        <f>INPUT!H886</f>
        <v>6.8595140970795585</v>
      </c>
      <c r="I46" s="522"/>
      <c r="J46" s="522">
        <f>INPUT!J886</f>
        <v>6.5680514477575711</v>
      </c>
      <c r="K46" s="339">
        <f>INPUT!K886</f>
        <v>-38.46143941676111</v>
      </c>
      <c r="L46" s="522">
        <f>INPUT!L886</f>
        <v>5.429476688069161</v>
      </c>
      <c r="M46" s="339">
        <f>INPUT!M886</f>
        <v>-47.111079930155718</v>
      </c>
      <c r="N46" s="522">
        <f>INPUT!N886</f>
        <v>7.0114881698311997</v>
      </c>
      <c r="O46" s="339">
        <f>INPUT!O886</f>
        <v>-15.508139986251102</v>
      </c>
      <c r="P46" s="522">
        <f>INPUT!P886</f>
        <v>5.3228358824337905</v>
      </c>
      <c r="Q46" s="339">
        <f>INPUT!Q886</f>
        <v>-22.40214383843907</v>
      </c>
      <c r="R46" s="522">
        <f>INPUT!R886</f>
        <v>6.6340007461758486</v>
      </c>
      <c r="S46" s="339">
        <f>INPUT!S886</f>
        <v>1.0040922934730245</v>
      </c>
      <c r="T46" s="522">
        <f>INPUT!T886</f>
        <v>6.9599106391563828</v>
      </c>
      <c r="U46" s="339">
        <f>INPUT!U886</f>
        <v>28.187503861103735</v>
      </c>
      <c r="V46" s="522">
        <f>INPUT!V886</f>
        <v>10.672803931370787</v>
      </c>
      <c r="W46" s="339">
        <f>INPUT!W886</f>
        <v>52.218811083407026</v>
      </c>
      <c r="X46" s="522">
        <f>INPUT!X886</f>
        <v>7.1279632784998466</v>
      </c>
      <c r="Y46" s="339">
        <f>INPUT!Y886</f>
        <v>33.912888466527114</v>
      </c>
      <c r="Z46" s="522">
        <f>INPUT!Z886</f>
        <v>5.2598360404602813</v>
      </c>
      <c r="AA46" s="339">
        <f>INPUT!AA886</f>
        <v>-20.713966704144561</v>
      </c>
      <c r="AB46" s="522">
        <f>INPUT!AB886</f>
        <v>7.3757908930608851</v>
      </c>
      <c r="AC46" s="339">
        <f>INPUT!AC886</f>
        <v>5.9753677233262747</v>
      </c>
      <c r="AD46" s="522">
        <f>INPUT!AD886</f>
        <v>6.5051650214802024</v>
      </c>
      <c r="AE46" s="339">
        <f>INPUT!AE886</f>
        <v>-39.049147128436978</v>
      </c>
      <c r="AF46" s="522">
        <f>INPUT!AF886</f>
        <v>7.8853161929738445</v>
      </c>
      <c r="AG46" s="339">
        <f>INPUT!AG886</f>
        <v>10.625095625259595</v>
      </c>
      <c r="AH46" s="522">
        <f>INPUT!AH886</f>
        <v>6.142759698624479</v>
      </c>
      <c r="AI46" s="339">
        <f>INPUT!AI886</f>
        <v>16.786144118799086</v>
      </c>
      <c r="AJ46" s="522">
        <f>INPUT!AJ886</f>
        <v>5.6309592346942834</v>
      </c>
      <c r="AK46" s="339">
        <f>INPUT!AK886</f>
        <v>-23.656197466337236</v>
      </c>
      <c r="AL46" s="522">
        <f>INPUT!AL886</f>
        <v>2.9848481210229254</v>
      </c>
      <c r="AM46" s="339" t="str">
        <f>INPUT!AM886</f>
        <v>NM</v>
      </c>
      <c r="AN46" s="522">
        <f>INPUT!AN886</f>
        <v>6.4670842387830758</v>
      </c>
      <c r="AO46" s="339">
        <f>INPUT!AO886</f>
        <v>-17.985733475779632</v>
      </c>
      <c r="AP46" s="522">
        <f>INPUT!AP886</f>
        <v>1.9768628104684056</v>
      </c>
      <c r="AQ46" s="339" t="str">
        <f>INPUT!AQ886</f>
        <v>NM</v>
      </c>
      <c r="AR46" s="522">
        <f>INPUT!AR886</f>
        <v>2.9723291032184336</v>
      </c>
      <c r="AS46" s="339">
        <f>INPUT!AS886</f>
        <v>-47.214515692017656</v>
      </c>
      <c r="AT46" s="522">
        <f>INPUT!AT886</f>
        <v>-0.85100537983135749</v>
      </c>
      <c r="AU46" s="339" t="str">
        <f>INPUT!AU886</f>
        <v>NM</v>
      </c>
      <c r="AV46" s="522">
        <f>INPUT!AV886</f>
        <v>3.5752996169120967</v>
      </c>
      <c r="AW46" s="339">
        <f>INPUT!AW886</f>
        <v>-44.715431485010804</v>
      </c>
      <c r="AX46" s="522">
        <f>INPUT!AX886</f>
        <v>3.619696137653297</v>
      </c>
      <c r="AY46" s="339">
        <f>INPUT!AY886</f>
        <v>83.103051890365222</v>
      </c>
      <c r="AZ46" s="522">
        <f>INPUT!AZ886</f>
        <v>2.7042044134727035</v>
      </c>
      <c r="BA46" s="339">
        <f>INPUT!BA886</f>
        <v>-9.0206932151424617</v>
      </c>
      <c r="BB46" s="522">
        <f>INPUT!BB886</f>
        <v>1.0594745270697492</v>
      </c>
      <c r="BC46" s="339" t="str">
        <f>INPUT!BC886</f>
        <v>NM</v>
      </c>
      <c r="BD46" s="522">
        <f>INPUT!BD886</f>
        <v>6.9794940548143876</v>
      </c>
      <c r="BE46" s="339">
        <f>INPUT!BE886</f>
        <v>95.214242235799375</v>
      </c>
      <c r="BF46" s="522">
        <f>INPUT!BF886</f>
        <v>8.2497632453167462</v>
      </c>
      <c r="BG46" s="339" t="str">
        <f>INPUT!BG886</f>
        <v>NM</v>
      </c>
      <c r="BH46" s="522">
        <f>INPUT!BH886</f>
        <v>9.7367882062751114</v>
      </c>
      <c r="BI46" s="339" t="str">
        <f>INPUT!BI886</f>
        <v>NM</v>
      </c>
      <c r="BJ46" s="522">
        <f>INPUT!BJ886</f>
        <v>10.392466361853687</v>
      </c>
      <c r="BK46" s="339" t="str">
        <f>INPUT!BK886</f>
        <v>NM</v>
      </c>
      <c r="BL46" s="522">
        <f>INPUT!BL886</f>
        <v>10.939043336255507</v>
      </c>
      <c r="BM46" s="339">
        <f>INPUT!BM886</f>
        <v>56.731179227953632</v>
      </c>
      <c r="BN46" s="347"/>
      <c r="BO46" s="522"/>
      <c r="BP46" s="340"/>
      <c r="BQ46" s="522">
        <f>INPUT!BW886</f>
        <v>5.9878532959228288</v>
      </c>
      <c r="BR46" s="340">
        <f>INPUT!BX886</f>
        <v>-19.726207832696975</v>
      </c>
      <c r="BS46" s="522">
        <f>INPUT!BY886</f>
        <v>7.639352767599469</v>
      </c>
      <c r="BT46" s="340">
        <f>INPUT!BZ886</f>
        <v>27.580827219016157</v>
      </c>
      <c r="BU46" s="522">
        <f>INPUT!CA886</f>
        <v>6.5394267869988916</v>
      </c>
      <c r="BV46" s="340">
        <f>INPUT!CB886</f>
        <v>-14.398156677168473</v>
      </c>
      <c r="BW46" s="522">
        <f>INPUT!CC886</f>
        <v>5.3068086567092694</v>
      </c>
      <c r="BX46" s="340">
        <f>INPUT!CD886</f>
        <v>-18.84902408786354</v>
      </c>
      <c r="BY46" s="522">
        <f>INPUT!CE886</f>
        <v>1.9465266586959156</v>
      </c>
      <c r="BZ46" s="340" t="str">
        <f>INPUT!CF886</f>
        <v>NM</v>
      </c>
      <c r="CA46" s="522">
        <f>INPUT!CG886</f>
        <v>3.9136637332098214</v>
      </c>
      <c r="CB46" s="340" t="str">
        <f>INPUT!CH886</f>
        <v>NM</v>
      </c>
      <c r="CC46" s="522">
        <f>INPUT!CI886</f>
        <v>9.7818125881965035</v>
      </c>
      <c r="CD46" s="340" t="str">
        <f>INPUT!CJ886</f>
        <v>NM</v>
      </c>
      <c r="CE46" s="522">
        <f>INPUT!CK886</f>
        <v>11.104726033648831</v>
      </c>
      <c r="CF46" s="340">
        <f>INPUT!CL886</f>
        <v>13.524215819148466</v>
      </c>
      <c r="CG46" s="522">
        <f>INPUT!CM886</f>
        <v>11.270417611600768</v>
      </c>
      <c r="CH46" s="340">
        <f>INPUT!CN886</f>
        <v>1.4920816366821521</v>
      </c>
      <c r="CI46" s="522">
        <f>INPUT!CO886</f>
        <v>11.361146794077866</v>
      </c>
      <c r="CJ46" s="340">
        <f>INPUT!CP886</f>
        <v>0.80502059110665325</v>
      </c>
      <c r="CK46" s="522">
        <f>INPUT!CQ886</f>
        <v>11.390427360301475</v>
      </c>
      <c r="CL46" s="340">
        <f>INPUT!CR886</f>
        <v>0.25772544580509038</v>
      </c>
      <c r="CM46" s="610">
        <f>INPUT!CS886</f>
        <v>23.820143271238472</v>
      </c>
    </row>
    <row r="47" spans="1:147" s="331" customFormat="1" ht="11.25" customHeight="1" x14ac:dyDescent="0.2">
      <c r="A47" s="623" t="s">
        <v>391</v>
      </c>
      <c r="B47" s="523">
        <f>INPUT!B823</f>
        <v>14.154907975460123</v>
      </c>
      <c r="C47" s="523"/>
      <c r="D47" s="523">
        <f>INPUT!D823</f>
        <v>25.751917177914105</v>
      </c>
      <c r="E47" s="523"/>
      <c r="F47" s="523">
        <f>INPUT!F823</f>
        <v>29.490414110429455</v>
      </c>
      <c r="G47" s="523"/>
      <c r="H47" s="523">
        <f>INPUT!H823</f>
        <v>26.483512269938647</v>
      </c>
      <c r="I47" s="523"/>
      <c r="J47" s="523">
        <f>INPUT!J823</f>
        <v>24.504984662576693</v>
      </c>
      <c r="K47" s="339">
        <f>INPUT!K823</f>
        <v>73.120056344132649</v>
      </c>
      <c r="L47" s="523">
        <f>INPUT!L823</f>
        <v>26.718941717791406</v>
      </c>
      <c r="M47" s="339">
        <f>INPUT!M823</f>
        <v>3.7551555218058086</v>
      </c>
      <c r="N47" s="523">
        <f>INPUT!N823</f>
        <v>28.209355828220858</v>
      </c>
      <c r="O47" s="339">
        <f>INPUT!O823</f>
        <v>-4.3439820051748406</v>
      </c>
      <c r="P47" s="523">
        <f>INPUT!P823</f>
        <v>28.766104294478531</v>
      </c>
      <c r="Q47" s="339">
        <f>INPUT!Q823</f>
        <v>8.6189173145695186</v>
      </c>
      <c r="R47" s="523">
        <f>INPUT!R823</f>
        <v>22.811733128834366</v>
      </c>
      <c r="S47" s="339">
        <f>INPUT!S823</f>
        <v>-6.9098249072900302</v>
      </c>
      <c r="T47" s="523">
        <f>INPUT!T823</f>
        <v>24.54294478527607</v>
      </c>
      <c r="U47" s="339">
        <f>INPUT!U823</f>
        <v>-8.1440236499576653</v>
      </c>
      <c r="V47" s="523">
        <f>INPUT!V823</f>
        <v>28.282208588957054</v>
      </c>
      <c r="W47" s="339">
        <f>INPUT!W823</f>
        <v>0.25825744189207356</v>
      </c>
      <c r="X47" s="523">
        <f>INPUT!X823</f>
        <v>31.731371799770727</v>
      </c>
      <c r="Y47" s="339">
        <f>INPUT!Y823</f>
        <v>10.308199799794782</v>
      </c>
      <c r="Z47" s="523">
        <f>INPUT!Z823</f>
        <v>32.524538672948566</v>
      </c>
      <c r="AA47" s="339">
        <f>INPUT!AA823</f>
        <v>42.57811315457252</v>
      </c>
      <c r="AB47" s="523">
        <f>INPUT!AB823</f>
        <v>33.076983503534962</v>
      </c>
      <c r="AC47" s="339">
        <f>INPUT!AC823</f>
        <v>34.771861294243209</v>
      </c>
      <c r="AD47" s="523">
        <f>INPUT!AD823</f>
        <v>33.867288961038966</v>
      </c>
      <c r="AE47" s="339">
        <f>INPUT!AE823</f>
        <v>19.747681142068373</v>
      </c>
      <c r="AF47" s="523">
        <f>INPUT!AF823</f>
        <v>43.243075651095481</v>
      </c>
      <c r="AG47" s="339">
        <f>INPUT!AG823</f>
        <v>36.278620174271616</v>
      </c>
      <c r="AH47" s="523">
        <f>INPUT!AH823</f>
        <v>43.655895196506556</v>
      </c>
      <c r="AI47" s="339">
        <f>INPUT!AI823</f>
        <v>34.224487041890626</v>
      </c>
      <c r="AJ47" s="523">
        <f>INPUT!AJ823</f>
        <v>44.615996464869632</v>
      </c>
      <c r="AK47" s="339">
        <f>INPUT!AK823</f>
        <v>34.885324292348145</v>
      </c>
      <c r="AL47" s="523">
        <f>INPUT!AL823</f>
        <v>44.544356711565264</v>
      </c>
      <c r="AM47" s="339">
        <f>INPUT!AM823</f>
        <v>31.526195565311511</v>
      </c>
      <c r="AN47" s="523">
        <f>INPUT!AN823</f>
        <v>43.878048780487795</v>
      </c>
      <c r="AO47" s="339">
        <f>INPUT!AO823</f>
        <v>1.4683810525309537</v>
      </c>
      <c r="AP47" s="523">
        <f>INPUT!AP823</f>
        <v>42.422058823529404</v>
      </c>
      <c r="AQ47" s="339">
        <f>INPUT!AQ823</f>
        <v>-2.8262766515801174</v>
      </c>
      <c r="AR47" s="523">
        <f>INPUT!AR823</f>
        <v>43.092907092907097</v>
      </c>
      <c r="AS47" s="339">
        <f>INPUT!AS823</f>
        <v>-3.4137741900750918</v>
      </c>
      <c r="AT47" s="523">
        <f>INPUT!AT823</f>
        <v>45.266700924974295</v>
      </c>
      <c r="AU47" s="339">
        <f>INPUT!AU823</f>
        <v>1.6216290159634994</v>
      </c>
      <c r="AV47" s="523">
        <f>INPUT!AV823</f>
        <v>45.3622816032888</v>
      </c>
      <c r="AW47" s="339">
        <f>INPUT!AW823</f>
        <v>3.3826317807026829</v>
      </c>
      <c r="AX47" s="523">
        <f>INPUT!AX823</f>
        <v>47.111637704054765</v>
      </c>
      <c r="AY47" s="339">
        <f>INPUT!AY823</f>
        <v>11.054576346785616</v>
      </c>
      <c r="AZ47" s="523">
        <f>INPUT!AZ823</f>
        <v>49.6076794657763</v>
      </c>
      <c r="BA47" s="339">
        <f>INPUT!BA823</f>
        <v>15.117969086707328</v>
      </c>
      <c r="BB47" s="523">
        <f>INPUT!BB823</f>
        <v>50.582081246521994</v>
      </c>
      <c r="BC47" s="339">
        <f>INPUT!BC823</f>
        <v>11.742362957613128</v>
      </c>
      <c r="BD47" s="523">
        <f>INPUT!BD823</f>
        <v>31.662790697674417</v>
      </c>
      <c r="BE47" s="339">
        <f>INPUT!BE823</f>
        <v>-30.200180461428026</v>
      </c>
      <c r="BF47" s="523">
        <f>INPUT!BF823</f>
        <v>32.115180035773321</v>
      </c>
      <c r="BG47" s="339">
        <f>INPUT!BG823</f>
        <v>-31.831747736060436</v>
      </c>
      <c r="BH47" s="523">
        <f>INPUT!BH823</f>
        <v>32.927757001234021</v>
      </c>
      <c r="BI47" s="339">
        <f>INPUT!BI823</f>
        <v>-33.623670053039959</v>
      </c>
      <c r="BJ47" s="523">
        <f>INPUT!BJ823</f>
        <v>33.514773844768357</v>
      </c>
      <c r="BK47" s="339">
        <f>INPUT!BK823</f>
        <v>-33.741805361018393</v>
      </c>
      <c r="BL47" s="523">
        <f>INPUT!BL823</f>
        <v>34.177152664078733</v>
      </c>
      <c r="BM47" s="339">
        <f>INPUT!BM823</f>
        <v>7.9410623984859097</v>
      </c>
      <c r="BN47" s="347"/>
      <c r="BO47" s="523"/>
      <c r="BP47" s="340"/>
      <c r="BQ47" s="523">
        <f>INPUT!BW823</f>
        <v>28.766104294478531</v>
      </c>
      <c r="BR47" s="340">
        <f>INPUT!BX823</f>
        <v>8.6189173145695186</v>
      </c>
      <c r="BS47" s="523">
        <f>INPUT!BY823</f>
        <v>31.731371799770727</v>
      </c>
      <c r="BT47" s="340">
        <f>INPUT!BZ823</f>
        <v>10.308199799794782</v>
      </c>
      <c r="BU47" s="523">
        <f>INPUT!CA823</f>
        <v>43.243075651095481</v>
      </c>
      <c r="BV47" s="340">
        <f>INPUT!CB823</f>
        <v>36.278620174271616</v>
      </c>
      <c r="BW47" s="523">
        <f>INPUT!CC823</f>
        <v>43.878048780487795</v>
      </c>
      <c r="BX47" s="340">
        <f>INPUT!CD823</f>
        <v>1.4683810525309537</v>
      </c>
      <c r="BY47" s="523">
        <f>INPUT!CE823</f>
        <v>45.3622816032888</v>
      </c>
      <c r="BZ47" s="340">
        <f>INPUT!CF823</f>
        <v>3.3826317807026829</v>
      </c>
      <c r="CA47" s="523">
        <f>INPUT!CG823</f>
        <v>31.662790697674417</v>
      </c>
      <c r="CB47" s="340">
        <f>INPUT!CH823</f>
        <v>-30.200180461428026</v>
      </c>
      <c r="CC47" s="523">
        <f>INPUT!CI823</f>
        <v>34.177152664078733</v>
      </c>
      <c r="CD47" s="340">
        <f>INPUT!CJ823</f>
        <v>7.9410623984859097</v>
      </c>
      <c r="CE47" s="523">
        <f>INPUT!CK823</f>
        <v>39.077326686234699</v>
      </c>
      <c r="CF47" s="340">
        <f>INPUT!CL823</f>
        <v>14.337572442967739</v>
      </c>
      <c r="CG47" s="523">
        <f>INPUT!CM823</f>
        <v>44.703571814686789</v>
      </c>
      <c r="CH47" s="340">
        <f>INPUT!CN823</f>
        <v>14.397722683609215</v>
      </c>
      <c r="CI47" s="523">
        <f>INPUT!CO823</f>
        <v>51.143684927072655</v>
      </c>
      <c r="CJ47" s="340">
        <f>INPUT!CP823</f>
        <v>14.40626073254856</v>
      </c>
      <c r="CK47" s="523">
        <f>INPUT!CQ823</f>
        <v>58.497802093602722</v>
      </c>
      <c r="CL47" s="340">
        <f>INPUT!CR823</f>
        <v>14.379325965691624</v>
      </c>
      <c r="CM47" s="610">
        <f>INPUT!CS823</f>
        <v>0</v>
      </c>
    </row>
    <row r="48" spans="1:147" s="331" customFormat="1" ht="11.25" customHeight="1" x14ac:dyDescent="0.2">
      <c r="A48" s="623" t="s">
        <v>375</v>
      </c>
      <c r="B48" s="522"/>
      <c r="C48" s="522"/>
      <c r="D48" s="522"/>
      <c r="E48" s="522"/>
      <c r="F48" s="522"/>
      <c r="G48" s="522"/>
      <c r="H48" s="522"/>
      <c r="I48" s="522"/>
      <c r="J48" s="522"/>
      <c r="K48" s="339"/>
      <c r="L48" s="522"/>
      <c r="M48" s="339"/>
      <c r="N48" s="522"/>
      <c r="O48" s="339"/>
      <c r="P48" s="522"/>
      <c r="Q48" s="339"/>
      <c r="R48" s="522">
        <f>INPUT!R815</f>
        <v>9.0417640031855573</v>
      </c>
      <c r="S48" s="339" t="str">
        <f>INPUT!S815</f>
        <v>NA</v>
      </c>
      <c r="T48" s="522">
        <f>INPUT!T815</f>
        <v>10.357540380178003</v>
      </c>
      <c r="U48" s="339" t="str">
        <f>INPUT!U815</f>
        <v>NA</v>
      </c>
      <c r="V48" s="522">
        <f>INPUT!V815</f>
        <v>13.137743833628884</v>
      </c>
      <c r="W48" s="339" t="str">
        <f>INPUT!W815</f>
        <v>NA</v>
      </c>
      <c r="X48" s="522">
        <f>INPUT!X815</f>
        <v>11.05654011269117</v>
      </c>
      <c r="Y48" s="339" t="str">
        <f>INPUT!Y815</f>
        <v>NA</v>
      </c>
      <c r="Z48" s="522">
        <f>INPUT!Z815</f>
        <v>9.6701396840976503</v>
      </c>
      <c r="AA48" s="339">
        <f>INPUT!AA815</f>
        <v>6.9497023002448088</v>
      </c>
      <c r="AB48" s="522">
        <f>INPUT!AB815</f>
        <v>11.987995344404123</v>
      </c>
      <c r="AC48" s="339">
        <f>INPUT!AC815</f>
        <v>15.74171960117523</v>
      </c>
      <c r="AD48" s="522">
        <f>INPUT!AD815</f>
        <v>12.328455642351562</v>
      </c>
      <c r="AE48" s="339">
        <f>INPUT!AE815</f>
        <v>-6.1600241375218019</v>
      </c>
      <c r="AF48" s="522">
        <f>INPUT!AF815</f>
        <v>14.401704199634816</v>
      </c>
      <c r="AG48" s="339">
        <f>INPUT!AG815</f>
        <v>30.255071232490916</v>
      </c>
      <c r="AH48" s="522">
        <f>INPUT!AH815</f>
        <v>11.851155830168359</v>
      </c>
      <c r="AI48" s="339">
        <f>INPUT!AI815</f>
        <v>22.554132797661097</v>
      </c>
      <c r="AJ48" s="522">
        <f>INPUT!AJ815</f>
        <v>11.801351783865197</v>
      </c>
      <c r="AK48" s="339">
        <f>INPUT!AK815</f>
        <v>-1.5569205290528298</v>
      </c>
      <c r="AL48" s="522">
        <f>INPUT!AL815</f>
        <v>11.321650270723707</v>
      </c>
      <c r="AM48" s="339">
        <f>INPUT!AM815</f>
        <v>-8.1665165600240179</v>
      </c>
      <c r="AN48" s="522">
        <f>INPUT!AN815</f>
        <v>13.536605953779867</v>
      </c>
      <c r="AO48" s="339">
        <f>INPUT!AO815</f>
        <v>-6.0069158056786476</v>
      </c>
      <c r="AP48" s="522">
        <f>INPUT!AP815</f>
        <v>7.5918527696502789</v>
      </c>
      <c r="AQ48" s="339">
        <f>INPUT!AQ815</f>
        <v>-35.939980214213186</v>
      </c>
      <c r="AR48" s="522">
        <f>INPUT!AR815</f>
        <v>12.24091683708248</v>
      </c>
      <c r="AS48" s="339">
        <f>INPUT!AS815</f>
        <v>3.7247008755239008</v>
      </c>
      <c r="AT48" s="522">
        <f>INPUT!AT815</f>
        <v>13.444428827507537</v>
      </c>
      <c r="AU48" s="339">
        <f>INPUT!AU815</f>
        <v>18.749727345606626</v>
      </c>
      <c r="AV48" s="522">
        <f>INPUT!AV815</f>
        <v>11.544544184494763</v>
      </c>
      <c r="AW48" s="339">
        <f>INPUT!AW815</f>
        <v>-14.716109607437122</v>
      </c>
      <c r="AX48" s="522">
        <f>INPUT!AX815</f>
        <v>9.4544000257499601</v>
      </c>
      <c r="AY48" s="339">
        <f>INPUT!AY815</f>
        <v>24.53350074892824</v>
      </c>
      <c r="AZ48" s="522">
        <f>INPUT!AZ815</f>
        <v>12.190430163706019</v>
      </c>
      <c r="BA48" s="339">
        <f>INPUT!BA815</f>
        <v>-0.41244192774447797</v>
      </c>
      <c r="BB48" s="522">
        <f>INPUT!BB815</f>
        <v>12.270959595959596</v>
      </c>
      <c r="BC48" s="339">
        <f>INPUT!BC815</f>
        <v>-8.7282936791409309</v>
      </c>
      <c r="BD48" s="522">
        <f>INPUT!BD815</f>
        <v>13.170994427028903</v>
      </c>
      <c r="BE48" s="339">
        <f>INPUT!BE815</f>
        <v>14.08847518396259</v>
      </c>
      <c r="BF48" s="522">
        <f>INPUT!BF815</f>
        <v>11.167987214737284</v>
      </c>
      <c r="BG48" s="339">
        <f>INPUT!BG815</f>
        <v>18.124758676597196</v>
      </c>
      <c r="BH48" s="522">
        <f>INPUT!BH815</f>
        <v>12.754151477181001</v>
      </c>
      <c r="BI48" s="339">
        <f>INPUT!BI815</f>
        <v>4.6242938592382377</v>
      </c>
      <c r="BJ48" s="522">
        <f>INPUT!BJ815</f>
        <v>12.843695324972071</v>
      </c>
      <c r="BK48" s="339">
        <f>INPUT!BK815</f>
        <v>4.6674078301183419</v>
      </c>
      <c r="BL48" s="522">
        <f>INPUT!BL815</f>
        <v>13.081181297033181</v>
      </c>
      <c r="BM48" s="339">
        <f>INPUT!BM815</f>
        <v>-0.68190090348387855</v>
      </c>
      <c r="BN48" s="347"/>
      <c r="BO48" s="522"/>
      <c r="BP48" s="340"/>
      <c r="BQ48" s="522">
        <f>INPUT!BW815</f>
        <v>7.4517841557569682</v>
      </c>
      <c r="BR48" s="340" t="str">
        <f>INPUT!BX815</f>
        <v>NA</v>
      </c>
      <c r="BS48" s="522">
        <f>INPUT!BY815</f>
        <v>10.895767087142067</v>
      </c>
      <c r="BT48" s="340">
        <f>INPUT!BZ815</f>
        <v>46.216890604975561</v>
      </c>
      <c r="BU48" s="522">
        <f>INPUT!CA815</f>
        <v>12.070826891570716</v>
      </c>
      <c r="BV48" s="340">
        <f>INPUT!CB815</f>
        <v>10.784553258442164</v>
      </c>
      <c r="BW48" s="522">
        <f>INPUT!CC815</f>
        <v>12.116677738010022</v>
      </c>
      <c r="BX48" s="340">
        <f>INPUT!CD815</f>
        <v>0.379848430030294</v>
      </c>
      <c r="BY48" s="522">
        <f>INPUT!CE815</f>
        <v>11.186555061901208</v>
      </c>
      <c r="BZ48" s="340">
        <f>INPUT!CF815</f>
        <v>-7.6763837102889916</v>
      </c>
      <c r="CA48" s="522">
        <f>INPUT!CG815</f>
        <v>11.763327097228995</v>
      </c>
      <c r="CB48" s="340">
        <f>INPUT!CH815</f>
        <v>5.1559397163487564</v>
      </c>
      <c r="CC48" s="522">
        <f>INPUT!CI815</f>
        <v>12.461753828480884</v>
      </c>
      <c r="CD48" s="340">
        <f>INPUT!CJ815</f>
        <v>5.9373230505203933</v>
      </c>
      <c r="CE48" s="522">
        <f>INPUT!CK815</f>
        <v>13.033362601541537</v>
      </c>
      <c r="CF48" s="340">
        <f>INPUT!CL815</f>
        <v>4.5869047080216108</v>
      </c>
      <c r="CG48" s="522">
        <f>INPUT!CM815</f>
        <v>13.578141398949867</v>
      </c>
      <c r="CH48" s="340">
        <f>INPUT!CN815</f>
        <v>4.1798790846492295</v>
      </c>
      <c r="CI48" s="522">
        <f>INPUT!CO815</f>
        <v>14.110354443843317</v>
      </c>
      <c r="CJ48" s="340">
        <f>INPUT!CP815</f>
        <v>3.91963103974311</v>
      </c>
      <c r="CK48" s="522">
        <f>INPUT!CQ815</f>
        <v>14.637413102213264</v>
      </c>
      <c r="CL48" s="340">
        <f>INPUT!CR815</f>
        <v>3.7352616510630376</v>
      </c>
      <c r="CM48" s="610">
        <f>INPUT!CS815</f>
        <v>0</v>
      </c>
    </row>
    <row r="49" spans="1:162" s="331" customFormat="1" ht="11.25" customHeight="1" x14ac:dyDescent="0.2">
      <c r="A49" s="623" t="s">
        <v>392</v>
      </c>
      <c r="B49" s="523"/>
      <c r="C49" s="523"/>
      <c r="D49" s="523"/>
      <c r="E49" s="523"/>
      <c r="F49" s="523"/>
      <c r="G49" s="523"/>
      <c r="H49" s="523"/>
      <c r="I49" s="523"/>
      <c r="J49" s="523"/>
      <c r="K49" s="339"/>
      <c r="L49" s="523"/>
      <c r="M49" s="339"/>
      <c r="N49" s="523"/>
      <c r="O49" s="339"/>
      <c r="P49" s="523"/>
      <c r="Q49" s="339"/>
      <c r="R49" s="523">
        <f>INPUT!R812</f>
        <v>25.916411042944784</v>
      </c>
      <c r="S49" s="339" t="str">
        <f>INPUT!S812</f>
        <v>NA</v>
      </c>
      <c r="T49" s="523">
        <f>INPUT!T812</f>
        <v>26.428297546012267</v>
      </c>
      <c r="U49" s="339" t="str">
        <f>INPUT!U812</f>
        <v>NA</v>
      </c>
      <c r="V49" s="523">
        <f>INPUT!V812</f>
        <v>27.086848159509202</v>
      </c>
      <c r="W49" s="339" t="str">
        <f>INPUT!W812</f>
        <v>NA</v>
      </c>
      <c r="X49" s="523">
        <f>INPUT!X812</f>
        <v>26.411922048146735</v>
      </c>
      <c r="Y49" s="339">
        <f>INPUT!Y812</f>
        <v>-6.5020289774791351</v>
      </c>
      <c r="Z49" s="523">
        <f>INPUT!Z812</f>
        <v>26.863957597173147</v>
      </c>
      <c r="AA49" s="339">
        <f>INPUT!AA812</f>
        <v>3.6561642453433629</v>
      </c>
      <c r="AB49" s="523">
        <f>INPUT!AB812</f>
        <v>26.697761194029852</v>
      </c>
      <c r="AC49" s="339">
        <f>INPUT!AC812</f>
        <v>1.0196027479577152</v>
      </c>
      <c r="AD49" s="523">
        <f>INPUT!AD812</f>
        <v>27.744521103896105</v>
      </c>
      <c r="AE49" s="339">
        <f>INPUT!AE812</f>
        <v>2.4280157680730996</v>
      </c>
      <c r="AF49" s="523">
        <f>INPUT!AF812</f>
        <v>27.212691194708558</v>
      </c>
      <c r="AG49" s="339">
        <f>INPUT!AG812</f>
        <v>3.0318473040397809</v>
      </c>
      <c r="AH49" s="523">
        <f>INPUT!AH812</f>
        <v>29.030567685589521</v>
      </c>
      <c r="AI49" s="339">
        <f>INPUT!AI812</f>
        <v>8.0651187770053756</v>
      </c>
      <c r="AJ49" s="523">
        <f>INPUT!AJ812</f>
        <v>29.300707026071585</v>
      </c>
      <c r="AK49" s="339">
        <f>INPUT!AK812</f>
        <v>9.7496783086957972</v>
      </c>
      <c r="AL49" s="523">
        <f>INPUT!AL812</f>
        <v>30.107988852763583</v>
      </c>
      <c r="AM49" s="339">
        <f>INPUT!AM812</f>
        <v>8.5186828059381483</v>
      </c>
      <c r="AN49" s="523">
        <f>INPUT!AN812</f>
        <v>30.046628407460545</v>
      </c>
      <c r="AO49" s="339">
        <f>INPUT!AO812</f>
        <v>10.414027750783571</v>
      </c>
      <c r="AP49" s="523">
        <f>INPUT!AP812</f>
        <v>30.772058823529413</v>
      </c>
      <c r="AQ49" s="339">
        <f>INPUT!AQ812</f>
        <v>5.9988187513272395</v>
      </c>
      <c r="AR49" s="523">
        <f>INPUT!AR812</f>
        <v>30.929070929070932</v>
      </c>
      <c r="AS49" s="339">
        <f>INPUT!AS812</f>
        <v>5.5574218791049512</v>
      </c>
      <c r="AT49" s="523">
        <f>INPUT!AT812</f>
        <v>31.248715313463517</v>
      </c>
      <c r="AU49" s="339">
        <f>INPUT!AU812</f>
        <v>3.7887833235172419</v>
      </c>
      <c r="AV49" s="523">
        <f>INPUT!AV812</f>
        <v>30.3622816032888</v>
      </c>
      <c r="AW49" s="339">
        <f>INPUT!AW812</f>
        <v>1.0505444788936114</v>
      </c>
      <c r="AX49" s="523">
        <f>INPUT!AX812</f>
        <v>30.236966824644547</v>
      </c>
      <c r="AY49" s="339">
        <f>INPUT!AY812</f>
        <v>-1.7388891720033883</v>
      </c>
      <c r="AZ49" s="523">
        <f>INPUT!AZ812</f>
        <v>31.953255425709518</v>
      </c>
      <c r="BA49" s="339">
        <f>INPUT!BA812</f>
        <v>3.3113975488863856</v>
      </c>
      <c r="BB49" s="523">
        <f>INPUT!BB812</f>
        <v>31.953255425709518</v>
      </c>
      <c r="BC49" s="339">
        <f>INPUT!BC812</f>
        <v>2.2546210465889116</v>
      </c>
      <c r="BD49" s="523">
        <f>INPUT!BD812</f>
        <v>33.383720930232556</v>
      </c>
      <c r="BE49" s="339">
        <f>INPUT!BE812</f>
        <v>9.9512920880638909</v>
      </c>
      <c r="BF49" s="523">
        <f>INPUT!BF812</f>
        <v>34.74888241414407</v>
      </c>
      <c r="BG49" s="339">
        <f>INPUT!BG812</f>
        <v>14.92185249818807</v>
      </c>
      <c r="BH49" s="523">
        <f>INPUT!BH812</f>
        <v>35.77136897124938</v>
      </c>
      <c r="BI49" s="339">
        <f>INPUT!BI812</f>
        <v>11.949059633115876</v>
      </c>
      <c r="BJ49" s="523">
        <f>INPUT!BJ812</f>
        <v>36.828821249101964</v>
      </c>
      <c r="BK49" s="339">
        <f>INPUT!BK812</f>
        <v>15.258432226813357</v>
      </c>
      <c r="BL49" s="523">
        <f>INPUT!BL812</f>
        <v>37.928248075880958</v>
      </c>
      <c r="BM49" s="339">
        <f>INPUT!BM812</f>
        <v>13.613003640744093</v>
      </c>
      <c r="BN49" s="347"/>
      <c r="BO49" s="523"/>
      <c r="BP49" s="340"/>
      <c r="BQ49" s="523">
        <f>INPUT!BW812</f>
        <v>28.248657975460123</v>
      </c>
      <c r="BR49" s="340" t="str">
        <f>INPUT!BX812</f>
        <v>NA</v>
      </c>
      <c r="BS49" s="523">
        <f>INPUT!BY812</f>
        <v>26.411922048146735</v>
      </c>
      <c r="BT49" s="340">
        <f>INPUT!BZ812</f>
        <v>-6.5020289774791351</v>
      </c>
      <c r="BU49" s="523">
        <f>INPUT!CA812</f>
        <v>27.212691194708558</v>
      </c>
      <c r="BV49" s="340">
        <f>INPUT!CB812</f>
        <v>3.0318473040397809</v>
      </c>
      <c r="BW49" s="523">
        <f>INPUT!CC812</f>
        <v>30.046628407460545</v>
      </c>
      <c r="BX49" s="340">
        <f>INPUT!CD812</f>
        <v>10.414027750783571</v>
      </c>
      <c r="BY49" s="523">
        <f>INPUT!CE812</f>
        <v>30.3622816032888</v>
      </c>
      <c r="BZ49" s="340">
        <f>INPUT!CF812</f>
        <v>1.0505444788936114</v>
      </c>
      <c r="CA49" s="523">
        <f>INPUT!CG812</f>
        <v>33.383720930232556</v>
      </c>
      <c r="CB49" s="340">
        <f>INPUT!CH812</f>
        <v>9.9512920880638909</v>
      </c>
      <c r="CC49" s="523">
        <f>INPUT!CI812</f>
        <v>37.928248075880958</v>
      </c>
      <c r="CD49" s="340">
        <f>INPUT!CJ812</f>
        <v>13.613003640744093</v>
      </c>
      <c r="CE49" s="523">
        <f>INPUT!CK812</f>
        <v>40.721773191159784</v>
      </c>
      <c r="CF49" s="340">
        <f>INPUT!CL812</f>
        <v>7.3652890839829288</v>
      </c>
      <c r="CG49" s="523">
        <f>INPUT!CM812</f>
        <v>43.70461598892738</v>
      </c>
      <c r="CH49" s="340">
        <f>INPUT!CN812</f>
        <v>7.3249334791126719</v>
      </c>
      <c r="CI49" s="523">
        <f>INPUT!CO812</f>
        <v>46.887183306255103</v>
      </c>
      <c r="CJ49" s="340">
        <f>INPUT!CP812</f>
        <v>7.2819935499125021</v>
      </c>
      <c r="CK49" s="523">
        <f>INPUT!CQ812</f>
        <v>50.28009695907312</v>
      </c>
      <c r="CL49" s="340">
        <f>INPUT!CR812</f>
        <v>7.2363349929902343</v>
      </c>
      <c r="CM49" s="610">
        <f>INPUT!CS812</f>
        <v>0</v>
      </c>
    </row>
    <row r="50" spans="1:162" s="331" customFormat="1" ht="11.25" customHeight="1" x14ac:dyDescent="0.2">
      <c r="A50" s="623" t="s">
        <v>393</v>
      </c>
      <c r="B50" s="523"/>
      <c r="C50" s="523"/>
      <c r="D50" s="523"/>
      <c r="E50" s="523"/>
      <c r="F50" s="523"/>
      <c r="G50" s="523"/>
      <c r="H50" s="523"/>
      <c r="I50" s="523"/>
      <c r="J50" s="523"/>
      <c r="K50" s="339"/>
      <c r="L50" s="523"/>
      <c r="M50" s="339"/>
      <c r="N50" s="523"/>
      <c r="O50" s="339"/>
      <c r="P50" s="523"/>
      <c r="Q50" s="339"/>
      <c r="R50" s="523">
        <f>INPUT!R813</f>
        <v>27.210697852760745</v>
      </c>
      <c r="S50" s="339" t="str">
        <f>INPUT!S813</f>
        <v>NA</v>
      </c>
      <c r="T50" s="523">
        <f>INPUT!T813</f>
        <v>28.361004601226991</v>
      </c>
      <c r="U50" s="339" t="str">
        <f>INPUT!U813</f>
        <v>NA</v>
      </c>
      <c r="V50" s="523">
        <f>INPUT!V813</f>
        <v>31.583588957055213</v>
      </c>
      <c r="W50" s="339" t="str">
        <f>INPUT!W813</f>
        <v>NA</v>
      </c>
      <c r="X50" s="523">
        <f>INPUT!X813</f>
        <v>34.710928544134504</v>
      </c>
      <c r="Y50" s="339">
        <f>INPUT!Y813</f>
        <v>8.8354973647796662</v>
      </c>
      <c r="Z50" s="523">
        <f>INPUT!Z813</f>
        <v>35.606595995288579</v>
      </c>
      <c r="AA50" s="339">
        <f>INPUT!AA813</f>
        <v>30.855137152155045</v>
      </c>
      <c r="AB50" s="523">
        <f>INPUT!AB813</f>
        <v>36.310487038491758</v>
      </c>
      <c r="AC50" s="339">
        <f>INPUT!AC813</f>
        <v>28.029622183837756</v>
      </c>
      <c r="AD50" s="523">
        <f>INPUT!AD813</f>
        <v>37.39204545454546</v>
      </c>
      <c r="AE50" s="339">
        <f>INPUT!AE813</f>
        <v>18.390742437118579</v>
      </c>
      <c r="AF50" s="523">
        <f>INPUT!AF813</f>
        <v>45.911533691608085</v>
      </c>
      <c r="AG50" s="339">
        <f>INPUT!AG813</f>
        <v>32.268238325091623</v>
      </c>
      <c r="AH50" s="523">
        <f>INPUT!AH813</f>
        <v>46.511790393013101</v>
      </c>
      <c r="AI50" s="339">
        <f>INPUT!AI813</f>
        <v>30.626893958544876</v>
      </c>
      <c r="AJ50" s="523">
        <f>INPUT!AJ813</f>
        <v>47.543526292532029</v>
      </c>
      <c r="AK50" s="339">
        <f>INPUT!AK813</f>
        <v>30.936074314102235</v>
      </c>
      <c r="AL50" s="523">
        <f>INPUT!AL813</f>
        <v>47.62145843009754</v>
      </c>
      <c r="AM50" s="339">
        <f>INPUT!AM813</f>
        <v>27.35719014887048</v>
      </c>
      <c r="AN50" s="523">
        <f>INPUT!AN813</f>
        <v>47.268770923003338</v>
      </c>
      <c r="AO50" s="339">
        <f>INPUT!AO813</f>
        <v>2.9562010289439167</v>
      </c>
      <c r="AP50" s="523">
        <f>INPUT!AP813</f>
        <v>46.504166666666663</v>
      </c>
      <c r="AQ50" s="339">
        <f>INPUT!AQ813</f>
        <v>-1.639095438386029E-2</v>
      </c>
      <c r="AR50" s="523">
        <f>INPUT!AR813</f>
        <v>47.178821178821188</v>
      </c>
      <c r="AS50" s="339">
        <f>INPUT!AS813</f>
        <v>-0.76709731513567858</v>
      </c>
      <c r="AT50" s="523">
        <f>INPUT!AT813</f>
        <v>48.966598150051375</v>
      </c>
      <c r="AU50" s="339">
        <f>INPUT!AU813</f>
        <v>2.8246504082363177</v>
      </c>
      <c r="AV50" s="523">
        <f>INPUT!AV813</f>
        <v>48.247687564234326</v>
      </c>
      <c r="AW50" s="339">
        <f>INPUT!AW813</f>
        <v>2.0709585252926432</v>
      </c>
      <c r="AX50" s="523">
        <f>INPUT!AX813</f>
        <v>49.523433385992625</v>
      </c>
      <c r="AY50" s="339">
        <f>INPUT!AY813</f>
        <v>6.4924649461359341</v>
      </c>
      <c r="AZ50" s="523">
        <f>INPUT!AZ813</f>
        <v>52.156371730662215</v>
      </c>
      <c r="BA50" s="339">
        <f>INPUT!BA813</f>
        <v>10.550391950181815</v>
      </c>
      <c r="BB50" s="523">
        <f>INPUT!BB813</f>
        <v>53.130773511407916</v>
      </c>
      <c r="BC50" s="339">
        <f>INPUT!BC813</f>
        <v>8.5041140668910664</v>
      </c>
      <c r="BD50" s="523">
        <f>INPUT!BD813</f>
        <v>34.325581395348834</v>
      </c>
      <c r="BE50" s="339">
        <f>INPUT!BE813</f>
        <v>-28.855488981415668</v>
      </c>
      <c r="BF50" s="523">
        <f>INPUT!BF813</f>
        <v>34.88686031192762</v>
      </c>
      <c r="BG50" s="339">
        <f>INPUT!BG813</f>
        <v>-29.55484317895629</v>
      </c>
      <c r="BH50" s="523">
        <f>INPUT!BH813</f>
        <v>35.780994024715774</v>
      </c>
      <c r="BI50" s="339">
        <f>INPUT!BI813</f>
        <v>-31.396696439141913</v>
      </c>
      <c r="BJ50" s="523">
        <f>INPUT!BJ813</f>
        <v>36.45235659156193</v>
      </c>
      <c r="BK50" s="339">
        <f>INPUT!BK813</f>
        <v>-31.391255608700853</v>
      </c>
      <c r="BL50" s="523">
        <f>INPUT!BL813</f>
        <v>37.202429156372965</v>
      </c>
      <c r="BM50" s="339">
        <f>INPUT!BM813</f>
        <v>8.3810605504090585</v>
      </c>
      <c r="BN50" s="347"/>
      <c r="BO50" s="523"/>
      <c r="BP50" s="340"/>
      <c r="BQ50" s="523">
        <f>INPUT!BW813</f>
        <v>31.89302147239264</v>
      </c>
      <c r="BR50" s="340" t="str">
        <f>INPUT!BX813</f>
        <v>NA</v>
      </c>
      <c r="BS50" s="523">
        <f>INPUT!BY813</f>
        <v>34.710928544134504</v>
      </c>
      <c r="BT50" s="340">
        <f>INPUT!BZ813</f>
        <v>8.8354973647796662</v>
      </c>
      <c r="BU50" s="523">
        <f>INPUT!CA813</f>
        <v>45.911533691608085</v>
      </c>
      <c r="BV50" s="340">
        <f>INPUT!CB813</f>
        <v>32.268238325091623</v>
      </c>
      <c r="BW50" s="523">
        <f>INPUT!CC813</f>
        <v>47.268770923003338</v>
      </c>
      <c r="BX50" s="340">
        <f>INPUT!CD813</f>
        <v>2.9562010289439167</v>
      </c>
      <c r="BY50" s="523">
        <f>INPUT!CE813</f>
        <v>48.247687564234326</v>
      </c>
      <c r="BZ50" s="340">
        <f>INPUT!CF813</f>
        <v>2.0709585252926432</v>
      </c>
      <c r="CA50" s="523">
        <f>INPUT!CG813</f>
        <v>34.325581395348834</v>
      </c>
      <c r="CB50" s="340">
        <f>INPUT!CH813</f>
        <v>-28.855488981415668</v>
      </c>
      <c r="CC50" s="523">
        <f>INPUT!CI813</f>
        <v>37.202429156372965</v>
      </c>
      <c r="CD50" s="340">
        <f>INPUT!CJ813</f>
        <v>8.3810605504090585</v>
      </c>
      <c r="CE50" s="523">
        <f>INPUT!CK813</f>
        <v>42.098056758168283</v>
      </c>
      <c r="CF50" s="340">
        <f>INPUT!CL813</f>
        <v>13.159429942645762</v>
      </c>
      <c r="CG50" s="523">
        <f>INPUT!CM813</f>
        <v>47.718628597153007</v>
      </c>
      <c r="CH50" s="340">
        <f>INPUT!CN813</f>
        <v>13.351143192361636</v>
      </c>
      <c r="CI50" s="523">
        <f>INPUT!CO813</f>
        <v>54.151875038361851</v>
      </c>
      <c r="CJ50" s="340">
        <f>INPUT!CP813</f>
        <v>13.48162474558765</v>
      </c>
      <c r="CK50" s="523">
        <f>INPUT!CQ813</f>
        <v>61.497863820823049</v>
      </c>
      <c r="CL50" s="340">
        <f>INPUT!CR813</f>
        <v>13.565529868092675</v>
      </c>
      <c r="CM50" s="610">
        <f>INPUT!CS813</f>
        <v>0</v>
      </c>
    </row>
    <row r="51" spans="1:162" s="331" customFormat="1" ht="4.5" customHeight="1" x14ac:dyDescent="0.2">
      <c r="A51" s="603"/>
      <c r="B51" s="515"/>
      <c r="C51" s="515"/>
      <c r="D51" s="515"/>
      <c r="E51" s="515"/>
      <c r="F51" s="515"/>
      <c r="G51" s="515"/>
      <c r="H51" s="515"/>
      <c r="I51" s="515"/>
      <c r="J51" s="515"/>
      <c r="K51" s="339"/>
      <c r="L51" s="515"/>
      <c r="M51" s="339"/>
      <c r="N51" s="515"/>
      <c r="O51" s="339"/>
      <c r="P51" s="515"/>
      <c r="Q51" s="339"/>
      <c r="R51" s="515"/>
      <c r="S51" s="339"/>
      <c r="T51" s="515"/>
      <c r="U51" s="339"/>
      <c r="V51" s="515"/>
      <c r="W51" s="339"/>
      <c r="X51" s="515"/>
      <c r="Y51" s="339"/>
      <c r="Z51" s="515"/>
      <c r="AA51" s="339"/>
      <c r="AB51" s="515"/>
      <c r="AC51" s="339"/>
      <c r="AD51" s="515"/>
      <c r="AE51" s="339"/>
      <c r="AF51" s="515"/>
      <c r="AG51" s="339"/>
      <c r="AH51" s="515"/>
      <c r="AI51" s="339"/>
      <c r="AJ51" s="515"/>
      <c r="AK51" s="339"/>
      <c r="AL51" s="515"/>
      <c r="AM51" s="339"/>
      <c r="AN51" s="515"/>
      <c r="AO51" s="339"/>
      <c r="AP51" s="515"/>
      <c r="AQ51" s="339"/>
      <c r="AR51" s="515"/>
      <c r="AS51" s="339"/>
      <c r="AT51" s="515"/>
      <c r="AU51" s="339"/>
      <c r="AV51" s="515"/>
      <c r="AW51" s="339"/>
      <c r="AX51" s="515"/>
      <c r="AY51" s="339"/>
      <c r="AZ51" s="515"/>
      <c r="BA51" s="339"/>
      <c r="BB51" s="515"/>
      <c r="BC51" s="339"/>
      <c r="BD51" s="515"/>
      <c r="BE51" s="339"/>
      <c r="BF51" s="515"/>
      <c r="BG51" s="339"/>
      <c r="BH51" s="515"/>
      <c r="BI51" s="339"/>
      <c r="BJ51" s="515"/>
      <c r="BK51" s="339"/>
      <c r="BL51" s="515"/>
      <c r="BM51" s="339"/>
      <c r="BN51" s="347"/>
      <c r="BO51" s="515"/>
      <c r="BP51" s="340"/>
      <c r="BQ51" s="515"/>
      <c r="BR51" s="340"/>
      <c r="BS51" s="515"/>
      <c r="BT51" s="340"/>
      <c r="BU51" s="515"/>
      <c r="BV51" s="340"/>
      <c r="BW51" s="515"/>
      <c r="BX51" s="340"/>
      <c r="BY51" s="515"/>
      <c r="BZ51" s="340"/>
      <c r="CA51" s="515"/>
      <c r="CB51" s="340"/>
      <c r="CC51" s="515"/>
      <c r="CD51" s="340"/>
      <c r="CE51" s="515"/>
      <c r="CF51" s="340"/>
      <c r="CG51" s="515"/>
      <c r="CH51" s="340"/>
      <c r="CI51" s="515"/>
      <c r="CJ51" s="340"/>
      <c r="CK51" s="515"/>
      <c r="CL51" s="340"/>
      <c r="CM51" s="610"/>
    </row>
    <row r="52" spans="1:162" s="331" customFormat="1" ht="11.25" customHeight="1" x14ac:dyDescent="0.2">
      <c r="A52" s="624" t="s">
        <v>252</v>
      </c>
      <c r="B52" s="512"/>
      <c r="C52" s="512"/>
      <c r="D52" s="512"/>
      <c r="E52" s="512"/>
      <c r="F52" s="512"/>
      <c r="G52" s="512"/>
      <c r="H52" s="512"/>
      <c r="I52" s="512"/>
      <c r="J52" s="512"/>
      <c r="K52" s="513"/>
      <c r="L52" s="512"/>
      <c r="M52" s="513"/>
      <c r="N52" s="512"/>
      <c r="O52" s="513"/>
      <c r="P52" s="512"/>
      <c r="Q52" s="513"/>
      <c r="R52" s="512"/>
      <c r="S52" s="513"/>
      <c r="T52" s="512"/>
      <c r="U52" s="513"/>
      <c r="V52" s="512"/>
      <c r="W52" s="513"/>
      <c r="X52" s="512"/>
      <c r="Y52" s="513"/>
      <c r="Z52" s="512"/>
      <c r="AA52" s="513"/>
      <c r="AB52" s="512"/>
      <c r="AC52" s="513"/>
      <c r="AD52" s="512"/>
      <c r="AE52" s="513"/>
      <c r="AF52" s="512"/>
      <c r="AG52" s="513"/>
      <c r="AH52" s="512"/>
      <c r="AI52" s="513"/>
      <c r="AJ52" s="512"/>
      <c r="AK52" s="513"/>
      <c r="AL52" s="512"/>
      <c r="AM52" s="513"/>
      <c r="AN52" s="512"/>
      <c r="AO52" s="513"/>
      <c r="AP52" s="512"/>
      <c r="AQ52" s="513"/>
      <c r="AR52" s="512"/>
      <c r="AS52" s="513"/>
      <c r="AT52" s="512"/>
      <c r="AU52" s="513"/>
      <c r="AV52" s="512"/>
      <c r="AW52" s="513"/>
      <c r="AX52" s="512"/>
      <c r="AY52" s="513"/>
      <c r="AZ52" s="512"/>
      <c r="BA52" s="513"/>
      <c r="BB52" s="512"/>
      <c r="BC52" s="513"/>
      <c r="BD52" s="512"/>
      <c r="BE52" s="513"/>
      <c r="BF52" s="512"/>
      <c r="BG52" s="513"/>
      <c r="BH52" s="512"/>
      <c r="BI52" s="513"/>
      <c r="BJ52" s="512"/>
      <c r="BK52" s="513"/>
      <c r="BL52" s="512"/>
      <c r="BM52" s="513"/>
      <c r="BN52" s="367"/>
      <c r="BO52" s="512"/>
      <c r="BP52" s="514"/>
      <c r="BQ52" s="512"/>
      <c r="BR52" s="514"/>
      <c r="BS52" s="512"/>
      <c r="BT52" s="514"/>
      <c r="BU52" s="512"/>
      <c r="BV52" s="514"/>
      <c r="BW52" s="512"/>
      <c r="BX52" s="514"/>
      <c r="BY52" s="512"/>
      <c r="BZ52" s="514"/>
      <c r="CA52" s="512"/>
      <c r="CB52" s="514"/>
      <c r="CC52" s="512"/>
      <c r="CD52" s="514"/>
      <c r="CE52" s="512"/>
      <c r="CF52" s="514"/>
      <c r="CG52" s="512"/>
      <c r="CH52" s="514"/>
      <c r="CI52" s="512"/>
      <c r="CJ52" s="514"/>
      <c r="CK52" s="512"/>
      <c r="CL52" s="514"/>
      <c r="CM52" s="608"/>
    </row>
    <row r="53" spans="1:162" s="331" customFormat="1" ht="11.25" customHeight="1" x14ac:dyDescent="0.2">
      <c r="A53" s="603" t="s">
        <v>29</v>
      </c>
      <c r="B53" s="523">
        <f>INPUT!B732</f>
        <v>0</v>
      </c>
      <c r="C53" s="523"/>
      <c r="D53" s="523">
        <f>INPUT!D732</f>
        <v>0</v>
      </c>
      <c r="E53" s="523"/>
      <c r="F53" s="523">
        <f>INPUT!F732</f>
        <v>0</v>
      </c>
      <c r="G53" s="523"/>
      <c r="H53" s="523">
        <f>INPUT!H732</f>
        <v>0</v>
      </c>
      <c r="I53" s="523"/>
      <c r="J53" s="523">
        <f>INPUT!J732</f>
        <v>0</v>
      </c>
      <c r="K53" s="524" t="str">
        <f>INPUT!K732</f>
        <v>NA</v>
      </c>
      <c r="L53" s="523">
        <f>INPUT!L732</f>
        <v>0</v>
      </c>
      <c r="M53" s="524" t="str">
        <f>INPUT!M732</f>
        <v>NA</v>
      </c>
      <c r="N53" s="523">
        <f>INPUT!N732</f>
        <v>0</v>
      </c>
      <c r="O53" s="524" t="str">
        <f>INPUT!O732</f>
        <v>NA</v>
      </c>
      <c r="P53" s="523">
        <f>INPUT!P732</f>
        <v>0</v>
      </c>
      <c r="Q53" s="524" t="str">
        <f>INPUT!Q732</f>
        <v>NA</v>
      </c>
      <c r="R53" s="523">
        <f>INPUT!R732</f>
        <v>0</v>
      </c>
      <c r="S53" s="524" t="str">
        <f>INPUT!S732</f>
        <v>NA</v>
      </c>
      <c r="T53" s="523">
        <f>INPUT!T732</f>
        <v>0</v>
      </c>
      <c r="U53" s="524" t="str">
        <f>INPUT!U732</f>
        <v>NA</v>
      </c>
      <c r="V53" s="523">
        <f>INPUT!V732</f>
        <v>0</v>
      </c>
      <c r="W53" s="524" t="str">
        <f>INPUT!W732</f>
        <v>NA</v>
      </c>
      <c r="X53" s="523">
        <f>INPUT!X732</f>
        <v>0.01</v>
      </c>
      <c r="Y53" s="524" t="str">
        <f>INPUT!Y732</f>
        <v>NA</v>
      </c>
      <c r="Z53" s="523">
        <f>INPUT!Z732</f>
        <v>0.01</v>
      </c>
      <c r="AA53" s="524" t="str">
        <f>INPUT!AA732</f>
        <v>NA</v>
      </c>
      <c r="AB53" s="523">
        <f>INPUT!AB732</f>
        <v>0.01</v>
      </c>
      <c r="AC53" s="524" t="str">
        <f>INPUT!AC732</f>
        <v>NA</v>
      </c>
      <c r="AD53" s="523">
        <f>INPUT!AD732</f>
        <v>0.01</v>
      </c>
      <c r="AE53" s="524" t="str">
        <f>INPUT!AE732</f>
        <v>NA</v>
      </c>
      <c r="AF53" s="523">
        <f>INPUT!AF732</f>
        <v>0.01</v>
      </c>
      <c r="AG53" s="524">
        <f>INPUT!AG732</f>
        <v>0</v>
      </c>
      <c r="AH53" s="523">
        <f>INPUT!AH732</f>
        <v>0.01</v>
      </c>
      <c r="AI53" s="524">
        <f>INPUT!AI732</f>
        <v>0</v>
      </c>
      <c r="AJ53" s="523">
        <f>INPUT!AJ732</f>
        <v>0.01</v>
      </c>
      <c r="AK53" s="524">
        <f>INPUT!AK732</f>
        <v>0</v>
      </c>
      <c r="AL53" s="523">
        <f>INPUT!AL732</f>
        <v>0.01</v>
      </c>
      <c r="AM53" s="524">
        <f>INPUT!AM732</f>
        <v>0</v>
      </c>
      <c r="AN53" s="523">
        <f>INPUT!AN732</f>
        <v>0.01</v>
      </c>
      <c r="AO53" s="524">
        <f>INPUT!AO732</f>
        <v>0</v>
      </c>
      <c r="AP53" s="523">
        <f>INPUT!AP732</f>
        <v>0.01</v>
      </c>
      <c r="AQ53" s="524">
        <f>INPUT!AQ732</f>
        <v>0</v>
      </c>
      <c r="AR53" s="523">
        <f>INPUT!AR732</f>
        <v>0.01</v>
      </c>
      <c r="AS53" s="524">
        <f>INPUT!AS732</f>
        <v>0</v>
      </c>
      <c r="AT53" s="523">
        <f>INPUT!AT732</f>
        <v>0.01</v>
      </c>
      <c r="AU53" s="524">
        <f>INPUT!AU732</f>
        <v>0</v>
      </c>
      <c r="AV53" s="523">
        <f>INPUT!AV732</f>
        <v>0.01</v>
      </c>
      <c r="AW53" s="524">
        <f>INPUT!AW732</f>
        <v>0</v>
      </c>
      <c r="AX53" s="523">
        <f>INPUT!AX732</f>
        <v>0.01</v>
      </c>
      <c r="AY53" s="524">
        <f>INPUT!AY732</f>
        <v>0</v>
      </c>
      <c r="AZ53" s="523">
        <f>INPUT!AZ732</f>
        <v>0.01</v>
      </c>
      <c r="BA53" s="524">
        <f>INPUT!BA732</f>
        <v>0</v>
      </c>
      <c r="BB53" s="523">
        <f>INPUT!BB732</f>
        <v>0.01</v>
      </c>
      <c r="BC53" s="524">
        <f>INPUT!BC732</f>
        <v>0</v>
      </c>
      <c r="BD53" s="523">
        <f>INPUT!BD732</f>
        <v>0.01</v>
      </c>
      <c r="BE53" s="524">
        <f>INPUT!BE732</f>
        <v>0</v>
      </c>
      <c r="BF53" s="523">
        <f>INPUT!BF732</f>
        <v>0.01</v>
      </c>
      <c r="BG53" s="524">
        <f>INPUT!BG732</f>
        <v>0</v>
      </c>
      <c r="BH53" s="523">
        <f>INPUT!BH732</f>
        <v>0.01</v>
      </c>
      <c r="BI53" s="524">
        <f>INPUT!BI732</f>
        <v>0</v>
      </c>
      <c r="BJ53" s="523">
        <f>INPUT!BJ732</f>
        <v>0.01</v>
      </c>
      <c r="BK53" s="524">
        <f>INPUT!BK732</f>
        <v>0</v>
      </c>
      <c r="BL53" s="523">
        <f>INPUT!BL732</f>
        <v>0.01</v>
      </c>
      <c r="BM53" s="524">
        <f>INPUT!BM732</f>
        <v>0</v>
      </c>
      <c r="BN53" s="347"/>
      <c r="BO53" s="523">
        <f>INPUT!BU732</f>
        <v>0</v>
      </c>
      <c r="BP53" s="340" t="str">
        <f>INPUT!BV732</f>
        <v>NA</v>
      </c>
      <c r="BQ53" s="523">
        <f>INPUT!BW732</f>
        <v>0</v>
      </c>
      <c r="BR53" s="340" t="str">
        <f>INPUT!BX732</f>
        <v>NA</v>
      </c>
      <c r="BS53" s="523">
        <f>INPUT!BY732</f>
        <v>0.01</v>
      </c>
      <c r="BT53" s="340" t="str">
        <f>INPUT!BZ732</f>
        <v>NA</v>
      </c>
      <c r="BU53" s="523">
        <f>INPUT!CA732</f>
        <v>0.04</v>
      </c>
      <c r="BV53" s="340" t="str">
        <f>INPUT!CB732</f>
        <v>NM</v>
      </c>
      <c r="BW53" s="523">
        <f>INPUT!CC732</f>
        <v>0.04</v>
      </c>
      <c r="BX53" s="340">
        <f>INPUT!CD732</f>
        <v>0</v>
      </c>
      <c r="BY53" s="523">
        <f>INPUT!CE732</f>
        <v>0.04</v>
      </c>
      <c r="BZ53" s="340">
        <f>INPUT!CF732</f>
        <v>0</v>
      </c>
      <c r="CA53" s="523">
        <f>INPUT!CG732</f>
        <v>0.04</v>
      </c>
      <c r="CB53" s="340">
        <f>INPUT!CH732</f>
        <v>0</v>
      </c>
      <c r="CC53" s="523">
        <f>INPUT!CI732</f>
        <v>0.04</v>
      </c>
      <c r="CD53" s="340">
        <f>INPUT!CJ732</f>
        <v>0</v>
      </c>
      <c r="CE53" s="523">
        <f>INPUT!CK732</f>
        <v>4.4000000000000004E-2</v>
      </c>
      <c r="CF53" s="340">
        <f>INPUT!CL732</f>
        <v>10.000000000000009</v>
      </c>
      <c r="CG53" s="523">
        <f>INPUT!CM732</f>
        <v>4.8400000000000006E-2</v>
      </c>
      <c r="CH53" s="340">
        <f>INPUT!CN732</f>
        <v>10.000000000000009</v>
      </c>
      <c r="CI53" s="523">
        <f>INPUT!CO732</f>
        <v>5.324000000000001E-2</v>
      </c>
      <c r="CJ53" s="340">
        <f>INPUT!CP732</f>
        <v>10.000000000000009</v>
      </c>
      <c r="CK53" s="523">
        <f>INPUT!CQ732</f>
        <v>5.8564000000000012E-2</v>
      </c>
      <c r="CL53" s="340">
        <f>INPUT!CR732</f>
        <v>10.000000000000009</v>
      </c>
      <c r="CM53" s="610">
        <f>INPUT!CS732</f>
        <v>7.9230345298890725</v>
      </c>
    </row>
    <row r="54" spans="1:162" s="331" customFormat="1" ht="11.25" customHeight="1" x14ac:dyDescent="0.2">
      <c r="A54" s="625" t="s">
        <v>30</v>
      </c>
      <c r="B54" s="626">
        <f>INPUT!B733</f>
        <v>0</v>
      </c>
      <c r="C54" s="626"/>
      <c r="D54" s="626">
        <f>INPUT!D733</f>
        <v>0</v>
      </c>
      <c r="E54" s="626"/>
      <c r="F54" s="626">
        <f>INPUT!F733</f>
        <v>0</v>
      </c>
      <c r="G54" s="626"/>
      <c r="H54" s="626">
        <f>INPUT!H733</f>
        <v>0</v>
      </c>
      <c r="I54" s="626"/>
      <c r="J54" s="626">
        <f>INPUT!J733</f>
        <v>0</v>
      </c>
      <c r="K54" s="627" t="str">
        <f>INPUT!K733</f>
        <v>NA</v>
      </c>
      <c r="L54" s="626">
        <f>INPUT!L733</f>
        <v>0</v>
      </c>
      <c r="M54" s="627" t="str">
        <f>INPUT!M733</f>
        <v>NA</v>
      </c>
      <c r="N54" s="626">
        <f>INPUT!N733</f>
        <v>0</v>
      </c>
      <c r="O54" s="627" t="str">
        <f>INPUT!O733</f>
        <v>NA</v>
      </c>
      <c r="P54" s="626">
        <f>INPUT!P733</f>
        <v>0</v>
      </c>
      <c r="Q54" s="627" t="str">
        <f>INPUT!Q733</f>
        <v>NA</v>
      </c>
      <c r="R54" s="626">
        <f>INPUT!R733</f>
        <v>0</v>
      </c>
      <c r="S54" s="627" t="str">
        <f>INPUT!S733</f>
        <v>NA</v>
      </c>
      <c r="T54" s="626">
        <f>INPUT!T733</f>
        <v>0</v>
      </c>
      <c r="U54" s="627" t="str">
        <f>INPUT!U733</f>
        <v>NA</v>
      </c>
      <c r="V54" s="626">
        <f>INPUT!V733</f>
        <v>0</v>
      </c>
      <c r="W54" s="627" t="str">
        <f>INPUT!W733</f>
        <v>NA</v>
      </c>
      <c r="X54" s="626">
        <f>INPUT!X733</f>
        <v>1.3285566516133924</v>
      </c>
      <c r="Y54" s="627" t="str">
        <f>INPUT!Y733</f>
        <v>NA</v>
      </c>
      <c r="Z54" s="626">
        <f>INPUT!Z733</f>
        <v>1.7541523815863915</v>
      </c>
      <c r="AA54" s="627" t="str">
        <f>INPUT!AA733</f>
        <v>NA</v>
      </c>
      <c r="AB54" s="626">
        <f>INPUT!AB733</f>
        <v>1.2009562649416399</v>
      </c>
      <c r="AC54" s="627" t="str">
        <f>INPUT!AC733</f>
        <v>NA</v>
      </c>
      <c r="AD54" s="626">
        <f>INPUT!AD733</f>
        <v>1.3294314381270902</v>
      </c>
      <c r="AE54" s="627" t="str">
        <f>INPUT!AE733</f>
        <v>NA</v>
      </c>
      <c r="AF54" s="626">
        <f>INPUT!AF733</f>
        <v>1.0055090797796373</v>
      </c>
      <c r="AG54" s="627">
        <f>INPUT!AG733</f>
        <v>-24.315679082367147</v>
      </c>
      <c r="AH54" s="626">
        <f>INPUT!AH733</f>
        <v>1.2218522203496516</v>
      </c>
      <c r="AI54" s="627">
        <f>INPUT!AI733</f>
        <v>-30.34514941942199</v>
      </c>
      <c r="AJ54" s="626">
        <f>INPUT!AJ733</f>
        <v>1.2873949579831929</v>
      </c>
      <c r="AK54" s="627">
        <f>INPUT!AK733</f>
        <v>7.1974888315981644</v>
      </c>
      <c r="AL54" s="626">
        <f>INPUT!AL733</f>
        <v>2.3984210752134612</v>
      </c>
      <c r="AM54" s="627">
        <f>INPUT!AM733</f>
        <v>80.409534965742125</v>
      </c>
      <c r="AN54" s="626">
        <f>INPUT!AN733</f>
        <v>1.1017934749341984</v>
      </c>
      <c r="AO54" s="627">
        <f>INPUT!AO733</f>
        <v>9.5756862957082625</v>
      </c>
      <c r="AP54" s="626">
        <f>INPUT!AP733</f>
        <v>3.5263761467890009</v>
      </c>
      <c r="AQ54" s="627" t="str">
        <f>INPUT!AQ733</f>
        <v>NM</v>
      </c>
      <c r="AR54" s="626">
        <f>INPUT!AR733</f>
        <v>2.2932161370295234</v>
      </c>
      <c r="AS54" s="627">
        <f>INPUT!AS733</f>
        <v>78.12840751077897</v>
      </c>
      <c r="AT54" s="626">
        <f>INPUT!AT733</f>
        <v>-8.0304479515383225</v>
      </c>
      <c r="AU54" s="627" t="str">
        <f>INPUT!AU733</f>
        <v>NM</v>
      </c>
      <c r="AV54" s="626">
        <f>INPUT!AV733</f>
        <v>1.9375196602705278</v>
      </c>
      <c r="AW54" s="627">
        <f>INPUT!AW733</f>
        <v>75.851437165775621</v>
      </c>
      <c r="AX54" s="626">
        <f>INPUT!AX733</f>
        <v>1.9661784934056192</v>
      </c>
      <c r="AY54" s="627">
        <f>INPUT!AY733</f>
        <v>-44.243653780497716</v>
      </c>
      <c r="AZ54" s="626">
        <f>INPUT!AZ733</f>
        <v>2.579714128642113</v>
      </c>
      <c r="BA54" s="627">
        <f>INPUT!BA733</f>
        <v>12.493283427863</v>
      </c>
      <c r="BB54" s="626">
        <f>INPUT!BB733</f>
        <v>6.3562865904655625</v>
      </c>
      <c r="BC54" s="627" t="str">
        <f>INPUT!BC733</f>
        <v>NM</v>
      </c>
      <c r="BD54" s="626">
        <f>INPUT!BD733</f>
        <v>1.1525381030356472</v>
      </c>
      <c r="BE54" s="627">
        <f>INPUT!BE733</f>
        <v>-40.514766034698035</v>
      </c>
      <c r="BF54" s="626">
        <f>INPUT!BF733</f>
        <v>1.1543858045243642</v>
      </c>
      <c r="BG54" s="627">
        <f>INPUT!BG733</f>
        <v>-41.287842970713626</v>
      </c>
      <c r="BH54" s="626">
        <f>INPUT!BH733</f>
        <v>0.95601108349360109</v>
      </c>
      <c r="BI54" s="627" t="str">
        <f>INPUT!BI733</f>
        <v>NM</v>
      </c>
      <c r="BJ54" s="626">
        <f>INPUT!BJ733</f>
        <v>0.87550422439072517</v>
      </c>
      <c r="BK54" s="627" t="str">
        <f>INPUT!BK733</f>
        <v>NM</v>
      </c>
      <c r="BL54" s="626">
        <f>INPUT!BL733</f>
        <v>0.82657518721130885</v>
      </c>
      <c r="BM54" s="627">
        <f>INPUT!BM733</f>
        <v>-28.282181297589304</v>
      </c>
      <c r="BN54" s="628"/>
      <c r="BO54" s="626">
        <f>INPUT!BU733</f>
        <v>0</v>
      </c>
      <c r="BP54" s="629" t="str">
        <f>INPUT!BV733</f>
        <v>NA</v>
      </c>
      <c r="BQ54" s="626">
        <f>INPUT!BW733</f>
        <v>0</v>
      </c>
      <c r="BR54" s="629" t="str">
        <f>INPUT!BX733</f>
        <v>NA</v>
      </c>
      <c r="BS54" s="626">
        <f>INPUT!BY733</f>
        <v>0.30537313613844874</v>
      </c>
      <c r="BT54" s="629" t="str">
        <f>INPUT!BZ733</f>
        <v>NA</v>
      </c>
      <c r="BU54" s="626">
        <f>INPUT!CA733</f>
        <v>1.2756967579426339</v>
      </c>
      <c r="BV54" s="629" t="str">
        <f>INPUT!CB733</f>
        <v>NM</v>
      </c>
      <c r="BW54" s="626">
        <f>INPUT!CC733</f>
        <v>1.3690490516992402</v>
      </c>
      <c r="BX54" s="629">
        <f>INPUT!CD733</f>
        <v>7.31774954944302</v>
      </c>
      <c r="BY54" s="626">
        <f>INPUT!CE733</f>
        <v>3.6105967810853179</v>
      </c>
      <c r="BZ54" s="629" t="str">
        <f>INPUT!CF733</f>
        <v>NM</v>
      </c>
      <c r="CA54" s="626">
        <f>INPUT!CG733</f>
        <v>2.0815464985463974</v>
      </c>
      <c r="CB54" s="629">
        <f>INPUT!CH733</f>
        <v>-42.348962657616383</v>
      </c>
      <c r="CC54" s="626">
        <f>INPUT!CI733</f>
        <v>0.94137812794173747</v>
      </c>
      <c r="CD54" s="629" t="str">
        <f>INPUT!CJ733</f>
        <v>NM</v>
      </c>
      <c r="CE54" s="626">
        <f>INPUT!CK733</f>
        <v>0.83848592570901981</v>
      </c>
      <c r="CF54" s="629">
        <f>INPUT!CL733</f>
        <v>-10.929954624894977</v>
      </c>
      <c r="CG54" s="626">
        <f>INPUT!CM733</f>
        <v>0.83492897066341654</v>
      </c>
      <c r="CH54" s="629">
        <f>INPUT!CN733</f>
        <v>-0.42421165776820313</v>
      </c>
      <c r="CI54" s="626">
        <f>INPUT!CO733</f>
        <v>0.831663314184789</v>
      </c>
      <c r="CJ54" s="629">
        <f>INPUT!CP733</f>
        <v>-0.39112985575679993</v>
      </c>
      <c r="CK54" s="626">
        <f>INPUT!CQ733</f>
        <v>0.82535800762195743</v>
      </c>
      <c r="CL54" s="629">
        <f>INPUT!CR733</f>
        <v>-0.75815614988525848</v>
      </c>
      <c r="CM54" s="630">
        <f>INPUT!CS733</f>
        <v>-16.890388827420523</v>
      </c>
    </row>
    <row r="55" spans="1:162" s="331" customFormat="1" x14ac:dyDescent="0.2">
      <c r="K55" s="332"/>
      <c r="M55" s="332"/>
      <c r="O55" s="332"/>
      <c r="Q55" s="332"/>
      <c r="S55" s="332"/>
      <c r="U55" s="332"/>
      <c r="W55" s="332"/>
      <c r="Y55" s="332"/>
      <c r="AA55" s="332"/>
      <c r="AC55" s="332"/>
      <c r="AE55" s="332"/>
      <c r="AG55" s="332"/>
      <c r="AI55" s="332"/>
      <c r="AK55" s="332"/>
      <c r="AM55" s="332"/>
      <c r="AO55" s="332"/>
      <c r="AQ55" s="332"/>
      <c r="AS55" s="332"/>
      <c r="AU55" s="332"/>
      <c r="AW55" s="332"/>
      <c r="AY55" s="332"/>
      <c r="BA55" s="332"/>
      <c r="BC55" s="332"/>
      <c r="BE55" s="332"/>
      <c r="BG55" s="332"/>
      <c r="BI55" s="332"/>
      <c r="BK55" s="332"/>
      <c r="BM55" s="332"/>
      <c r="BN55" s="369"/>
      <c r="BP55" s="385"/>
      <c r="BR55" s="385"/>
      <c r="BT55" s="385"/>
      <c r="BV55" s="385"/>
      <c r="BX55" s="385"/>
      <c r="BZ55" s="385"/>
      <c r="CB55" s="385"/>
      <c r="CD55" s="385"/>
      <c r="CF55" s="385"/>
      <c r="CH55" s="385"/>
      <c r="CJ55" s="385"/>
      <c r="CL55" s="385"/>
      <c r="CM55" s="332"/>
    </row>
    <row r="56" spans="1:162" s="360" customFormat="1" ht="12" customHeight="1" x14ac:dyDescent="0.2">
      <c r="A56" s="295" t="s">
        <v>253</v>
      </c>
      <c r="B56" s="370"/>
      <c r="C56" s="370"/>
      <c r="D56" s="339"/>
      <c r="E56" s="370"/>
      <c r="F56" s="370"/>
      <c r="G56" s="370"/>
      <c r="H56" s="339"/>
      <c r="I56" s="370"/>
      <c r="J56" s="370"/>
      <c r="K56" s="339"/>
      <c r="L56" s="370"/>
      <c r="M56" s="339"/>
      <c r="N56" s="370"/>
      <c r="O56" s="339"/>
      <c r="P56" s="370"/>
      <c r="Q56" s="339"/>
      <c r="R56" s="370"/>
      <c r="S56" s="339"/>
      <c r="T56" s="370"/>
      <c r="U56" s="339"/>
      <c r="V56" s="370"/>
      <c r="W56" s="339"/>
      <c r="X56" s="370"/>
      <c r="Y56" s="339"/>
      <c r="Z56" s="370"/>
      <c r="AA56" s="339"/>
      <c r="AB56" s="370"/>
      <c r="AC56" s="339"/>
      <c r="AD56" s="370"/>
      <c r="AE56" s="339"/>
      <c r="AF56" s="370"/>
      <c r="AG56" s="339"/>
      <c r="AH56" s="370"/>
      <c r="AI56" s="339"/>
      <c r="AJ56" s="370"/>
      <c r="AK56" s="339"/>
      <c r="AL56" s="370"/>
      <c r="AM56" s="339"/>
      <c r="AN56" s="370"/>
      <c r="AO56" s="339"/>
      <c r="AP56" s="370"/>
      <c r="AQ56" s="339"/>
      <c r="AR56" s="370"/>
      <c r="AS56" s="339"/>
      <c r="AT56" s="370"/>
      <c r="AU56" s="339"/>
      <c r="AV56" s="370"/>
      <c r="AW56" s="339"/>
      <c r="AX56" s="370"/>
      <c r="AY56" s="339"/>
      <c r="AZ56" s="370"/>
      <c r="BA56" s="339"/>
      <c r="BB56" s="370"/>
      <c r="BC56" s="339"/>
      <c r="BD56" s="370"/>
      <c r="BE56" s="339"/>
      <c r="BF56" s="370"/>
      <c r="BG56" s="339"/>
      <c r="BH56" s="370"/>
      <c r="BI56" s="339"/>
      <c r="BJ56" s="370"/>
      <c r="BK56" s="339"/>
      <c r="BL56" s="370"/>
      <c r="BM56" s="339"/>
      <c r="BN56" s="370"/>
      <c r="BO56" s="339"/>
      <c r="BP56" s="340"/>
      <c r="BQ56" s="339"/>
      <c r="BR56" s="340"/>
      <c r="BS56" s="339"/>
      <c r="BT56" s="340"/>
      <c r="BU56" s="339"/>
      <c r="BV56" s="340"/>
      <c r="BW56" s="339"/>
      <c r="BX56" s="340"/>
      <c r="BY56" s="339"/>
      <c r="BZ56" s="340"/>
      <c r="CA56" s="339"/>
      <c r="CB56" s="340"/>
      <c r="CC56" s="339"/>
      <c r="CD56" s="340"/>
      <c r="CE56" s="339"/>
      <c r="CF56" s="340"/>
      <c r="CG56" s="339"/>
      <c r="CH56" s="340"/>
      <c r="CI56" s="339"/>
      <c r="CJ56" s="340"/>
      <c r="CK56" s="339"/>
      <c r="CL56" s="340"/>
      <c r="CM56" s="339"/>
      <c r="CN56" s="370"/>
      <c r="CO56" s="339"/>
      <c r="CP56" s="370"/>
      <c r="CQ56" s="339"/>
      <c r="CR56" s="370"/>
      <c r="CS56" s="339"/>
      <c r="CT56" s="370"/>
      <c r="CU56" s="339"/>
      <c r="CV56" s="370"/>
      <c r="CW56" s="339"/>
      <c r="CX56" s="370"/>
      <c r="CY56" s="339"/>
      <c r="CZ56" s="370"/>
      <c r="DA56" s="339"/>
      <c r="DB56" s="370"/>
      <c r="DC56" s="339"/>
      <c r="DD56" s="370"/>
      <c r="DE56" s="339"/>
      <c r="DF56" s="370"/>
      <c r="DG56" s="339"/>
      <c r="DH56" s="370"/>
      <c r="DI56" s="339"/>
      <c r="DJ56" s="370"/>
      <c r="DK56" s="339"/>
      <c r="DL56" s="370"/>
      <c r="DM56" s="339"/>
      <c r="DN56" s="370"/>
      <c r="DO56" s="339"/>
      <c r="DP56" s="369"/>
      <c r="DQ56" s="370"/>
      <c r="DR56" s="339"/>
      <c r="DS56" s="370"/>
      <c r="DT56" s="339"/>
      <c r="DU56" s="370"/>
      <c r="DV56" s="339"/>
      <c r="DW56" s="370"/>
      <c r="DX56" s="339"/>
      <c r="DY56" s="370"/>
      <c r="DZ56" s="339"/>
      <c r="EA56" s="370"/>
      <c r="EB56" s="339"/>
      <c r="EC56" s="370"/>
      <c r="ED56" s="339"/>
      <c r="EE56" s="370"/>
      <c r="EF56" s="339"/>
      <c r="EG56" s="370"/>
      <c r="EH56" s="339"/>
      <c r="EI56" s="370"/>
      <c r="EJ56" s="339"/>
      <c r="EK56" s="370"/>
      <c r="EL56" s="339"/>
      <c r="EM56" s="370"/>
      <c r="EN56" s="339"/>
      <c r="EO56" s="370"/>
      <c r="EP56" s="339"/>
      <c r="EQ56" s="339"/>
    </row>
    <row r="57" spans="1:162" s="360" customFormat="1" ht="12" customHeight="1" x14ac:dyDescent="0.2">
      <c r="A57" s="295" t="s">
        <v>254</v>
      </c>
      <c r="B57" s="370"/>
      <c r="C57" s="370"/>
      <c r="D57" s="339"/>
      <c r="E57" s="370"/>
      <c r="F57" s="370"/>
      <c r="G57" s="370"/>
      <c r="H57" s="339"/>
      <c r="I57" s="370"/>
      <c r="J57" s="370"/>
      <c r="K57" s="339"/>
      <c r="L57" s="370"/>
      <c r="M57" s="339"/>
      <c r="N57" s="370"/>
      <c r="O57" s="339"/>
      <c r="P57" s="370"/>
      <c r="Q57" s="339"/>
      <c r="R57" s="370"/>
      <c r="S57" s="339"/>
      <c r="T57" s="370"/>
      <c r="U57" s="339"/>
      <c r="V57" s="370"/>
      <c r="W57" s="339"/>
      <c r="X57" s="370"/>
      <c r="Y57" s="339"/>
      <c r="Z57" s="370"/>
      <c r="AA57" s="339"/>
      <c r="AB57" s="370"/>
      <c r="AC57" s="339"/>
      <c r="AD57" s="370"/>
      <c r="AE57" s="339"/>
      <c r="AF57" s="370"/>
      <c r="AG57" s="339"/>
      <c r="AH57" s="370"/>
      <c r="AI57" s="339"/>
      <c r="AJ57" s="370"/>
      <c r="AK57" s="339"/>
      <c r="AL57" s="370"/>
      <c r="AM57" s="339"/>
      <c r="AN57" s="370"/>
      <c r="AO57" s="339"/>
      <c r="AP57" s="370"/>
      <c r="AQ57" s="339"/>
      <c r="AR57" s="370"/>
      <c r="AS57" s="339"/>
      <c r="AT57" s="370"/>
      <c r="AU57" s="339"/>
      <c r="AV57" s="370"/>
      <c r="AW57" s="339"/>
      <c r="AX57" s="370"/>
      <c r="AY57" s="339"/>
      <c r="AZ57" s="370"/>
      <c r="BA57" s="339"/>
      <c r="BB57" s="370"/>
      <c r="BC57" s="339"/>
      <c r="BD57" s="370"/>
      <c r="BE57" s="339"/>
      <c r="BF57" s="370"/>
      <c r="BG57" s="339"/>
      <c r="BH57" s="370"/>
      <c r="BI57" s="339"/>
      <c r="BJ57" s="370"/>
      <c r="BK57" s="339"/>
      <c r="BL57" s="370"/>
      <c r="BM57" s="339"/>
      <c r="BN57" s="370"/>
      <c r="BO57" s="339"/>
      <c r="BP57" s="340"/>
      <c r="BQ57" s="339"/>
      <c r="BR57" s="340"/>
      <c r="BS57" s="339"/>
      <c r="BT57" s="340"/>
      <c r="BU57" s="339"/>
      <c r="BV57" s="340"/>
      <c r="BW57" s="339"/>
      <c r="BX57" s="340"/>
      <c r="BY57" s="339"/>
      <c r="BZ57" s="340"/>
      <c r="CA57" s="339"/>
      <c r="CB57" s="340"/>
      <c r="CC57" s="339"/>
      <c r="CD57" s="340"/>
      <c r="CE57" s="339"/>
      <c r="CF57" s="340"/>
      <c r="CG57" s="339"/>
      <c r="CH57" s="340"/>
      <c r="CI57" s="339"/>
      <c r="CJ57" s="340"/>
      <c r="CK57" s="339"/>
      <c r="CL57" s="340"/>
      <c r="CM57" s="339"/>
      <c r="CN57" s="370"/>
      <c r="CO57" s="339"/>
      <c r="CP57" s="370"/>
      <c r="CQ57" s="339"/>
      <c r="CR57" s="370"/>
      <c r="CS57" s="339"/>
      <c r="CT57" s="370"/>
      <c r="CU57" s="339"/>
      <c r="CV57" s="370"/>
      <c r="CW57" s="339"/>
      <c r="CX57" s="370"/>
      <c r="CY57" s="339"/>
      <c r="CZ57" s="370"/>
      <c r="DA57" s="339"/>
      <c r="DB57" s="370"/>
      <c r="DC57" s="339"/>
      <c r="DD57" s="370"/>
      <c r="DE57" s="339"/>
      <c r="DF57" s="370"/>
      <c r="DG57" s="339"/>
      <c r="DH57" s="370"/>
      <c r="DI57" s="339"/>
      <c r="DJ57" s="370"/>
      <c r="DK57" s="339"/>
      <c r="DL57" s="370"/>
      <c r="DM57" s="339"/>
      <c r="DN57" s="370"/>
      <c r="DO57" s="339"/>
      <c r="DP57" s="369"/>
      <c r="DQ57" s="370"/>
      <c r="DR57" s="339"/>
      <c r="DS57" s="370"/>
      <c r="DT57" s="339"/>
      <c r="DU57" s="370"/>
      <c r="DV57" s="339"/>
      <c r="DW57" s="370"/>
      <c r="DX57" s="339"/>
      <c r="DY57" s="370"/>
      <c r="DZ57" s="339"/>
      <c r="EA57" s="370"/>
      <c r="EB57" s="339"/>
      <c r="EC57" s="370"/>
      <c r="ED57" s="339"/>
      <c r="EE57" s="370"/>
      <c r="EF57" s="339"/>
      <c r="EG57" s="370"/>
      <c r="EH57" s="339"/>
      <c r="EI57" s="370"/>
      <c r="EJ57" s="339"/>
      <c r="EK57" s="370"/>
      <c r="EL57" s="339"/>
      <c r="EM57" s="370"/>
      <c r="EN57" s="339"/>
      <c r="EO57" s="370"/>
      <c r="EP57" s="339"/>
      <c r="EQ57" s="339"/>
    </row>
    <row r="58" spans="1:162" s="331" customFormat="1" x14ac:dyDescent="0.2">
      <c r="K58" s="332"/>
      <c r="M58" s="332"/>
      <c r="O58" s="332"/>
      <c r="Q58" s="332"/>
      <c r="S58" s="332"/>
      <c r="U58" s="332"/>
      <c r="W58" s="332"/>
      <c r="Y58" s="332"/>
      <c r="AA58" s="332"/>
      <c r="AC58" s="332"/>
      <c r="AE58" s="332"/>
      <c r="AG58" s="332"/>
      <c r="AI58" s="332"/>
      <c r="AK58" s="332"/>
      <c r="AM58" s="332"/>
      <c r="AO58" s="332"/>
      <c r="AQ58" s="332"/>
      <c r="AS58" s="332"/>
      <c r="AU58" s="332"/>
      <c r="AW58" s="332"/>
      <c r="AY58" s="332"/>
      <c r="BA58" s="332"/>
      <c r="BC58" s="332"/>
      <c r="BE58" s="332"/>
      <c r="BG58" s="332"/>
      <c r="BI58" s="332"/>
      <c r="BK58" s="332"/>
      <c r="BM58" s="332"/>
      <c r="BN58" s="333"/>
      <c r="BP58" s="385"/>
      <c r="BR58" s="385"/>
      <c r="BT58" s="385"/>
      <c r="BV58" s="385"/>
      <c r="BX58" s="385"/>
      <c r="BZ58" s="385"/>
      <c r="CB58" s="385"/>
      <c r="CD58" s="385"/>
      <c r="CF58" s="385"/>
      <c r="CH58" s="385"/>
      <c r="CJ58" s="385"/>
      <c r="CL58" s="385"/>
      <c r="CM58" s="332"/>
    </row>
    <row r="59" spans="1:162" ht="15.75" x14ac:dyDescent="0.25">
      <c r="A59" s="290" t="str">
        <f>A1</f>
        <v>VOYA Financial</v>
      </c>
    </row>
    <row r="60" spans="1:162" s="382" customFormat="1" x14ac:dyDescent="0.2">
      <c r="A60" s="291" t="s">
        <v>243</v>
      </c>
      <c r="K60" s="383"/>
      <c r="M60" s="383"/>
      <c r="O60" s="383"/>
      <c r="Q60" s="383"/>
      <c r="S60" s="383"/>
      <c r="U60" s="383"/>
      <c r="W60" s="383"/>
      <c r="Y60" s="383"/>
      <c r="AA60" s="383"/>
      <c r="AC60" s="383"/>
      <c r="AE60" s="383"/>
      <c r="AG60" s="383"/>
      <c r="AI60" s="383"/>
      <c r="AK60" s="383"/>
      <c r="AM60" s="383"/>
      <c r="AO60" s="383"/>
      <c r="AQ60" s="383"/>
      <c r="AS60" s="383"/>
      <c r="AU60" s="383"/>
      <c r="AW60" s="383"/>
      <c r="AY60" s="383"/>
      <c r="BA60" s="383"/>
      <c r="BC60" s="383"/>
      <c r="BE60" s="383"/>
      <c r="BG60" s="383"/>
      <c r="BI60" s="383"/>
      <c r="BK60" s="383"/>
      <c r="BM60" s="383"/>
      <c r="BN60" s="303"/>
      <c r="BP60" s="384"/>
      <c r="BR60" s="384"/>
      <c r="BT60" s="384"/>
      <c r="BV60" s="384"/>
      <c r="BX60" s="384"/>
      <c r="BZ60" s="384"/>
      <c r="CB60" s="384"/>
      <c r="CD60" s="384"/>
      <c r="CF60" s="384"/>
      <c r="CH60" s="384"/>
      <c r="CJ60" s="384"/>
      <c r="CL60" s="384"/>
      <c r="CM60" s="383"/>
    </row>
    <row r="61" spans="1:162" s="301" customFormat="1" ht="12" customHeight="1" x14ac:dyDescent="0.2">
      <c r="A61" s="597" t="s">
        <v>242</v>
      </c>
      <c r="B61" s="598"/>
      <c r="C61" s="598"/>
      <c r="D61" s="599"/>
      <c r="E61" s="598"/>
      <c r="F61" s="598"/>
      <c r="G61" s="598"/>
      <c r="H61" s="599"/>
      <c r="I61" s="598"/>
      <c r="J61" s="598"/>
      <c r="K61" s="599" t="str">
        <f>K$3</f>
        <v>1Q12/</v>
      </c>
      <c r="L61" s="599"/>
      <c r="M61" s="599" t="str">
        <f>M$3</f>
        <v>2Q12/</v>
      </c>
      <c r="N61" s="598"/>
      <c r="O61" s="599" t="str">
        <f>O$3</f>
        <v>3Q12/</v>
      </c>
      <c r="P61" s="599"/>
      <c r="Q61" s="599" t="str">
        <f>Q$3</f>
        <v>4Q12/</v>
      </c>
      <c r="R61" s="598"/>
      <c r="S61" s="599" t="str">
        <f>S$3</f>
        <v>1Q13/</v>
      </c>
      <c r="T61" s="599"/>
      <c r="U61" s="599" t="str">
        <f>U$3</f>
        <v>2Q13/</v>
      </c>
      <c r="V61" s="598"/>
      <c r="W61" s="599" t="str">
        <f>W$3</f>
        <v>3Q13/</v>
      </c>
      <c r="X61" s="599"/>
      <c r="Y61" s="599" t="str">
        <f>Y$3</f>
        <v>4Q13/</v>
      </c>
      <c r="Z61" s="599"/>
      <c r="AA61" s="599" t="str">
        <f>AA$3</f>
        <v>1Q14/</v>
      </c>
      <c r="AB61" s="599"/>
      <c r="AC61" s="599" t="str">
        <f>AC$3</f>
        <v>2Q14/</v>
      </c>
      <c r="AD61" s="599"/>
      <c r="AE61" s="599" t="str">
        <f>AE$3</f>
        <v>3Q14/</v>
      </c>
      <c r="AF61" s="599"/>
      <c r="AG61" s="599" t="str">
        <f>AG$3</f>
        <v>4Q14/</v>
      </c>
      <c r="AH61" s="599"/>
      <c r="AI61" s="599" t="str">
        <f>AI$3</f>
        <v>1Q15/</v>
      </c>
      <c r="AJ61" s="599"/>
      <c r="AK61" s="599" t="str">
        <f>AK$3</f>
        <v>2Q15/</v>
      </c>
      <c r="AL61" s="599"/>
      <c r="AM61" s="599" t="str">
        <f>AM$3</f>
        <v>3Q15/</v>
      </c>
      <c r="AN61" s="599"/>
      <c r="AO61" s="599" t="str">
        <f>AO$3</f>
        <v>4Q15/</v>
      </c>
      <c r="AP61" s="599"/>
      <c r="AQ61" s="599" t="str">
        <f>AQ$3</f>
        <v>1Q16/</v>
      </c>
      <c r="AR61" s="599"/>
      <c r="AS61" s="599" t="str">
        <f>AS$3</f>
        <v>2Q16/</v>
      </c>
      <c r="AT61" s="599"/>
      <c r="AU61" s="599" t="str">
        <f>AU$3</f>
        <v>3Q16/</v>
      </c>
      <c r="AV61" s="599"/>
      <c r="AW61" s="599" t="str">
        <f>AW$3</f>
        <v>4Q16/</v>
      </c>
      <c r="AX61" s="599"/>
      <c r="AY61" s="599" t="str">
        <f t="shared" ref="AY61" si="48">AY$3</f>
        <v>1Q17/</v>
      </c>
      <c r="AZ61" s="599"/>
      <c r="BA61" s="599" t="str">
        <f t="shared" ref="BA61" si="49">BA$3</f>
        <v>2Q17/</v>
      </c>
      <c r="BB61" s="599"/>
      <c r="BC61" s="599" t="str">
        <f t="shared" ref="BC61" si="50">BC$3</f>
        <v>3Q17/</v>
      </c>
      <c r="BD61" s="599"/>
      <c r="BE61" s="599" t="str">
        <f t="shared" ref="BE61" si="51">BE$3</f>
        <v>4Q17/</v>
      </c>
      <c r="BF61" s="599"/>
      <c r="BG61" s="599" t="str">
        <f t="shared" ref="BG61" si="52">BG$3</f>
        <v>1Q18E/</v>
      </c>
      <c r="BH61" s="599"/>
      <c r="BI61" s="599" t="str">
        <f t="shared" ref="BI61" si="53">BI$3</f>
        <v>2Q18E/</v>
      </c>
      <c r="BJ61" s="599"/>
      <c r="BK61" s="599" t="str">
        <f t="shared" ref="BK61" si="54">BK$3</f>
        <v>3Q18E/</v>
      </c>
      <c r="BL61" s="599"/>
      <c r="BM61" s="599" t="str">
        <f t="shared" ref="BM61" si="55">BM$3</f>
        <v>4Q18E/</v>
      </c>
      <c r="BN61" s="600"/>
      <c r="BO61" s="599"/>
      <c r="BP61" s="601" t="str">
        <f>BP$3</f>
        <v>2011/</v>
      </c>
      <c r="BQ61" s="599"/>
      <c r="BR61" s="601" t="str">
        <f>BR$3</f>
        <v>2012/</v>
      </c>
      <c r="BS61" s="599"/>
      <c r="BT61" s="601" t="str">
        <f>BT$3</f>
        <v>2013/</v>
      </c>
      <c r="BU61" s="599"/>
      <c r="BV61" s="601" t="str">
        <f>BV$3</f>
        <v>2014/</v>
      </c>
      <c r="BW61" s="599"/>
      <c r="BX61" s="601" t="str">
        <f>BX$3</f>
        <v>2015/</v>
      </c>
      <c r="BY61" s="599"/>
      <c r="BZ61" s="601" t="str">
        <f>BZ$3</f>
        <v>2016/</v>
      </c>
      <c r="CA61" s="599"/>
      <c r="CB61" s="601" t="str">
        <f>CB$3</f>
        <v>2017/</v>
      </c>
      <c r="CC61" s="599"/>
      <c r="CD61" s="601" t="str">
        <f>CD$3</f>
        <v>2018E/</v>
      </c>
      <c r="CE61" s="599"/>
      <c r="CF61" s="601" t="str">
        <f>CF$3</f>
        <v>2019E/</v>
      </c>
      <c r="CG61" s="599"/>
      <c r="CH61" s="601" t="str">
        <f>CH$3</f>
        <v>2020E/</v>
      </c>
      <c r="CI61" s="599"/>
      <c r="CJ61" s="601" t="str">
        <f>CJ$3</f>
        <v>2021E/</v>
      </c>
      <c r="CK61" s="599"/>
      <c r="CL61" s="601" t="str">
        <f>CL$3</f>
        <v>2022E/</v>
      </c>
      <c r="CM61" s="602" t="str">
        <f>CM$3</f>
        <v>5-Yr</v>
      </c>
      <c r="CN61" s="305"/>
      <c r="CO61" s="304"/>
      <c r="CP61" s="305"/>
      <c r="CQ61" s="304"/>
      <c r="CR61" s="305"/>
      <c r="CS61" s="304"/>
      <c r="CT61" s="305"/>
      <c r="CU61" s="304"/>
      <c r="CV61" s="305"/>
      <c r="CW61" s="304"/>
      <c r="CX61" s="305"/>
      <c r="CY61" s="304"/>
      <c r="CZ61" s="305"/>
      <c r="DA61" s="304"/>
      <c r="DB61" s="305"/>
      <c r="DC61" s="304"/>
      <c r="DD61" s="305"/>
      <c r="DE61" s="304"/>
      <c r="DF61" s="305"/>
      <c r="DG61" s="304"/>
      <c r="DH61" s="305"/>
      <c r="DI61" s="304"/>
      <c r="DJ61" s="305"/>
      <c r="DK61" s="304"/>
      <c r="DL61" s="305"/>
      <c r="DM61" s="304"/>
      <c r="DN61" s="305"/>
      <c r="DO61" s="304"/>
      <c r="DP61" s="305"/>
      <c r="DQ61" s="304"/>
      <c r="DR61" s="305"/>
      <c r="DS61" s="304"/>
      <c r="DT61" s="305"/>
      <c r="DU61" s="304"/>
      <c r="DV61" s="305"/>
      <c r="DW61" s="304"/>
      <c r="DX61" s="305"/>
      <c r="DY61" s="304"/>
      <c r="DZ61" s="305"/>
      <c r="EA61" s="304"/>
      <c r="EB61" s="305"/>
      <c r="EC61" s="304"/>
      <c r="ED61" s="305"/>
      <c r="EE61" s="306"/>
      <c r="EF61" s="304"/>
      <c r="EG61" s="305"/>
      <c r="EH61" s="304"/>
      <c r="EI61" s="305"/>
      <c r="EJ61" s="304"/>
      <c r="EK61" s="305"/>
      <c r="EL61" s="304"/>
      <c r="EM61" s="305"/>
      <c r="EN61" s="304"/>
      <c r="EO61" s="305"/>
      <c r="EP61" s="304"/>
      <c r="EQ61" s="305"/>
      <c r="ER61" s="304"/>
      <c r="ES61" s="305"/>
      <c r="ET61" s="304"/>
      <c r="EU61" s="305"/>
      <c r="EV61" s="304"/>
      <c r="EW61" s="305"/>
      <c r="EX61" s="304"/>
      <c r="EY61" s="305"/>
      <c r="EZ61" s="304"/>
      <c r="FA61" s="305"/>
      <c r="FB61" s="304"/>
      <c r="FC61" s="305"/>
      <c r="FD61" s="304"/>
      <c r="FE61" s="305"/>
      <c r="FF61" s="305"/>
    </row>
    <row r="62" spans="1:162" s="331" customFormat="1" x14ac:dyDescent="0.2">
      <c r="A62" s="603"/>
      <c r="B62" s="512"/>
      <c r="C62" s="512"/>
      <c r="D62" s="512"/>
      <c r="E62" s="512"/>
      <c r="F62" s="512"/>
      <c r="G62" s="512"/>
      <c r="H62" s="512"/>
      <c r="I62" s="512"/>
      <c r="J62" s="512"/>
      <c r="K62" s="339" t="str">
        <f>K$4</f>
        <v>1Q11</v>
      </c>
      <c r="L62" s="512"/>
      <c r="M62" s="339" t="str">
        <f>M$4</f>
        <v>2Q11</v>
      </c>
      <c r="N62" s="512"/>
      <c r="O62" s="339" t="str">
        <f>O$4</f>
        <v>3Q11</v>
      </c>
      <c r="P62" s="512"/>
      <c r="Q62" s="339" t="str">
        <f>Q$4</f>
        <v>4Q11</v>
      </c>
      <c r="R62" s="512"/>
      <c r="S62" s="339" t="str">
        <f>S$4</f>
        <v>1Q12</v>
      </c>
      <c r="T62" s="512"/>
      <c r="U62" s="339" t="str">
        <f>U$4</f>
        <v>2Q12</v>
      </c>
      <c r="V62" s="512"/>
      <c r="W62" s="339" t="str">
        <f>W$4</f>
        <v>3Q12</v>
      </c>
      <c r="X62" s="512"/>
      <c r="Y62" s="339" t="str">
        <f>Y$4</f>
        <v>4Q12</v>
      </c>
      <c r="Z62" s="512"/>
      <c r="AA62" s="339" t="str">
        <f>AA$4</f>
        <v>1Q13</v>
      </c>
      <c r="AB62" s="512"/>
      <c r="AC62" s="339" t="str">
        <f>AC$4</f>
        <v>2Q13</v>
      </c>
      <c r="AD62" s="512"/>
      <c r="AE62" s="339" t="str">
        <f>AE$4</f>
        <v>3Q13</v>
      </c>
      <c r="AF62" s="512"/>
      <c r="AG62" s="339" t="str">
        <f>AG$4</f>
        <v>4Q13</v>
      </c>
      <c r="AH62" s="512"/>
      <c r="AI62" s="339" t="str">
        <f>AI$4</f>
        <v>1Q14</v>
      </c>
      <c r="AJ62" s="512"/>
      <c r="AK62" s="339" t="str">
        <f>AK$4</f>
        <v>2Q14</v>
      </c>
      <c r="AL62" s="512"/>
      <c r="AM62" s="339" t="str">
        <f>AM$4</f>
        <v>3Q14</v>
      </c>
      <c r="AN62" s="512"/>
      <c r="AO62" s="339" t="str">
        <f>AO$4</f>
        <v>4Q14</v>
      </c>
      <c r="AP62" s="512"/>
      <c r="AQ62" s="339" t="str">
        <f>AQ$4</f>
        <v>1Q15</v>
      </c>
      <c r="AR62" s="512"/>
      <c r="AS62" s="339" t="str">
        <f>AS$4</f>
        <v>2Q15</v>
      </c>
      <c r="AT62" s="512"/>
      <c r="AU62" s="339" t="str">
        <f>AU$4</f>
        <v>3Q15</v>
      </c>
      <c r="AV62" s="512"/>
      <c r="AW62" s="339" t="str">
        <f>AW$4</f>
        <v>4Q15</v>
      </c>
      <c r="AX62" s="512"/>
      <c r="AY62" s="339" t="str">
        <f t="shared" ref="AY62" si="56">AY$4</f>
        <v>1Q16</v>
      </c>
      <c r="AZ62" s="512"/>
      <c r="BA62" s="339" t="str">
        <f t="shared" ref="BA62" si="57">BA$4</f>
        <v>2Q16</v>
      </c>
      <c r="BB62" s="512"/>
      <c r="BC62" s="339" t="str">
        <f t="shared" ref="BC62" si="58">BC$4</f>
        <v>3Q16</v>
      </c>
      <c r="BD62" s="512"/>
      <c r="BE62" s="339" t="str">
        <f t="shared" ref="BE62" si="59">BE$4</f>
        <v>4Q16</v>
      </c>
      <c r="BF62" s="512"/>
      <c r="BG62" s="339" t="str">
        <f t="shared" ref="BG62" si="60">BG$4</f>
        <v>1Q17</v>
      </c>
      <c r="BH62" s="512"/>
      <c r="BI62" s="339" t="str">
        <f t="shared" ref="BI62" si="61">BI$4</f>
        <v>2Q17</v>
      </c>
      <c r="BJ62" s="512"/>
      <c r="BK62" s="339" t="str">
        <f t="shared" ref="BK62" si="62">BK$4</f>
        <v>3Q17</v>
      </c>
      <c r="BL62" s="512"/>
      <c r="BM62" s="339" t="str">
        <f t="shared" ref="BM62" si="63">BM$4</f>
        <v>4Q17</v>
      </c>
      <c r="BN62" s="333"/>
      <c r="BO62" s="512"/>
      <c r="BP62" s="340" t="str">
        <f>BP$4</f>
        <v>2010</v>
      </c>
      <c r="BQ62" s="512"/>
      <c r="BR62" s="340" t="str">
        <f>BR$4</f>
        <v>2011</v>
      </c>
      <c r="BS62" s="512"/>
      <c r="BT62" s="340" t="str">
        <f>BT$4</f>
        <v>2012</v>
      </c>
      <c r="BU62" s="512"/>
      <c r="BV62" s="340" t="str">
        <f>BV$4</f>
        <v>2013</v>
      </c>
      <c r="BW62" s="512"/>
      <c r="BX62" s="340" t="str">
        <f>BX$4</f>
        <v>2014</v>
      </c>
      <c r="BY62" s="512"/>
      <c r="BZ62" s="340" t="str">
        <f>BZ$4</f>
        <v>2015</v>
      </c>
      <c r="CA62" s="512"/>
      <c r="CB62" s="340">
        <f>CB$4</f>
        <v>2016</v>
      </c>
      <c r="CC62" s="512"/>
      <c r="CD62" s="340">
        <f>CD$4</f>
        <v>2017</v>
      </c>
      <c r="CE62" s="512"/>
      <c r="CF62" s="340" t="str">
        <f>CF$4</f>
        <v>2018E</v>
      </c>
      <c r="CG62" s="512"/>
      <c r="CH62" s="340" t="str">
        <f>CH$4</f>
        <v>2019E</v>
      </c>
      <c r="CI62" s="512"/>
      <c r="CJ62" s="340" t="str">
        <f>CJ$4</f>
        <v>2020E</v>
      </c>
      <c r="CK62" s="512"/>
      <c r="CL62" s="340" t="str">
        <f>CL$4</f>
        <v>2021E</v>
      </c>
      <c r="CM62" s="604" t="str">
        <f>CM$4</f>
        <v>CAGR</v>
      </c>
    </row>
    <row r="63" spans="1:162" s="335" customFormat="1" x14ac:dyDescent="0.2">
      <c r="A63" s="605"/>
      <c r="B63" s="375" t="str">
        <f>B$5</f>
        <v>1Q11</v>
      </c>
      <c r="C63" s="375"/>
      <c r="D63" s="375" t="str">
        <f t="shared" ref="D63:CM63" si="64">D$5</f>
        <v>2Q11</v>
      </c>
      <c r="E63" s="375"/>
      <c r="F63" s="375" t="str">
        <f t="shared" si="64"/>
        <v>3Q11</v>
      </c>
      <c r="G63" s="375"/>
      <c r="H63" s="375" t="str">
        <f t="shared" si="64"/>
        <v>4Q11</v>
      </c>
      <c r="I63" s="375"/>
      <c r="J63" s="375" t="str">
        <f t="shared" si="64"/>
        <v>1Q12</v>
      </c>
      <c r="K63" s="375" t="str">
        <f t="shared" si="64"/>
        <v>% Chg</v>
      </c>
      <c r="L63" s="375" t="str">
        <f t="shared" si="64"/>
        <v>2Q12</v>
      </c>
      <c r="M63" s="375" t="str">
        <f t="shared" si="64"/>
        <v>% Chg</v>
      </c>
      <c r="N63" s="375" t="str">
        <f t="shared" si="64"/>
        <v>3Q12</v>
      </c>
      <c r="O63" s="375" t="str">
        <f t="shared" si="64"/>
        <v>% Chg</v>
      </c>
      <c r="P63" s="375" t="str">
        <f t="shared" si="64"/>
        <v>4Q12</v>
      </c>
      <c r="Q63" s="375" t="str">
        <f t="shared" si="64"/>
        <v>% Chg</v>
      </c>
      <c r="R63" s="375" t="str">
        <f t="shared" si="64"/>
        <v>1Q13</v>
      </c>
      <c r="S63" s="375" t="str">
        <f t="shared" si="64"/>
        <v>% Chg</v>
      </c>
      <c r="T63" s="375" t="str">
        <f t="shared" si="64"/>
        <v>2Q13</v>
      </c>
      <c r="U63" s="375" t="str">
        <f t="shared" si="64"/>
        <v>% Chg</v>
      </c>
      <c r="V63" s="375" t="str">
        <f t="shared" si="64"/>
        <v>3Q13</v>
      </c>
      <c r="W63" s="375" t="str">
        <f t="shared" si="64"/>
        <v>% Chg</v>
      </c>
      <c r="X63" s="375" t="str">
        <f t="shared" si="64"/>
        <v>4Q13</v>
      </c>
      <c r="Y63" s="375" t="str">
        <f t="shared" si="64"/>
        <v>% Chg</v>
      </c>
      <c r="Z63" s="375" t="str">
        <f t="shared" si="64"/>
        <v>1Q14</v>
      </c>
      <c r="AA63" s="375" t="str">
        <f t="shared" si="64"/>
        <v>% Chg</v>
      </c>
      <c r="AB63" s="375" t="str">
        <f t="shared" si="64"/>
        <v>2Q14</v>
      </c>
      <c r="AC63" s="375" t="str">
        <f t="shared" si="64"/>
        <v>% Chg</v>
      </c>
      <c r="AD63" s="375" t="str">
        <f t="shared" si="64"/>
        <v>3Q14</v>
      </c>
      <c r="AE63" s="375" t="str">
        <f t="shared" si="64"/>
        <v>% Chg</v>
      </c>
      <c r="AF63" s="375" t="str">
        <f t="shared" si="64"/>
        <v>4Q14</v>
      </c>
      <c r="AG63" s="375" t="str">
        <f t="shared" si="64"/>
        <v>% Chg</v>
      </c>
      <c r="AH63" s="375" t="str">
        <f t="shared" si="64"/>
        <v>1Q15</v>
      </c>
      <c r="AI63" s="375" t="str">
        <f t="shared" si="64"/>
        <v>% Chg</v>
      </c>
      <c r="AJ63" s="375" t="str">
        <f t="shared" si="64"/>
        <v>2Q15</v>
      </c>
      <c r="AK63" s="375" t="str">
        <f t="shared" si="64"/>
        <v>% Chg</v>
      </c>
      <c r="AL63" s="375" t="str">
        <f t="shared" si="64"/>
        <v>3Q15</v>
      </c>
      <c r="AM63" s="375" t="str">
        <f t="shared" si="64"/>
        <v>% Chg</v>
      </c>
      <c r="AN63" s="375" t="str">
        <f t="shared" si="64"/>
        <v>4Q15</v>
      </c>
      <c r="AO63" s="375" t="str">
        <f t="shared" si="64"/>
        <v>% Chg</v>
      </c>
      <c r="AP63" s="375" t="str">
        <f t="shared" si="64"/>
        <v>1Q16</v>
      </c>
      <c r="AQ63" s="375" t="str">
        <f t="shared" si="64"/>
        <v>% Chg</v>
      </c>
      <c r="AR63" s="375" t="str">
        <f t="shared" si="64"/>
        <v>2Q16</v>
      </c>
      <c r="AS63" s="375" t="str">
        <f t="shared" si="64"/>
        <v>% Chg</v>
      </c>
      <c r="AT63" s="375" t="str">
        <f t="shared" si="64"/>
        <v>3Q16</v>
      </c>
      <c r="AU63" s="375" t="str">
        <f t="shared" si="64"/>
        <v>% Chg</v>
      </c>
      <c r="AV63" s="375" t="str">
        <f t="shared" si="64"/>
        <v>4Q16</v>
      </c>
      <c r="AW63" s="375" t="str">
        <f t="shared" si="64"/>
        <v>% Chg</v>
      </c>
      <c r="AX63" s="375" t="str">
        <f t="shared" si="64"/>
        <v>1Q17</v>
      </c>
      <c r="AY63" s="375" t="str">
        <f t="shared" si="64"/>
        <v>% Chg</v>
      </c>
      <c r="AZ63" s="375" t="str">
        <f t="shared" si="64"/>
        <v>2Q17</v>
      </c>
      <c r="BA63" s="375" t="str">
        <f t="shared" si="64"/>
        <v>% Chg</v>
      </c>
      <c r="BB63" s="375" t="str">
        <f t="shared" si="64"/>
        <v>3Q17</v>
      </c>
      <c r="BC63" s="375" t="str">
        <f t="shared" si="64"/>
        <v>% Chg</v>
      </c>
      <c r="BD63" s="375" t="str">
        <f t="shared" si="64"/>
        <v>4Q17</v>
      </c>
      <c r="BE63" s="375" t="str">
        <f t="shared" si="64"/>
        <v>% Chg</v>
      </c>
      <c r="BF63" s="375" t="str">
        <f t="shared" si="64"/>
        <v>1Q18E</v>
      </c>
      <c r="BG63" s="375" t="str">
        <f t="shared" si="64"/>
        <v>% Chg</v>
      </c>
      <c r="BH63" s="375" t="str">
        <f t="shared" si="64"/>
        <v>2Q18E</v>
      </c>
      <c r="BI63" s="375" t="str">
        <f t="shared" si="64"/>
        <v>% Chg</v>
      </c>
      <c r="BJ63" s="375" t="str">
        <f t="shared" si="64"/>
        <v>3Q18E</v>
      </c>
      <c r="BK63" s="375" t="str">
        <f t="shared" si="64"/>
        <v>% Chg</v>
      </c>
      <c r="BL63" s="375" t="str">
        <f t="shared" si="64"/>
        <v>4Q18E</v>
      </c>
      <c r="BM63" s="375" t="str">
        <f t="shared" si="64"/>
        <v>% Chg</v>
      </c>
      <c r="BN63" s="375"/>
      <c r="BO63" s="375" t="str">
        <f t="shared" si="64"/>
        <v>2011</v>
      </c>
      <c r="BP63" s="386" t="str">
        <f t="shared" si="64"/>
        <v>% Chg</v>
      </c>
      <c r="BQ63" s="375" t="str">
        <f t="shared" si="64"/>
        <v>2012</v>
      </c>
      <c r="BR63" s="386" t="str">
        <f t="shared" si="64"/>
        <v>% Chg</v>
      </c>
      <c r="BS63" s="375" t="str">
        <f t="shared" si="64"/>
        <v>2013</v>
      </c>
      <c r="BT63" s="386" t="str">
        <f t="shared" si="64"/>
        <v>% Chg</v>
      </c>
      <c r="BU63" s="375" t="str">
        <f t="shared" si="64"/>
        <v>2014</v>
      </c>
      <c r="BV63" s="386" t="str">
        <f t="shared" si="64"/>
        <v>% Chg</v>
      </c>
      <c r="BW63" s="375" t="str">
        <f t="shared" si="64"/>
        <v>2015</v>
      </c>
      <c r="BX63" s="386" t="str">
        <f t="shared" si="64"/>
        <v>% Chg</v>
      </c>
      <c r="BY63" s="375">
        <f t="shared" si="64"/>
        <v>2016</v>
      </c>
      <c r="BZ63" s="386" t="str">
        <f t="shared" si="64"/>
        <v>% Chg</v>
      </c>
      <c r="CA63" s="375">
        <f t="shared" si="64"/>
        <v>2017</v>
      </c>
      <c r="CB63" s="386" t="str">
        <f t="shared" si="64"/>
        <v>% Chg</v>
      </c>
      <c r="CC63" s="375" t="str">
        <f t="shared" si="64"/>
        <v>2018E</v>
      </c>
      <c r="CD63" s="386" t="str">
        <f t="shared" si="64"/>
        <v>% Chg</v>
      </c>
      <c r="CE63" s="375" t="str">
        <f t="shared" si="64"/>
        <v>2019E</v>
      </c>
      <c r="CF63" s="386" t="str">
        <f t="shared" si="64"/>
        <v>% Chg</v>
      </c>
      <c r="CG63" s="375" t="str">
        <f t="shared" si="64"/>
        <v>2020E</v>
      </c>
      <c r="CH63" s="386" t="str">
        <f t="shared" si="64"/>
        <v>% Chg</v>
      </c>
      <c r="CI63" s="375" t="str">
        <f t="shared" si="64"/>
        <v>2021E</v>
      </c>
      <c r="CJ63" s="386" t="str">
        <f t="shared" si="64"/>
        <v>% Chg</v>
      </c>
      <c r="CK63" s="375" t="str">
        <f t="shared" si="64"/>
        <v>2022E</v>
      </c>
      <c r="CL63" s="386" t="str">
        <f t="shared" si="64"/>
        <v>% Chg</v>
      </c>
      <c r="CM63" s="631" t="str">
        <f t="shared" si="64"/>
        <v>(%)</v>
      </c>
    </row>
    <row r="64" spans="1:162" s="331" customFormat="1" ht="12.75" customHeight="1" x14ac:dyDescent="0.2">
      <c r="A64" s="624" t="s">
        <v>8</v>
      </c>
      <c r="B64" s="512"/>
      <c r="C64" s="512"/>
      <c r="D64" s="512"/>
      <c r="E64" s="512"/>
      <c r="F64" s="512"/>
      <c r="G64" s="512"/>
      <c r="H64" s="512"/>
      <c r="I64" s="512"/>
      <c r="J64" s="512"/>
      <c r="K64" s="513"/>
      <c r="L64" s="512"/>
      <c r="M64" s="513"/>
      <c r="N64" s="512"/>
      <c r="O64" s="513"/>
      <c r="P64" s="512"/>
      <c r="Q64" s="513"/>
      <c r="R64" s="512"/>
      <c r="S64" s="513"/>
      <c r="T64" s="512"/>
      <c r="U64" s="513"/>
      <c r="V64" s="512"/>
      <c r="W64" s="513"/>
      <c r="X64" s="512"/>
      <c r="Y64" s="513"/>
      <c r="Z64" s="512"/>
      <c r="AA64" s="513"/>
      <c r="AB64" s="512"/>
      <c r="AC64" s="513"/>
      <c r="AD64" s="512"/>
      <c r="AE64" s="513"/>
      <c r="AF64" s="512"/>
      <c r="AG64" s="513"/>
      <c r="AH64" s="512"/>
      <c r="AI64" s="513"/>
      <c r="AJ64" s="512"/>
      <c r="AK64" s="513"/>
      <c r="AL64" s="512"/>
      <c r="AM64" s="513"/>
      <c r="AN64" s="512"/>
      <c r="AO64" s="513"/>
      <c r="AP64" s="512"/>
      <c r="AQ64" s="513"/>
      <c r="AR64" s="512"/>
      <c r="AS64" s="513"/>
      <c r="AT64" s="512"/>
      <c r="AU64" s="513"/>
      <c r="AV64" s="512"/>
      <c r="AW64" s="513"/>
      <c r="AX64" s="512"/>
      <c r="AY64" s="513"/>
      <c r="AZ64" s="512"/>
      <c r="BA64" s="513"/>
      <c r="BB64" s="512"/>
      <c r="BC64" s="513"/>
      <c r="BD64" s="512"/>
      <c r="BE64" s="513"/>
      <c r="BF64" s="512"/>
      <c r="BG64" s="513"/>
      <c r="BH64" s="512"/>
      <c r="BI64" s="513"/>
      <c r="BJ64" s="512"/>
      <c r="BK64" s="513"/>
      <c r="BL64" s="512"/>
      <c r="BM64" s="513"/>
      <c r="BN64" s="361"/>
      <c r="BO64" s="512"/>
      <c r="BP64" s="514"/>
      <c r="BQ64" s="512"/>
      <c r="BR64" s="514"/>
      <c r="BS64" s="512"/>
      <c r="BT64" s="514"/>
      <c r="BU64" s="512"/>
      <c r="BV64" s="514"/>
      <c r="BW64" s="512"/>
      <c r="BX64" s="514"/>
      <c r="BY64" s="512"/>
      <c r="BZ64" s="514"/>
      <c r="CA64" s="512"/>
      <c r="CB64" s="514"/>
      <c r="CC64" s="512"/>
      <c r="CD64" s="514"/>
      <c r="CE64" s="512"/>
      <c r="CF64" s="514"/>
      <c r="CG64" s="512"/>
      <c r="CH64" s="514"/>
      <c r="CI64" s="512"/>
      <c r="CJ64" s="514"/>
      <c r="CK64" s="512"/>
      <c r="CL64" s="514"/>
      <c r="CM64" s="608"/>
    </row>
    <row r="65" spans="1:91" s="331" customFormat="1" ht="12.75" customHeight="1" x14ac:dyDescent="0.2">
      <c r="A65" s="603" t="s">
        <v>41</v>
      </c>
      <c r="B65" s="515">
        <f>INPUT!B753</f>
        <v>230</v>
      </c>
      <c r="C65" s="515"/>
      <c r="D65" s="515">
        <f>INPUT!D753</f>
        <v>230</v>
      </c>
      <c r="E65" s="515"/>
      <c r="F65" s="515">
        <f>INPUT!F753</f>
        <v>230</v>
      </c>
      <c r="G65" s="515"/>
      <c r="H65" s="515">
        <f>INPUT!H753</f>
        <v>230</v>
      </c>
      <c r="I65" s="515"/>
      <c r="J65" s="515">
        <f>INPUT!J753</f>
        <v>230</v>
      </c>
      <c r="K65" s="339">
        <f>INPUT!K753</f>
        <v>0</v>
      </c>
      <c r="L65" s="515">
        <f>INPUT!L753</f>
        <v>230</v>
      </c>
      <c r="M65" s="339">
        <f>INPUT!M753</f>
        <v>0</v>
      </c>
      <c r="N65" s="515">
        <f>INPUT!N753</f>
        <v>230</v>
      </c>
      <c r="O65" s="339">
        <f>INPUT!O753</f>
        <v>0</v>
      </c>
      <c r="P65" s="515">
        <f>INPUT!P753</f>
        <v>230</v>
      </c>
      <c r="Q65" s="339">
        <f>INPUT!Q753</f>
        <v>0</v>
      </c>
      <c r="R65" s="515">
        <f>INPUT!R753</f>
        <v>230.07911999999999</v>
      </c>
      <c r="S65" s="339">
        <f>INPUT!S753</f>
        <v>3.4399999999989994E-2</v>
      </c>
      <c r="T65" s="515">
        <f>INPUT!T753</f>
        <v>260.8</v>
      </c>
      <c r="U65" s="339">
        <f>INPUT!U753</f>
        <v>13.391304347826093</v>
      </c>
      <c r="V65" s="515">
        <f>INPUT!V753</f>
        <v>260.8</v>
      </c>
      <c r="W65" s="339">
        <f>INPUT!W753</f>
        <v>13.391304347826093</v>
      </c>
      <c r="X65" s="515">
        <f>INPUT!X753</f>
        <v>261.7</v>
      </c>
      <c r="Y65" s="339">
        <f>INPUT!Y753</f>
        <v>13.782608695652176</v>
      </c>
      <c r="Z65" s="515">
        <f>INPUT!Z753</f>
        <v>254.7</v>
      </c>
      <c r="AA65" s="339">
        <f>INPUT!AA753</f>
        <v>10.701049273832419</v>
      </c>
      <c r="AB65" s="515">
        <f>INPUT!AB753</f>
        <v>254.6</v>
      </c>
      <c r="AC65" s="339">
        <f>INPUT!AC753</f>
        <v>-2.3773006134969354</v>
      </c>
      <c r="AD65" s="515">
        <f>INPUT!AD753</f>
        <v>246.4</v>
      </c>
      <c r="AE65" s="339">
        <f>INPUT!AE753</f>
        <v>-5.5214723926380387</v>
      </c>
      <c r="AF65" s="515">
        <f>INPUT!AF753</f>
        <v>241.9</v>
      </c>
      <c r="AG65" s="339">
        <f>INPUT!AG753</f>
        <v>-7.5659151700420253</v>
      </c>
      <c r="AH65" s="515">
        <f>INPUT!AH753</f>
        <v>229</v>
      </c>
      <c r="AI65" s="339">
        <f>INPUT!AI753</f>
        <v>-10.090302316450728</v>
      </c>
      <c r="AJ65" s="515">
        <f>INPUT!AJ753</f>
        <v>226.3</v>
      </c>
      <c r="AK65" s="339">
        <f>INPUT!AK753</f>
        <v>-11.115475255302432</v>
      </c>
      <c r="AL65" s="515">
        <f>INPUT!AL753</f>
        <v>215.3</v>
      </c>
      <c r="AM65" s="339">
        <f>INPUT!AM753</f>
        <v>-12.621753246753242</v>
      </c>
      <c r="AN65" s="515">
        <f>INPUT!AN753</f>
        <v>209.1</v>
      </c>
      <c r="AO65" s="339">
        <f>INPUT!AO753</f>
        <v>-13.559322033898313</v>
      </c>
      <c r="AP65" s="515">
        <f>INPUT!AP753</f>
        <v>204</v>
      </c>
      <c r="AQ65" s="339">
        <f>INPUT!AQ753</f>
        <v>-10.917030567685593</v>
      </c>
      <c r="AR65" s="515">
        <f>INPUT!AR753</f>
        <v>200.2</v>
      </c>
      <c r="AS65" s="339">
        <f>INPUT!AS753</f>
        <v>-11.533362792752989</v>
      </c>
      <c r="AT65" s="515">
        <f>INPUT!AT753</f>
        <v>194.6</v>
      </c>
      <c r="AU65" s="339">
        <f>INPUT!AU753</f>
        <v>-9.6144914073386101</v>
      </c>
      <c r="AV65" s="515">
        <f>INPUT!AV753</f>
        <v>194.6</v>
      </c>
      <c r="AW65" s="339">
        <f>INPUT!AW753</f>
        <v>-6.9344811095169767</v>
      </c>
      <c r="AX65" s="515">
        <f>INPUT!AX753</f>
        <v>189.9</v>
      </c>
      <c r="AY65" s="339">
        <f>INPUT!AY753</f>
        <v>-6.9117647058823506</v>
      </c>
      <c r="AZ65" s="515">
        <f>INPUT!AZ753</f>
        <v>179.7</v>
      </c>
      <c r="BA65" s="339">
        <f>INPUT!BA753</f>
        <v>-10.239760239760242</v>
      </c>
      <c r="BB65" s="515">
        <f>INPUT!BB753</f>
        <v>179.7</v>
      </c>
      <c r="BC65" s="339">
        <f>INPUT!BC753</f>
        <v>-7.6567317574511851</v>
      </c>
      <c r="BD65" s="515">
        <f>INPUT!BD753</f>
        <v>172</v>
      </c>
      <c r="BE65" s="339">
        <f>INPUT!BE753</f>
        <v>-11.613566289825282</v>
      </c>
      <c r="BF65" s="515">
        <f>INPUT!BF753</f>
        <v>165.24272440090894</v>
      </c>
      <c r="BG65" s="339">
        <f>INPUT!BG753</f>
        <v>-12.984347340226998</v>
      </c>
      <c r="BH65" s="515">
        <f>INPUT!BH753</f>
        <v>160.51943677679861</v>
      </c>
      <c r="BI65" s="339">
        <f>INPUT!BI753</f>
        <v>-10.673657887146003</v>
      </c>
      <c r="BJ65" s="515">
        <f>INPUT!BJ753</f>
        <v>155.9105017551984</v>
      </c>
      <c r="BK65" s="339">
        <f>INPUT!BK753</f>
        <v>-13.238452000446078</v>
      </c>
      <c r="BL65" s="515">
        <f>INPUT!BL753</f>
        <v>151.39112116415967</v>
      </c>
      <c r="BM65" s="339">
        <f>INPUT!BM753</f>
        <v>-11.981906299907163</v>
      </c>
      <c r="BN65" s="347"/>
      <c r="BO65" s="515">
        <f>INPUT!BU753</f>
        <v>230</v>
      </c>
      <c r="BP65" s="340" t="str">
        <f>INPUT!BV753</f>
        <v>NA</v>
      </c>
      <c r="BQ65" s="515">
        <f>INPUT!BW753</f>
        <v>230</v>
      </c>
      <c r="BR65" s="340">
        <f>INPUT!BX753</f>
        <v>0</v>
      </c>
      <c r="BS65" s="515">
        <f>INPUT!BY753</f>
        <v>261.7</v>
      </c>
      <c r="BT65" s="340">
        <f>INPUT!BZ753</f>
        <v>13.782608695652176</v>
      </c>
      <c r="BU65" s="515">
        <f>INPUT!CA753</f>
        <v>241.9</v>
      </c>
      <c r="BV65" s="340">
        <f>INPUT!CB753</f>
        <v>-7.5659151700420253</v>
      </c>
      <c r="BW65" s="515">
        <f>INPUT!CC753</f>
        <v>209.1</v>
      </c>
      <c r="BX65" s="340">
        <f>INPUT!CD753</f>
        <v>-13.559322033898313</v>
      </c>
      <c r="BY65" s="515">
        <f>INPUT!CE753</f>
        <v>194.6</v>
      </c>
      <c r="BZ65" s="340">
        <f>INPUT!CF753</f>
        <v>-6.9344811095169767</v>
      </c>
      <c r="CA65" s="515">
        <f>INPUT!CG753</f>
        <v>172</v>
      </c>
      <c r="CB65" s="340">
        <f>INPUT!CH753</f>
        <v>-11.613566289825282</v>
      </c>
      <c r="CC65" s="515">
        <f>INPUT!CI753</f>
        <v>151.39112116415967</v>
      </c>
      <c r="CD65" s="340">
        <f>INPUT!CJ753</f>
        <v>-11.981906299907163</v>
      </c>
      <c r="CE65" s="515">
        <f>INPUT!CK753</f>
        <v>141.00564759411117</v>
      </c>
      <c r="CF65" s="340">
        <f>INPUT!CL753</f>
        <v>-6.8600281774696015</v>
      </c>
      <c r="CG65" s="515">
        <f>INPUT!CM753</f>
        <v>131.38200325235081</v>
      </c>
      <c r="CH65" s="340">
        <f>INPUT!CN753</f>
        <v>-6.825006307167425</v>
      </c>
      <c r="CI65" s="515">
        <f>INPUT!CO753</f>
        <v>122.464170272177</v>
      </c>
      <c r="CJ65" s="340">
        <f>INPUT!CP753</f>
        <v>-6.7877127455919233</v>
      </c>
      <c r="CK65" s="515">
        <f>INPUT!CQ753</f>
        <v>114.20025710518937</v>
      </c>
      <c r="CL65" s="340">
        <f>INPUT!CR753</f>
        <v>-6.74802527843128</v>
      </c>
      <c r="CM65" s="610">
        <f>INPUT!CS753</f>
        <v>-7.8643451431631757</v>
      </c>
    </row>
    <row r="66" spans="1:91" s="331" customFormat="1" ht="12.75" customHeight="1" x14ac:dyDescent="0.2">
      <c r="A66" s="603" t="s">
        <v>255</v>
      </c>
      <c r="B66" s="515">
        <f>INPUT!B754</f>
        <v>230</v>
      </c>
      <c r="C66" s="515"/>
      <c r="D66" s="515">
        <f>INPUT!D754</f>
        <v>230</v>
      </c>
      <c r="E66" s="515"/>
      <c r="F66" s="515">
        <f>INPUT!F754</f>
        <v>230</v>
      </c>
      <c r="G66" s="515"/>
      <c r="H66" s="515">
        <f>INPUT!H754</f>
        <v>230</v>
      </c>
      <c r="I66" s="515"/>
      <c r="J66" s="515">
        <f>INPUT!J754</f>
        <v>230</v>
      </c>
      <c r="K66" s="339">
        <f>INPUT!K754</f>
        <v>0</v>
      </c>
      <c r="L66" s="515">
        <f>INPUT!L754</f>
        <v>230</v>
      </c>
      <c r="M66" s="339">
        <f>INPUT!M754</f>
        <v>0</v>
      </c>
      <c r="N66" s="515">
        <f>INPUT!N754</f>
        <v>230</v>
      </c>
      <c r="O66" s="339">
        <f>INPUT!O754</f>
        <v>0</v>
      </c>
      <c r="P66" s="515">
        <f>INPUT!P754</f>
        <v>230</v>
      </c>
      <c r="Q66" s="339">
        <f>INPUT!Q754</f>
        <v>0</v>
      </c>
      <c r="R66" s="515">
        <f>INPUT!R754</f>
        <v>230</v>
      </c>
      <c r="S66" s="339">
        <f>INPUT!S754</f>
        <v>0</v>
      </c>
      <c r="T66" s="515">
        <f>INPUT!T754</f>
        <v>250.3</v>
      </c>
      <c r="U66" s="339">
        <f>INPUT!U754</f>
        <v>8.8260869565217384</v>
      </c>
      <c r="V66" s="515">
        <f>INPUT!V754</f>
        <v>260.8</v>
      </c>
      <c r="W66" s="339">
        <f>INPUT!W754</f>
        <v>13.391304347826093</v>
      </c>
      <c r="X66" s="515">
        <f>INPUT!X754</f>
        <v>261.10000000000002</v>
      </c>
      <c r="Y66" s="339">
        <f>INPUT!Y754</f>
        <v>13.521739130434796</v>
      </c>
      <c r="Z66" s="515">
        <f>INPUT!Z754</f>
        <v>261.10000000000002</v>
      </c>
      <c r="AA66" s="339">
        <f>INPUT!AA754</f>
        <v>13.521739130434796</v>
      </c>
      <c r="AB66" s="515">
        <f>INPUT!AB754</f>
        <v>254.5</v>
      </c>
      <c r="AC66" s="339">
        <f>INPUT!AC754</f>
        <v>1.6779864163004365</v>
      </c>
      <c r="AD66" s="515">
        <f>INPUT!AD754</f>
        <v>252.6</v>
      </c>
      <c r="AE66" s="339">
        <f>INPUT!AE754</f>
        <v>-3.1441717791411139</v>
      </c>
      <c r="AF66" s="515">
        <f>INPUT!AF754</f>
        <v>244.2</v>
      </c>
      <c r="AG66" s="339">
        <f>INPUT!AG754</f>
        <v>-6.4726158559938796</v>
      </c>
      <c r="AH66" s="515">
        <f>INPUT!AH754</f>
        <v>238.5</v>
      </c>
      <c r="AI66" s="339">
        <f>INPUT!AI754</f>
        <v>-8.6556874760628233</v>
      </c>
      <c r="AJ66" s="515">
        <f>INPUT!AJ754</f>
        <v>228.3</v>
      </c>
      <c r="AK66" s="339">
        <f>INPUT!AK754</f>
        <v>-10.294695481335946</v>
      </c>
      <c r="AL66" s="515">
        <f>INPUT!AL754</f>
        <v>221.8</v>
      </c>
      <c r="AM66" s="339">
        <f>INPUT!AM754</f>
        <v>-12.193190815518594</v>
      </c>
      <c r="AN66" s="515">
        <f>INPUT!AN754</f>
        <v>213.4</v>
      </c>
      <c r="AO66" s="339">
        <f>INPUT!AO754</f>
        <v>-12.612612612612606</v>
      </c>
      <c r="AP66" s="515">
        <f>INPUT!AP754</f>
        <v>206.9</v>
      </c>
      <c r="AQ66" s="339">
        <f>INPUT!AQ754</f>
        <v>-13.249475890985318</v>
      </c>
      <c r="AR66" s="515">
        <f>INPUT!AR754</f>
        <v>202.4</v>
      </c>
      <c r="AS66" s="339">
        <f>INPUT!AS754</f>
        <v>-11.344721857205432</v>
      </c>
      <c r="AT66" s="515">
        <f>INPUT!AT754</f>
        <v>199.6</v>
      </c>
      <c r="AU66" s="339">
        <f>INPUT!AU754</f>
        <v>-10.009017132551856</v>
      </c>
      <c r="AV66" s="515">
        <f>INPUT!AV754</f>
        <v>194.6</v>
      </c>
      <c r="AW66" s="339">
        <f>INPUT!AW754</f>
        <v>-8.8097469540768572</v>
      </c>
      <c r="AX66" s="515">
        <f>INPUT!AX754</f>
        <v>191.7</v>
      </c>
      <c r="AY66" s="339">
        <f>INPUT!AY754</f>
        <v>-7.3465442242629404</v>
      </c>
      <c r="AZ66" s="515">
        <f>INPUT!AZ754</f>
        <v>185.8</v>
      </c>
      <c r="BA66" s="339">
        <f>INPUT!BA754</f>
        <v>-8.2015810276679808</v>
      </c>
      <c r="BB66" s="515">
        <f>INPUT!BB754</f>
        <v>179.8</v>
      </c>
      <c r="BC66" s="339">
        <f>INPUT!BC754</f>
        <v>-9.9198396793587111</v>
      </c>
      <c r="BD66" s="515">
        <f>INPUT!BD754</f>
        <v>179</v>
      </c>
      <c r="BE66" s="339">
        <f>INPUT!BE754</f>
        <v>-8.0164439876670102</v>
      </c>
      <c r="BF66" s="515">
        <f>INPUT!BF754</f>
        <v>168.62136220045448</v>
      </c>
      <c r="BG66" s="339">
        <f>INPUT!BG754</f>
        <v>-12.038934689382108</v>
      </c>
      <c r="BH66" s="515">
        <f>INPUT!BH754</f>
        <v>162.88108058885376</v>
      </c>
      <c r="BI66" s="339">
        <f>INPUT!BI754</f>
        <v>-12.335263407506059</v>
      </c>
      <c r="BJ66" s="515">
        <f>INPUT!BJ754</f>
        <v>158.21496926599849</v>
      </c>
      <c r="BK66" s="339">
        <f>INPUT!BK754</f>
        <v>-12.005022655173258</v>
      </c>
      <c r="BL66" s="515">
        <f>INPUT!BL754</f>
        <v>153.65081145967903</v>
      </c>
      <c r="BM66" s="339">
        <f>INPUT!BM754</f>
        <v>-14.161557843754736</v>
      </c>
      <c r="BN66" s="347"/>
      <c r="BO66" s="515">
        <f>INPUT!BU754</f>
        <v>230</v>
      </c>
      <c r="BP66" s="340" t="str">
        <f>INPUT!BV754</f>
        <v>NA</v>
      </c>
      <c r="BQ66" s="515">
        <f>INPUT!BW754</f>
        <v>230</v>
      </c>
      <c r="BR66" s="340">
        <f>INPUT!BX754</f>
        <v>0</v>
      </c>
      <c r="BS66" s="515">
        <f>INPUT!BY754</f>
        <v>250.55</v>
      </c>
      <c r="BT66" s="340">
        <f>INPUT!BZ754</f>
        <v>8.9347826086956452</v>
      </c>
      <c r="BU66" s="515">
        <f>INPUT!CA754</f>
        <v>253.1</v>
      </c>
      <c r="BV66" s="340">
        <f>INPUT!CB754</f>
        <v>1.017760925962885</v>
      </c>
      <c r="BW66" s="515">
        <f>INPUT!CC754</f>
        <v>225.5</v>
      </c>
      <c r="BX66" s="340">
        <f>INPUT!CD754</f>
        <v>-10.904780719083362</v>
      </c>
      <c r="BY66" s="515">
        <f>INPUT!CE754</f>
        <v>200.875</v>
      </c>
      <c r="BZ66" s="340">
        <f>INPUT!CF754</f>
        <v>-10.920177383592023</v>
      </c>
      <c r="CA66" s="515">
        <f>INPUT!CG754</f>
        <v>184.07499999999999</v>
      </c>
      <c r="CB66" s="340">
        <f>INPUT!CH754</f>
        <v>-8.3634100808960827</v>
      </c>
      <c r="CC66" s="515">
        <f>INPUT!CI754</f>
        <v>160.84205587874644</v>
      </c>
      <c r="CD66" s="340">
        <f>INPUT!CJ754</f>
        <v>-12.621455450905096</v>
      </c>
      <c r="CE66" s="515">
        <f>INPUT!CK754</f>
        <v>145.15983702213057</v>
      </c>
      <c r="CF66" s="340">
        <f>INPUT!CL754</f>
        <v>-9.7500736178342429</v>
      </c>
      <c r="CG66" s="515">
        <f>INPUT!CM754</f>
        <v>135.42393387589016</v>
      </c>
      <c r="CH66" s="340">
        <f>INPUT!CN754</f>
        <v>-6.7070226489411855</v>
      </c>
      <c r="CI66" s="515">
        <f>INPUT!CO754</f>
        <v>126.03130346424652</v>
      </c>
      <c r="CJ66" s="340">
        <f>INPUT!CP754</f>
        <v>-6.9357240945692507</v>
      </c>
      <c r="CK66" s="515">
        <f>INPUT!CQ754</f>
        <v>117.9190180303338</v>
      </c>
      <c r="CL66" s="340">
        <f>INPUT!CR754</f>
        <v>-6.4367226323371884</v>
      </c>
      <c r="CM66" s="610">
        <f>INPUT!CS754</f>
        <v>-8.5217581940041143</v>
      </c>
    </row>
    <row r="67" spans="1:91" s="331" customFormat="1" ht="12.75" customHeight="1" x14ac:dyDescent="0.2">
      <c r="A67" s="603" t="s">
        <v>256</v>
      </c>
      <c r="B67" s="515">
        <f>INPUT!B756</f>
        <v>230</v>
      </c>
      <c r="C67" s="515"/>
      <c r="D67" s="515">
        <f>INPUT!D756</f>
        <v>230</v>
      </c>
      <c r="E67" s="515"/>
      <c r="F67" s="515">
        <f>INPUT!F756</f>
        <v>230</v>
      </c>
      <c r="G67" s="515"/>
      <c r="H67" s="515">
        <f>INPUT!H756</f>
        <v>230</v>
      </c>
      <c r="I67" s="515"/>
      <c r="J67" s="515">
        <f>INPUT!J756</f>
        <v>230</v>
      </c>
      <c r="K67" s="339" t="str">
        <f>INPUT!K755</f>
        <v>NA</v>
      </c>
      <c r="L67" s="515">
        <f>INPUT!L756</f>
        <v>230</v>
      </c>
      <c r="M67" s="339" t="str">
        <f>INPUT!M755</f>
        <v>NA</v>
      </c>
      <c r="N67" s="515">
        <f>INPUT!N756</f>
        <v>230</v>
      </c>
      <c r="O67" s="339" t="str">
        <f>INPUT!O755</f>
        <v>NA</v>
      </c>
      <c r="P67" s="515">
        <f>INPUT!P756</f>
        <v>230</v>
      </c>
      <c r="Q67" s="339" t="str">
        <f>INPUT!Q755</f>
        <v>NA</v>
      </c>
      <c r="R67" s="515">
        <f>INPUT!R756</f>
        <v>230</v>
      </c>
      <c r="S67" s="339" t="str">
        <f>INPUT!S755</f>
        <v>NA</v>
      </c>
      <c r="T67" s="515">
        <f>INPUT!T756</f>
        <v>250.3</v>
      </c>
      <c r="U67" s="339" t="str">
        <f>INPUT!U755</f>
        <v>NA</v>
      </c>
      <c r="V67" s="515">
        <f>INPUT!V756</f>
        <v>262.3</v>
      </c>
      <c r="W67" s="339" t="str">
        <f>INPUT!W755</f>
        <v>NA</v>
      </c>
      <c r="X67" s="515">
        <f>INPUT!X756</f>
        <v>263.3</v>
      </c>
      <c r="Y67" s="339" t="str">
        <f>INPUT!Y755</f>
        <v>NA</v>
      </c>
      <c r="Z67" s="515">
        <f>INPUT!Z756</f>
        <v>263.5</v>
      </c>
      <c r="AA67" s="339" t="str">
        <f>INPUT!AA755</f>
        <v>NA</v>
      </c>
      <c r="AB67" s="515">
        <f>INPUT!AB756</f>
        <v>256.2</v>
      </c>
      <c r="AC67" s="339" t="str">
        <f>INPUT!AC755</f>
        <v>NA</v>
      </c>
      <c r="AD67" s="515">
        <f>INPUT!AD756</f>
        <v>254.4</v>
      </c>
      <c r="AE67" s="339">
        <f>INPUT!AE755</f>
        <v>20.00000000000075</v>
      </c>
      <c r="AF67" s="515">
        <f>INPUT!AF756</f>
        <v>246.4</v>
      </c>
      <c r="AG67" s="339">
        <f>INPUT!AG755</f>
        <v>1.2878587085651816E-12</v>
      </c>
      <c r="AH67" s="515">
        <f>INPUT!AH756</f>
        <v>240.7</v>
      </c>
      <c r="AI67" s="339">
        <f>INPUT!AI755</f>
        <v>-8.3333333333329378</v>
      </c>
      <c r="AJ67" s="515">
        <f>INPUT!AJ756</f>
        <v>229.8</v>
      </c>
      <c r="AK67" s="339">
        <f>INPUT!AK755</f>
        <v>-11.764705882352356</v>
      </c>
      <c r="AL67" s="515">
        <f>INPUT!AL756</f>
        <v>223.6</v>
      </c>
      <c r="AM67" s="339">
        <f>INPUT!AM755</f>
        <v>-1.5765166949677223E-12</v>
      </c>
      <c r="AN67" s="515">
        <f>INPUT!AN756</f>
        <v>216</v>
      </c>
      <c r="AO67" s="339">
        <f>INPUT!AO755</f>
        <v>18.181818181817011</v>
      </c>
      <c r="AP67" s="515">
        <f>INPUT!AP756</f>
        <v>209.1</v>
      </c>
      <c r="AQ67" s="339">
        <f>INPUT!AQ755</f>
        <v>0</v>
      </c>
      <c r="AR67" s="515">
        <f>INPUT!AR756</f>
        <v>203.5</v>
      </c>
      <c r="AS67" s="339">
        <f>INPUT!AS755</f>
        <v>-26.666666666667048</v>
      </c>
      <c r="AT67" s="515">
        <f>INPUT!AT756</f>
        <v>201.5</v>
      </c>
      <c r="AU67" s="339">
        <f>INPUT!AU755</f>
        <v>5.5555555555568681</v>
      </c>
      <c r="AV67" s="515">
        <f>INPUT!AV756</f>
        <v>197.1</v>
      </c>
      <c r="AW67" s="339">
        <f>INPUT!AW755</f>
        <v>-3.8461538461536326</v>
      </c>
      <c r="AX67" s="515">
        <f>INPUT!AX756</f>
        <v>194.4</v>
      </c>
      <c r="AY67" s="339">
        <f>INPUT!AY755</f>
        <v>22.727272727274126</v>
      </c>
      <c r="AZ67" s="515">
        <f>INPUT!AZ756</f>
        <v>187.7</v>
      </c>
      <c r="BA67" s="339">
        <f>INPUT!BA755</f>
        <v>72.727272727271554</v>
      </c>
      <c r="BB67" s="515">
        <f>INPUT!BB756</f>
        <v>182.4</v>
      </c>
      <c r="BC67" s="339">
        <f>INPUT!BC755</f>
        <v>36.842105263157187</v>
      </c>
      <c r="BD67" s="515">
        <f>INPUT!BD756</f>
        <v>183</v>
      </c>
      <c r="BE67" s="339">
        <f>INPUT!BE755</f>
        <v>60.000000000000007</v>
      </c>
      <c r="BF67" s="515">
        <f>INPUT!BF756</f>
        <v>171.62136220045448</v>
      </c>
      <c r="BG67" s="339">
        <f>INPUT!BG755</f>
        <v>11.111111111110406</v>
      </c>
      <c r="BH67" s="515">
        <f>INPUT!BH756</f>
        <v>165.88108058885376</v>
      </c>
      <c r="BI67" s="339">
        <f>INPUT!BI755</f>
        <v>57.89473684210715</v>
      </c>
      <c r="BJ67" s="515">
        <f>INPUT!BJ756</f>
        <v>161.21496926599849</v>
      </c>
      <c r="BK67" s="339">
        <f>INPUT!BK755</f>
        <v>15.384615384615641</v>
      </c>
      <c r="BL67" s="515">
        <f>INPUT!BL756</f>
        <v>158.95081145967904</v>
      </c>
      <c r="BM67" s="339">
        <f>INPUT!BM755</f>
        <v>32.499999999999993</v>
      </c>
      <c r="BN67" s="347"/>
      <c r="BO67" s="515">
        <f>INPUT!BU756</f>
        <v>230</v>
      </c>
      <c r="BP67" s="340" t="str">
        <f>INPUT!BV755</f>
        <v>NA</v>
      </c>
      <c r="BQ67" s="515">
        <f>INPUT!BW756</f>
        <v>230</v>
      </c>
      <c r="BR67" s="340" t="str">
        <f>INPUT!BX755</f>
        <v>NA</v>
      </c>
      <c r="BS67" s="515">
        <f>INPUT!BY756</f>
        <v>251.8</v>
      </c>
      <c r="BT67" s="340" t="str">
        <f>INPUT!BZ755</f>
        <v>NA</v>
      </c>
      <c r="BU67" s="515">
        <f>INPUT!CA756</f>
        <v>255.125</v>
      </c>
      <c r="BV67" s="340">
        <f>INPUT!CB755</f>
        <v>1.2878587085651816E-12</v>
      </c>
      <c r="BW67" s="515">
        <f>INPUT!CC756</f>
        <v>227.52500000000001</v>
      </c>
      <c r="BX67" s="340">
        <f>INPUT!CD755</f>
        <v>18.181818181817011</v>
      </c>
      <c r="BY67" s="515">
        <f>INPUT!CE756</f>
        <v>202.8</v>
      </c>
      <c r="BZ67" s="340">
        <f>INPUT!CF755</f>
        <v>-3.8461538461536326</v>
      </c>
      <c r="CA67" s="515">
        <f>INPUT!CG756</f>
        <v>186.875</v>
      </c>
      <c r="CB67" s="340">
        <f>INPUT!CH755</f>
        <v>60.000000000000007</v>
      </c>
      <c r="CC67" s="515">
        <f>INPUT!CI756</f>
        <v>164.41705587874645</v>
      </c>
      <c r="CD67" s="340">
        <f>INPUT!CJ755</f>
        <v>32.499999999999993</v>
      </c>
      <c r="CE67" s="515">
        <f>INPUT!CK756</f>
        <v>150.45983702213059</v>
      </c>
      <c r="CF67" s="340">
        <f>INPUT!CL755</f>
        <v>0</v>
      </c>
      <c r="CG67" s="515">
        <f>INPUT!CM755</f>
        <v>7.2</v>
      </c>
      <c r="CH67" s="340">
        <f>INPUT!CN755</f>
        <v>35.849056603773597</v>
      </c>
      <c r="CI67" s="515">
        <f>INPUT!CO755</f>
        <v>8.8000000000000007</v>
      </c>
      <c r="CJ67" s="340">
        <f>INPUT!CP755</f>
        <v>22.222222222222232</v>
      </c>
      <c r="CK67" s="515">
        <f>INPUT!CQ755</f>
        <v>8.8000000000000007</v>
      </c>
      <c r="CL67" s="340">
        <f>INPUT!CR755</f>
        <v>0</v>
      </c>
      <c r="CM67" s="610">
        <f>INPUT!CS755</f>
        <v>17.080491296489232</v>
      </c>
    </row>
    <row r="68" spans="1:91" s="331" customFormat="1" ht="12.75" customHeight="1" x14ac:dyDescent="0.2">
      <c r="A68" s="603"/>
      <c r="B68" s="512"/>
      <c r="C68" s="512"/>
      <c r="D68" s="512"/>
      <c r="E68" s="512"/>
      <c r="F68" s="512"/>
      <c r="G68" s="512"/>
      <c r="H68" s="512"/>
      <c r="I68" s="512"/>
      <c r="J68" s="512"/>
      <c r="K68" s="513"/>
      <c r="L68" s="512"/>
      <c r="M68" s="513"/>
      <c r="N68" s="512"/>
      <c r="O68" s="513"/>
      <c r="P68" s="512"/>
      <c r="Q68" s="513"/>
      <c r="R68" s="512"/>
      <c r="S68" s="513"/>
      <c r="T68" s="512"/>
      <c r="U68" s="513"/>
      <c r="V68" s="512"/>
      <c r="W68" s="513"/>
      <c r="X68" s="512"/>
      <c r="Y68" s="513"/>
      <c r="Z68" s="512"/>
      <c r="AA68" s="513"/>
      <c r="AB68" s="512"/>
      <c r="AC68" s="513"/>
      <c r="AD68" s="512"/>
      <c r="AE68" s="513"/>
      <c r="AF68" s="512"/>
      <c r="AG68" s="513"/>
      <c r="AH68" s="512"/>
      <c r="AI68" s="513"/>
      <c r="AJ68" s="512"/>
      <c r="AK68" s="513"/>
      <c r="AL68" s="512"/>
      <c r="AM68" s="513"/>
      <c r="AN68" s="512"/>
      <c r="AO68" s="513"/>
      <c r="AP68" s="512"/>
      <c r="AQ68" s="513"/>
      <c r="AR68" s="512"/>
      <c r="AS68" s="513"/>
      <c r="AT68" s="512"/>
      <c r="AU68" s="513"/>
      <c r="AV68" s="512"/>
      <c r="AW68" s="513"/>
      <c r="AX68" s="512"/>
      <c r="AY68" s="513"/>
      <c r="AZ68" s="512"/>
      <c r="BA68" s="513"/>
      <c r="BB68" s="512"/>
      <c r="BC68" s="513"/>
      <c r="BD68" s="512"/>
      <c r="BE68" s="513"/>
      <c r="BF68" s="512"/>
      <c r="BG68" s="513"/>
      <c r="BH68" s="512"/>
      <c r="BI68" s="513"/>
      <c r="BJ68" s="512"/>
      <c r="BK68" s="513"/>
      <c r="BL68" s="512"/>
      <c r="BM68" s="513"/>
      <c r="BN68" s="361"/>
      <c r="BO68" s="512"/>
      <c r="BP68" s="514"/>
      <c r="BQ68" s="512"/>
      <c r="BR68" s="514"/>
      <c r="BS68" s="512"/>
      <c r="BT68" s="514"/>
      <c r="BU68" s="512"/>
      <c r="BV68" s="514"/>
      <c r="BW68" s="512"/>
      <c r="BX68" s="514"/>
      <c r="BY68" s="512"/>
      <c r="BZ68" s="514"/>
      <c r="CA68" s="512"/>
      <c r="CB68" s="514"/>
      <c r="CC68" s="512"/>
      <c r="CD68" s="514"/>
      <c r="CE68" s="512"/>
      <c r="CF68" s="514"/>
      <c r="CG68" s="512"/>
      <c r="CH68" s="514"/>
      <c r="CI68" s="512"/>
      <c r="CJ68" s="514"/>
      <c r="CK68" s="512"/>
      <c r="CL68" s="514"/>
      <c r="CM68" s="608"/>
    </row>
    <row r="69" spans="1:91" s="331" customFormat="1" ht="12.75" customHeight="1" x14ac:dyDescent="0.2">
      <c r="A69" s="632" t="s">
        <v>257</v>
      </c>
      <c r="B69" s="515"/>
      <c r="C69" s="515"/>
      <c r="D69" s="515"/>
      <c r="E69" s="515"/>
      <c r="F69" s="515"/>
      <c r="G69" s="515"/>
      <c r="H69" s="515"/>
      <c r="I69" s="515"/>
      <c r="J69" s="515"/>
      <c r="K69" s="339"/>
      <c r="L69" s="515"/>
      <c r="M69" s="339"/>
      <c r="N69" s="515"/>
      <c r="O69" s="339"/>
      <c r="P69" s="515"/>
      <c r="Q69" s="339"/>
      <c r="R69" s="515"/>
      <c r="S69" s="339"/>
      <c r="T69" s="515"/>
      <c r="U69" s="339"/>
      <c r="V69" s="515"/>
      <c r="W69" s="339"/>
      <c r="X69" s="515"/>
      <c r="Y69" s="339"/>
      <c r="Z69" s="515"/>
      <c r="AA69" s="339"/>
      <c r="AB69" s="515"/>
      <c r="AC69" s="339"/>
      <c r="AD69" s="515"/>
      <c r="AE69" s="339"/>
      <c r="AF69" s="515"/>
      <c r="AG69" s="339"/>
      <c r="AH69" s="515"/>
      <c r="AI69" s="339"/>
      <c r="AJ69" s="515"/>
      <c r="AK69" s="339"/>
      <c r="AL69" s="515"/>
      <c r="AM69" s="339"/>
      <c r="AN69" s="515"/>
      <c r="AO69" s="339"/>
      <c r="AP69" s="515"/>
      <c r="AQ69" s="339"/>
      <c r="AR69" s="515"/>
      <c r="AS69" s="339"/>
      <c r="AT69" s="515"/>
      <c r="AU69" s="339"/>
      <c r="AV69" s="515"/>
      <c r="AW69" s="339"/>
      <c r="AX69" s="515"/>
      <c r="AY69" s="339"/>
      <c r="AZ69" s="515"/>
      <c r="BA69" s="339"/>
      <c r="BB69" s="515"/>
      <c r="BC69" s="339"/>
      <c r="BD69" s="515"/>
      <c r="BE69" s="339"/>
      <c r="BF69" s="515"/>
      <c r="BG69" s="339"/>
      <c r="BH69" s="515"/>
      <c r="BI69" s="339"/>
      <c r="BJ69" s="515"/>
      <c r="BK69" s="339"/>
      <c r="BL69" s="515"/>
      <c r="BM69" s="339"/>
      <c r="BN69" s="347"/>
      <c r="BO69" s="515"/>
      <c r="BP69" s="340"/>
      <c r="BQ69" s="515"/>
      <c r="BR69" s="340"/>
      <c r="BS69" s="515"/>
      <c r="BT69" s="340"/>
      <c r="BU69" s="515"/>
      <c r="BV69" s="340"/>
      <c r="BW69" s="515"/>
      <c r="BX69" s="340"/>
      <c r="BY69" s="515"/>
      <c r="BZ69" s="340"/>
      <c r="CA69" s="515"/>
      <c r="CB69" s="340"/>
      <c r="CC69" s="515"/>
      <c r="CD69" s="340"/>
      <c r="CE69" s="515"/>
      <c r="CF69" s="340"/>
      <c r="CG69" s="515"/>
      <c r="CH69" s="340"/>
      <c r="CI69" s="515"/>
      <c r="CJ69" s="340"/>
      <c r="CK69" s="515"/>
      <c r="CL69" s="340"/>
      <c r="CM69" s="610"/>
    </row>
    <row r="70" spans="1:91" s="331" customFormat="1" ht="12.75" customHeight="1" x14ac:dyDescent="0.2">
      <c r="A70" s="622" t="str">
        <f>INPUT!A720</f>
        <v>Retirement</v>
      </c>
      <c r="B70" s="522">
        <f>INPUT!B720</f>
        <v>48.697471226857068</v>
      </c>
      <c r="C70" s="522"/>
      <c r="D70" s="522">
        <f>INPUT!D720</f>
        <v>49.830023794001271</v>
      </c>
      <c r="E70" s="522"/>
      <c r="F70" s="522">
        <f>INPUT!F720</f>
        <v>45.564675139492202</v>
      </c>
      <c r="G70" s="522"/>
      <c r="H70" s="522">
        <f>INPUT!H720</f>
        <v>28.926666288525819</v>
      </c>
      <c r="I70" s="522"/>
      <c r="J70" s="522">
        <f>INPUT!J720</f>
        <v>46.212748344370866</v>
      </c>
      <c r="K70" s="339">
        <f>INPUT!K720</f>
        <v>-5.1023653177207589</v>
      </c>
      <c r="L70" s="522">
        <f>INPUT!L720</f>
        <v>44.111325087289416</v>
      </c>
      <c r="M70" s="339">
        <f>INPUT!M720</f>
        <v>-11.476411751985349</v>
      </c>
      <c r="N70" s="522">
        <f>INPUT!N720</f>
        <v>50.299530549030081</v>
      </c>
      <c r="O70" s="339">
        <f>INPUT!O720</f>
        <v>10.391504811660646</v>
      </c>
      <c r="P70" s="522">
        <f>INPUT!P720</f>
        <v>45.353324550255913</v>
      </c>
      <c r="Q70" s="339">
        <f>INPUT!Q720</f>
        <v>56.787249861025167</v>
      </c>
      <c r="R70" s="522">
        <f>INPUT!R720</f>
        <v>54.295387219636083</v>
      </c>
      <c r="S70" s="339">
        <f>INPUT!S720</f>
        <v>17.490063164031145</v>
      </c>
      <c r="T70" s="522">
        <f>INPUT!T720</f>
        <v>49.490229065900294</v>
      </c>
      <c r="U70" s="339">
        <f>INPUT!U720</f>
        <v>12.193929717520092</v>
      </c>
      <c r="V70" s="522">
        <f>INPUT!V720</f>
        <v>52.271844660194176</v>
      </c>
      <c r="W70" s="339">
        <f>INPUT!W720</f>
        <v>3.9211382087185775</v>
      </c>
      <c r="X70" s="522">
        <f>INPUT!X720</f>
        <v>49.212742585133626</v>
      </c>
      <c r="Y70" s="339">
        <f>INPUT!Y720</f>
        <v>8.5096695184960538</v>
      </c>
      <c r="Z70" s="522">
        <f>INPUT!Z720</f>
        <v>49.940641076375123</v>
      </c>
      <c r="AA70" s="339">
        <f>INPUT!AA720</f>
        <v>-8.0204716574634798</v>
      </c>
      <c r="AB70" s="522">
        <f>INPUT!AB720</f>
        <v>41.191543882126865</v>
      </c>
      <c r="AC70" s="339">
        <f>INPUT!AC720</f>
        <v>-16.76833051777362</v>
      </c>
      <c r="AD70" s="522">
        <f>INPUT!AD720</f>
        <v>47.977985997422408</v>
      </c>
      <c r="AE70" s="339">
        <f>INPUT!AE720</f>
        <v>-8.2144770108746652</v>
      </c>
      <c r="AF70" s="522">
        <f>INPUT!AF720</f>
        <v>41.614195764167107</v>
      </c>
      <c r="AG70" s="339">
        <f>INPUT!AG720</f>
        <v>-15.44020191075861</v>
      </c>
      <c r="AH70" s="522">
        <f>INPUT!AH720</f>
        <v>45.619271692945183</v>
      </c>
      <c r="AI70" s="339">
        <f>INPUT!AI720</f>
        <v>-8.6530114357586836</v>
      </c>
      <c r="AJ70" s="522">
        <f>INPUT!AJ720</f>
        <v>46.105574012550768</v>
      </c>
      <c r="AK70" s="339">
        <f>INPUT!AK720</f>
        <v>11.929706117560968</v>
      </c>
      <c r="AL70" s="522">
        <f>INPUT!AL720</f>
        <v>55.555555555555522</v>
      </c>
      <c r="AM70" s="339">
        <f>INPUT!AM720</f>
        <v>15.793846699901515</v>
      </c>
      <c r="AN70" s="522">
        <f>INPUT!AN720</f>
        <v>51.925465838509311</v>
      </c>
      <c r="AO70" s="339">
        <f>INPUT!AO720</f>
        <v>24.778251471631151</v>
      </c>
      <c r="AP70" s="522">
        <f>INPUT!AP720</f>
        <v>103.97959183673473</v>
      </c>
      <c r="AQ70" s="339" t="str">
        <f>INPUT!AQ720</f>
        <v>NM</v>
      </c>
      <c r="AR70" s="522">
        <f>INPUT!AR720</f>
        <v>83.595999393847549</v>
      </c>
      <c r="AS70" s="339">
        <f>INPUT!AS720</f>
        <v>81.314301327408288</v>
      </c>
      <c r="AT70" s="522">
        <f>INPUT!AT720</f>
        <v>98.718914845516252</v>
      </c>
      <c r="AU70" s="339">
        <f>INPUT!AU720</f>
        <v>77.694046721929368</v>
      </c>
      <c r="AV70" s="522">
        <f>INPUT!AV720</f>
        <v>95.833333333333385</v>
      </c>
      <c r="AW70" s="339">
        <f>INPUT!AW720</f>
        <v>84.559409888357379</v>
      </c>
      <c r="AX70" s="522">
        <f>INPUT!AX720</f>
        <v>99.623777276147479</v>
      </c>
      <c r="AY70" s="339">
        <f>INPUT!AY720</f>
        <v>-4.1891052692595743</v>
      </c>
      <c r="AZ70" s="522">
        <f>INPUT!AZ720</f>
        <v>78.84615384615384</v>
      </c>
      <c r="BA70" s="339">
        <f>INPUT!BA720</f>
        <v>-5.6819053329521978</v>
      </c>
      <c r="BB70" s="522">
        <f>INPUT!BB720</f>
        <v>83.122847301951793</v>
      </c>
      <c r="BC70" s="339">
        <f>INPUT!BC720</f>
        <v>-15.798459259778641</v>
      </c>
      <c r="BD70" s="522">
        <f>INPUT!BD720</f>
        <v>69.557109557109541</v>
      </c>
      <c r="BE70" s="339">
        <f>INPUT!BE720</f>
        <v>-27.418668288233562</v>
      </c>
      <c r="BF70" s="522">
        <f>INPUT!BF720</f>
        <v>80.081873742851727</v>
      </c>
      <c r="BG70" s="339">
        <f>INPUT!BG720</f>
        <v>-19.615702262651102</v>
      </c>
      <c r="BH70" s="522">
        <f>INPUT!BH720</f>
        <v>67.884407517456125</v>
      </c>
      <c r="BI70" s="339">
        <f>INPUT!BI720</f>
        <v>-13.902702660787348</v>
      </c>
      <c r="BJ70" s="522">
        <f>INPUT!BJ720</f>
        <v>65.188574012850026</v>
      </c>
      <c r="BK70" s="339">
        <f>INPUT!BK720</f>
        <v>-21.575624357469113</v>
      </c>
      <c r="BL70" s="522">
        <f>INPUT!BL720</f>
        <v>64.877701401282266</v>
      </c>
      <c r="BM70" s="339">
        <f>INPUT!BM720</f>
        <v>-6.7274333071377423</v>
      </c>
      <c r="BN70" s="347"/>
      <c r="BO70" s="522">
        <f>INPUT!BU720</f>
        <v>44.940381670693888</v>
      </c>
      <c r="BP70" s="340" t="str">
        <f>INPUT!BV720</f>
        <v>NA</v>
      </c>
      <c r="BQ70" s="522">
        <f>INPUT!BW720</f>
        <v>46.445134784616201</v>
      </c>
      <c r="BR70" s="340">
        <f>INPUT!BX720</f>
        <v>3.3483318520714178</v>
      </c>
      <c r="BS70" s="522">
        <f>INPUT!BY720</f>
        <v>51.225087478337983</v>
      </c>
      <c r="BT70" s="340">
        <f>INPUT!BZ720</f>
        <v>10.291611200803374</v>
      </c>
      <c r="BU70" s="522">
        <f>INPUT!CA720</f>
        <v>44.776467258758593</v>
      </c>
      <c r="BV70" s="340">
        <f>INPUT!CB720</f>
        <v>-12.5887929860664</v>
      </c>
      <c r="BW70" s="522">
        <f>INPUT!CC720</f>
        <v>49.457457886080746</v>
      </c>
      <c r="BX70" s="340">
        <f>INPUT!CD720</f>
        <v>10.454131185185279</v>
      </c>
      <c r="BY70" s="522">
        <f>INPUT!CE720</f>
        <v>94.489115728569743</v>
      </c>
      <c r="BZ70" s="340">
        <f>INPUT!CF720</f>
        <v>91.051298969336344</v>
      </c>
      <c r="CA70" s="522">
        <f>INPUT!CG720</f>
        <v>80.99772598067085</v>
      </c>
      <c r="CB70" s="340">
        <f>INPUT!CH720</f>
        <v>-14.278247440323577</v>
      </c>
      <c r="CC70" s="522">
        <f>INPUT!CI720</f>
        <v>68.941894071172271</v>
      </c>
      <c r="CD70" s="340">
        <f>INPUT!CJ720</f>
        <v>-14.884160960735571</v>
      </c>
      <c r="CE70" s="593">
        <f>INPUT!CK720</f>
        <v>63.708131459494055</v>
      </c>
      <c r="CF70" s="340">
        <f>INPUT!CL720</f>
        <v>-7.5915561679740566</v>
      </c>
      <c r="CG70" s="593">
        <f>INPUT!CM720</f>
        <v>63.768348329723693</v>
      </c>
      <c r="CH70" s="340">
        <f>INPUT!CN720</f>
        <v>9.4519912686386043E-2</v>
      </c>
      <c r="CI70" s="593">
        <f>INPUT!CO720</f>
        <v>63.984657090843776</v>
      </c>
      <c r="CJ70" s="340">
        <f>INPUT!CP720</f>
        <v>0.33921023013114837</v>
      </c>
      <c r="CK70" s="593">
        <f>INPUT!CQ720</f>
        <v>64.105220769596372</v>
      </c>
      <c r="CL70" s="340">
        <f>INPUT!CR720</f>
        <v>0.18842591995362756</v>
      </c>
      <c r="CM70" s="610">
        <f>INPUT!CS720</f>
        <v>-4.570177772515116</v>
      </c>
    </row>
    <row r="71" spans="1:91" s="331" customFormat="1" ht="12.75" customHeight="1" x14ac:dyDescent="0.2">
      <c r="A71" s="622" t="str">
        <f>INPUT!A721</f>
        <v>Annuities</v>
      </c>
      <c r="B71" s="522">
        <f>INPUT!B721</f>
        <v>11.998546410345421</v>
      </c>
      <c r="C71" s="522"/>
      <c r="D71" s="522">
        <f>INPUT!D721</f>
        <v>15.631860798401048</v>
      </c>
      <c r="E71" s="522"/>
      <c r="F71" s="522">
        <f>INPUT!F721</f>
        <v>12.375884603048291</v>
      </c>
      <c r="G71" s="522"/>
      <c r="H71" s="522">
        <f>INPUT!H721</f>
        <v>15.332032147530947</v>
      </c>
      <c r="I71" s="522"/>
      <c r="J71" s="522">
        <f>INPUT!J721</f>
        <v>22.580941869021327</v>
      </c>
      <c r="K71" s="339">
        <f>INPUT!K721</f>
        <v>88.197312380702414</v>
      </c>
      <c r="L71" s="522">
        <f>INPUT!L721</f>
        <v>18.943299419468261</v>
      </c>
      <c r="M71" s="339">
        <f>INPUT!M721</f>
        <v>21.183905510506683</v>
      </c>
      <c r="N71" s="522">
        <f>INPUT!N721</f>
        <v>17.667094842982738</v>
      </c>
      <c r="O71" s="339">
        <f>INPUT!O721</f>
        <v>42.754198262572473</v>
      </c>
      <c r="P71" s="522">
        <f>INPUT!P721</f>
        <v>19.703629431859245</v>
      </c>
      <c r="Q71" s="339">
        <f>INPUT!Q721</f>
        <v>28.512836669418906</v>
      </c>
      <c r="R71" s="522">
        <f>INPUT!R721</f>
        <v>19.32924248836223</v>
      </c>
      <c r="S71" s="339">
        <f>INPUT!S721</f>
        <v>-14.400193754185631</v>
      </c>
      <c r="T71" s="522">
        <f>INPUT!T721</f>
        <v>17.329875147011848</v>
      </c>
      <c r="U71" s="339">
        <f>INPUT!U721</f>
        <v>-8.5171238480149736</v>
      </c>
      <c r="V71" s="522">
        <f>INPUT!V721</f>
        <v>17.165048543689327</v>
      </c>
      <c r="W71" s="339">
        <f>INPUT!W721</f>
        <v>-2.8417026328062089</v>
      </c>
      <c r="X71" s="522">
        <f>INPUT!X721</f>
        <v>20.358842914683283</v>
      </c>
      <c r="Y71" s="339">
        <f>INPUT!Y721</f>
        <v>3.3253441204319945</v>
      </c>
      <c r="Z71" s="522">
        <f>INPUT!Z721</f>
        <v>20.419469726948964</v>
      </c>
      <c r="AA71" s="339">
        <f>INPUT!AA721</f>
        <v>5.6402998681564398</v>
      </c>
      <c r="AB71" s="522">
        <f>INPUT!AB721</f>
        <v>18.48174247277387</v>
      </c>
      <c r="AC71" s="339">
        <f>INPUT!AC721</f>
        <v>6.6467145088499713</v>
      </c>
      <c r="AD71" s="522">
        <f>INPUT!AD721</f>
        <v>18.906962973283623</v>
      </c>
      <c r="AE71" s="339">
        <f>INPUT!AE721</f>
        <v>10.148030896392113</v>
      </c>
      <c r="AF71" s="522">
        <f>INPUT!AF721</f>
        <v>18.030910131654274</v>
      </c>
      <c r="AG71" s="339">
        <f>INPUT!AG721</f>
        <v>-11.434504371316944</v>
      </c>
      <c r="AH71" s="522">
        <f>INPUT!AH721</f>
        <v>21.378656459598979</v>
      </c>
      <c r="AI71" s="339">
        <f>INPUT!AI721</f>
        <v>4.6974125453616011</v>
      </c>
      <c r="AJ71" s="522">
        <f>INPUT!AJ721</f>
        <v>20.671834625322973</v>
      </c>
      <c r="AK71" s="339">
        <f>INPUT!AK721</f>
        <v>11.850030676357527</v>
      </c>
      <c r="AL71" s="522">
        <f>INPUT!AL721</f>
        <v>27.951388888888886</v>
      </c>
      <c r="AM71" s="339">
        <f>INPUT!AM721</f>
        <v>47.836481873823075</v>
      </c>
      <c r="AN71" s="522">
        <f>INPUT!AN721</f>
        <v>21.532091097308498</v>
      </c>
      <c r="AO71" s="339">
        <f>INPUT!AO721</f>
        <v>19.417660784120393</v>
      </c>
      <c r="AP71" s="522">
        <f>INPUT!AP721</f>
        <v>0</v>
      </c>
      <c r="AQ71" s="339" t="str">
        <f>INPUT!AQ721</f>
        <v>NM</v>
      </c>
      <c r="AR71" s="522">
        <f>INPUT!AR721</f>
        <v>0</v>
      </c>
      <c r="AS71" s="339" t="str">
        <f>INPUT!AS721</f>
        <v>NM</v>
      </c>
      <c r="AT71" s="522">
        <f>INPUT!AT721</f>
        <v>0</v>
      </c>
      <c r="AU71" s="339" t="str">
        <f>INPUT!AU721</f>
        <v>NM</v>
      </c>
      <c r="AV71" s="522">
        <f>INPUT!AV721</f>
        <v>0</v>
      </c>
      <c r="AW71" s="339" t="str">
        <f>INPUT!AW721</f>
        <v>NM</v>
      </c>
      <c r="AX71" s="522">
        <f>INPUT!AX721</f>
        <v>0</v>
      </c>
      <c r="AY71" s="339" t="str">
        <f>INPUT!AY721</f>
        <v>NA</v>
      </c>
      <c r="AZ71" s="522">
        <f>INPUT!AZ721</f>
        <v>0</v>
      </c>
      <c r="BA71" s="339" t="str">
        <f>INPUT!BA721</f>
        <v>NA</v>
      </c>
      <c r="BB71" s="522">
        <f>INPUT!BB721</f>
        <v>0</v>
      </c>
      <c r="BC71" s="339" t="str">
        <f>INPUT!BC721</f>
        <v>NA</v>
      </c>
      <c r="BD71" s="522">
        <f>INPUT!BD721</f>
        <v>0</v>
      </c>
      <c r="BE71" s="339" t="str">
        <f>INPUT!BE721</f>
        <v>NA</v>
      </c>
      <c r="BF71" s="522">
        <f>INPUT!BF721</f>
        <v>0</v>
      </c>
      <c r="BG71" s="339" t="str">
        <f>INPUT!BG721</f>
        <v>NA</v>
      </c>
      <c r="BH71" s="522">
        <f>INPUT!BH721</f>
        <v>0</v>
      </c>
      <c r="BI71" s="339" t="str">
        <f>INPUT!BI721</f>
        <v>NA</v>
      </c>
      <c r="BJ71" s="522">
        <f>INPUT!BJ721</f>
        <v>0</v>
      </c>
      <c r="BK71" s="339" t="str">
        <f>INPUT!BK721</f>
        <v>NA</v>
      </c>
      <c r="BL71" s="522">
        <f>INPUT!BL721</f>
        <v>0</v>
      </c>
      <c r="BM71" s="339" t="str">
        <f>INPUT!BM721</f>
        <v>NA</v>
      </c>
      <c r="BN71" s="347"/>
      <c r="BO71" s="522">
        <f>INPUT!BU721</f>
        <v>13.741922727780299</v>
      </c>
      <c r="BP71" s="340" t="str">
        <f>INPUT!BV721</f>
        <v>NA</v>
      </c>
      <c r="BQ71" s="522">
        <f>INPUT!BW721</f>
        <v>19.586142265189306</v>
      </c>
      <c r="BR71" s="340">
        <f>INPUT!BX721</f>
        <v>42.528397613490363</v>
      </c>
      <c r="BS71" s="522">
        <f>INPUT!BY721</f>
        <v>18.558009225521197</v>
      </c>
      <c r="BT71" s="340">
        <f>INPUT!BZ721</f>
        <v>-5.2492881229369122</v>
      </c>
      <c r="BU71" s="522">
        <f>INPUT!CA721</f>
        <v>18.859820707680271</v>
      </c>
      <c r="BV71" s="340">
        <f>INPUT!CB721</f>
        <v>1.6263138922467002</v>
      </c>
      <c r="BW71" s="522">
        <f>INPUT!CC721</f>
        <v>22.702103019745628</v>
      </c>
      <c r="BX71" s="340">
        <f>INPUT!CD721</f>
        <v>20.372846442281745</v>
      </c>
      <c r="BY71" s="522">
        <f>INPUT!CE721</f>
        <v>0</v>
      </c>
      <c r="BZ71" s="340" t="str">
        <f>INPUT!CF721</f>
        <v>NM</v>
      </c>
      <c r="CA71" s="522">
        <f>INPUT!CG721</f>
        <v>0</v>
      </c>
      <c r="CB71" s="340" t="str">
        <f>INPUT!CH721</f>
        <v>NA</v>
      </c>
      <c r="CC71" s="522">
        <f>INPUT!CI721</f>
        <v>0</v>
      </c>
      <c r="CD71" s="340" t="str">
        <f>INPUT!CJ721</f>
        <v>NA</v>
      </c>
      <c r="CE71" s="593">
        <f>INPUT!CK721</f>
        <v>0</v>
      </c>
      <c r="CF71" s="340" t="str">
        <f>INPUT!CL721</f>
        <v>NA</v>
      </c>
      <c r="CG71" s="593">
        <f>INPUT!CM721</f>
        <v>0</v>
      </c>
      <c r="CH71" s="340" t="str">
        <f>INPUT!CN721</f>
        <v>NA</v>
      </c>
      <c r="CI71" s="593">
        <f>INPUT!CO721</f>
        <v>0</v>
      </c>
      <c r="CJ71" s="340" t="str">
        <f>INPUT!CP721</f>
        <v>NA</v>
      </c>
      <c r="CK71" s="593">
        <f>INPUT!CQ721</f>
        <v>0</v>
      </c>
      <c r="CL71" s="340" t="str">
        <f>INPUT!CR721</f>
        <v>NA</v>
      </c>
      <c r="CM71" s="610" t="str">
        <f>INPUT!CS721</f>
        <v>NA</v>
      </c>
    </row>
    <row r="72" spans="1:91" s="331" customFormat="1" ht="12.75" customHeight="1" x14ac:dyDescent="0.2">
      <c r="A72" s="622" t="str">
        <f>INPUT!A722</f>
        <v>Investment Management</v>
      </c>
      <c r="B72" s="522">
        <f>INPUT!B722</f>
        <v>11.368510377862117</v>
      </c>
      <c r="C72" s="522"/>
      <c r="D72" s="522">
        <f>INPUT!D722</f>
        <v>9.8784363491478224</v>
      </c>
      <c r="E72" s="522"/>
      <c r="F72" s="522">
        <f>INPUT!F722</f>
        <v>9.0363790750654793</v>
      </c>
      <c r="G72" s="522"/>
      <c r="H72" s="522">
        <f>INPUT!H722</f>
        <v>9.1051363639769001</v>
      </c>
      <c r="I72" s="522"/>
      <c r="J72" s="522">
        <f>INPUT!J722</f>
        <v>15.173841059602664</v>
      </c>
      <c r="K72" s="339">
        <f>INPUT!K722</f>
        <v>33.472553177685093</v>
      </c>
      <c r="L72" s="522">
        <f>INPUT!L722</f>
        <v>10.168567404243719</v>
      </c>
      <c r="M72" s="339">
        <f>INPUT!M722</f>
        <v>2.9370139649776084</v>
      </c>
      <c r="N72" s="522">
        <f>INPUT!N722</f>
        <v>15.028602949401899</v>
      </c>
      <c r="O72" s="339">
        <f>INPUT!O722</f>
        <v>66.312223342544968</v>
      </c>
      <c r="P72" s="522">
        <f>INPUT!P722</f>
        <v>12.132694422745836</v>
      </c>
      <c r="Q72" s="339">
        <f>INPUT!Q722</f>
        <v>33.251100672660016</v>
      </c>
      <c r="R72" s="522">
        <f>INPUT!R722</f>
        <v>12.050359712230218</v>
      </c>
      <c r="S72" s="339">
        <f>INPUT!S722</f>
        <v>-20.584645213452866</v>
      </c>
      <c r="T72" s="522">
        <f>INPUT!T722</f>
        <v>15.966851259044635</v>
      </c>
      <c r="U72" s="339">
        <f>INPUT!U722</f>
        <v>57.021639571185602</v>
      </c>
      <c r="V72" s="522">
        <f>INPUT!V722</f>
        <v>16.504854368932055</v>
      </c>
      <c r="W72" s="339">
        <f>INPUT!W722</f>
        <v>9.8229451167242807</v>
      </c>
      <c r="X72" s="522">
        <f>INPUT!X722</f>
        <v>18.747711461003295</v>
      </c>
      <c r="Y72" s="339">
        <f>INPUT!Y722</f>
        <v>54.522242197544514</v>
      </c>
      <c r="Z72" s="522">
        <f>INPUT!Z722</f>
        <v>19.707162643450715</v>
      </c>
      <c r="AA72" s="339">
        <f>INPUT!AA722</f>
        <v>63.540036265053665</v>
      </c>
      <c r="AB72" s="522">
        <f>INPUT!AB722</f>
        <v>17.58488148622677</v>
      </c>
      <c r="AC72" s="339">
        <f>INPUT!AC722</f>
        <v>10.133683848689824</v>
      </c>
      <c r="AD72" s="522">
        <f>INPUT!AD722</f>
        <v>18.715385419206523</v>
      </c>
      <c r="AE72" s="339">
        <f>INPUT!AE722</f>
        <v>13.393217539898238</v>
      </c>
      <c r="AF72" s="522">
        <f>INPUT!AF722</f>
        <v>15.369204350314829</v>
      </c>
      <c r="AG72" s="339">
        <f>INPUT!AG722</f>
        <v>-18.02090413923867</v>
      </c>
      <c r="AH72" s="522">
        <f>INPUT!AH722</f>
        <v>15.644204094532425</v>
      </c>
      <c r="AI72" s="339">
        <f>INPUT!AI722</f>
        <v>-20.616659142804274</v>
      </c>
      <c r="AJ72" s="522">
        <f>INPUT!AJ722</f>
        <v>17.349575489110368</v>
      </c>
      <c r="AK72" s="339">
        <f>INPUT!AK722</f>
        <v>-1.3381153424360748</v>
      </c>
      <c r="AL72" s="522">
        <f>INPUT!AL722</f>
        <v>19.791666666666671</v>
      </c>
      <c r="AM72" s="339">
        <f>INPUT!AM722</f>
        <v>5.750783237173529</v>
      </c>
      <c r="AN72" s="522">
        <f>INPUT!AN722</f>
        <v>17.556935817805382</v>
      </c>
      <c r="AO72" s="339">
        <f>INPUT!AO722</f>
        <v>14.234513496111711</v>
      </c>
      <c r="AP72" s="522">
        <f>INPUT!AP722</f>
        <v>23.163265306122504</v>
      </c>
      <c r="AQ72" s="339">
        <f>INPUT!AQ722</f>
        <v>48.062919443872218</v>
      </c>
      <c r="AR72" s="522">
        <f>INPUT!AR722</f>
        <v>28.125473556599502</v>
      </c>
      <c r="AS72" s="339">
        <f>INPUT!AS722</f>
        <v>62.110442265591637</v>
      </c>
      <c r="AT72" s="522">
        <f>INPUT!AT722</f>
        <v>36.774679728711391</v>
      </c>
      <c r="AU72" s="339">
        <f>INPUT!AU722</f>
        <v>85.808908102962775</v>
      </c>
      <c r="AV72" s="522">
        <f>INPUT!AV722</f>
        <v>43.481182795698935</v>
      </c>
      <c r="AW72" s="339" t="str">
        <f>INPUT!AW722</f>
        <v>NM</v>
      </c>
      <c r="AX72" s="522">
        <f>INPUT!AX722</f>
        <v>34.161023325808927</v>
      </c>
      <c r="AY72" s="339">
        <f>INPUT!AY722</f>
        <v>47.479307750187957</v>
      </c>
      <c r="AZ72" s="522">
        <f>INPUT!AZ722</f>
        <v>29.505494505494532</v>
      </c>
      <c r="BA72" s="339">
        <f>INPUT!BA722</f>
        <v>4.9066585354301084</v>
      </c>
      <c r="BB72" s="522">
        <f>INPUT!BB722</f>
        <v>30.195177956371978</v>
      </c>
      <c r="BC72" s="339">
        <f>INPUT!BC722</f>
        <v>-17.89139108994754</v>
      </c>
      <c r="BD72" s="522">
        <f>INPUT!BD722</f>
        <v>27.505827505827511</v>
      </c>
      <c r="BE72" s="339">
        <f>INPUT!BE722</f>
        <v>-36.740848023691917</v>
      </c>
      <c r="BF72" s="522">
        <f>INPUT!BF722</f>
        <v>26.870596265140463</v>
      </c>
      <c r="BG72" s="339">
        <f>INPUT!BG722</f>
        <v>-21.341360272309196</v>
      </c>
      <c r="BH72" s="522">
        <f>INPUT!BH722</f>
        <v>28.336712220393089</v>
      </c>
      <c r="BI72" s="339">
        <f>INPUT!BI722</f>
        <v>-3.9612360500644761</v>
      </c>
      <c r="BJ72" s="522">
        <f>INPUT!BJ722</f>
        <v>23.368684676573846</v>
      </c>
      <c r="BK72" s="339">
        <f>INPUT!BK722</f>
        <v>-22.607892192791535</v>
      </c>
      <c r="BL72" s="522">
        <f>INPUT!BL722</f>
        <v>23.453809212720071</v>
      </c>
      <c r="BM72" s="339">
        <f>INPUT!BM722</f>
        <v>-14.731490235110945</v>
      </c>
      <c r="BN72" s="347"/>
      <c r="BO72" s="522">
        <f>INPUT!BU722</f>
        <v>9.8878558469561195</v>
      </c>
      <c r="BP72" s="340" t="str">
        <f>INPUT!BV722</f>
        <v>NA</v>
      </c>
      <c r="BQ72" s="522">
        <f>INPUT!BW722</f>
        <v>12.965967362311275</v>
      </c>
      <c r="BR72" s="340">
        <f>INPUT!BX722</f>
        <v>31.130222396018482</v>
      </c>
      <c r="BS72" s="522">
        <f>INPUT!BY722</f>
        <v>15.940008713643508</v>
      </c>
      <c r="BT72" s="340">
        <f>INPUT!BZ722</f>
        <v>22.937288581930293</v>
      </c>
      <c r="BU72" s="522">
        <f>INPUT!CA722</f>
        <v>17.657047253597906</v>
      </c>
      <c r="BV72" s="340">
        <f>INPUT!CB722</f>
        <v>10.771879556657549</v>
      </c>
      <c r="BW72" s="522">
        <f>INPUT!CC722</f>
        <v>17.473262162188458</v>
      </c>
      <c r="BX72" s="340">
        <f>INPUT!CD722</f>
        <v>-1.0408597132343211</v>
      </c>
      <c r="BY72" s="522">
        <f>INPUT!CE722</f>
        <v>33.635093663033047</v>
      </c>
      <c r="BZ72" s="340">
        <f>INPUT!CF722</f>
        <v>92.494643248804678</v>
      </c>
      <c r="CA72" s="522">
        <f>INPUT!CG722</f>
        <v>29.945992040932335</v>
      </c>
      <c r="CB72" s="340">
        <f>INPUT!CH722</f>
        <v>-10.968013524978682</v>
      </c>
      <c r="CC72" s="522">
        <f>INPUT!CI722</f>
        <v>25.371219197711277</v>
      </c>
      <c r="CD72" s="340">
        <f>INPUT!CJ722</f>
        <v>-15.276745004700231</v>
      </c>
      <c r="CE72" s="593">
        <f>INPUT!CK722</f>
        <v>23.620355118097038</v>
      </c>
      <c r="CF72" s="340">
        <f>INPUT!CL722</f>
        <v>-6.9009851910159075</v>
      </c>
      <c r="CG72" s="593">
        <f>INPUT!CM722</f>
        <v>23.5520631247783</v>
      </c>
      <c r="CH72" s="340">
        <f>INPUT!CN722</f>
        <v>-0.28912348259495513</v>
      </c>
      <c r="CI72" s="593">
        <f>INPUT!CO722</f>
        <v>23.314397120551956</v>
      </c>
      <c r="CJ72" s="340">
        <f>INPUT!CP722</f>
        <v>-1.0091090660176771</v>
      </c>
      <c r="CK72" s="593">
        <f>INPUT!CQ722</f>
        <v>23.16869069602097</v>
      </c>
      <c r="CL72" s="340">
        <f>INPUT!CR722</f>
        <v>-0.62496329533026085</v>
      </c>
      <c r="CM72" s="610">
        <f>INPUT!CS722</f>
        <v>-5.0024166502693701</v>
      </c>
    </row>
    <row r="73" spans="1:91" s="331" customFormat="1" ht="12.75" customHeight="1" x14ac:dyDescent="0.2">
      <c r="A73" s="622" t="str">
        <f>INPUT!A723</f>
        <v>Individual Life</v>
      </c>
      <c r="B73" s="522">
        <f>INPUT!B723</f>
        <v>34.839824198549074</v>
      </c>
      <c r="C73" s="522"/>
      <c r="D73" s="522">
        <f>INPUT!D723</f>
        <v>31.935479259889259</v>
      </c>
      <c r="E73" s="522"/>
      <c r="F73" s="522">
        <f>INPUT!F723</f>
        <v>25.846558997904694</v>
      </c>
      <c r="G73" s="522"/>
      <c r="H73" s="522">
        <f>INPUT!H723</f>
        <v>40.364362270583847</v>
      </c>
      <c r="I73" s="522"/>
      <c r="J73" s="522">
        <f>INPUT!J723</f>
        <v>21.507082413539365</v>
      </c>
      <c r="K73" s="339">
        <f>INPUT!K723</f>
        <v>-38.268682726490219</v>
      </c>
      <c r="L73" s="522">
        <f>INPUT!L723</f>
        <v>12.829716514572739</v>
      </c>
      <c r="M73" s="339" t="str">
        <f>INPUT!M723</f>
        <v>NM</v>
      </c>
      <c r="N73" s="522">
        <f>INPUT!N723</f>
        <v>17.147497097273149</v>
      </c>
      <c r="O73" s="339">
        <f>INPUT!O723</f>
        <v>-33.656557150747815</v>
      </c>
      <c r="P73" s="522">
        <f>INPUT!P723</f>
        <v>19.382230979390862</v>
      </c>
      <c r="Q73" s="339" t="str">
        <f>INPUT!Q723</f>
        <v>NM</v>
      </c>
      <c r="R73" s="522">
        <f>INPUT!R723</f>
        <v>21.910706728734656</v>
      </c>
      <c r="S73" s="339">
        <f>INPUT!S723</f>
        <v>1.8767041825310304</v>
      </c>
      <c r="T73" s="522">
        <f>INPUT!T723</f>
        <v>17.485649305636684</v>
      </c>
      <c r="U73" s="339">
        <f>INPUT!U723</f>
        <v>36.2902234494072</v>
      </c>
      <c r="V73" s="522">
        <f>INPUT!V723</f>
        <v>23.417475728155331</v>
      </c>
      <c r="W73" s="339">
        <f>INPUT!W723</f>
        <v>36.564978523187833</v>
      </c>
      <c r="X73" s="522">
        <f>INPUT!X723</f>
        <v>18.930794580739661</v>
      </c>
      <c r="Y73" s="339">
        <f>INPUT!Y723</f>
        <v>-2.3291250585715018</v>
      </c>
      <c r="Z73" s="522">
        <f>INPUT!Z723</f>
        <v>15.11673921646223</v>
      </c>
      <c r="AA73" s="339">
        <f>INPUT!AA723</f>
        <v>-31.00752338290631</v>
      </c>
      <c r="AB73" s="522">
        <f>INPUT!AB723</f>
        <v>20.787956438180622</v>
      </c>
      <c r="AC73" s="339">
        <f>INPUT!AC723</f>
        <v>18.88581358817143</v>
      </c>
      <c r="AD73" s="522">
        <f>INPUT!AD723</f>
        <v>14.556410881605075</v>
      </c>
      <c r="AE73" s="339">
        <f>INPUT!AE723</f>
        <v>-37.839538938419437</v>
      </c>
      <c r="AF73" s="522">
        <f>INPUT!AF723</f>
        <v>21.694333142530073</v>
      </c>
      <c r="AG73" s="339">
        <f>INPUT!AG723</f>
        <v>14.598111822533099</v>
      </c>
      <c r="AH73" s="522">
        <f>INPUT!AH723</f>
        <v>14.580187519752771</v>
      </c>
      <c r="AI73" s="339">
        <f>INPUT!AI723</f>
        <v>-3.5493877947246122</v>
      </c>
      <c r="AJ73" s="522">
        <f>INPUT!AJ723</f>
        <v>19.306016980435601</v>
      </c>
      <c r="AK73" s="339">
        <f>INPUT!AK723</f>
        <v>-7.1288366518951651</v>
      </c>
      <c r="AL73" s="522">
        <f>INPUT!AL723</f>
        <v>7.9861111111111329</v>
      </c>
      <c r="AM73" s="339">
        <f>INPUT!AM723</f>
        <v>-45.13681170402262</v>
      </c>
      <c r="AN73" s="522">
        <f>INPUT!AN723</f>
        <v>31.428571428571413</v>
      </c>
      <c r="AO73" s="339">
        <f>INPUT!AO723</f>
        <v>44.869958537504488</v>
      </c>
      <c r="AP73" s="522">
        <f>INPUT!AP723</f>
        <v>50.000000000000043</v>
      </c>
      <c r="AQ73" s="339" t="str">
        <f>INPUT!AQ723</f>
        <v>NM</v>
      </c>
      <c r="AR73" s="522">
        <f>INPUT!AR723</f>
        <v>34.971207758751326</v>
      </c>
      <c r="AS73" s="339">
        <f>INPUT!AS723</f>
        <v>81.141494872767254</v>
      </c>
      <c r="AT73" s="522">
        <f>INPUT!AT723</f>
        <v>33.082140165787479</v>
      </c>
      <c r="AU73" s="339" t="str">
        <f>INPUT!AU723</f>
        <v>NM</v>
      </c>
      <c r="AV73" s="522">
        <f>INPUT!AV723</f>
        <v>28.561827956989248</v>
      </c>
      <c r="AW73" s="339">
        <f>INPUT!AW723</f>
        <v>-9.121456500488712</v>
      </c>
      <c r="AX73" s="522">
        <f>INPUT!AX723</f>
        <v>29.044394281414625</v>
      </c>
      <c r="AY73" s="339">
        <f>INPUT!AY723</f>
        <v>-41.911211437170806</v>
      </c>
      <c r="AZ73" s="522">
        <f>INPUT!AZ723</f>
        <v>32.582417582417577</v>
      </c>
      <c r="BA73" s="339">
        <f>INPUT!BA723</f>
        <v>-6.8307339935549383</v>
      </c>
      <c r="BB73" s="522">
        <f>INPUT!BB723</f>
        <v>31.458094144661274</v>
      </c>
      <c r="BC73" s="339">
        <f>INPUT!BC723</f>
        <v>-4.9091322779828523</v>
      </c>
      <c r="BD73" s="522">
        <f>INPUT!BD723</f>
        <v>30.769230769230777</v>
      </c>
      <c r="BE73" s="339">
        <f>INPUT!BE723</f>
        <v>7.728506787330347</v>
      </c>
      <c r="BF73" s="522">
        <f>INPUT!BF723</f>
        <v>26.825026732373981</v>
      </c>
      <c r="BG73" s="339">
        <f>INPUT!BG723</f>
        <v>-7.6412939706606569</v>
      </c>
      <c r="BH73" s="522">
        <f>INPUT!BH723</f>
        <v>26.324028584258418</v>
      </c>
      <c r="BI73" s="339">
        <f>INPUT!BI723</f>
        <v>-19.207871798734686</v>
      </c>
      <c r="BJ73" s="522">
        <f>INPUT!BJ723</f>
        <v>26.244432852382921</v>
      </c>
      <c r="BK73" s="339">
        <f>INPUT!BK723</f>
        <v>-16.573353961950545</v>
      </c>
      <c r="BL73" s="522">
        <f>INPUT!BL723</f>
        <v>25.698980202984384</v>
      </c>
      <c r="BM73" s="339">
        <f>INPUT!BM723</f>
        <v>-16.47831434030077</v>
      </c>
      <c r="BN73" s="347"/>
      <c r="BO73" s="522">
        <f>INPUT!BU723</f>
        <v>32.297925770369027</v>
      </c>
      <c r="BP73" s="340" t="str">
        <f>INPUT!BV723</f>
        <v>NA</v>
      </c>
      <c r="BQ73" s="522">
        <f>INPUT!BW723</f>
        <v>17.429411954996933</v>
      </c>
      <c r="BR73" s="340">
        <f>INPUT!BX723</f>
        <v>-46.035506803390028</v>
      </c>
      <c r="BS73" s="522">
        <f>INPUT!BY723</f>
        <v>20.384748388659748</v>
      </c>
      <c r="BT73" s="340">
        <f>INPUT!BZ723</f>
        <v>16.956030652632158</v>
      </c>
      <c r="BU73" s="522">
        <f>INPUT!CA723</f>
        <v>18.36955526515121</v>
      </c>
      <c r="BV73" s="340">
        <f>INPUT!CB723</f>
        <v>-9.8857885566525425</v>
      </c>
      <c r="BW73" s="522">
        <f>INPUT!CC723</f>
        <v>18.307268604571956</v>
      </c>
      <c r="BX73" s="340">
        <f>INPUT!CD723</f>
        <v>-0.33907549573297668</v>
      </c>
      <c r="BY73" s="522">
        <f>INPUT!CE723</f>
        <v>35.473155063743647</v>
      </c>
      <c r="BZ73" s="340">
        <f>INPUT!CF723</f>
        <v>93.765415420216087</v>
      </c>
      <c r="CA73" s="522">
        <f>INPUT!CG723</f>
        <v>31.083001705514484</v>
      </c>
      <c r="CB73" s="340">
        <f>INPUT!CH723</f>
        <v>-12.375987843033009</v>
      </c>
      <c r="CC73" s="522">
        <f>INPUT!CI723</f>
        <v>26.237614359720279</v>
      </c>
      <c r="CD73" s="340">
        <f>INPUT!CJ723</f>
        <v>-15.588543834022882</v>
      </c>
      <c r="CE73" s="593">
        <f>INPUT!CK723</f>
        <v>23.491340143831412</v>
      </c>
      <c r="CF73" s="340">
        <f>INPUT!CL723</f>
        <v>-10.466935668148702</v>
      </c>
      <c r="CG73" s="593">
        <f>INPUT!CM723</f>
        <v>22.802555933753855</v>
      </c>
      <c r="CH73" s="340">
        <f>INPUT!CN723</f>
        <v>-2.9320771222940412</v>
      </c>
      <c r="CI73" s="593">
        <f>INPUT!CO723</f>
        <v>22.200104097779128</v>
      </c>
      <c r="CJ73" s="340">
        <f>INPUT!CP723</f>
        <v>-2.6420364354108994</v>
      </c>
      <c r="CK73" s="593">
        <f>INPUT!CQ723</f>
        <v>21.65949970139734</v>
      </c>
      <c r="CL73" s="340">
        <f>INPUT!CR723</f>
        <v>-2.4351435200516414</v>
      </c>
      <c r="CM73" s="610">
        <f>INPUT!CS723</f>
        <v>-6.9695559904723421</v>
      </c>
    </row>
    <row r="74" spans="1:91" s="331" customFormat="1" ht="12.75" customHeight="1" x14ac:dyDescent="0.2">
      <c r="A74" s="622" t="str">
        <f>INPUT!A724</f>
        <v>Employee Benefits</v>
      </c>
      <c r="B74" s="522">
        <f>INPUT!B724</f>
        <v>5.9929617181059571</v>
      </c>
      <c r="C74" s="522"/>
      <c r="D74" s="522">
        <f>INPUT!D724</f>
        <v>11.579897596152238</v>
      </c>
      <c r="E74" s="522"/>
      <c r="F74" s="522">
        <f>INPUT!F724</f>
        <v>7.1368358876847022</v>
      </c>
      <c r="G74" s="522"/>
      <c r="H74" s="522">
        <f>INPUT!H724</f>
        <v>14.704420610524501</v>
      </c>
      <c r="I74" s="522"/>
      <c r="J74" s="522">
        <f>INPUT!J724</f>
        <v>5.6089036055923565</v>
      </c>
      <c r="K74" s="339">
        <f>INPUT!K724</f>
        <v>-6.4084859970535586</v>
      </c>
      <c r="L74" s="522">
        <f>INPUT!L724</f>
        <v>11.465589251949373</v>
      </c>
      <c r="M74" s="339">
        <f>INPUT!M724</f>
        <v>-0.98712741847429841</v>
      </c>
      <c r="N74" s="522">
        <f>INPUT!N724</f>
        <v>13.666925115434015</v>
      </c>
      <c r="O74" s="339">
        <f>INPUT!O724</f>
        <v>91.498380101714432</v>
      </c>
      <c r="P74" s="522">
        <f>INPUT!P724</f>
        <v>11.123029151267142</v>
      </c>
      <c r="Q74" s="339">
        <f>INPUT!Q724</f>
        <v>-24.355882860791024</v>
      </c>
      <c r="R74" s="522">
        <f>INPUT!R724</f>
        <v>4.5598815065594547</v>
      </c>
      <c r="S74" s="339">
        <f>INPUT!S724</f>
        <v>-18.702801345827634</v>
      </c>
      <c r="T74" s="522">
        <f>INPUT!T724</f>
        <v>13.279747022766383</v>
      </c>
      <c r="U74" s="339">
        <f>INPUT!U724</f>
        <v>15.822630053737253</v>
      </c>
      <c r="V74" s="522">
        <f>INPUT!V724</f>
        <v>9.7475728155339745</v>
      </c>
      <c r="W74" s="339">
        <f>INPUT!W724</f>
        <v>-28.677645240581061</v>
      </c>
      <c r="X74" s="522">
        <f>INPUT!X724</f>
        <v>11.24130355181252</v>
      </c>
      <c r="Y74" s="339">
        <f>INPUT!Y724</f>
        <v>1.0633290530565942</v>
      </c>
      <c r="Z74" s="522">
        <f>INPUT!Z724</f>
        <v>8.5081123862287207</v>
      </c>
      <c r="AA74" s="339">
        <f>INPUT!AA724</f>
        <v>86.586260497990565</v>
      </c>
      <c r="AB74" s="522">
        <f>INPUT!AB724</f>
        <v>12.684176809737346</v>
      </c>
      <c r="AC74" s="339">
        <f>INPUT!AC724</f>
        <v>-4.4848008927279253</v>
      </c>
      <c r="AD74" s="522">
        <f>INPUT!AD724</f>
        <v>13.152669894458183</v>
      </c>
      <c r="AE74" s="339">
        <f>INPUT!AE724</f>
        <v>34.932768837569107</v>
      </c>
      <c r="AF74" s="522">
        <f>INPUT!AF724</f>
        <v>16.456783056668577</v>
      </c>
      <c r="AG74" s="339">
        <f>INPUT!AG724</f>
        <v>46.395682500853084</v>
      </c>
      <c r="AH74" s="522">
        <f>INPUT!AH724</f>
        <v>14.787372265336934</v>
      </c>
      <c r="AI74" s="339">
        <f>INPUT!AI724</f>
        <v>73.803207974448696</v>
      </c>
      <c r="AJ74" s="522">
        <f>INPUT!AJ724</f>
        <v>14.248800295311916</v>
      </c>
      <c r="AK74" s="339">
        <f>INPUT!AK724</f>
        <v>12.335238691827799</v>
      </c>
      <c r="AL74" s="522">
        <f>INPUT!AL724</f>
        <v>20.312500000000004</v>
      </c>
      <c r="AM74" s="339">
        <f>INPUT!AM724</f>
        <v>54.436324814618686</v>
      </c>
      <c r="AN74" s="522">
        <f>INPUT!AN724</f>
        <v>9.85507246376811</v>
      </c>
      <c r="AO74" s="339">
        <f>INPUT!AO724</f>
        <v>-40.115437933207353</v>
      </c>
      <c r="AP74" s="522">
        <f>INPUT!AP724</f>
        <v>23.571428571428608</v>
      </c>
      <c r="AQ74" s="339">
        <f>INPUT!AQ724</f>
        <v>59.402415442548715</v>
      </c>
      <c r="AR74" s="522">
        <f>INPUT!AR724</f>
        <v>21.768449765115943</v>
      </c>
      <c r="AS74" s="339">
        <f>INPUT!AS724</f>
        <v>52.773912988857809</v>
      </c>
      <c r="AT74" s="522">
        <f>INPUT!AT724</f>
        <v>17.709118311981936</v>
      </c>
      <c r="AU74" s="339">
        <f>INPUT!AU724</f>
        <v>-12.816648310242796</v>
      </c>
      <c r="AV74" s="522">
        <f>INPUT!AV724</f>
        <v>20.766129032258068</v>
      </c>
      <c r="AW74" s="339" t="str">
        <f>INPUT!AW724</f>
        <v>NM</v>
      </c>
      <c r="AX74" s="522">
        <f>INPUT!AX724</f>
        <v>8.7283671933784976</v>
      </c>
      <c r="AY74" s="339" t="str">
        <f>INPUT!AY724</f>
        <v>NM</v>
      </c>
      <c r="AZ74" s="522">
        <f>INPUT!AZ724</f>
        <v>14.285714285714295</v>
      </c>
      <c r="BA74" s="339">
        <f>INPUT!BA724</f>
        <v>-34.374223062005868</v>
      </c>
      <c r="BB74" s="522">
        <f>INPUT!BB724</f>
        <v>18.369690011481062</v>
      </c>
      <c r="BC74" s="339">
        <f>INPUT!BC724</f>
        <v>3.7301218946184544</v>
      </c>
      <c r="BD74" s="522">
        <f>INPUT!BD724</f>
        <v>13.519813519813523</v>
      </c>
      <c r="BE74" s="339">
        <f>INPUT!BE724</f>
        <v>-34.894878584198963</v>
      </c>
      <c r="BF74" s="522">
        <f>INPUT!BF724</f>
        <v>9.256025929553493</v>
      </c>
      <c r="BG74" s="339">
        <f>INPUT!BG724</f>
        <v>6.0453315549704012</v>
      </c>
      <c r="BH74" s="522">
        <f>INPUT!BH724</f>
        <v>15.735676692978837</v>
      </c>
      <c r="BI74" s="339">
        <f>INPUT!BI724</f>
        <v>10.149736850851788</v>
      </c>
      <c r="BJ74" s="522">
        <f>INPUT!BJ724</f>
        <v>16.336259015705661</v>
      </c>
      <c r="BK74" s="339">
        <f>INPUT!BK724</f>
        <v>-11.069489983252334</v>
      </c>
      <c r="BL74" s="522">
        <f>INPUT!BL724</f>
        <v>13.666936366505796</v>
      </c>
      <c r="BM74" s="339">
        <f>INPUT!BM724</f>
        <v>1.0882017453618165</v>
      </c>
      <c r="BN74" s="347"/>
      <c r="BO74" s="522">
        <f>INPUT!BU724</f>
        <v>9.4157541834441254</v>
      </c>
      <c r="BP74" s="340" t="str">
        <f>INPUT!BV724</f>
        <v>NA</v>
      </c>
      <c r="BQ74" s="522">
        <f>INPUT!BW724</f>
        <v>10.690230161678786</v>
      </c>
      <c r="BR74" s="340">
        <f>INPUT!BX724</f>
        <v>13.535569784474543</v>
      </c>
      <c r="BS74" s="522">
        <f>INPUT!BY724</f>
        <v>9.8345970721376403</v>
      </c>
      <c r="BT74" s="340">
        <f>INPUT!BZ724</f>
        <v>-8.0038790241236271</v>
      </c>
      <c r="BU74" s="522">
        <f>INPUT!CA724</f>
        <v>13.014924379260675</v>
      </c>
      <c r="BV74" s="340">
        <f>INPUT!CB724</f>
        <v>32.338155633576562</v>
      </c>
      <c r="BW74" s="522">
        <f>INPUT!CC724</f>
        <v>14.72503089813832</v>
      </c>
      <c r="BX74" s="340">
        <f>INPUT!CD724</f>
        <v>13.13958090761329</v>
      </c>
      <c r="BY74" s="522">
        <f>INPUT!CE724</f>
        <v>20.812662934078389</v>
      </c>
      <c r="BZ74" s="340">
        <f>INPUT!CF724</f>
        <v>41.342066295492309</v>
      </c>
      <c r="CA74" s="522">
        <f>INPUT!CG724</f>
        <v>14.013644115974994</v>
      </c>
      <c r="CB74" s="340">
        <f>INPUT!CH724</f>
        <v>-32.667702540700681</v>
      </c>
      <c r="CC74" s="522">
        <f>INPUT!CI724</f>
        <v>13.945652253597482</v>
      </c>
      <c r="CD74" s="340">
        <f>INPUT!CJ724</f>
        <v>-0.48518331002858073</v>
      </c>
      <c r="CE74" s="593">
        <f>INPUT!CK724</f>
        <v>13.170432081870546</v>
      </c>
      <c r="CF74" s="340">
        <f>INPUT!CL724</f>
        <v>-5.5588663594200565</v>
      </c>
      <c r="CG74" s="593">
        <f>INPUT!CM724</f>
        <v>12.818528697484254</v>
      </c>
      <c r="CH74" s="340">
        <f>INPUT!CN724</f>
        <v>-2.6719198140104816</v>
      </c>
      <c r="CI74" s="593">
        <f>INPUT!CO724</f>
        <v>12.506351982954664</v>
      </c>
      <c r="CJ74" s="340">
        <f>INPUT!CP724</f>
        <v>-2.4353552728001993</v>
      </c>
      <c r="CK74" s="593">
        <f>INPUT!CQ724</f>
        <v>12.220486437358613</v>
      </c>
      <c r="CL74" s="340">
        <f>INPUT!CR724</f>
        <v>-2.2857628346432901</v>
      </c>
      <c r="CM74" s="610">
        <f>INPUT!CS724</f>
        <v>-2.7012005022485797</v>
      </c>
    </row>
    <row r="75" spans="1:91" s="331" customFormat="1" ht="12.75" customHeight="1" x14ac:dyDescent="0.2">
      <c r="A75" s="632" t="str">
        <f>INPUT!A725</f>
        <v>Total Ongoing Operations</v>
      </c>
      <c r="B75" s="522">
        <f>INPUT!B725</f>
        <v>112.89731393171965</v>
      </c>
      <c r="C75" s="522"/>
      <c r="D75" s="522">
        <f>INPUT!D725</f>
        <v>118.85569779759163</v>
      </c>
      <c r="E75" s="522"/>
      <c r="F75" s="522">
        <f>INPUT!F725</f>
        <v>99.96033370319536</v>
      </c>
      <c r="G75" s="522"/>
      <c r="H75" s="522">
        <f>INPUT!H725</f>
        <v>108.43261768114201</v>
      </c>
      <c r="I75" s="522"/>
      <c r="J75" s="522">
        <f>INPUT!J725</f>
        <v>111.08351729212659</v>
      </c>
      <c r="K75" s="339">
        <f>INPUT!K725</f>
        <v>-1.6065897198316414</v>
      </c>
      <c r="L75" s="522">
        <f>INPUT!L725</f>
        <v>97.518497677523499</v>
      </c>
      <c r="M75" s="339">
        <f>INPUT!M725</f>
        <v>-17.952189516740603</v>
      </c>
      <c r="N75" s="522">
        <f>INPUT!N725</f>
        <v>113.80965055412187</v>
      </c>
      <c r="O75" s="339">
        <f>INPUT!O725</f>
        <v>13.854812541991146</v>
      </c>
      <c r="P75" s="522">
        <f>INPUT!P725</f>
        <v>107.69490853551902</v>
      </c>
      <c r="Q75" s="339">
        <f>INPUT!Q725</f>
        <v>-0.68033877757364136</v>
      </c>
      <c r="R75" s="522">
        <f>INPUT!R725</f>
        <v>112.14557765552263</v>
      </c>
      <c r="S75" s="339">
        <f>INPUT!S725</f>
        <v>0.95609176706481502</v>
      </c>
      <c r="T75" s="522">
        <f>INPUT!T725</f>
        <v>113.55235180035984</v>
      </c>
      <c r="U75" s="339">
        <f>INPUT!U725</f>
        <v>16.441859241779412</v>
      </c>
      <c r="V75" s="522">
        <f>INPUT!V725</f>
        <v>119.10679611650485</v>
      </c>
      <c r="W75" s="339">
        <f>INPUT!W725</f>
        <v>4.65439049904115</v>
      </c>
      <c r="X75" s="522">
        <f>INPUT!X725</f>
        <v>118.49139509337238</v>
      </c>
      <c r="Y75" s="339">
        <f>INPUT!Y725</f>
        <v>10.025066834327223</v>
      </c>
      <c r="Z75" s="522">
        <f>INPUT!Z725</f>
        <v>113.69212504946576</v>
      </c>
      <c r="AA75" s="339">
        <f>INPUT!AA725</f>
        <v>1.3790533931651305</v>
      </c>
      <c r="AB75" s="522">
        <f>INPUT!AB725</f>
        <v>110.7303010890455</v>
      </c>
      <c r="AC75" s="339">
        <f>INPUT!AC725</f>
        <v>-2.4852419756799859</v>
      </c>
      <c r="AD75" s="522">
        <f>INPUT!AD725</f>
        <v>113.30941516597582</v>
      </c>
      <c r="AE75" s="339">
        <f>INPUT!AE725</f>
        <v>-4.8673804850382307</v>
      </c>
      <c r="AF75" s="522">
        <f>INPUT!AF725</f>
        <v>113.16542644533484</v>
      </c>
      <c r="AG75" s="339">
        <f>INPUT!AG725</f>
        <v>-4.4948147026546703</v>
      </c>
      <c r="AH75" s="522">
        <f>INPUT!AH725</f>
        <v>112.0096920321663</v>
      </c>
      <c r="AI75" s="339">
        <f>INPUT!AI725</f>
        <v>-1.4798149094033208</v>
      </c>
      <c r="AJ75" s="522">
        <f>INPUT!AJ725</f>
        <v>117.68180140273162</v>
      </c>
      <c r="AK75" s="339">
        <f>INPUT!AK725</f>
        <v>6.2778663521342537</v>
      </c>
      <c r="AL75" s="522">
        <f>INPUT!AL725</f>
        <v>131.5972222222222</v>
      </c>
      <c r="AM75" s="339">
        <f>INPUT!AM725</f>
        <v>16.139706510229868</v>
      </c>
      <c r="AN75" s="522">
        <f>INPUT!AN725</f>
        <v>132.2981366459627</v>
      </c>
      <c r="AO75" s="339">
        <f>INPUT!AO725</f>
        <v>16.906851148455672</v>
      </c>
      <c r="AP75" s="522">
        <f>INPUT!AP725</f>
        <v>200.71428571428589</v>
      </c>
      <c r="AQ75" s="339">
        <f>INPUT!AQ725</f>
        <v>79.193676969173282</v>
      </c>
      <c r="AR75" s="522">
        <f>INPUT!AR725</f>
        <v>168.46113047431433</v>
      </c>
      <c r="AS75" s="339">
        <f>INPUT!AS725</f>
        <v>43.149687093763347</v>
      </c>
      <c r="AT75" s="522">
        <f>INPUT!AT725</f>
        <v>186.28485305199706</v>
      </c>
      <c r="AU75" s="339">
        <f>INPUT!AU725</f>
        <v>41.556827649010984</v>
      </c>
      <c r="AV75" s="522">
        <f>INPUT!AV725</f>
        <v>188.64247311827964</v>
      </c>
      <c r="AW75" s="339">
        <f>INPUT!AW725</f>
        <v>42.588911605835818</v>
      </c>
      <c r="AX75" s="522">
        <f>INPUT!AX725</f>
        <v>171.55756207674952</v>
      </c>
      <c r="AY75" s="339">
        <f>INPUT!AY725</f>
        <v>-14.526481527598179</v>
      </c>
      <c r="AZ75" s="522">
        <f>INPUT!AZ725</f>
        <v>155.21978021978026</v>
      </c>
      <c r="BA75" s="339">
        <f>INPUT!BA725</f>
        <v>-7.8601812876668342</v>
      </c>
      <c r="BB75" s="522">
        <f>INPUT!BB725</f>
        <v>163.1458094144661</v>
      </c>
      <c r="BC75" s="339">
        <f>INPUT!BC725</f>
        <v>-12.42132318244481</v>
      </c>
      <c r="BD75" s="522">
        <f>INPUT!BD725</f>
        <v>141.35198135198135</v>
      </c>
      <c r="BE75" s="339">
        <f>INPUT!BE725</f>
        <v>-25.068846365604504</v>
      </c>
      <c r="BF75" s="522">
        <f>INPUT!BF725</f>
        <v>143.03352266991965</v>
      </c>
      <c r="BG75" s="339">
        <f>INPUT!BG725</f>
        <v>-16.626512443717935</v>
      </c>
      <c r="BH75" s="522">
        <f>INPUT!BH725</f>
        <v>138.28082501508646</v>
      </c>
      <c r="BI75" s="339">
        <f>INPUT!BI725</f>
        <v>-10.912884415059365</v>
      </c>
      <c r="BJ75" s="522">
        <f>INPUT!BJ725</f>
        <v>131.13795055751245</v>
      </c>
      <c r="BK75" s="339">
        <f>INPUT!BK725</f>
        <v>-19.619173162847737</v>
      </c>
      <c r="BL75" s="522">
        <f>INPUT!BL725</f>
        <v>127.69742718349252</v>
      </c>
      <c r="BM75" s="339">
        <f>INPUT!BM725</f>
        <v>-9.6599665868761679</v>
      </c>
      <c r="BN75" s="347"/>
      <c r="BO75" s="522">
        <f>INPUT!BU725</f>
        <v>110.28384019924344</v>
      </c>
      <c r="BP75" s="340" t="str">
        <f>INPUT!BV725</f>
        <v>NA</v>
      </c>
      <c r="BQ75" s="522">
        <f>INPUT!BW725</f>
        <v>107.11688652879251</v>
      </c>
      <c r="BR75" s="340">
        <f>INPUT!BX725</f>
        <v>-2.8716389134884945</v>
      </c>
      <c r="BS75" s="522">
        <f>INPUT!BY725</f>
        <v>115.94245087830006</v>
      </c>
      <c r="BT75" s="340">
        <f>INPUT!BZ725</f>
        <v>8.2391905100185134</v>
      </c>
      <c r="BU75" s="522">
        <f>INPUT!CA725</f>
        <v>112.67781486444865</v>
      </c>
      <c r="BV75" s="340">
        <f>INPUT!CB725</f>
        <v>-2.8157383159669203</v>
      </c>
      <c r="BW75" s="522">
        <f>INPUT!CC725</f>
        <v>122.6651225707251</v>
      </c>
      <c r="BX75" s="340">
        <f>INPUT!CD725</f>
        <v>8.8635972558495091</v>
      </c>
      <c r="BY75" s="522">
        <f>INPUT!CE725</f>
        <v>184.41002738942484</v>
      </c>
      <c r="BZ75" s="340">
        <f>INPUT!CF725</f>
        <v>50.336153850985177</v>
      </c>
      <c r="CA75" s="522">
        <f>INPUT!CG725</f>
        <v>156.04036384309265</v>
      </c>
      <c r="CB75" s="340">
        <f>INPUT!CH725</f>
        <v>-15.384013520275131</v>
      </c>
      <c r="CC75" s="522">
        <f>INPUT!CI725</f>
        <v>134.4963798822013</v>
      </c>
      <c r="CD75" s="340">
        <f>INPUT!CJ725</f>
        <v>-13.806673754333875</v>
      </c>
      <c r="CE75" s="593">
        <f>INPUT!CK725</f>
        <v>123.99025880329305</v>
      </c>
      <c r="CF75" s="340">
        <f>INPUT!CL725</f>
        <v>-7.8114526860202815</v>
      </c>
      <c r="CG75" s="593">
        <f>INPUT!CM725</f>
        <v>122.9414960857401</v>
      </c>
      <c r="CH75" s="340">
        <f>INPUT!CN725</f>
        <v>-0.8458428328767198</v>
      </c>
      <c r="CI75" s="593">
        <f>INPUT!CO725</f>
        <v>122.00551029212953</v>
      </c>
      <c r="CJ75" s="340">
        <f>INPUT!CP725</f>
        <v>-0.7613261782318026</v>
      </c>
      <c r="CK75" s="593">
        <f>INPUT!CQ725</f>
        <v>121.1538976043733</v>
      </c>
      <c r="CL75" s="340">
        <f>INPUT!CR725</f>
        <v>-0.69801166006120408</v>
      </c>
      <c r="CM75" s="610">
        <f>INPUT!CS725</f>
        <v>-4.9351237510406598</v>
      </c>
    </row>
    <row r="76" spans="1:91" s="331" customFormat="1" ht="12.75" customHeight="1" x14ac:dyDescent="0.2">
      <c r="A76" s="622" t="str">
        <f>INPUT!A726</f>
        <v>Corporate</v>
      </c>
      <c r="B76" s="522">
        <f>INPUT!B726</f>
        <v>-19.907700598438296</v>
      </c>
      <c r="C76" s="522"/>
      <c r="D76" s="522">
        <f>INPUT!D726</f>
        <v>-25.903155423729295</v>
      </c>
      <c r="E76" s="522"/>
      <c r="F76" s="522">
        <f>INPUT!F726</f>
        <v>-8.2505897353655282</v>
      </c>
      <c r="G76" s="522"/>
      <c r="H76" s="522">
        <f>INPUT!H726</f>
        <v>-18.88627596354948</v>
      </c>
      <c r="I76" s="522"/>
      <c r="J76" s="522">
        <f>INPUT!J726</f>
        <v>-22.259013980868307</v>
      </c>
      <c r="K76" s="339">
        <f>INPUT!K726</f>
        <v>11.811074668334442</v>
      </c>
      <c r="L76" s="522">
        <f>INPUT!L726</f>
        <v>-11.428890978166272</v>
      </c>
      <c r="M76" s="339" t="str">
        <f>INPUT!M726</f>
        <v>NM</v>
      </c>
      <c r="N76" s="522">
        <f>INPUT!N726</f>
        <v>-22.218879103838539</v>
      </c>
      <c r="O76" s="339" t="str">
        <f>INPUT!O726</f>
        <v>NM</v>
      </c>
      <c r="P76" s="522">
        <f>INPUT!P726</f>
        <v>-16.944344047910516</v>
      </c>
      <c r="Q76" s="339">
        <f>INPUT!Q726</f>
        <v>-10.282238379799669</v>
      </c>
      <c r="R76" s="522">
        <f>INPUT!R726</f>
        <v>-21.20186203977994</v>
      </c>
      <c r="S76" s="339">
        <f>INPUT!S726</f>
        <v>-4.7493206212862464</v>
      </c>
      <c r="T76" s="522">
        <f>INPUT!T726</f>
        <v>-20.562188938476996</v>
      </c>
      <c r="U76" s="339">
        <f>INPUT!U726</f>
        <v>79.914122706734673</v>
      </c>
      <c r="V76" s="522">
        <f>INPUT!V726</f>
        <v>-24.737864077669908</v>
      </c>
      <c r="W76" s="339">
        <f>INPUT!W726</f>
        <v>11.337137944983855</v>
      </c>
      <c r="X76" s="522">
        <f>INPUT!X726</f>
        <v>-17.283046503112416</v>
      </c>
      <c r="Y76" s="339">
        <f>INPUT!Y726</f>
        <v>1.9989115792515388</v>
      </c>
      <c r="Z76" s="522">
        <f>INPUT!Z726</f>
        <v>-14.048278591214869</v>
      </c>
      <c r="AA76" s="339">
        <f>INPUT!AA726</f>
        <v>-33.740354668581361</v>
      </c>
      <c r="AB76" s="522">
        <f>INPUT!AB726</f>
        <v>-14.093529788597051</v>
      </c>
      <c r="AC76" s="339">
        <f>INPUT!AC726</f>
        <v>-31.459000640614999</v>
      </c>
      <c r="AD76" s="522">
        <f>INPUT!AD726</f>
        <v>-16.747361454596117</v>
      </c>
      <c r="AE76" s="339">
        <f>INPUT!AE726</f>
        <v>-32.300697416664057</v>
      </c>
      <c r="AF76" s="522">
        <f>INPUT!AF726</f>
        <v>-14.08128219805381</v>
      </c>
      <c r="AG76" s="339">
        <f>INPUT!AG726</f>
        <v>-18.525462536260704</v>
      </c>
      <c r="AH76" s="522">
        <f>INPUT!AH726</f>
        <v>-16.954033079327175</v>
      </c>
      <c r="AI76" s="339">
        <f>INPUT!AI726</f>
        <v>20.684060821013528</v>
      </c>
      <c r="AJ76" s="522">
        <f>INPUT!AJ726</f>
        <v>-19.158361018826128</v>
      </c>
      <c r="AK76" s="339">
        <f>INPUT!AK726</f>
        <v>35.937279774489042</v>
      </c>
      <c r="AL76" s="522">
        <f>INPUT!AL726</f>
        <v>-32.725694444444457</v>
      </c>
      <c r="AM76" s="339">
        <f>INPUT!AM726</f>
        <v>95.408061939591533</v>
      </c>
      <c r="AN76" s="522">
        <f>INPUT!AN726</f>
        <v>-33.126293995859207</v>
      </c>
      <c r="AO76" s="339" t="str">
        <f>INPUT!AO726</f>
        <v>NM</v>
      </c>
      <c r="AP76" s="522">
        <f>INPUT!AP726</f>
        <v>-104.59183673469406</v>
      </c>
      <c r="AQ76" s="339" t="str">
        <f>INPUT!AQ726</f>
        <v>NM</v>
      </c>
      <c r="AR76" s="522">
        <f>INPUT!AR726</f>
        <v>-69.68480072738295</v>
      </c>
      <c r="AS76" s="339" t="str">
        <f>INPUT!AS726</f>
        <v>NM</v>
      </c>
      <c r="AT76" s="522">
        <f>INPUT!AT726</f>
        <v>-81.085154483798092</v>
      </c>
      <c r="AU76" s="339" t="str">
        <f>INPUT!AU726</f>
        <v>NM</v>
      </c>
      <c r="AV76" s="522">
        <f>INPUT!AV726</f>
        <v>-88.642473118279625</v>
      </c>
      <c r="AW76" s="339" t="str">
        <f>INPUT!AW726</f>
        <v>NM</v>
      </c>
      <c r="AX76" s="522">
        <f>INPUT!AX726</f>
        <v>-71.55756207674952</v>
      </c>
      <c r="AY76" s="339">
        <f>INPUT!AY726</f>
        <v>-31.583989429059113</v>
      </c>
      <c r="AZ76" s="522">
        <f>INPUT!AZ726</f>
        <v>-55.219780219780255</v>
      </c>
      <c r="BA76" s="339">
        <f>INPUT!BA726</f>
        <v>-20.757784131710377</v>
      </c>
      <c r="BB76" s="522">
        <f>INPUT!BB726</f>
        <v>-63.145809414466115</v>
      </c>
      <c r="BC76" s="339">
        <f>INPUT!BC726</f>
        <v>-22.124080768590627</v>
      </c>
      <c r="BD76" s="522">
        <f>INPUT!BD726</f>
        <v>-41.351981351981358</v>
      </c>
      <c r="BE76" s="339" t="str">
        <f>INPUT!BE726</f>
        <v>NM</v>
      </c>
      <c r="BF76" s="522">
        <f>INPUT!BF726</f>
        <v>-43.03352266991967</v>
      </c>
      <c r="BG76" s="339">
        <f>INPUT!BG726</f>
        <v>-39.861670212068169</v>
      </c>
      <c r="BH76" s="522">
        <f>INPUT!BH726</f>
        <v>-38.280825015086492</v>
      </c>
      <c r="BI76" s="339">
        <f>INPUT!BI726</f>
        <v>-30.675520868201623</v>
      </c>
      <c r="BJ76" s="522">
        <f>INPUT!BJ726</f>
        <v>-31.137950557512461</v>
      </c>
      <c r="BK76" s="339" t="str">
        <f>INPUT!BK726</f>
        <v>NM</v>
      </c>
      <c r="BL76" s="522">
        <f>INPUT!BL726</f>
        <v>-27.697427183492497</v>
      </c>
      <c r="BM76" s="339">
        <f>INPUT!BM726</f>
        <v>-33.020314195500113</v>
      </c>
      <c r="BN76" s="347"/>
      <c r="BO76" s="522">
        <f>INPUT!BU726</f>
        <v>-18.228389276241437</v>
      </c>
      <c r="BP76" s="340" t="str">
        <f>INPUT!BV726</f>
        <v>NA</v>
      </c>
      <c r="BQ76" s="522">
        <f>INPUT!BW726</f>
        <v>-17.870639314034083</v>
      </c>
      <c r="BR76" s="340">
        <f>INPUT!BX726</f>
        <v>-1.9625977741963174</v>
      </c>
      <c r="BS76" s="522">
        <f>INPUT!BY726</f>
        <v>-20.885392143263232</v>
      </c>
      <c r="BT76" s="340">
        <f>INPUT!BZ726</f>
        <v>16.869865572529452</v>
      </c>
      <c r="BU76" s="522">
        <f>INPUT!CA726</f>
        <v>-14.714622229251114</v>
      </c>
      <c r="BV76" s="340">
        <f>INPUT!CB726</f>
        <v>-29.545865702131692</v>
      </c>
      <c r="BW76" s="522">
        <f>INPUT!CC726</f>
        <v>-24.872271475422604</v>
      </c>
      <c r="BX76" s="340">
        <f>INPUT!CD726</f>
        <v>69.030988957223485</v>
      </c>
      <c r="BY76" s="522">
        <f>INPUT!CE726</f>
        <v>-84.185632101725872</v>
      </c>
      <c r="BZ76" s="340" t="str">
        <f>INPUT!CF726</f>
        <v>NM</v>
      </c>
      <c r="CA76" s="522">
        <f>INPUT!CG726</f>
        <v>-56.040363843092642</v>
      </c>
      <c r="CB76" s="340">
        <f>INPUT!CH726</f>
        <v>-33.43238929966558</v>
      </c>
      <c r="CC76" s="522">
        <f>INPUT!CI726</f>
        <v>-34.496379882201317</v>
      </c>
      <c r="CD76" s="340">
        <f>INPUT!CJ726</f>
        <v>-38.443690375052356</v>
      </c>
      <c r="CE76" s="593">
        <f>INPUT!CK726</f>
        <v>-23.990258803293056</v>
      </c>
      <c r="CF76" s="340">
        <f>INPUT!CL726</f>
        <v>-30.455720614118643</v>
      </c>
      <c r="CG76" s="593">
        <f>INPUT!CM726</f>
        <v>-22.941496085740106</v>
      </c>
      <c r="CH76" s="340">
        <f>INPUT!CN726</f>
        <v>-4.3716190231719798</v>
      </c>
      <c r="CI76" s="593">
        <f>INPUT!CO726</f>
        <v>-22.0055102921295</v>
      </c>
      <c r="CJ76" s="340">
        <f>INPUT!CP726</f>
        <v>-4.0798812340420598</v>
      </c>
      <c r="CK76" s="593">
        <f>INPUT!CQ726</f>
        <v>-21.153897604373292</v>
      </c>
      <c r="CL76" s="340">
        <f>INPUT!CR726</f>
        <v>-3.8699974526871017</v>
      </c>
      <c r="CM76" s="610">
        <f>INPUT!CS726</f>
        <v>-17.704158515154202</v>
      </c>
    </row>
    <row r="77" spans="1:91" s="331" customFormat="1" ht="12.75" customHeight="1" x14ac:dyDescent="0.2">
      <c r="A77" s="622" t="str">
        <f>INPUT!A727</f>
        <v>Closed Block</v>
      </c>
      <c r="B77" s="522">
        <f>INPUT!B727</f>
        <v>7.0103866667186781</v>
      </c>
      <c r="C77" s="522"/>
      <c r="D77" s="522">
        <f>INPUT!D727</f>
        <v>7.0474576261376374</v>
      </c>
      <c r="E77" s="522"/>
      <c r="F77" s="522">
        <f>INPUT!F727</f>
        <v>8.2902560321701699</v>
      </c>
      <c r="G77" s="522"/>
      <c r="H77" s="522">
        <f>INPUT!H727</f>
        <v>10.453658282407465</v>
      </c>
      <c r="I77" s="522"/>
      <c r="J77" s="522">
        <f>INPUT!J727</f>
        <v>11.175496688741728</v>
      </c>
      <c r="K77" s="339">
        <f>INPUT!K727</f>
        <v>59.413413553871706</v>
      </c>
      <c r="L77" s="522">
        <f>INPUT!L727</f>
        <v>13.910393300642742</v>
      </c>
      <c r="M77" s="339">
        <f>INPUT!M727</f>
        <v>97.381723148668868</v>
      </c>
      <c r="N77" s="522">
        <f>INPUT!N727</f>
        <v>8.409228549716671</v>
      </c>
      <c r="O77" s="339">
        <f>INPUT!O727</f>
        <v>1.4350885797113078</v>
      </c>
      <c r="P77" s="522">
        <f>INPUT!P727</f>
        <v>9.2494355123915195</v>
      </c>
      <c r="Q77" s="339">
        <f>INPUT!Q727</f>
        <v>-11.519630137925407</v>
      </c>
      <c r="R77" s="522">
        <f>INPUT!R727</f>
        <v>9.0562843842572995</v>
      </c>
      <c r="S77" s="339">
        <f>INPUT!S727</f>
        <v>-18.963025657905096</v>
      </c>
      <c r="T77" s="522">
        <f>INPUT!T727</f>
        <v>7.0098371381171569</v>
      </c>
      <c r="U77" s="339">
        <f>INPUT!U727</f>
        <v>-49.607196672194299</v>
      </c>
      <c r="V77" s="522">
        <f>INPUT!V727</f>
        <v>5.6310679611650469</v>
      </c>
      <c r="W77" s="339">
        <f>INPUT!W727</f>
        <v>-33.037044624565802</v>
      </c>
      <c r="X77" s="522">
        <f>INPUT!X727</f>
        <v>-1.2083485902599798</v>
      </c>
      <c r="Y77" s="339" t="str">
        <f>INPUT!Y727</f>
        <v>NM</v>
      </c>
      <c r="Z77" s="522">
        <f>INPUT!Z727</f>
        <v>0.35615354174910879</v>
      </c>
      <c r="AA77" s="339" t="str">
        <f>INPUT!AA727</f>
        <v>NM</v>
      </c>
      <c r="AB77" s="522">
        <f>INPUT!AB727</f>
        <v>3.3632286995515681</v>
      </c>
      <c r="AC77" s="339" t="str">
        <f>INPUT!AC727</f>
        <v>NM</v>
      </c>
      <c r="AD77" s="522">
        <f>INPUT!AD727</f>
        <v>3.4379462886202923</v>
      </c>
      <c r="AE77" s="339">
        <f>INPUT!AE727</f>
        <v>-38.946815908984448</v>
      </c>
      <c r="AF77" s="522">
        <f>INPUT!AF727</f>
        <v>0.91585575271894726</v>
      </c>
      <c r="AG77" s="339" t="str">
        <f>INPUT!AG727</f>
        <v>NM</v>
      </c>
      <c r="AH77" s="522">
        <f>INPUT!AH727</f>
        <v>4.9443410471608651</v>
      </c>
      <c r="AI77" s="339" t="str">
        <f>INPUT!AI727</f>
        <v>NM</v>
      </c>
      <c r="AJ77" s="522">
        <f>INPUT!AJ727</f>
        <v>1.4765596160944996</v>
      </c>
      <c r="AK77" s="339" t="str">
        <f>INPUT!AK727</f>
        <v>NM</v>
      </c>
      <c r="AL77" s="522">
        <f>INPUT!AL727</f>
        <v>1.1284722222222223</v>
      </c>
      <c r="AM77" s="339" t="str">
        <f>INPUT!AM727</f>
        <v>NM</v>
      </c>
      <c r="AN77" s="522">
        <f>INPUT!AN727</f>
        <v>0.82815734989648027</v>
      </c>
      <c r="AO77" s="339">
        <f>INPUT!AO727</f>
        <v>-9.5755693581781038</v>
      </c>
      <c r="AP77" s="522">
        <f>INPUT!AP727</f>
        <v>3.877551020408168</v>
      </c>
      <c r="AQ77" s="339">
        <f>INPUT!AQ727</f>
        <v>-21.575979823747559</v>
      </c>
      <c r="AR77" s="522">
        <f>INPUT!AR727</f>
        <v>1.2236702530686474</v>
      </c>
      <c r="AS77" s="339">
        <f>INPUT!AS727</f>
        <v>-17.126932110925843</v>
      </c>
      <c r="AT77" s="522">
        <f>INPUT!AT727</f>
        <v>-5.1996985681989489</v>
      </c>
      <c r="AU77" s="339" t="str">
        <f>INPUT!AU727</f>
        <v>NM</v>
      </c>
      <c r="AV77" s="522">
        <f>INPUT!AV727</f>
        <v>0</v>
      </c>
      <c r="AW77" s="339" t="str">
        <f>INPUT!AW727</f>
        <v>NM</v>
      </c>
      <c r="AX77" s="522">
        <f>INPUT!AX727</f>
        <v>0</v>
      </c>
      <c r="AY77" s="339" t="str">
        <f>INPUT!AY727</f>
        <v>NM</v>
      </c>
      <c r="AZ77" s="522">
        <f>INPUT!AZ727</f>
        <v>0</v>
      </c>
      <c r="BA77" s="339" t="str">
        <f>INPUT!BA727</f>
        <v>NM</v>
      </c>
      <c r="BB77" s="522">
        <f>INPUT!BB727</f>
        <v>0</v>
      </c>
      <c r="BC77" s="339" t="str">
        <f>INPUT!BC727</f>
        <v>NM</v>
      </c>
      <c r="BD77" s="522">
        <f>INPUT!BD727</f>
        <v>0</v>
      </c>
      <c r="BE77" s="339" t="str">
        <f>INPUT!BE727</f>
        <v>NA</v>
      </c>
      <c r="BF77" s="522">
        <f>INPUT!BF727</f>
        <v>0</v>
      </c>
      <c r="BG77" s="339" t="str">
        <f>INPUT!BG727</f>
        <v>NA</v>
      </c>
      <c r="BH77" s="522">
        <f>INPUT!BH727</f>
        <v>0</v>
      </c>
      <c r="BI77" s="339" t="str">
        <f>INPUT!BI727</f>
        <v>NA</v>
      </c>
      <c r="BJ77" s="522">
        <f>INPUT!BJ727</f>
        <v>0</v>
      </c>
      <c r="BK77" s="339" t="str">
        <f>INPUT!BK727</f>
        <v>NA</v>
      </c>
      <c r="BL77" s="522">
        <f>INPUT!BL727</f>
        <v>0</v>
      </c>
      <c r="BM77" s="339" t="str">
        <f>INPUT!BM727</f>
        <v>NA</v>
      </c>
      <c r="BN77" s="347"/>
      <c r="BO77" s="522">
        <f>INPUT!BU727</f>
        <v>7.9445490769979772</v>
      </c>
      <c r="BP77" s="340" t="str">
        <f>INPUT!BV727</f>
        <v>NA</v>
      </c>
      <c r="BQ77" s="522">
        <f>INPUT!BW727</f>
        <v>10.753752785241572</v>
      </c>
      <c r="BR77" s="340">
        <f>INPUT!BX727</f>
        <v>35.360140405918592</v>
      </c>
      <c r="BS77" s="522">
        <f>INPUT!BY727</f>
        <v>4.9429412649631415</v>
      </c>
      <c r="BT77" s="340" t="str">
        <f>INPUT!BZ727</f>
        <v>NM</v>
      </c>
      <c r="BU77" s="522">
        <f>INPUT!CA727</f>
        <v>2.0368073648024381</v>
      </c>
      <c r="BV77" s="340" t="str">
        <f>INPUT!CB727</f>
        <v>NM</v>
      </c>
      <c r="BW77" s="522">
        <f>INPUT!CC727</f>
        <v>2.2071489046974895</v>
      </c>
      <c r="BX77" s="340">
        <f>INPUT!CD727</f>
        <v>8.3631639809773404</v>
      </c>
      <c r="BY77" s="522">
        <f>INPUT!CE727</f>
        <v>-0.2243952876989575</v>
      </c>
      <c r="BZ77" s="340" t="str">
        <f>INPUT!CF727</f>
        <v>NM</v>
      </c>
      <c r="CA77" s="522">
        <f>INPUT!CG727</f>
        <v>0</v>
      </c>
      <c r="CB77" s="340" t="str">
        <f>INPUT!CH727</f>
        <v>NM</v>
      </c>
      <c r="CC77" s="522">
        <f>INPUT!CI727</f>
        <v>0</v>
      </c>
      <c r="CD77" s="340" t="str">
        <f>INPUT!CJ727</f>
        <v>NA</v>
      </c>
      <c r="CE77" s="593">
        <f>INPUT!CK727</f>
        <v>0</v>
      </c>
      <c r="CF77" s="340" t="str">
        <f>INPUT!CL727</f>
        <v>NA</v>
      </c>
      <c r="CG77" s="593">
        <f>INPUT!CM727</f>
        <v>0</v>
      </c>
      <c r="CH77" s="340" t="str">
        <f>INPUT!CN727</f>
        <v>NA</v>
      </c>
      <c r="CI77" s="593">
        <f>INPUT!CO727</f>
        <v>0</v>
      </c>
      <c r="CJ77" s="340" t="str">
        <f>INPUT!CP727</f>
        <v>NA</v>
      </c>
      <c r="CK77" s="593">
        <f>INPUT!CQ727</f>
        <v>0</v>
      </c>
      <c r="CL77" s="340" t="str">
        <f>INPUT!CR727</f>
        <v>NA</v>
      </c>
      <c r="CM77" s="610" t="str">
        <f>INPUT!CS727</f>
        <v>NA</v>
      </c>
    </row>
    <row r="78" spans="1:91" s="331" customFormat="1" ht="12.75" customHeight="1" x14ac:dyDescent="0.2">
      <c r="A78" s="632" t="str">
        <f>INPUT!A728</f>
        <v>Operating Earnings</v>
      </c>
      <c r="B78" s="522">
        <f>INPUT!B728</f>
        <v>100.00000000000003</v>
      </c>
      <c r="C78" s="522"/>
      <c r="D78" s="522">
        <f>INPUT!D728</f>
        <v>99.999999999999986</v>
      </c>
      <c r="E78" s="522"/>
      <c r="F78" s="522">
        <f>INPUT!F728</f>
        <v>100</v>
      </c>
      <c r="G78" s="522"/>
      <c r="H78" s="522">
        <f>INPUT!H728</f>
        <v>99.999999999999986</v>
      </c>
      <c r="I78" s="522"/>
      <c r="J78" s="522">
        <f>INPUT!J728</f>
        <v>100.00000000000001</v>
      </c>
      <c r="K78" s="339">
        <f>INPUT!K728</f>
        <v>-1.1102230246251565E-14</v>
      </c>
      <c r="L78" s="522">
        <f>INPUT!L728</f>
        <v>99.999999999999972</v>
      </c>
      <c r="M78" s="339">
        <f>INPUT!M728</f>
        <v>-1.1102230246251565E-14</v>
      </c>
      <c r="N78" s="522">
        <f>INPUT!N728</f>
        <v>100.00000000000001</v>
      </c>
      <c r="O78" s="339">
        <f>INPUT!O728</f>
        <v>2.2204460492503131E-14</v>
      </c>
      <c r="P78" s="522">
        <f>INPUT!P728</f>
        <v>100.00000000000001</v>
      </c>
      <c r="Q78" s="339">
        <f>INPUT!Q728</f>
        <v>2.2204460492503131E-14</v>
      </c>
      <c r="R78" s="522">
        <f>INPUT!R728</f>
        <v>99.999999999999986</v>
      </c>
      <c r="S78" s="339">
        <f>INPUT!S728</f>
        <v>-3.3306690738754696E-14</v>
      </c>
      <c r="T78" s="522">
        <f>INPUT!T728</f>
        <v>100.00000000000001</v>
      </c>
      <c r="U78" s="339">
        <f>INPUT!U728</f>
        <v>4.4408920985006262E-14</v>
      </c>
      <c r="V78" s="522">
        <f>INPUT!V728</f>
        <v>99.999999999999986</v>
      </c>
      <c r="W78" s="339">
        <f>INPUT!W728</f>
        <v>-3.3306690738754696E-14</v>
      </c>
      <c r="X78" s="522">
        <f>INPUT!X728</f>
        <v>99.999999999999986</v>
      </c>
      <c r="Y78" s="339">
        <f>INPUT!Y728</f>
        <v>-3.3306690738754696E-14</v>
      </c>
      <c r="Z78" s="522">
        <f>INPUT!Z728</f>
        <v>100</v>
      </c>
      <c r="AA78" s="339">
        <f>INPUT!AA728</f>
        <v>2.2204460492503131E-14</v>
      </c>
      <c r="AB78" s="522">
        <f>INPUT!AB728</f>
        <v>100.00000000000001</v>
      </c>
      <c r="AC78" s="339">
        <f>INPUT!AC728</f>
        <v>0</v>
      </c>
      <c r="AD78" s="522">
        <f>INPUT!AD728</f>
        <v>100</v>
      </c>
      <c r="AE78" s="339">
        <f>INPUT!AE728</f>
        <v>2.2204460492503131E-14</v>
      </c>
      <c r="AF78" s="522">
        <f>INPUT!AF728</f>
        <v>99.999999999999972</v>
      </c>
      <c r="AG78" s="339">
        <f>INPUT!AG728</f>
        <v>-1.1102230246251565E-14</v>
      </c>
      <c r="AH78" s="522">
        <f>INPUT!AH728</f>
        <v>99.999999999999986</v>
      </c>
      <c r="AI78" s="339">
        <f>INPUT!AI728</f>
        <v>-1.1102230246251565E-14</v>
      </c>
      <c r="AJ78" s="522">
        <f>INPUT!AJ728</f>
        <v>100</v>
      </c>
      <c r="AK78" s="339">
        <f>INPUT!AK728</f>
        <v>-1.1102230246251565E-14</v>
      </c>
      <c r="AL78" s="522">
        <f>INPUT!AL728</f>
        <v>99.999999999999972</v>
      </c>
      <c r="AM78" s="339">
        <f>INPUT!AM728</f>
        <v>-3.3306690738754696E-14</v>
      </c>
      <c r="AN78" s="522">
        <f>INPUT!AN728</f>
        <v>99.999999999999972</v>
      </c>
      <c r="AO78" s="339">
        <f>INPUT!AO728</f>
        <v>0</v>
      </c>
      <c r="AP78" s="522">
        <f>INPUT!AP728</f>
        <v>100</v>
      </c>
      <c r="AQ78" s="339">
        <f>INPUT!AQ728</f>
        <v>2.2204460492503131E-14</v>
      </c>
      <c r="AR78" s="522">
        <f>INPUT!AR728</f>
        <v>100.00000000000003</v>
      </c>
      <c r="AS78" s="339">
        <f>INPUT!AS728</f>
        <v>2.2204460492503131E-14</v>
      </c>
      <c r="AT78" s="522">
        <f>INPUT!AT728</f>
        <v>100.00000000000001</v>
      </c>
      <c r="AU78" s="339">
        <f>INPUT!AU728</f>
        <v>4.4408920985006262E-14</v>
      </c>
      <c r="AV78" s="522">
        <f>INPUT!AV728</f>
        <v>100.00000000000001</v>
      </c>
      <c r="AW78" s="339">
        <f>INPUT!AW728</f>
        <v>4.4408920985006262E-14</v>
      </c>
      <c r="AX78" s="522">
        <f>INPUT!AX728</f>
        <v>100</v>
      </c>
      <c r="AY78" s="339">
        <f>INPUT!AY728</f>
        <v>0</v>
      </c>
      <c r="AZ78" s="522">
        <f>INPUT!AZ728</f>
        <v>100</v>
      </c>
      <c r="BA78" s="339">
        <f>INPUT!BA728</f>
        <v>-3.3306690738754696E-14</v>
      </c>
      <c r="BB78" s="522">
        <f>INPUT!BB728</f>
        <v>99.999999999999986</v>
      </c>
      <c r="BC78" s="339">
        <f>INPUT!BC728</f>
        <v>-3.3306690738754696E-14</v>
      </c>
      <c r="BD78" s="522">
        <f>INPUT!BD728</f>
        <v>100</v>
      </c>
      <c r="BE78" s="339">
        <f>INPUT!BE728</f>
        <v>-1.1102230246251565E-14</v>
      </c>
      <c r="BF78" s="522">
        <f>INPUT!BF728</f>
        <v>99.999999999999972</v>
      </c>
      <c r="BG78" s="339">
        <f>INPUT!BG728</f>
        <v>-3.3306690738754696E-14</v>
      </c>
      <c r="BH78" s="522">
        <f>INPUT!BH728</f>
        <v>99.999999999999972</v>
      </c>
      <c r="BI78" s="339">
        <f>INPUT!BI728</f>
        <v>-3.3306690738754696E-14</v>
      </c>
      <c r="BJ78" s="522">
        <f>INPUT!BJ728</f>
        <v>100</v>
      </c>
      <c r="BK78" s="339">
        <f>INPUT!BK728</f>
        <v>2.2204460492503131E-14</v>
      </c>
      <c r="BL78" s="522">
        <f>INPUT!BL728</f>
        <v>100.00000000000003</v>
      </c>
      <c r="BM78" s="339">
        <f>INPUT!BM728</f>
        <v>2.2204460492503131E-14</v>
      </c>
      <c r="BN78" s="347"/>
      <c r="BO78" s="522">
        <f>INPUT!BU728</f>
        <v>99.999999999999986</v>
      </c>
      <c r="BP78" s="340" t="str">
        <f>INPUT!BV728</f>
        <v>NA</v>
      </c>
      <c r="BQ78" s="522">
        <f>INPUT!BW728</f>
        <v>100</v>
      </c>
      <c r="BR78" s="340">
        <f>INPUT!BX728</f>
        <v>2.2204460492503131E-14</v>
      </c>
      <c r="BS78" s="522">
        <f>INPUT!BY728</f>
        <v>99.999999999999972</v>
      </c>
      <c r="BT78" s="340">
        <f>INPUT!BZ728</f>
        <v>-3.3306690738754696E-14</v>
      </c>
      <c r="BU78" s="522">
        <f>INPUT!CA728</f>
        <v>99.999999999999972</v>
      </c>
      <c r="BV78" s="340">
        <f>INPUT!CB728</f>
        <v>0</v>
      </c>
      <c r="BW78" s="522">
        <f>INPUT!CC728</f>
        <v>99.999999999999986</v>
      </c>
      <c r="BX78" s="340">
        <f>INPUT!CD728</f>
        <v>2.2204460492503131E-14</v>
      </c>
      <c r="BY78" s="522">
        <f>INPUT!CE728</f>
        <v>100.00000000000001</v>
      </c>
      <c r="BZ78" s="340">
        <f>INPUT!CF728</f>
        <v>2.2204460492503131E-14</v>
      </c>
      <c r="CA78" s="522">
        <f>INPUT!CG728</f>
        <v>100</v>
      </c>
      <c r="CB78" s="340">
        <f>INPUT!CH728</f>
        <v>-1.1102230246251565E-14</v>
      </c>
      <c r="CC78" s="522">
        <f>INPUT!CI728</f>
        <v>99.999999999999972</v>
      </c>
      <c r="CD78" s="340">
        <f>INPUT!CJ728</f>
        <v>-3.3306690738754696E-14</v>
      </c>
      <c r="CE78" s="593">
        <f>INPUT!CK728</f>
        <v>99.999999999999986</v>
      </c>
      <c r="CF78" s="340">
        <f>INPUT!CL728</f>
        <v>2.2204460492503131E-14</v>
      </c>
      <c r="CG78" s="593">
        <f>INPUT!CM728</f>
        <v>100</v>
      </c>
      <c r="CH78" s="340">
        <f>INPUT!CN728</f>
        <v>2.2204460492503131E-14</v>
      </c>
      <c r="CI78" s="593">
        <f>INPUT!CO728</f>
        <v>100.00000000000003</v>
      </c>
      <c r="CJ78" s="340">
        <f>INPUT!CP728</f>
        <v>2.2204460492503131E-14</v>
      </c>
      <c r="CK78" s="593">
        <f>INPUT!CQ728</f>
        <v>100</v>
      </c>
      <c r="CL78" s="340">
        <f>INPUT!CR728</f>
        <v>-3.3306690738754696E-14</v>
      </c>
      <c r="CM78" s="610">
        <f>INPUT!CS728</f>
        <v>0</v>
      </c>
    </row>
    <row r="79" spans="1:91" s="331" customFormat="1" ht="12.75" customHeight="1" x14ac:dyDescent="0.2">
      <c r="A79" s="603"/>
      <c r="B79" s="512"/>
      <c r="C79" s="512"/>
      <c r="D79" s="512"/>
      <c r="E79" s="512"/>
      <c r="F79" s="512"/>
      <c r="G79" s="512"/>
      <c r="H79" s="512"/>
      <c r="I79" s="512"/>
      <c r="J79" s="512"/>
      <c r="K79" s="513"/>
      <c r="L79" s="512"/>
      <c r="M79" s="513"/>
      <c r="N79" s="512"/>
      <c r="O79" s="513"/>
      <c r="P79" s="512"/>
      <c r="Q79" s="513"/>
      <c r="R79" s="512"/>
      <c r="S79" s="513"/>
      <c r="T79" s="525"/>
      <c r="U79" s="513"/>
      <c r="V79" s="512"/>
      <c r="W79" s="513"/>
      <c r="X79" s="512"/>
      <c r="Y79" s="513"/>
      <c r="Z79" s="512"/>
      <c r="AA79" s="513"/>
      <c r="AB79" s="512"/>
      <c r="AC79" s="513"/>
      <c r="AD79" s="512"/>
      <c r="AE79" s="513"/>
      <c r="AF79" s="512"/>
      <c r="AG79" s="513"/>
      <c r="AH79" s="512"/>
      <c r="AI79" s="513"/>
      <c r="AJ79" s="512"/>
      <c r="AK79" s="513"/>
      <c r="AL79" s="512"/>
      <c r="AM79" s="513"/>
      <c r="AN79" s="512"/>
      <c r="AO79" s="513"/>
      <c r="AP79" s="512"/>
      <c r="AQ79" s="513"/>
      <c r="AR79" s="512"/>
      <c r="AS79" s="513"/>
      <c r="AT79" s="512"/>
      <c r="AU79" s="513"/>
      <c r="AV79" s="512"/>
      <c r="AW79" s="513"/>
      <c r="AX79" s="512"/>
      <c r="AY79" s="513"/>
      <c r="AZ79" s="512"/>
      <c r="BA79" s="513"/>
      <c r="BB79" s="512"/>
      <c r="BC79" s="513"/>
      <c r="BD79" s="512"/>
      <c r="BE79" s="513"/>
      <c r="BF79" s="512"/>
      <c r="BG79" s="513"/>
      <c r="BH79" s="512"/>
      <c r="BI79" s="513"/>
      <c r="BJ79" s="512"/>
      <c r="BK79" s="513"/>
      <c r="BL79" s="512"/>
      <c r="BM79" s="513"/>
      <c r="BN79" s="379"/>
      <c r="BO79" s="512"/>
      <c r="BP79" s="514"/>
      <c r="BQ79" s="512"/>
      <c r="BR79" s="514"/>
      <c r="BS79" s="512"/>
      <c r="BT79" s="514"/>
      <c r="BU79" s="512"/>
      <c r="BV79" s="514"/>
      <c r="BW79" s="512"/>
      <c r="BX79" s="514"/>
      <c r="BY79" s="512"/>
      <c r="BZ79" s="514"/>
      <c r="CA79" s="512"/>
      <c r="CB79" s="514"/>
      <c r="CC79" s="512"/>
      <c r="CD79" s="514"/>
      <c r="CE79" s="512"/>
      <c r="CF79" s="514"/>
      <c r="CG79" s="512"/>
      <c r="CH79" s="514"/>
      <c r="CI79" s="512"/>
      <c r="CJ79" s="514"/>
      <c r="CK79" s="512"/>
      <c r="CL79" s="514"/>
      <c r="CM79" s="608"/>
    </row>
    <row r="80" spans="1:91" s="331" customFormat="1" ht="12.75" customHeight="1" x14ac:dyDescent="0.2">
      <c r="A80" s="632" t="str">
        <f>INPUT!A891</f>
        <v>Capital Structure Excl FAS 115</v>
      </c>
      <c r="B80" s="515"/>
      <c r="C80" s="515"/>
      <c r="D80" s="515"/>
      <c r="E80" s="515"/>
      <c r="F80" s="515"/>
      <c r="G80" s="515"/>
      <c r="H80" s="515"/>
      <c r="I80" s="515"/>
      <c r="J80" s="515"/>
      <c r="K80" s="339"/>
      <c r="L80" s="515"/>
      <c r="M80" s="339"/>
      <c r="N80" s="515"/>
      <c r="O80" s="339"/>
      <c r="P80" s="515"/>
      <c r="Q80" s="339"/>
      <c r="R80" s="515"/>
      <c r="S80" s="339"/>
      <c r="T80" s="515"/>
      <c r="U80" s="339"/>
      <c r="V80" s="515"/>
      <c r="W80" s="339"/>
      <c r="X80" s="515"/>
      <c r="Y80" s="339"/>
      <c r="Z80" s="515"/>
      <c r="AA80" s="339"/>
      <c r="AB80" s="515"/>
      <c r="AC80" s="339"/>
      <c r="AD80" s="515"/>
      <c r="AE80" s="339"/>
      <c r="AF80" s="515"/>
      <c r="AG80" s="339"/>
      <c r="AH80" s="515"/>
      <c r="AI80" s="339"/>
      <c r="AJ80" s="515"/>
      <c r="AK80" s="339"/>
      <c r="AL80" s="515"/>
      <c r="AM80" s="339"/>
      <c r="AN80" s="515"/>
      <c r="AO80" s="339"/>
      <c r="AP80" s="515"/>
      <c r="AQ80" s="339"/>
      <c r="AR80" s="515"/>
      <c r="AS80" s="339"/>
      <c r="AT80" s="515"/>
      <c r="AU80" s="339"/>
      <c r="AV80" s="515"/>
      <c r="AW80" s="339"/>
      <c r="AX80" s="515"/>
      <c r="AY80" s="339"/>
      <c r="AZ80" s="515"/>
      <c r="BA80" s="339"/>
      <c r="BB80" s="515"/>
      <c r="BC80" s="339"/>
      <c r="BD80" s="515"/>
      <c r="BE80" s="339"/>
      <c r="BF80" s="515"/>
      <c r="BG80" s="339"/>
      <c r="BH80" s="515"/>
      <c r="BI80" s="339"/>
      <c r="BJ80" s="515"/>
      <c r="BK80" s="339"/>
      <c r="BL80" s="515"/>
      <c r="BM80" s="339"/>
      <c r="BN80" s="347"/>
      <c r="BO80" s="515"/>
      <c r="BP80" s="340"/>
      <c r="BQ80" s="515"/>
      <c r="BR80" s="340"/>
      <c r="BS80" s="515"/>
      <c r="BT80" s="340"/>
      <c r="BU80" s="515"/>
      <c r="BV80" s="340"/>
      <c r="BW80" s="515"/>
      <c r="BX80" s="340"/>
      <c r="BY80" s="515"/>
      <c r="BZ80" s="340"/>
      <c r="CA80" s="515"/>
      <c r="CB80" s="340"/>
      <c r="CC80" s="515"/>
      <c r="CD80" s="340"/>
      <c r="CE80" s="515"/>
      <c r="CF80" s="340"/>
      <c r="CG80" s="515"/>
      <c r="CH80" s="340"/>
      <c r="CI80" s="515"/>
      <c r="CJ80" s="340"/>
      <c r="CK80" s="515"/>
      <c r="CL80" s="340"/>
      <c r="CM80" s="610"/>
    </row>
    <row r="81" spans="1:91" s="331" customFormat="1" ht="12.75" customHeight="1" x14ac:dyDescent="0.2">
      <c r="A81" s="622" t="str">
        <f>INPUT!A892</f>
        <v>Total Capital</v>
      </c>
      <c r="B81" s="515">
        <f>INPUT!B892</f>
        <v>13786.8</v>
      </c>
      <c r="C81" s="515"/>
      <c r="D81" s="515">
        <f>INPUT!D892</f>
        <v>14176.399999999998</v>
      </c>
      <c r="E81" s="515"/>
      <c r="F81" s="515">
        <f>INPUT!F892</f>
        <v>15235.400000000001</v>
      </c>
      <c r="G81" s="515"/>
      <c r="H81" s="515">
        <f>INPUT!H892</f>
        <v>13800.2</v>
      </c>
      <c r="I81" s="515"/>
      <c r="J81" s="515">
        <f>INPUT!J892</f>
        <v>13286.100000000002</v>
      </c>
      <c r="K81" s="339">
        <f>INPUT!K892</f>
        <v>-3.6317347027591373</v>
      </c>
      <c r="L81" s="515">
        <f>INPUT!L892</f>
        <v>13754.099999999999</v>
      </c>
      <c r="M81" s="339">
        <f>INPUT!M892</f>
        <v>-2.9788945007194978</v>
      </c>
      <c r="N81" s="515">
        <f>INPUT!N892</f>
        <v>14102.2</v>
      </c>
      <c r="O81" s="339">
        <f>INPUT!O892</f>
        <v>-7.4379405857411101</v>
      </c>
      <c r="P81" s="515">
        <f>INPUT!P892</f>
        <v>13972.5</v>
      </c>
      <c r="Q81" s="339">
        <f>INPUT!Q892</f>
        <v>1.2485326299618738</v>
      </c>
      <c r="R81" s="515">
        <f>INPUT!R892</f>
        <v>13645.600000000002</v>
      </c>
      <c r="S81" s="339">
        <f>INPUT!S892</f>
        <v>2.7058354219823721</v>
      </c>
      <c r="T81" s="515">
        <f>INPUT!T892</f>
        <v>14067.099999999999</v>
      </c>
      <c r="U81" s="339">
        <f>INPUT!U892</f>
        <v>2.2756850684523267</v>
      </c>
      <c r="V81" s="515">
        <f>INPUT!V892</f>
        <v>14334.5</v>
      </c>
      <c r="W81" s="339">
        <f>INPUT!W892</f>
        <v>1.6472607110947113</v>
      </c>
      <c r="X81" s="515">
        <f>INPUT!X892</f>
        <v>14937.8</v>
      </c>
      <c r="Y81" s="339">
        <f>INPUT!Y892</f>
        <v>6.9085704061549347</v>
      </c>
      <c r="Z81" s="515">
        <f>INPUT!Z892</f>
        <v>14939</v>
      </c>
      <c r="AA81" s="339">
        <f>INPUT!AA892</f>
        <v>9.4785132203787157</v>
      </c>
      <c r="AB81" s="515">
        <f>INPUT!AB892</f>
        <v>15229.600000000002</v>
      </c>
      <c r="AC81" s="339">
        <f>INPUT!AC892</f>
        <v>8.2639634324061397</v>
      </c>
      <c r="AD81" s="515">
        <f>INPUT!AD892</f>
        <v>15334.400000000001</v>
      </c>
      <c r="AE81" s="339">
        <f>INPUT!AE892</f>
        <v>6.9754787401025586</v>
      </c>
      <c r="AF81" s="515">
        <f>INPUT!AF892</f>
        <v>16558.199999999997</v>
      </c>
      <c r="AG81" s="339">
        <f>INPUT!AG892</f>
        <v>10.847648248068653</v>
      </c>
      <c r="AH81" s="515">
        <f>INPUT!AH892</f>
        <v>16129.2</v>
      </c>
      <c r="AI81" s="339">
        <f>INPUT!AI892</f>
        <v>7.967066068679296</v>
      </c>
      <c r="AJ81" s="515">
        <f>INPUT!AJ892</f>
        <v>16232.599999999999</v>
      </c>
      <c r="AK81" s="339">
        <f>INPUT!AK892</f>
        <v>6.5858591164573932</v>
      </c>
      <c r="AL81" s="515">
        <f>INPUT!AL892</f>
        <v>15726.000000000002</v>
      </c>
      <c r="AM81" s="339">
        <f>INPUT!AM892</f>
        <v>2.553735392320533</v>
      </c>
      <c r="AN81" s="515">
        <f>INPUT!AN892</f>
        <v>15496.799999999997</v>
      </c>
      <c r="AO81" s="339">
        <f>INPUT!AO892</f>
        <v>-6.41011704170743</v>
      </c>
      <c r="AP81" s="515">
        <f>INPUT!AP892</f>
        <v>15440.999999999998</v>
      </c>
      <c r="AQ81" s="339">
        <f>INPUT!AQ892</f>
        <v>-4.2667956253255142</v>
      </c>
      <c r="AR81" s="515">
        <f>INPUT!AR892</f>
        <v>15446.7</v>
      </c>
      <c r="AS81" s="339">
        <f>INPUT!AS892</f>
        <v>-4.8414918127718138</v>
      </c>
      <c r="AT81" s="515">
        <f>INPUT!AT892</f>
        <v>15237.399999999998</v>
      </c>
      <c r="AU81" s="339">
        <f>INPUT!AU892</f>
        <v>-3.1069566323286502</v>
      </c>
      <c r="AV81" s="515">
        <f>INPUT!AV892</f>
        <v>14623</v>
      </c>
      <c r="AW81" s="339">
        <f>INPUT!AW892</f>
        <v>-5.6385834494863341</v>
      </c>
      <c r="AX81" s="515">
        <f>INPUT!AX892</f>
        <v>13504.2</v>
      </c>
      <c r="AY81" s="339">
        <f>INPUT!AY892</f>
        <v>-12.543229065475014</v>
      </c>
      <c r="AZ81" s="515">
        <f>INPUT!AZ892</f>
        <v>13472.7</v>
      </c>
      <c r="BA81" s="339">
        <f>INPUT!BA892</f>
        <v>-12.779428615820853</v>
      </c>
      <c r="BB81" s="515">
        <f>INPUT!BB892</f>
        <v>14043.800000000003</v>
      </c>
      <c r="BC81" s="339">
        <f>INPUT!BC892</f>
        <v>-7.8333573969312065</v>
      </c>
      <c r="BD81" s="515">
        <f>INPUT!BD892</f>
        <v>10401</v>
      </c>
      <c r="BE81" s="339">
        <f>INPUT!BE892</f>
        <v>-28.872324420433561</v>
      </c>
      <c r="BF81" s="515">
        <f>INPUT!BF892</f>
        <v>10261.799843736864</v>
      </c>
      <c r="BG81" s="339">
        <f>INPUT!BG892</f>
        <v>-24.010309061352299</v>
      </c>
      <c r="BH81" s="515">
        <f>INPUT!BH892</f>
        <v>10240.545008161373</v>
      </c>
      <c r="BI81" s="339">
        <f>INPUT!BI892</f>
        <v>-23.990402754003494</v>
      </c>
      <c r="BJ81" s="515">
        <f>INPUT!BJ892</f>
        <v>10180.305206349834</v>
      </c>
      <c r="BK81" s="339">
        <f>INPUT!BK892</f>
        <v>-27.510323371524571</v>
      </c>
      <c r="BL81" s="515">
        <f>INPUT!BL892</f>
        <v>10129.117460013525</v>
      </c>
      <c r="BM81" s="339">
        <f>INPUT!BM892</f>
        <v>-2.6140038456540227</v>
      </c>
      <c r="BN81" s="347"/>
      <c r="BO81" s="515">
        <f>INPUT!BU892</f>
        <v>13800.2</v>
      </c>
      <c r="BP81" s="340" t="str">
        <f>INPUT!BV892</f>
        <v>NA</v>
      </c>
      <c r="BQ81" s="515">
        <f>INPUT!BW892</f>
        <v>13972.5</v>
      </c>
      <c r="BR81" s="340">
        <f>INPUT!BX892</f>
        <v>1.2485326299618738</v>
      </c>
      <c r="BS81" s="515">
        <f>INPUT!BY892</f>
        <v>14937.8</v>
      </c>
      <c r="BT81" s="340">
        <f>INPUT!BZ892</f>
        <v>6.9085704061549347</v>
      </c>
      <c r="BU81" s="515">
        <f>INPUT!CA892</f>
        <v>16558.199999999997</v>
      </c>
      <c r="BV81" s="340">
        <f>INPUT!CB892</f>
        <v>10.847648248068653</v>
      </c>
      <c r="BW81" s="515">
        <f>INPUT!CC892</f>
        <v>15496.799999999997</v>
      </c>
      <c r="BX81" s="340">
        <f>INPUT!CD892</f>
        <v>-6.41011704170743</v>
      </c>
      <c r="BY81" s="515">
        <f>INPUT!CE892</f>
        <v>14623</v>
      </c>
      <c r="BZ81" s="340">
        <f>INPUT!CF892</f>
        <v>-5.6385834494863341</v>
      </c>
      <c r="CA81" s="515">
        <f>INPUT!CG892</f>
        <v>10401</v>
      </c>
      <c r="CB81" s="340">
        <f>INPUT!CH892</f>
        <v>-28.872324420433561</v>
      </c>
      <c r="CC81" s="515">
        <f>INPUT!CI892</f>
        <v>10129.117460013525</v>
      </c>
      <c r="CD81" s="340">
        <f>INPUT!CJ892</f>
        <v>-2.6140038456540227</v>
      </c>
      <c r="CE81" s="515">
        <f>INPUT!CK892</f>
        <v>10336.883755639166</v>
      </c>
      <c r="CF81" s="340">
        <f>INPUT!CL892</f>
        <v>2.0511786584155534</v>
      </c>
      <c r="CG81" s="515">
        <f>INPUT!CM892</f>
        <v>10580.741617548878</v>
      </c>
      <c r="CH81" s="340">
        <f>INPUT!CN892</f>
        <v>2.3591042298088949</v>
      </c>
      <c r="CI81" s="515">
        <f>INPUT!CO892</f>
        <v>10859.850963255598</v>
      </c>
      <c r="CJ81" s="340">
        <f>INPUT!CP892</f>
        <v>2.6378996463140014</v>
      </c>
      <c r="CK81" s="515">
        <f>INPUT!CQ892</f>
        <v>11173.895321497916</v>
      </c>
      <c r="CL81" s="340">
        <f>INPUT!CR892</f>
        <v>2.8917925237177622</v>
      </c>
      <c r="CM81" s="610">
        <f>INPUT!CS892</f>
        <v>1.4438913957297128</v>
      </c>
    </row>
    <row r="82" spans="1:91" s="331" customFormat="1" ht="12.75" customHeight="1" x14ac:dyDescent="0.2">
      <c r="A82" s="622" t="str">
        <f>INPUT!A893</f>
        <v>LT Debt to LT Capital (%)</v>
      </c>
      <c r="B82" s="522">
        <f>INPUT!B893</f>
        <v>55.74317463080628</v>
      </c>
      <c r="C82" s="522"/>
      <c r="D82" s="522">
        <f>INPUT!D893</f>
        <v>35.624700205976133</v>
      </c>
      <c r="E82" s="522"/>
      <c r="F82" s="522">
        <f>INPUT!F893</f>
        <v>33.699804402903759</v>
      </c>
      <c r="G82" s="522"/>
      <c r="H82" s="522">
        <f>INPUT!H893</f>
        <v>29.284358197707277</v>
      </c>
      <c r="I82" s="522"/>
      <c r="J82" s="522">
        <f>INPUT!J893</f>
        <v>30.431804668036509</v>
      </c>
      <c r="K82" s="339">
        <f>INPUT!K893</f>
        <v>-45.40711958084556</v>
      </c>
      <c r="L82" s="522">
        <f>INPUT!L893</f>
        <v>28.600926269257897</v>
      </c>
      <c r="M82" s="339">
        <f>INPUT!M893</f>
        <v>-19.716022580142244</v>
      </c>
      <c r="N82" s="522">
        <f>INPUT!N893</f>
        <v>27.60704003630639</v>
      </c>
      <c r="O82" s="339">
        <f>INPUT!O893</f>
        <v>-18.079524420243764</v>
      </c>
      <c r="P82" s="522">
        <f>INPUT!P893</f>
        <v>27.25568080157452</v>
      </c>
      <c r="Q82" s="339">
        <f>INPUT!Q893</f>
        <v>-6.9275118902608739</v>
      </c>
      <c r="R82" s="522">
        <f>INPUT!R893</f>
        <v>27.168464560004686</v>
      </c>
      <c r="S82" s="339">
        <f>INPUT!S893</f>
        <v>-10.723452465700834</v>
      </c>
      <c r="T82" s="522">
        <f>INPUT!T893</f>
        <v>26.183790546736716</v>
      </c>
      <c r="U82" s="339">
        <f>INPUT!U893</f>
        <v>-8.4512497943791125</v>
      </c>
      <c r="V82" s="522">
        <f>INPUT!V893</f>
        <v>24.517771809271338</v>
      </c>
      <c r="W82" s="339">
        <f>INPUT!W893</f>
        <v>-11.190146509630573</v>
      </c>
      <c r="X82" s="522">
        <f>INPUT!X893</f>
        <v>23.528899837994885</v>
      </c>
      <c r="Y82" s="339">
        <f>INPUT!Y893</f>
        <v>-13.673409924012415</v>
      </c>
      <c r="Z82" s="522">
        <f>INPUT!Z893</f>
        <v>23.529018006560008</v>
      </c>
      <c r="AA82" s="339">
        <f>INPUT!AA893</f>
        <v>-13.395849240602242</v>
      </c>
      <c r="AB82" s="522">
        <f>INPUT!AB893</f>
        <v>23.081367862583384</v>
      </c>
      <c r="AC82" s="339">
        <f>INPUT!AC893</f>
        <v>-11.848638487294904</v>
      </c>
      <c r="AD82" s="522">
        <f>INPUT!AD893</f>
        <v>22.925579090150247</v>
      </c>
      <c r="AE82" s="339">
        <f>INPUT!AE893</f>
        <v>-6.4940351493075195</v>
      </c>
      <c r="AF82" s="522">
        <f>INPUT!AF893</f>
        <v>21.232380331195422</v>
      </c>
      <c r="AG82" s="339">
        <f>INPUT!AG893</f>
        <v>-9.7604202602409877</v>
      </c>
      <c r="AH82" s="522">
        <f>INPUT!AH893</f>
        <v>21.798973290677775</v>
      </c>
      <c r="AI82" s="339">
        <f>INPUT!AI893</f>
        <v>-7.3528130897765775</v>
      </c>
      <c r="AJ82" s="522">
        <f>INPUT!AJ893</f>
        <v>21.475302785752131</v>
      </c>
      <c r="AK82" s="339">
        <f>INPUT!AK893</f>
        <v>-6.9582751178053233</v>
      </c>
      <c r="AL82" s="522">
        <f>INPUT!AL893</f>
        <v>22.164568230955105</v>
      </c>
      <c r="AM82" s="339">
        <f>INPUT!AM893</f>
        <v>-3.3194836920045545</v>
      </c>
      <c r="AN82" s="522">
        <f>INPUT!AN893</f>
        <v>22.494321408290748</v>
      </c>
      <c r="AO82" s="339">
        <f>INPUT!AO893</f>
        <v>5.9434743415990532</v>
      </c>
      <c r="AP82" s="522">
        <f>INPUT!AP893</f>
        <v>22.381322453208995</v>
      </c>
      <c r="AQ82" s="339">
        <f>INPUT!AQ893</f>
        <v>2.6714522503693328</v>
      </c>
      <c r="AR82" s="522">
        <f>INPUT!AR893</f>
        <v>22.966070422808755</v>
      </c>
      <c r="AS82" s="339">
        <f>INPUT!AS893</f>
        <v>6.9417770353658481</v>
      </c>
      <c r="AT82" s="522">
        <f>INPUT!AT893</f>
        <v>23.288093769278227</v>
      </c>
      <c r="AU82" s="339">
        <f>INPUT!AU893</f>
        <v>5.0690161279749235</v>
      </c>
      <c r="AV82" s="522">
        <f>INPUT!AV893</f>
        <v>24.273404910073175</v>
      </c>
      <c r="AW82" s="339">
        <f>INPUT!AW893</f>
        <v>7.909033882332217</v>
      </c>
      <c r="AX82" s="522">
        <f>INPUT!AX893</f>
        <v>20.184090875431345</v>
      </c>
      <c r="AY82" s="339">
        <f>INPUT!AY893</f>
        <v>-9.8172553582177358</v>
      </c>
      <c r="AZ82" s="522">
        <f>INPUT!AZ893</f>
        <v>20.234993728057475</v>
      </c>
      <c r="BA82" s="339">
        <f>INPUT!BA893</f>
        <v>-11.891789254634133</v>
      </c>
      <c r="BB82" s="522">
        <f>INPUT!BB893</f>
        <v>22.231874563864476</v>
      </c>
      <c r="BC82" s="339">
        <f>INPUT!BC893</f>
        <v>-4.5354472370216943</v>
      </c>
      <c r="BD82" s="522">
        <f>INPUT!BD893</f>
        <v>30.025959042399769</v>
      </c>
      <c r="BE82" s="339">
        <f>INPUT!BE893</f>
        <v>23.698999599101779</v>
      </c>
      <c r="BF82" s="522">
        <f>INPUT!BF893</f>
        <v>30.433257786703727</v>
      </c>
      <c r="BG82" s="339">
        <f>INPUT!BG893</f>
        <v>50.778442162822216</v>
      </c>
      <c r="BH82" s="522">
        <f>INPUT!BH893</f>
        <v>30.496423750015971</v>
      </c>
      <c r="BI82" s="339">
        <f>INPUT!BI893</f>
        <v>50.711308142043961</v>
      </c>
      <c r="BJ82" s="522">
        <f>INPUT!BJ893</f>
        <v>30.676879884230473</v>
      </c>
      <c r="BK82" s="339">
        <f>INPUT!BK893</f>
        <v>37.986024507768889</v>
      </c>
      <c r="BL82" s="522">
        <f>INPUT!BL893</f>
        <v>30.831906257663537</v>
      </c>
      <c r="BM82" s="339">
        <f>INPUT!BM893</f>
        <v>2.6841681030926878</v>
      </c>
      <c r="BN82" s="347"/>
      <c r="BO82" s="522">
        <f>INPUT!BU893</f>
        <v>29.284358197707277</v>
      </c>
      <c r="BP82" s="340">
        <f>INPUT!BV893</f>
        <v>-47.892601071695239</v>
      </c>
      <c r="BQ82" s="522">
        <f>INPUT!BW893</f>
        <v>27.25568080157452</v>
      </c>
      <c r="BR82" s="340">
        <f>INPUT!BX893</f>
        <v>-6.9275118902608739</v>
      </c>
      <c r="BS82" s="522">
        <f>INPUT!BY893</f>
        <v>23.528899837994885</v>
      </c>
      <c r="BT82" s="340">
        <f>INPUT!BZ893</f>
        <v>-13.673409924012415</v>
      </c>
      <c r="BU82" s="522">
        <f>INPUT!CA893</f>
        <v>21.232380331195422</v>
      </c>
      <c r="BV82" s="340">
        <f>INPUT!CB893</f>
        <v>-9.7604202602409877</v>
      </c>
      <c r="BW82" s="522">
        <f>INPUT!CC893</f>
        <v>22.494321408290748</v>
      </c>
      <c r="BX82" s="340">
        <f>INPUT!CD893</f>
        <v>5.9434743415990532</v>
      </c>
      <c r="BY82" s="522">
        <f>INPUT!CE893</f>
        <v>24.273404910073175</v>
      </c>
      <c r="BZ82" s="340">
        <f>INPUT!CF893</f>
        <v>7.909033882332217</v>
      </c>
      <c r="CA82" s="522">
        <f>INPUT!CG893</f>
        <v>30.025959042399769</v>
      </c>
      <c r="CB82" s="340">
        <f>INPUT!CH893</f>
        <v>23.698999599101779</v>
      </c>
      <c r="CC82" s="522">
        <f>INPUT!CI893</f>
        <v>30.831906257663537</v>
      </c>
      <c r="CD82" s="340">
        <f>INPUT!CJ893</f>
        <v>2.6841681030926878</v>
      </c>
      <c r="CE82" s="522">
        <f>INPUT!CK893</f>
        <v>30.212200057839322</v>
      </c>
      <c r="CF82" s="340">
        <f>INPUT!CL893</f>
        <v>-2.0099509730125198</v>
      </c>
      <c r="CG82" s="522">
        <f>INPUT!CM893</f>
        <v>29.515889461096872</v>
      </c>
      <c r="CH82" s="340">
        <f>INPUT!CN893</f>
        <v>-2.3047331720609798</v>
      </c>
      <c r="CI82" s="522">
        <f>INPUT!CO893</f>
        <v>28.757300726931689</v>
      </c>
      <c r="CJ82" s="340">
        <f>INPUT!CP893</f>
        <v>-2.5701029107221496</v>
      </c>
      <c r="CK82" s="522">
        <f>INPUT!CQ893</f>
        <v>27.949071564967433</v>
      </c>
      <c r="CL82" s="340">
        <f>INPUT!CR893</f>
        <v>-2.8105181694168424</v>
      </c>
      <c r="CM82" s="610">
        <f>INPUT!CS893</f>
        <v>-1.4233399131911573</v>
      </c>
    </row>
    <row r="83" spans="1:91" s="331" customFormat="1" ht="12.75" customHeight="1" x14ac:dyDescent="0.2">
      <c r="A83" s="622" t="str">
        <f>INPUT!A895</f>
        <v>LT Debt to Common Equity (%)</v>
      </c>
      <c r="B83" s="522">
        <f>INPUT!B895</f>
        <v>125.95384817097153</v>
      </c>
      <c r="C83" s="522"/>
      <c r="D83" s="522">
        <f>INPUT!D895</f>
        <v>55.33908241198322</v>
      </c>
      <c r="E83" s="522"/>
      <c r="F83" s="522">
        <f>INPUT!F895</f>
        <v>50.829117620853168</v>
      </c>
      <c r="G83" s="522"/>
      <c r="H83" s="522">
        <f>INPUT!H895</f>
        <v>41.411429566856924</v>
      </c>
      <c r="I83" s="522"/>
      <c r="J83" s="522">
        <f>INPUT!J895</f>
        <v>43.743846628222741</v>
      </c>
      <c r="K83" s="339" t="str">
        <f>INPUT!K895</f>
        <v>NM</v>
      </c>
      <c r="L83" s="522">
        <f>INPUT!L895</f>
        <v>40.057839373542564</v>
      </c>
      <c r="M83" s="339">
        <f>INPUT!M895</f>
        <v>-27.613835236147011</v>
      </c>
      <c r="N83" s="522">
        <f>INPUT!N895</f>
        <v>38.134978940150845</v>
      </c>
      <c r="O83" s="339">
        <f>INPUT!O895</f>
        <v>-24.974147250383162</v>
      </c>
      <c r="P83" s="522">
        <f>INPUT!P895</f>
        <v>37.467779067708229</v>
      </c>
      <c r="Q83" s="339">
        <f>INPUT!Q895</f>
        <v>-9.5230967401930595</v>
      </c>
      <c r="R83" s="522">
        <f>INPUT!R895</f>
        <v>37.303160500286758</v>
      </c>
      <c r="S83" s="339">
        <f>INPUT!S895</f>
        <v>-14.723639150153222</v>
      </c>
      <c r="T83" s="522">
        <f>INPUT!T895</f>
        <v>35.471599992295694</v>
      </c>
      <c r="U83" s="339">
        <f>INPUT!U895</f>
        <v>-11.449043315790997</v>
      </c>
      <c r="V83" s="522">
        <f>INPUT!V895</f>
        <v>32.481515711645102</v>
      </c>
      <c r="W83" s="339">
        <f>INPUT!W895</f>
        <v>-14.824875706312323</v>
      </c>
      <c r="X83" s="522">
        <f>INPUT!X895</f>
        <v>30.768355350123873</v>
      </c>
      <c r="Y83" s="339">
        <f>INPUT!Y895</f>
        <v>-17.880493277911647</v>
      </c>
      <c r="Z83" s="522">
        <f>INPUT!Z895</f>
        <v>30.768557422969188</v>
      </c>
      <c r="AA83" s="339">
        <f>INPUT!AA895</f>
        <v>-17.517558806491309</v>
      </c>
      <c r="AB83" s="522">
        <f>INPUT!AB895</f>
        <v>30.007512121832953</v>
      </c>
      <c r="AC83" s="339">
        <f>INPUT!AC895</f>
        <v>-15.404120117642062</v>
      </c>
      <c r="AD83" s="522">
        <f>INPUT!AD895</f>
        <v>29.744730897122402</v>
      </c>
      <c r="AE83" s="339">
        <f>INPUT!AE895</f>
        <v>-8.4256684288335766</v>
      </c>
      <c r="AF83" s="522">
        <f>INPUT!AF895</f>
        <v>26.955721679125936</v>
      </c>
      <c r="AG83" s="339">
        <f>INPUT!AG895</f>
        <v>-12.391411980304589</v>
      </c>
      <c r="AH83" s="522">
        <f>INPUT!AH895</f>
        <v>27.875558938255157</v>
      </c>
      <c r="AI83" s="339">
        <f>INPUT!AI895</f>
        <v>-9.4024508362370085</v>
      </c>
      <c r="AJ83" s="522">
        <f>INPUT!AJ895</f>
        <v>27.348469395760439</v>
      </c>
      <c r="AK83" s="339">
        <f>INPUT!AK895</f>
        <v>-8.8612568588711476</v>
      </c>
      <c r="AL83" s="522">
        <f>INPUT!AL895</f>
        <v>28.476193588444822</v>
      </c>
      <c r="AM83" s="339">
        <f>INPUT!AM895</f>
        <v>-4.2647462942766223</v>
      </c>
      <c r="AN83" s="522">
        <f>INPUT!AN895</f>
        <v>29.022804286106791</v>
      </c>
      <c r="AO83" s="339">
        <f>INPUT!AO895</f>
        <v>7.6684372675563273</v>
      </c>
      <c r="AP83" s="522">
        <f>INPUT!AP895</f>
        <v>28.834970087859098</v>
      </c>
      <c r="AQ83" s="339">
        <f>INPUT!AQ895</f>
        <v>3.4417647076747437</v>
      </c>
      <c r="AR83" s="522">
        <f>INPUT!AR895</f>
        <v>29.812928600242035</v>
      </c>
      <c r="AS83" s="339">
        <f>INPUT!AS895</f>
        <v>9.0113240665074876</v>
      </c>
      <c r="AT83" s="522">
        <f>INPUT!AT895</f>
        <v>30.357860876558107</v>
      </c>
      <c r="AU83" s="339">
        <f>INPUT!AU895</f>
        <v>6.6078609919158371</v>
      </c>
      <c r="AV83" s="522">
        <f>INPUT!AV895</f>
        <v>32.05400279947623</v>
      </c>
      <c r="AW83" s="339">
        <f>INPUT!AW895</f>
        <v>10.444195824386536</v>
      </c>
      <c r="AX83" s="522">
        <f>INPUT!AX895</f>
        <v>25.28830542283249</v>
      </c>
      <c r="AY83" s="339">
        <f>INPUT!AY895</f>
        <v>-12.29987287734321</v>
      </c>
      <c r="AZ83" s="522">
        <f>INPUT!AZ895</f>
        <v>25.368259433303862</v>
      </c>
      <c r="BA83" s="339">
        <f>INPUT!BA895</f>
        <v>-14.908529204011478</v>
      </c>
      <c r="BB83" s="522">
        <f>INPUT!BB895</f>
        <v>28.58738646352182</v>
      </c>
      <c r="BC83" s="339">
        <f>INPUT!BC895</f>
        <v>-5.8320130665182042</v>
      </c>
      <c r="BD83" s="522">
        <f>INPUT!BD895</f>
        <v>42.910140148392415</v>
      </c>
      <c r="BE83" s="339">
        <f>INPUT!BE895</f>
        <v>33.868273540843319</v>
      </c>
      <c r="BF83" s="522">
        <f>INPUT!BF895</f>
        <v>43.746849167369845</v>
      </c>
      <c r="BG83" s="339">
        <f>INPUT!BG895</f>
        <v>72.992410665332173</v>
      </c>
      <c r="BH83" s="522">
        <f>INPUT!BH895</f>
        <v>43.877488606239858</v>
      </c>
      <c r="BI83" s="339">
        <f>INPUT!BI895</f>
        <v>72.962156594144489</v>
      </c>
      <c r="BJ83" s="522">
        <f>INPUT!BJ895</f>
        <v>44.252018421848469</v>
      </c>
      <c r="BK83" s="339">
        <f>INPUT!BK895</f>
        <v>54.795607070674635</v>
      </c>
      <c r="BL83" s="522">
        <f>INPUT!BL895</f>
        <v>44.575330314173335</v>
      </c>
      <c r="BM83" s="339">
        <f>INPUT!BM895</f>
        <v>3.8806449012339206</v>
      </c>
      <c r="BN83" s="347"/>
      <c r="BO83" s="522">
        <f>INPUT!BU895</f>
        <v>41.411429566856924</v>
      </c>
      <c r="BP83" s="340" t="str">
        <f>INPUT!BV895</f>
        <v>NA</v>
      </c>
      <c r="BQ83" s="522">
        <f>INPUT!BW895</f>
        <v>37.467779067708229</v>
      </c>
      <c r="BR83" s="340">
        <f>INPUT!BX895</f>
        <v>-9.5230967401930595</v>
      </c>
      <c r="BS83" s="522">
        <f>INPUT!BY895</f>
        <v>30.768355350123873</v>
      </c>
      <c r="BT83" s="340">
        <f>INPUT!BZ895</f>
        <v>-17.880493277911647</v>
      </c>
      <c r="BU83" s="522">
        <f>INPUT!CA895</f>
        <v>26.955721679125936</v>
      </c>
      <c r="BV83" s="340">
        <f>INPUT!CB895</f>
        <v>-12.391411980304589</v>
      </c>
      <c r="BW83" s="522">
        <f>INPUT!CC895</f>
        <v>29.022804286106791</v>
      </c>
      <c r="BX83" s="340">
        <f>INPUT!CD895</f>
        <v>7.6684372675563273</v>
      </c>
      <c r="BY83" s="522">
        <f>INPUT!CE895</f>
        <v>32.05400279947623</v>
      </c>
      <c r="BZ83" s="340">
        <f>INPUT!CF895</f>
        <v>10.444195824386536</v>
      </c>
      <c r="CA83" s="522">
        <f>INPUT!CG895</f>
        <v>42.910140148392415</v>
      </c>
      <c r="CB83" s="340">
        <f>INPUT!CH895</f>
        <v>33.868273540843319</v>
      </c>
      <c r="CC83" s="522">
        <f>INPUT!CI895</f>
        <v>44.575330314173335</v>
      </c>
      <c r="CD83" s="340">
        <f>INPUT!CJ895</f>
        <v>3.8806449012339206</v>
      </c>
      <c r="CE83" s="522">
        <f>INPUT!CK895</f>
        <v>43.291520986302544</v>
      </c>
      <c r="CF83" s="340">
        <f>INPUT!CL895</f>
        <v>-2.8800893203086098</v>
      </c>
      <c r="CG83" s="522">
        <f>INPUT!CM895</f>
        <v>41.875947976680244</v>
      </c>
      <c r="CH83" s="340">
        <f>INPUT!CN895</f>
        <v>-3.2698620361945374</v>
      </c>
      <c r="CI83" s="522">
        <f>INPUT!CO895</f>
        <v>40.365259907835544</v>
      </c>
      <c r="CJ83" s="340">
        <f>INPUT!CP895</f>
        <v>-3.6075316305339999</v>
      </c>
      <c r="CK83" s="522">
        <f>INPUT!CQ895</f>
        <v>38.790716749984369</v>
      </c>
      <c r="CL83" s="340">
        <f>INPUT!CR895</f>
        <v>-3.900738311722185</v>
      </c>
      <c r="CM83" s="610">
        <f>INPUT!CS895</f>
        <v>-1.9983079081853705</v>
      </c>
    </row>
    <row r="84" spans="1:91" s="331" customFormat="1" ht="12.75" customHeight="1" x14ac:dyDescent="0.2">
      <c r="A84" s="622" t="str">
        <f>INPUT!A896</f>
        <v>Equity to Assets (Excl SAA)(%)</v>
      </c>
      <c r="B84" s="522">
        <f>INPUT!B896</f>
        <v>5.6543258613867264</v>
      </c>
      <c r="C84" s="522"/>
      <c r="D84" s="522">
        <f>INPUT!D896</f>
        <v>8.431231615201547</v>
      </c>
      <c r="E84" s="522"/>
      <c r="F84" s="522">
        <f>INPUT!F896</f>
        <v>9.0173739624453901</v>
      </c>
      <c r="G84" s="522"/>
      <c r="H84" s="522">
        <f>INPUT!H896</f>
        <v>8.6928675711474703</v>
      </c>
      <c r="I84" s="522"/>
      <c r="J84" s="522">
        <f>INPUT!J896</f>
        <v>8.3844117014743418</v>
      </c>
      <c r="K84" s="339">
        <f>INPUT!K896</f>
        <v>48.28313590363291</v>
      </c>
      <c r="L84" s="522">
        <f>INPUT!L896</f>
        <v>8.5262238490817648</v>
      </c>
      <c r="M84" s="339">
        <f>INPUT!M896</f>
        <v>1.1266709090157923</v>
      </c>
      <c r="N84" s="522">
        <f>INPUT!N896</f>
        <v>8.9398223594510924</v>
      </c>
      <c r="O84" s="339">
        <f>INPUT!O896</f>
        <v>-0.86002425226320289</v>
      </c>
      <c r="P84" s="522">
        <f>INPUT!P896</f>
        <v>8.8371975749482043</v>
      </c>
      <c r="Q84" s="339">
        <f>INPUT!Q896</f>
        <v>1.660326729004602</v>
      </c>
      <c r="R84" s="522">
        <f>INPUT!R896</f>
        <v>8.6950093133004813</v>
      </c>
      <c r="S84" s="339">
        <f>INPUT!S896</f>
        <v>3.7044651775809623</v>
      </c>
      <c r="T84" s="522">
        <f>INPUT!T896</f>
        <v>9.2049415460770074</v>
      </c>
      <c r="U84" s="339">
        <f>INPUT!U896</f>
        <v>7.9603551233098147</v>
      </c>
      <c r="V84" s="522">
        <f>INPUT!V896</f>
        <v>9.6732722659595574</v>
      </c>
      <c r="W84" s="339">
        <f>INPUT!W896</f>
        <v>8.2043006786714159</v>
      </c>
      <c r="X84" s="522">
        <f>INPUT!X896</f>
        <v>10.167694731501504</v>
      </c>
      <c r="Y84" s="339">
        <f>INPUT!Y896</f>
        <v>15.055645698416974</v>
      </c>
      <c r="Z84" s="522">
        <f>INPUT!Z896</f>
        <v>10.101403090548326</v>
      </c>
      <c r="AA84" s="339">
        <f>INPUT!AA896</f>
        <v>16.174724219058945</v>
      </c>
      <c r="AB84" s="522">
        <f>INPUT!AB896</f>
        <v>10.250872659526708</v>
      </c>
      <c r="AC84" s="339">
        <f>INPUT!AC896</f>
        <v>11.362713258026712</v>
      </c>
      <c r="AD84" s="522">
        <f>INPUT!AD896</f>
        <v>10.329012281482166</v>
      </c>
      <c r="AE84" s="339">
        <f>INPUT!AE896</f>
        <v>6.7788851331123112</v>
      </c>
      <c r="AF84" s="522">
        <f>INPUT!AF896</f>
        <v>11.069927482108175</v>
      </c>
      <c r="AG84" s="339">
        <f>INPUT!AG896</f>
        <v>8.8735231970662696</v>
      </c>
      <c r="AH84" s="522">
        <f>INPUT!AH896</f>
        <v>10.648004322280006</v>
      </c>
      <c r="AI84" s="339">
        <f>INPUT!AI896</f>
        <v>5.4111416684591518</v>
      </c>
      <c r="AJ84" s="522">
        <f>INPUT!AJ896</f>
        <v>10.788909259268662</v>
      </c>
      <c r="AK84" s="339">
        <f>INPUT!AK896</f>
        <v>5.2486906979761105</v>
      </c>
      <c r="AL84" s="522">
        <f>INPUT!AL896</f>
        <v>10.037722233156204</v>
      </c>
      <c r="AM84" s="339">
        <f>INPUT!AM896</f>
        <v>-2.8201152287153919</v>
      </c>
      <c r="AN84" s="522">
        <f>INPUT!AN896</f>
        <v>9.9833014573198025</v>
      </c>
      <c r="AO84" s="339">
        <f>INPUT!AO896</f>
        <v>-9.8160175533637215</v>
      </c>
      <c r="AP84" s="522">
        <f>INPUT!AP896</f>
        <v>10.35369874918687</v>
      </c>
      <c r="AQ84" s="339">
        <f>INPUT!AQ896</f>
        <v>-2.7639505412044851</v>
      </c>
      <c r="AR84" s="522">
        <f>INPUT!AR896</f>
        <v>10.142654519666143</v>
      </c>
      <c r="AS84" s="339">
        <f>INPUT!AS896</f>
        <v>-5.9899914261242522</v>
      </c>
      <c r="AT84" s="522">
        <f>INPUT!AT896</f>
        <v>9.9794756909879148</v>
      </c>
      <c r="AU84" s="339">
        <f>INPUT!AU896</f>
        <v>-0.58027648918089758</v>
      </c>
      <c r="AV84" s="522">
        <f>INPUT!AV896</f>
        <v>7.5377825094311621</v>
      </c>
      <c r="AW84" s="339">
        <f>INPUT!AW896</f>
        <v>-24.496094386647759</v>
      </c>
      <c r="AX84" s="522">
        <f>INPUT!AX896</f>
        <v>7.4426309425905472</v>
      </c>
      <c r="AY84" s="339">
        <f>INPUT!AY896</f>
        <v>-28.116211192883554</v>
      </c>
      <c r="AZ84" s="522">
        <f>INPUT!AZ896</f>
        <v>7.4197662046962041</v>
      </c>
      <c r="BA84" s="339">
        <f>INPUT!BA896</f>
        <v>-26.845914052286645</v>
      </c>
      <c r="BB84" s="522">
        <f>INPUT!BB896</f>
        <v>7.4474526896912918</v>
      </c>
      <c r="BC84" s="339">
        <f>INPUT!BC896</f>
        <v>-25.372304915609909</v>
      </c>
      <c r="BD84" s="522">
        <f>INPUT!BD896</f>
        <v>5.1182874342456897</v>
      </c>
      <c r="BE84" s="339">
        <f>INPUT!BE896</f>
        <v>-32.098234091501524</v>
      </c>
      <c r="BF84" s="522">
        <f>INPUT!BF896</f>
        <v>8.4779632315624998</v>
      </c>
      <c r="BG84" s="339">
        <f>INPUT!BG896</f>
        <v>13.910837403575261</v>
      </c>
      <c r="BH84" s="522">
        <f>INPUT!BH896</f>
        <v>8.2974147527259046</v>
      </c>
      <c r="BI84" s="339">
        <f>INPUT!BI896</f>
        <v>11.828520250061381</v>
      </c>
      <c r="BJ84" s="522">
        <f>INPUT!BJ896</f>
        <v>8.1237503867275382</v>
      </c>
      <c r="BK84" s="339">
        <f>INPUT!BK896</f>
        <v>9.0809263947708274</v>
      </c>
      <c r="BL84" s="522">
        <f>INPUT!BL896</f>
        <v>7.9632060905579989</v>
      </c>
      <c r="BM84" s="339">
        <f>INPUT!BM896</f>
        <v>55.583409350506344</v>
      </c>
      <c r="BN84" s="347"/>
      <c r="BO84" s="522">
        <f>INPUT!BU896</f>
        <v>8.6928675711474703</v>
      </c>
      <c r="BP84" s="340" t="str">
        <f>INPUT!BV896</f>
        <v>NA</v>
      </c>
      <c r="BQ84" s="522">
        <f>INPUT!BW896</f>
        <v>8.8371975749482043</v>
      </c>
      <c r="BR84" s="340">
        <f>INPUT!BX896</f>
        <v>1.660326729004602</v>
      </c>
      <c r="BS84" s="522">
        <f>INPUT!BY896</f>
        <v>10.167694731501504</v>
      </c>
      <c r="BT84" s="340">
        <f>INPUT!BZ896</f>
        <v>15.055645698416974</v>
      </c>
      <c r="BU84" s="522">
        <f>INPUT!CA896</f>
        <v>11.069927482108175</v>
      </c>
      <c r="BV84" s="340">
        <f>INPUT!CB896</f>
        <v>8.8735231970662696</v>
      </c>
      <c r="BW84" s="522">
        <f>INPUT!CC896</f>
        <v>9.9833014573198025</v>
      </c>
      <c r="BX84" s="340">
        <f>INPUT!CD896</f>
        <v>-9.8160175533637215</v>
      </c>
      <c r="BY84" s="522">
        <f>INPUT!CE896</f>
        <v>13.151800051307875</v>
      </c>
      <c r="BZ84" s="340">
        <f>INPUT!CF896</f>
        <v>31.737983747499833</v>
      </c>
      <c r="CA84" s="522">
        <f>INPUT!CG896</f>
        <v>8.7534879245646113</v>
      </c>
      <c r="CB84" s="340">
        <f>INPUT!CH896</f>
        <v>-33.442662674193222</v>
      </c>
      <c r="CC84" s="522">
        <f>INPUT!CI896</f>
        <v>7.9632060905579989</v>
      </c>
      <c r="CD84" s="340">
        <f>INPUT!CJ896</f>
        <v>-9.0281935705751266</v>
      </c>
      <c r="CE84" s="522">
        <f>INPUT!CK896</f>
        <v>8.0958127686085088</v>
      </c>
      <c r="CF84" s="340">
        <f>INPUT!CL896</f>
        <v>1.6652423225331558</v>
      </c>
      <c r="CG84" s="522">
        <f>INPUT!CM896</f>
        <v>8.2635651156933463</v>
      </c>
      <c r="CH84" s="340">
        <f>INPUT!CN896</f>
        <v>2.0720877801830628</v>
      </c>
      <c r="CI84" s="522">
        <f>INPUT!CO896</f>
        <v>8.4641102911526875</v>
      </c>
      <c r="CJ84" s="340">
        <f>INPUT!CP896</f>
        <v>2.4268602310458576</v>
      </c>
      <c r="CK84" s="522">
        <f>INPUT!CQ896</f>
        <v>8.6957392079726237</v>
      </c>
      <c r="CL84" s="340">
        <f>INPUT!CR896</f>
        <v>2.7366008812769405</v>
      </c>
      <c r="CM84" s="610">
        <f>INPUT!CS896</f>
        <v>-0.13229404230189479</v>
      </c>
    </row>
    <row r="85" spans="1:91" s="331" customFormat="1" ht="12.75" customHeight="1" x14ac:dyDescent="0.2">
      <c r="A85" s="622" t="str">
        <f>INPUT!A897</f>
        <v>Equity to Total Assets (%)</v>
      </c>
      <c r="B85" s="522">
        <f>INPUT!B897</f>
        <v>2.9375585853153847</v>
      </c>
      <c r="C85" s="522"/>
      <c r="D85" s="522">
        <f>INPUT!D897</f>
        <v>4.4166384358515209</v>
      </c>
      <c r="E85" s="522"/>
      <c r="F85" s="522">
        <f>INPUT!F897</f>
        <v>5.0775473190956326</v>
      </c>
      <c r="G85" s="522"/>
      <c r="H85" s="522">
        <f>INPUT!H897</f>
        <v>4.7938133188716758</v>
      </c>
      <c r="I85" s="522"/>
      <c r="J85" s="522">
        <f>INPUT!J897</f>
        <v>4.4039772017980132</v>
      </c>
      <c r="K85" s="339">
        <f>INPUT!K897</f>
        <v>49.919638158474022</v>
      </c>
      <c r="L85" s="522">
        <f>INPUT!L897</f>
        <v>4.6505405496278494</v>
      </c>
      <c r="M85" s="339">
        <f>INPUT!M897</f>
        <v>5.2959307666585742</v>
      </c>
      <c r="N85" s="522">
        <f>INPUT!N897</f>
        <v>4.7658705965064305</v>
      </c>
      <c r="O85" s="339">
        <f>INPUT!O897</f>
        <v>-6.1383322104561877</v>
      </c>
      <c r="P85" s="522">
        <f>INPUT!P897</f>
        <v>4.6970759844764798</v>
      </c>
      <c r="Q85" s="339">
        <f>INPUT!Q897</f>
        <v>-2.0179620682009625</v>
      </c>
      <c r="R85" s="522">
        <f>INPUT!R897</f>
        <v>4.5000226398007719</v>
      </c>
      <c r="S85" s="339">
        <f>INPUT!S897</f>
        <v>2.1808795459600905</v>
      </c>
      <c r="T85" s="522">
        <f>INPUT!T897</f>
        <v>4.7824394872042868</v>
      </c>
      <c r="U85" s="339">
        <f>INPUT!U897</f>
        <v>2.8362065908014156</v>
      </c>
      <c r="V85" s="522">
        <f>INPUT!V897</f>
        <v>4.9710968849324306</v>
      </c>
      <c r="W85" s="339">
        <f>INPUT!W897</f>
        <v>4.3061657732889058</v>
      </c>
      <c r="X85" s="522">
        <f>INPUT!X897</f>
        <v>5.1682809768386289</v>
      </c>
      <c r="Y85" s="339">
        <f>INPUT!Y897</f>
        <v>10.031879278075341</v>
      </c>
      <c r="Z85" s="522">
        <f>INPUT!Z897</f>
        <v>5.1111647003924201</v>
      </c>
      <c r="AA85" s="339">
        <f>INPUT!AA897</f>
        <v>13.580866353568055</v>
      </c>
      <c r="AB85" s="522">
        <f>INPUT!AB897</f>
        <v>5.1361376371241416</v>
      </c>
      <c r="AC85" s="339">
        <f>INPUT!AC897</f>
        <v>7.3957684329555295</v>
      </c>
      <c r="AD85" s="522">
        <f>INPUT!AD897</f>
        <v>5.2691483603933591</v>
      </c>
      <c r="AE85" s="339">
        <f>INPUT!AE897</f>
        <v>5.9956883231210512</v>
      </c>
      <c r="AF85" s="522">
        <f>INPUT!AF897</f>
        <v>5.7473493009099235</v>
      </c>
      <c r="AG85" s="339">
        <f>INPUT!AG897</f>
        <v>11.20427327125515</v>
      </c>
      <c r="AH85" s="522">
        <f>INPUT!AH897</f>
        <v>5.5073078847609844</v>
      </c>
      <c r="AI85" s="339">
        <f>INPUT!AI897</f>
        <v>7.7505462568668415</v>
      </c>
      <c r="AJ85" s="522">
        <f>INPUT!AJ897</f>
        <v>5.6255243614871402</v>
      </c>
      <c r="AK85" s="339">
        <f>INPUT!AK897</f>
        <v>9.5283023730847525</v>
      </c>
      <c r="AL85" s="522">
        <f>INPUT!AL897</f>
        <v>5.5966041062369003</v>
      </c>
      <c r="AM85" s="339">
        <f>INPUT!AM897</f>
        <v>6.2145858010931976</v>
      </c>
      <c r="AN85" s="522">
        <f>INPUT!AN897</f>
        <v>5.5032861457707121</v>
      </c>
      <c r="AO85" s="339">
        <f>INPUT!AO897</f>
        <v>-4.2465342257964274</v>
      </c>
      <c r="AP85" s="522">
        <f>INPUT!AP897</f>
        <v>5.6003125121198902</v>
      </c>
      <c r="AQ85" s="339">
        <f>INPUT!AQ897</f>
        <v>1.6887493727426151</v>
      </c>
      <c r="AR85" s="522">
        <f>INPUT!AR897</f>
        <v>5.4818496654142335</v>
      </c>
      <c r="AS85" s="339">
        <f>INPUT!AS897</f>
        <v>-2.5539787376358536</v>
      </c>
      <c r="AT85" s="522">
        <f>INPUT!AT897</f>
        <v>5.3466207914841215</v>
      </c>
      <c r="AU85" s="339">
        <f>INPUT!AU897</f>
        <v>-4.4666964110288809</v>
      </c>
      <c r="AV85" s="522">
        <f>INPUT!AV897</f>
        <v>5.1501632927558658</v>
      </c>
      <c r="AW85" s="339">
        <f>INPUT!AW897</f>
        <v>-6.416581723380343</v>
      </c>
      <c r="AX85" s="522">
        <f>INPUT!AX897</f>
        <v>4.9584339840765193</v>
      </c>
      <c r="AY85" s="339">
        <f>INPUT!AY897</f>
        <v>-11.461476956049378</v>
      </c>
      <c r="AZ85" s="522">
        <f>INPUT!AZ897</f>
        <v>4.8805776489390249</v>
      </c>
      <c r="BA85" s="339">
        <f>INPUT!BA897</f>
        <v>-10.968414917846413</v>
      </c>
      <c r="BB85" s="522">
        <f>INPUT!BB897</f>
        <v>4.8114301422776418</v>
      </c>
      <c r="BC85" s="339">
        <f>INPUT!BC897</f>
        <v>-10.009886058478457</v>
      </c>
      <c r="BD85" s="522">
        <f>INPUT!BD897</f>
        <v>3.2705408660327508</v>
      </c>
      <c r="BE85" s="339">
        <f>INPUT!BE897</f>
        <v>-36.496365646638054</v>
      </c>
      <c r="BF85" s="522">
        <f>INPUT!BF897</f>
        <v>4.318269070026223</v>
      </c>
      <c r="BG85" s="339">
        <f>INPUT!BG897</f>
        <v>-12.910626946050252</v>
      </c>
      <c r="BH85" s="522">
        <f>INPUT!BH897</f>
        <v>4.2575126417436708</v>
      </c>
      <c r="BI85" s="339">
        <f>INPUT!BI897</f>
        <v>-12.766214411746946</v>
      </c>
      <c r="BJ85" s="522">
        <f>INPUT!BJ897</f>
        <v>4.1744379204697504</v>
      </c>
      <c r="BK85" s="339">
        <f>INPUT!BK897</f>
        <v>-13.239145180778856</v>
      </c>
      <c r="BL85" s="522">
        <f>INPUT!BL897</f>
        <v>4.0979070538012836</v>
      </c>
      <c r="BM85" s="339">
        <f>INPUT!BM897</f>
        <v>25.297534006115296</v>
      </c>
      <c r="BN85" s="347"/>
      <c r="BO85" s="522">
        <f>INPUT!BU897</f>
        <v>4.7938133188716758</v>
      </c>
      <c r="BP85" s="340" t="str">
        <f>INPUT!BV897</f>
        <v>NA</v>
      </c>
      <c r="BQ85" s="522">
        <f>INPUT!BW897</f>
        <v>4.6970759844764798</v>
      </c>
      <c r="BR85" s="340">
        <f>INPUT!BX897</f>
        <v>-2.0179620682009625</v>
      </c>
      <c r="BS85" s="522">
        <f>INPUT!BY897</f>
        <v>5.1682809768386289</v>
      </c>
      <c r="BT85" s="340">
        <f>INPUT!BZ897</f>
        <v>10.031879278075341</v>
      </c>
      <c r="BU85" s="522">
        <f>INPUT!CA897</f>
        <v>5.7473493009099235</v>
      </c>
      <c r="BV85" s="340">
        <f>INPUT!CB897</f>
        <v>11.20427327125515</v>
      </c>
      <c r="BW85" s="522">
        <f>INPUT!CC897</f>
        <v>5.5032861457707121</v>
      </c>
      <c r="BX85" s="340">
        <f>INPUT!CD897</f>
        <v>-4.2465342257964274</v>
      </c>
      <c r="BY85" s="522">
        <f>INPUT!CE897</f>
        <v>7.2706751514737666</v>
      </c>
      <c r="BZ85" s="340">
        <f>INPUT!CF897</f>
        <v>32.115157360321845</v>
      </c>
      <c r="CA85" s="522">
        <f>INPUT!CG897</f>
        <v>4.4519207242476142</v>
      </c>
      <c r="CB85" s="340">
        <f>INPUT!CH897</f>
        <v>-38.768812641213799</v>
      </c>
      <c r="CC85" s="522">
        <f>INPUT!CI897</f>
        <v>4.0979070538012836</v>
      </c>
      <c r="CD85" s="340">
        <f>INPUT!CJ897</f>
        <v>-7.9519311410505829</v>
      </c>
      <c r="CE85" s="522">
        <f>INPUT!CK897</f>
        <v>4.1722628146262952</v>
      </c>
      <c r="CF85" s="340">
        <f>INPUT!CL897</f>
        <v>1.814481388884559</v>
      </c>
      <c r="CG85" s="522">
        <f>INPUT!CM897</f>
        <v>4.2650091653723168</v>
      </c>
      <c r="CH85" s="340">
        <f>INPUT!CN897</f>
        <v>2.2229268592786067</v>
      </c>
      <c r="CI85" s="522">
        <f>INPUT!CO897</f>
        <v>4.3750127441811717</v>
      </c>
      <c r="CJ85" s="340">
        <f>INPUT!CP897</f>
        <v>2.5792108420768622</v>
      </c>
      <c r="CK85" s="522">
        <f>INPUT!CQ897</f>
        <v>4.5014673900565283</v>
      </c>
      <c r="CL85" s="340">
        <f>INPUT!CR897</f>
        <v>2.8903834861633948</v>
      </c>
      <c r="CM85" s="610">
        <f>INPUT!CS897</f>
        <v>0.22160124980774576</v>
      </c>
    </row>
    <row r="86" spans="1:91" s="331" customFormat="1" ht="12.75" customHeight="1" x14ac:dyDescent="0.2">
      <c r="A86" s="622" t="str">
        <f>INPUT!A898</f>
        <v>Oper Return on Avg Assets (%)</v>
      </c>
      <c r="B86" s="522">
        <f>INPUT!B898</f>
        <v>0.31352757907061723</v>
      </c>
      <c r="C86" s="522"/>
      <c r="D86" s="522">
        <f>INPUT!D898</f>
        <v>0.3772861205015498</v>
      </c>
      <c r="E86" s="522"/>
      <c r="F86" s="522">
        <f>INPUT!F898</f>
        <v>0.39341344382895416</v>
      </c>
      <c r="G86" s="522"/>
      <c r="H86" s="522">
        <f>INPUT!H898</f>
        <v>0.33845159881483516</v>
      </c>
      <c r="I86" s="522"/>
      <c r="J86" s="522">
        <f>INPUT!J898</f>
        <v>0.30186262392701357</v>
      </c>
      <c r="K86" s="339">
        <f>INPUT!K898</f>
        <v>-3.7205515311226622</v>
      </c>
      <c r="L86" s="522">
        <f>INPUT!L898</f>
        <v>0.24582694935337646</v>
      </c>
      <c r="M86" s="339">
        <f>INPUT!M898</f>
        <v>-34.843362637728767</v>
      </c>
      <c r="N86" s="522">
        <f>INPUT!N898</f>
        <v>0.33014422793236953</v>
      </c>
      <c r="O86" s="339">
        <f>INPUT!O898</f>
        <v>-16.082118414868518</v>
      </c>
      <c r="P86" s="522">
        <f>INPUT!P898</f>
        <v>0.25183927350554414</v>
      </c>
      <c r="Q86" s="339">
        <f>INPUT!Q898</f>
        <v>-25.590756732301955</v>
      </c>
      <c r="R86" s="522">
        <f>INPUT!R898</f>
        <v>0.30500118697972445</v>
      </c>
      <c r="S86" s="339">
        <f>INPUT!S898</f>
        <v>1.039732250346348</v>
      </c>
      <c r="T86" s="522">
        <f>INPUT!T898</f>
        <v>0.32294191315227966</v>
      </c>
      <c r="U86" s="339">
        <f>INPUT!U898</f>
        <v>31.36961346253797</v>
      </c>
      <c r="V86" s="522">
        <f>INPUT!V898</f>
        <v>0.52050028784560132</v>
      </c>
      <c r="W86" s="339">
        <f>INPUT!W898</f>
        <v>57.658454641292863</v>
      </c>
      <c r="X86" s="522">
        <f>INPUT!X898</f>
        <v>0.36141947208156061</v>
      </c>
      <c r="Y86" s="339">
        <f>INPUT!Y898</f>
        <v>43.511957865302577</v>
      </c>
      <c r="Z86" s="522">
        <f>INPUT!Z898</f>
        <v>0.27033258880818783</v>
      </c>
      <c r="AA86" s="339">
        <f>INPUT!AA898</f>
        <v>-11.36670926262372</v>
      </c>
      <c r="AB86" s="522">
        <f>INPUT!AB898</f>
        <v>0.37791911090777952</v>
      </c>
      <c r="AC86" s="339">
        <f>INPUT!AC898</f>
        <v>17.02386575308854</v>
      </c>
      <c r="AD86" s="522">
        <f>INPUT!AD898</f>
        <v>0.33840441856856313</v>
      </c>
      <c r="AE86" s="339">
        <f>INPUT!AE898</f>
        <v>-34.984777824187141</v>
      </c>
      <c r="AF86" s="522">
        <f>INPUT!AF898</f>
        <v>0.43445259615565712</v>
      </c>
      <c r="AG86" s="339">
        <f>INPUT!AG898</f>
        <v>20.207301962306911</v>
      </c>
      <c r="AH86" s="522">
        <f>INPUT!AH898</f>
        <v>0.3456393833369924</v>
      </c>
      <c r="AI86" s="339">
        <f>INPUT!AI898</f>
        <v>27.857090726948151</v>
      </c>
      <c r="AJ86" s="522">
        <f>INPUT!AJ898</f>
        <v>0.31342478694028292</v>
      </c>
      <c r="AK86" s="339">
        <f>INPUT!AK898</f>
        <v>-17.065642383783718</v>
      </c>
      <c r="AL86" s="522">
        <f>INPUT!AL898</f>
        <v>0.16748937729776742</v>
      </c>
      <c r="AM86" s="339" t="str">
        <f>INPUT!AM898</f>
        <v>NM</v>
      </c>
      <c r="AN86" s="522">
        <f>INPUT!AN898</f>
        <v>0.35892281412886462</v>
      </c>
      <c r="AO86" s="339">
        <f>INPUT!AO898</f>
        <v>-17.385045617205019</v>
      </c>
      <c r="AP86" s="522">
        <f>INPUT!AP898</f>
        <v>0.109742044842273</v>
      </c>
      <c r="AQ86" s="339" t="str">
        <f>INPUT!AQ898</f>
        <v>NM</v>
      </c>
      <c r="AR86" s="522">
        <f>INPUT!AR898</f>
        <v>0.16468667774970527</v>
      </c>
      <c r="AS86" s="339">
        <f>INPUT!AS898</f>
        <v>-47.455758251473846</v>
      </c>
      <c r="AT86" s="522">
        <f>INPUT!AT898</f>
        <v>-4.6073377067725831E-2</v>
      </c>
      <c r="AU86" s="339" t="str">
        <f>INPUT!AU898</f>
        <v>NM</v>
      </c>
      <c r="AV86" s="522">
        <f>INPUT!AV898</f>
        <v>0.18767497442548409</v>
      </c>
      <c r="AW86" s="339">
        <f>INPUT!AW898</f>
        <v>-47.711606217903203</v>
      </c>
      <c r="AX86" s="522">
        <f>INPUT!AX898</f>
        <v>0.18293127704013265</v>
      </c>
      <c r="AY86" s="339">
        <f>INPUT!AY898</f>
        <v>66.692061646063763</v>
      </c>
      <c r="AZ86" s="522">
        <f>INPUT!AZ898</f>
        <v>0.13302672829848364</v>
      </c>
      <c r="BA86" s="339">
        <f>INPUT!BA898</f>
        <v>-19.224353714475427</v>
      </c>
      <c r="BB86" s="522">
        <f>INPUT!BB898</f>
        <v>5.1336603739999383E-2</v>
      </c>
      <c r="BC86" s="339" t="str">
        <f>INPUT!BC898</f>
        <v>NM</v>
      </c>
      <c r="BD86" s="522">
        <f>INPUT!BD898</f>
        <v>0.2825739536506105</v>
      </c>
      <c r="BE86" s="339">
        <f>INPUT!BE898</f>
        <v>50.565601255912696</v>
      </c>
      <c r="BF86" s="522">
        <f>INPUT!BF898</f>
        <v>0.30665392989592594</v>
      </c>
      <c r="BG86" s="339">
        <f>INPUT!BG898</f>
        <v>67.633405756332323</v>
      </c>
      <c r="BH86" s="522">
        <f>INPUT!BH898</f>
        <v>0.41748630544128734</v>
      </c>
      <c r="BI86" s="339" t="str">
        <f>INPUT!BI898</f>
        <v>NM</v>
      </c>
      <c r="BJ86" s="522">
        <f>INPUT!BJ898</f>
        <v>0.43811962681374006</v>
      </c>
      <c r="BK86" s="339" t="str">
        <f>INPUT!BK898</f>
        <v>NM</v>
      </c>
      <c r="BL86" s="522">
        <f>INPUT!BL898</f>
        <v>0.45243421046094856</v>
      </c>
      <c r="BM86" s="339">
        <f>INPUT!BM898</f>
        <v>60.1117883003337</v>
      </c>
      <c r="BN86" s="347"/>
      <c r="BO86" s="522">
        <f>INPUT!BU898</f>
        <v>0.35758433862971833</v>
      </c>
      <c r="BP86" s="340" t="str">
        <f>INPUT!BV898</f>
        <v>NA</v>
      </c>
      <c r="BQ86" s="522">
        <f>INPUT!BW898</f>
        <v>0.28406184295432763</v>
      </c>
      <c r="BR86" s="340">
        <f>INPUT!BX898</f>
        <v>-20.560882491982934</v>
      </c>
      <c r="BS86" s="522">
        <f>INPUT!BY898</f>
        <v>0.37701518046607196</v>
      </c>
      <c r="BT86" s="340">
        <f>INPUT!BZ898</f>
        <v>32.722922778012695</v>
      </c>
      <c r="BU86" s="522">
        <f>INPUT!CA898</f>
        <v>0.35715952020955738</v>
      </c>
      <c r="BV86" s="340">
        <f>INPUT!CB898</f>
        <v>-5.2665413185667198</v>
      </c>
      <c r="BW86" s="522">
        <f>INPUT!CC898</f>
        <v>0.29865113078903083</v>
      </c>
      <c r="BX86" s="340">
        <f>INPUT!CD898</f>
        <v>-16.381584728918252</v>
      </c>
      <c r="BY86" s="522">
        <f>INPUT!CE898</f>
        <v>0.12126301972294395</v>
      </c>
      <c r="BZ86" s="340" t="str">
        <f>INPUT!CF898</f>
        <v>NM</v>
      </c>
      <c r="CA86" s="522">
        <f>INPUT!CG898</f>
        <v>0.22743929703759169</v>
      </c>
      <c r="CB86" s="340">
        <f>INPUT!CH898</f>
        <v>87.558661789253065</v>
      </c>
      <c r="CC86" s="522">
        <f>INPUT!CI898</f>
        <v>0.41777639929945737</v>
      </c>
      <c r="CD86" s="340">
        <f>INPUT!CJ898</f>
        <v>83.686990217177069</v>
      </c>
      <c r="CE86" s="522">
        <f>INPUT!CK898</f>
        <v>0.45921305847662014</v>
      </c>
      <c r="CF86" s="340">
        <f>INPUT!CL898</f>
        <v>9.9183819973184928</v>
      </c>
      <c r="CG86" s="522">
        <f>INPUT!CM898</f>
        <v>0.47548731653930981</v>
      </c>
      <c r="CH86" s="340">
        <f>INPUT!CN898</f>
        <v>3.5439449646047505</v>
      </c>
      <c r="CI86" s="522">
        <f>INPUT!CO898</f>
        <v>0.49083801981199593</v>
      </c>
      <c r="CJ86" s="340">
        <f>INPUT!CP898</f>
        <v>3.2284148785316935</v>
      </c>
      <c r="CK86" s="522">
        <f>INPUT!CQ898</f>
        <v>0.50557518140437785</v>
      </c>
      <c r="CL86" s="340">
        <f>INPUT!CR898</f>
        <v>3.002449076383007</v>
      </c>
      <c r="CM86" s="610">
        <f>INPUT!CS898</f>
        <v>17.323240118851778</v>
      </c>
    </row>
    <row r="87" spans="1:91" s="331" customFormat="1" ht="12.75" customHeight="1" x14ac:dyDescent="0.2">
      <c r="A87" s="622" t="str">
        <f>INPUT!A899</f>
        <v>Book Value per Share</v>
      </c>
      <c r="B87" s="523">
        <f>INPUT!B899</f>
        <v>26.528695652173916</v>
      </c>
      <c r="C87" s="523"/>
      <c r="D87" s="523">
        <f>INPUT!D899</f>
        <v>39.678695652173907</v>
      </c>
      <c r="E87" s="523"/>
      <c r="F87" s="523">
        <f>INPUT!F899</f>
        <v>43.917826086956531</v>
      </c>
      <c r="G87" s="523"/>
      <c r="H87" s="523">
        <f>INPUT!H899</f>
        <v>42.43</v>
      </c>
      <c r="I87" s="523"/>
      <c r="J87" s="523">
        <f>INPUT!J899</f>
        <v>40.186521739130441</v>
      </c>
      <c r="K87" s="339">
        <f>INPUT!K899</f>
        <v>51.483217516716941</v>
      </c>
      <c r="L87" s="523">
        <f>INPUT!L899</f>
        <v>42.696956521739125</v>
      </c>
      <c r="M87" s="339">
        <f>INPUT!M899</f>
        <v>7.606754254281678</v>
      </c>
      <c r="N87" s="523">
        <f>INPUT!N899</f>
        <v>44.38695652173913</v>
      </c>
      <c r="O87" s="339">
        <f>INPUT!O899</f>
        <v>1.0682004930155919</v>
      </c>
      <c r="P87" s="523">
        <f>INPUT!P899</f>
        <v>44.192173913043483</v>
      </c>
      <c r="Q87" s="339">
        <f>INPUT!Q899</f>
        <v>4.1531320128293192</v>
      </c>
      <c r="R87" s="523">
        <f>INPUT!R899</f>
        <v>43.195140871540204</v>
      </c>
      <c r="S87" s="339">
        <f>INPUT!S899</f>
        <v>7.486637315715261</v>
      </c>
      <c r="T87" s="523">
        <f>INPUT!T899</f>
        <v>39.815184049079747</v>
      </c>
      <c r="U87" s="339">
        <f>INPUT!U899</f>
        <v>-6.749362735473019</v>
      </c>
      <c r="V87" s="523">
        <f>INPUT!V899</f>
        <v>41.487730061349694</v>
      </c>
      <c r="W87" s="339">
        <f>INPUT!W899</f>
        <v>-6.5317081583854408</v>
      </c>
      <c r="X87" s="523">
        <f>INPUT!X899</f>
        <v>43.649598777225826</v>
      </c>
      <c r="Y87" s="339">
        <f>INPUT!Y899</f>
        <v>-1.2277629448265603</v>
      </c>
      <c r="Z87" s="523">
        <f>INPUT!Z899</f>
        <v>44.852767962308597</v>
      </c>
      <c r="AA87" s="339">
        <f>INPUT!AA899</f>
        <v>3.8375313920102183</v>
      </c>
      <c r="AB87" s="523">
        <f>INPUT!AB899</f>
        <v>46.010997643362145</v>
      </c>
      <c r="AC87" s="339">
        <f>INPUT!AC899</f>
        <v>15.561434016341313</v>
      </c>
      <c r="AD87" s="523">
        <f>INPUT!AD899</f>
        <v>47.966314935064943</v>
      </c>
      <c r="AE87" s="339">
        <f>INPUT!AE899</f>
        <v>15.615664834241571</v>
      </c>
      <c r="AF87" s="523">
        <f>INPUT!AF899</f>
        <v>53.916907813145912</v>
      </c>
      <c r="AG87" s="339">
        <f>INPUT!AG899</f>
        <v>23.522115491419026</v>
      </c>
      <c r="AH87" s="523">
        <f>INPUT!AH899</f>
        <v>55.079475982532756</v>
      </c>
      <c r="AI87" s="339">
        <f>INPUT!AI899</f>
        <v>22.800617408535473</v>
      </c>
      <c r="AJ87" s="523">
        <f>INPUT!AJ899</f>
        <v>56.326115775519213</v>
      </c>
      <c r="AK87" s="339">
        <f>INPUT!AK899</f>
        <v>22.418809981281072</v>
      </c>
      <c r="AL87" s="523">
        <f>INPUT!AL899</f>
        <v>56.852763585694383</v>
      </c>
      <c r="AM87" s="339">
        <f>INPUT!AM899</f>
        <v>18.526436026323047</v>
      </c>
      <c r="AN87" s="523">
        <f>INPUT!AN899</f>
        <v>57.440937350549966</v>
      </c>
      <c r="AO87" s="339">
        <f>INPUT!AO899</f>
        <v>6.5360379152619608</v>
      </c>
      <c r="AP87" s="523">
        <f>INPUT!AP899</f>
        <v>58.750490196078424</v>
      </c>
      <c r="AQ87" s="339">
        <f>INPUT!AQ899</f>
        <v>6.6649403395011353</v>
      </c>
      <c r="AR87" s="523">
        <f>INPUT!AR899</f>
        <v>59.436563436563446</v>
      </c>
      <c r="AS87" s="339">
        <f>INPUT!AS899</f>
        <v>5.5222122424357201</v>
      </c>
      <c r="AT87" s="523">
        <f>INPUT!AT899</f>
        <v>60.066289825282624</v>
      </c>
      <c r="AU87" s="339">
        <f>INPUT!AU899</f>
        <v>5.6523659307158969</v>
      </c>
      <c r="AV87" s="523">
        <f>INPUT!AV899</f>
        <v>56.903905447070919</v>
      </c>
      <c r="AW87" s="339">
        <f>INPUT!AW899</f>
        <v>-0.9349288647600873</v>
      </c>
      <c r="AX87" s="523">
        <f>INPUT!AX899</f>
        <v>56.758820431806214</v>
      </c>
      <c r="AY87" s="339">
        <f>INPUT!AY899</f>
        <v>-3.3900479087494495</v>
      </c>
      <c r="AZ87" s="523">
        <f>INPUT!AZ899</f>
        <v>59.802448525319981</v>
      </c>
      <c r="BA87" s="339">
        <f>INPUT!BA899</f>
        <v>0.6155892393527207</v>
      </c>
      <c r="BB87" s="523">
        <f>INPUT!BB899</f>
        <v>60.776850306065683</v>
      </c>
      <c r="BC87" s="339">
        <f>INPUT!BC899</f>
        <v>1.1829604972271479</v>
      </c>
      <c r="BD87" s="523">
        <f>INPUT!BD899</f>
        <v>42.313953488372093</v>
      </c>
      <c r="BE87" s="339">
        <f>INPUT!BE899</f>
        <v>-25.639632014835346</v>
      </c>
      <c r="BF87" s="523">
        <f>INPUT!BF899</f>
        <v>43.201901140390518</v>
      </c>
      <c r="BG87" s="339">
        <f>INPUT!BG899</f>
        <v>-23.885132193160828</v>
      </c>
      <c r="BH87" s="523">
        <f>INPUT!BH899</f>
        <v>44.340705095161027</v>
      </c>
      <c r="BI87" s="339">
        <f>INPUT!BI899</f>
        <v>-25.85469961754584</v>
      </c>
      <c r="BJ87" s="523">
        <f>INPUT!BJ899</f>
        <v>45.265104831942651</v>
      </c>
      <c r="BK87" s="339">
        <f>INPUT!BK899</f>
        <v>-25.522456981576948</v>
      </c>
      <c r="BL87" s="523">
        <f>INPUT!BL899</f>
        <v>46.27825863325566</v>
      </c>
      <c r="BM87" s="339">
        <f>INPUT!BM899</f>
        <v>9.3687892954104726</v>
      </c>
      <c r="BN87" s="347"/>
      <c r="BO87" s="523">
        <f>INPUT!BU899</f>
        <v>42.43</v>
      </c>
      <c r="BP87" s="340" t="str">
        <f>INPUT!BV899</f>
        <v>NA</v>
      </c>
      <c r="BQ87" s="523">
        <f>INPUT!BW899</f>
        <v>44.192173913043483</v>
      </c>
      <c r="BR87" s="340">
        <f>INPUT!BX899</f>
        <v>4.1531320128293192</v>
      </c>
      <c r="BS87" s="523">
        <f>INPUT!BY899</f>
        <v>43.649598777225826</v>
      </c>
      <c r="BT87" s="340">
        <f>INPUT!BZ899</f>
        <v>-1.2277629448265603</v>
      </c>
      <c r="BU87" s="523">
        <f>INPUT!CA899</f>
        <v>53.916907813145912</v>
      </c>
      <c r="BV87" s="340">
        <f>INPUT!CB899</f>
        <v>23.522115491419026</v>
      </c>
      <c r="BW87" s="523">
        <f>INPUT!CC899</f>
        <v>57.440937350549966</v>
      </c>
      <c r="BX87" s="340">
        <f>INPUT!CD899</f>
        <v>6.5360379152619608</v>
      </c>
      <c r="BY87" s="523">
        <f>INPUT!CE899</f>
        <v>56.903905447070919</v>
      </c>
      <c r="BZ87" s="340">
        <f>INPUT!CF899</f>
        <v>-0.9349288647600873</v>
      </c>
      <c r="CA87" s="523">
        <f>INPUT!CG899</f>
        <v>42.313953488372093</v>
      </c>
      <c r="CB87" s="340">
        <f>INPUT!CH899</f>
        <v>-25.639632014835346</v>
      </c>
      <c r="CC87" s="523">
        <f>INPUT!CI899</f>
        <v>46.27825863325566</v>
      </c>
      <c r="CD87" s="340">
        <f>INPUT!CJ899</f>
        <v>9.3687892954104726</v>
      </c>
      <c r="CE87" s="523">
        <f>INPUT!CK899</f>
        <v>51.160246973969009</v>
      </c>
      <c r="CF87" s="340">
        <f>INPUT!CL899</f>
        <v>10.549204928824052</v>
      </c>
      <c r="CG87" s="523">
        <f>INPUT!CM899</f>
        <v>56.763798944551688</v>
      </c>
      <c r="CH87" s="340">
        <f>INPUT!CN899</f>
        <v>10.952941594347344</v>
      </c>
      <c r="CI87" s="523">
        <f>INPUT!CO899</f>
        <v>63.176445372229466</v>
      </c>
      <c r="CJ87" s="340">
        <f>INPUT!CP899</f>
        <v>11.297070574754553</v>
      </c>
      <c r="CK87" s="523">
        <f>INPUT!CQ899</f>
        <v>70.498049002484038</v>
      </c>
      <c r="CL87" s="340">
        <f>INPUT!CR899</f>
        <v>11.589135139079755</v>
      </c>
      <c r="CM87" s="610">
        <f>INPUT!CS899</f>
        <v>10.748715743075721</v>
      </c>
    </row>
    <row r="88" spans="1:91" s="331" customFormat="1" ht="12.75" customHeight="1" x14ac:dyDescent="0.2">
      <c r="A88" s="623" t="s">
        <v>373</v>
      </c>
      <c r="B88" s="523">
        <f>INPUT!B782</f>
        <v>25.696319018404907</v>
      </c>
      <c r="C88" s="523"/>
      <c r="D88" s="523">
        <f>INPUT!D782</f>
        <v>37.293328220858889</v>
      </c>
      <c r="E88" s="523"/>
      <c r="F88" s="523">
        <f>INPUT!F782</f>
        <v>41.031825153374243</v>
      </c>
      <c r="G88" s="523"/>
      <c r="H88" s="523">
        <f>INPUT!H782</f>
        <v>39.719708588957054</v>
      </c>
      <c r="I88" s="523"/>
      <c r="J88" s="523">
        <f>INPUT!J782</f>
        <v>37.741180981595093</v>
      </c>
      <c r="K88" s="339">
        <f>INPUT!K782</f>
        <v>46.873880864271221</v>
      </c>
      <c r="L88" s="523">
        <f>INPUT!L782</f>
        <v>39.955138036809814</v>
      </c>
      <c r="M88" s="339">
        <f>INPUT!M782</f>
        <v>7.1374960158748335</v>
      </c>
      <c r="N88" s="523">
        <f>INPUT!N782</f>
        <v>41.445552147239262</v>
      </c>
      <c r="O88" s="339">
        <f>INPUT!O782</f>
        <v>1.0083075571669875</v>
      </c>
      <c r="P88" s="523">
        <f>INPUT!P782</f>
        <v>41.273773006134974</v>
      </c>
      <c r="Q88" s="339">
        <f>INPUT!Q782</f>
        <v>3.9125775902846938</v>
      </c>
      <c r="R88" s="523">
        <f>INPUT!R782</f>
        <v>40.407592024539888</v>
      </c>
      <c r="S88" s="339">
        <f>INPUT!S782</f>
        <v>7.0649910087474455</v>
      </c>
      <c r="T88" s="523">
        <f>INPUT!T782</f>
        <v>39.815184049079747</v>
      </c>
      <c r="U88" s="339">
        <f>INPUT!U782</f>
        <v>-0.35027782309531297</v>
      </c>
      <c r="V88" s="523">
        <f>INPUT!V782</f>
        <v>41.487730061349694</v>
      </c>
      <c r="W88" s="339">
        <f>INPUT!W782</f>
        <v>0.10176704598021669</v>
      </c>
      <c r="X88" s="523">
        <f>INPUT!X782</f>
        <v>43.800230061349687</v>
      </c>
      <c r="Y88" s="339">
        <f>INPUT!Y782</f>
        <v>6.1212166254807299</v>
      </c>
      <c r="Z88" s="523">
        <f>INPUT!Z782</f>
        <v>43.803680981595093</v>
      </c>
      <c r="AA88" s="339">
        <f>INPUT!AA782</f>
        <v>8.4045813840941896</v>
      </c>
      <c r="AB88" s="523">
        <f>INPUT!AB782</f>
        <v>44.917177914110432</v>
      </c>
      <c r="AC88" s="339">
        <f>INPUT!AC782</f>
        <v>12.814191336504965</v>
      </c>
      <c r="AD88" s="523">
        <f>INPUT!AD782</f>
        <v>45.317868098159515</v>
      </c>
      <c r="AE88" s="339">
        <f>INPUT!AE782</f>
        <v>9.2319778188539878</v>
      </c>
      <c r="AF88" s="523">
        <f>INPUT!AF782</f>
        <v>50.009585889570538</v>
      </c>
      <c r="AG88" s="339">
        <f>INPUT!AG782</f>
        <v>14.176537017096912</v>
      </c>
      <c r="AH88" s="523">
        <f>INPUT!AH782</f>
        <v>48.363496932515339</v>
      </c>
      <c r="AI88" s="339">
        <f>INPUT!AI782</f>
        <v>10.409663865546225</v>
      </c>
      <c r="AJ88" s="523">
        <f>INPUT!AJ782</f>
        <v>48.874999999999993</v>
      </c>
      <c r="AK88" s="339">
        <f>INPUT!AK782</f>
        <v>8.8113774499760655</v>
      </c>
      <c r="AL88" s="523">
        <f>INPUT!AL782</f>
        <v>46.934049079754608</v>
      </c>
      <c r="AM88" s="339">
        <f>INPUT!AM782</f>
        <v>3.5663217389097168</v>
      </c>
      <c r="AN88" s="523">
        <f>INPUT!AN782</f>
        <v>46.054064417177905</v>
      </c>
      <c r="AO88" s="339">
        <f>INPUT!AO782</f>
        <v>-7.9095265478244077</v>
      </c>
      <c r="AP88" s="523">
        <f>INPUT!AP782</f>
        <v>45.955138036809807</v>
      </c>
      <c r="AQ88" s="339">
        <f>INPUT!AQ782</f>
        <v>-4.9797038023657976</v>
      </c>
      <c r="AR88" s="523">
        <f>INPUT!AR782</f>
        <v>59.436563436563446</v>
      </c>
      <c r="AS88" s="339">
        <f>INPUT!AS782</f>
        <v>21.609336954605538</v>
      </c>
      <c r="AT88" s="523">
        <f>INPUT!AT782</f>
        <v>60.066289825282624</v>
      </c>
      <c r="AU88" s="339">
        <f>INPUT!AU782</f>
        <v>27.980199882632164</v>
      </c>
      <c r="AV88" s="523">
        <f>INPUT!AV782</f>
        <v>56.903905447070919</v>
      </c>
      <c r="AW88" s="339">
        <f>INPUT!AW782</f>
        <v>23.558921817649782</v>
      </c>
      <c r="AX88" s="523">
        <f>INPUT!AX782</f>
        <v>56.758820431806214</v>
      </c>
      <c r="AY88" s="339">
        <f>INPUT!AY782</f>
        <v>23.509193653912462</v>
      </c>
      <c r="AZ88" s="523">
        <f>INPUT!AZ782</f>
        <v>59.802448525319981</v>
      </c>
      <c r="BA88" s="339">
        <f>INPUT!BA782</f>
        <v>0.6155892393527207</v>
      </c>
      <c r="BB88" s="523">
        <f>INPUT!BB782</f>
        <v>60.776850306065683</v>
      </c>
      <c r="BC88" s="339">
        <f>INPUT!BC782</f>
        <v>1.1829604972271479</v>
      </c>
      <c r="BD88" s="523">
        <f>INPUT!BD782</f>
        <v>42.313953488372093</v>
      </c>
      <c r="BE88" s="339">
        <f>INPUT!BE782</f>
        <v>-25.639632014835346</v>
      </c>
      <c r="BF88" s="523">
        <f>INPUT!BF782</f>
        <v>43.201901140390518</v>
      </c>
      <c r="BG88" s="339">
        <f>INPUT!BG782</f>
        <v>-23.885132193160828</v>
      </c>
      <c r="BH88" s="523">
        <f>INPUT!BH782</f>
        <v>44.340705095161027</v>
      </c>
      <c r="BI88" s="339">
        <f>INPUT!BI782</f>
        <v>-25.85469961754584</v>
      </c>
      <c r="BJ88" s="523">
        <f>INPUT!BJ782</f>
        <v>45.265104831942651</v>
      </c>
      <c r="BK88" s="339">
        <f>INPUT!BK782</f>
        <v>-25.522456981576948</v>
      </c>
      <c r="BL88" s="523">
        <f>INPUT!BL782</f>
        <v>46.27825863325566</v>
      </c>
      <c r="BM88" s="339">
        <f>INPUT!BM782</f>
        <v>9.3687892954104726</v>
      </c>
      <c r="BN88" s="347"/>
      <c r="BO88" s="523">
        <f>INPUT!BU782</f>
        <v>39.719708588957054</v>
      </c>
      <c r="BP88" s="340" t="str">
        <f>INPUT!BV782</f>
        <v>NA</v>
      </c>
      <c r="BQ88" s="523">
        <f>INPUT!BW782</f>
        <v>41.273773006134974</v>
      </c>
      <c r="BR88" s="340">
        <f>INPUT!BX782</f>
        <v>3.9125775902846938</v>
      </c>
      <c r="BS88" s="523">
        <f>INPUT!BY782</f>
        <v>43.649598777225826</v>
      </c>
      <c r="BT88" s="340">
        <f>INPUT!BZ782</f>
        <v>5.7562602060579948</v>
      </c>
      <c r="BU88" s="523">
        <f>INPUT!CA782</f>
        <v>53.916907813145912</v>
      </c>
      <c r="BV88" s="340">
        <f>INPUT!CB782</f>
        <v>23.522115491419026</v>
      </c>
      <c r="BW88" s="523">
        <f>INPUT!CC782</f>
        <v>57.440937350549966</v>
      </c>
      <c r="BX88" s="340">
        <f>INPUT!CD782</f>
        <v>6.5360379152619608</v>
      </c>
      <c r="BY88" s="523">
        <f>INPUT!CE782</f>
        <v>56.903905447070919</v>
      </c>
      <c r="BZ88" s="340">
        <f>INPUT!CF782</f>
        <v>-0.9349288647600873</v>
      </c>
      <c r="CA88" s="523">
        <f>INPUT!CG782</f>
        <v>42.313953488372093</v>
      </c>
      <c r="CB88" s="340">
        <f>INPUT!CH782</f>
        <v>-25.639632014835346</v>
      </c>
      <c r="CC88" s="523">
        <f>INPUT!CI782</f>
        <v>46.27825863325566</v>
      </c>
      <c r="CD88" s="340">
        <f>INPUT!CJ782</f>
        <v>9.3687892954104726</v>
      </c>
      <c r="CE88" s="523">
        <f>INPUT!CK782</f>
        <v>51.160246973969009</v>
      </c>
      <c r="CF88" s="340">
        <f>INPUT!CL782</f>
        <v>10.549204928824052</v>
      </c>
      <c r="CG88" s="523">
        <f>INPUT!CM782</f>
        <v>56.763798944551688</v>
      </c>
      <c r="CH88" s="340">
        <f>INPUT!CN782</f>
        <v>10.952941594347344</v>
      </c>
      <c r="CI88" s="523">
        <f>INPUT!CO782</f>
        <v>63.176445372229466</v>
      </c>
      <c r="CJ88" s="340">
        <f>INPUT!CP782</f>
        <v>11.297070574754553</v>
      </c>
      <c r="CK88" s="523">
        <f>INPUT!CQ782</f>
        <v>70.498049002484038</v>
      </c>
      <c r="CL88" s="340">
        <f>INPUT!CR782</f>
        <v>11.589135139079755</v>
      </c>
      <c r="CM88" s="610">
        <f>INPUT!CS782</f>
        <v>0</v>
      </c>
    </row>
    <row r="89" spans="1:91" s="331" customFormat="1" ht="12.75" customHeight="1" x14ac:dyDescent="0.2">
      <c r="A89" s="623" t="s">
        <v>372</v>
      </c>
      <c r="B89" s="523">
        <f>INPUT!B823</f>
        <v>14.154907975460123</v>
      </c>
      <c r="C89" s="523"/>
      <c r="D89" s="523">
        <f>INPUT!D823</f>
        <v>25.751917177914105</v>
      </c>
      <c r="E89" s="523"/>
      <c r="F89" s="523">
        <f>INPUT!F823</f>
        <v>29.490414110429455</v>
      </c>
      <c r="G89" s="523"/>
      <c r="H89" s="523">
        <f>INPUT!H823</f>
        <v>26.483512269938647</v>
      </c>
      <c r="I89" s="523"/>
      <c r="J89" s="523">
        <f>INPUT!J823</f>
        <v>24.504984662576693</v>
      </c>
      <c r="K89" s="339">
        <f>INPUT!K823</f>
        <v>73.120056344132649</v>
      </c>
      <c r="L89" s="523">
        <f>INPUT!L823</f>
        <v>26.718941717791406</v>
      </c>
      <c r="M89" s="339">
        <f>INPUT!M823</f>
        <v>3.7551555218058086</v>
      </c>
      <c r="N89" s="523">
        <f>INPUT!N823</f>
        <v>28.209355828220858</v>
      </c>
      <c r="O89" s="339">
        <f>INPUT!O823</f>
        <v>-4.3439820051748406</v>
      </c>
      <c r="P89" s="523">
        <f>INPUT!P823</f>
        <v>28.766104294478531</v>
      </c>
      <c r="Q89" s="339">
        <f>INPUT!Q823</f>
        <v>8.6189173145695186</v>
      </c>
      <c r="R89" s="523">
        <f>INPUT!R823</f>
        <v>22.811733128834366</v>
      </c>
      <c r="S89" s="339">
        <f>INPUT!S823</f>
        <v>-6.9098249072900302</v>
      </c>
      <c r="T89" s="523">
        <f>INPUT!T823</f>
        <v>24.54294478527607</v>
      </c>
      <c r="U89" s="339">
        <f>INPUT!U823</f>
        <v>-8.1440236499576653</v>
      </c>
      <c r="V89" s="523">
        <f>INPUT!V823</f>
        <v>28.282208588957054</v>
      </c>
      <c r="W89" s="339">
        <f>INPUT!W823</f>
        <v>0.25825744189207356</v>
      </c>
      <c r="X89" s="523">
        <f>INPUT!X823</f>
        <v>31.731371799770727</v>
      </c>
      <c r="Y89" s="339">
        <f>INPUT!Y823</f>
        <v>10.308199799794782</v>
      </c>
      <c r="Z89" s="523">
        <f>INPUT!Z823</f>
        <v>32.524538672948566</v>
      </c>
      <c r="AA89" s="339">
        <f>INPUT!AA823</f>
        <v>42.57811315457252</v>
      </c>
      <c r="AB89" s="523">
        <f>INPUT!AB823</f>
        <v>33.076983503534962</v>
      </c>
      <c r="AC89" s="339">
        <f>INPUT!AC823</f>
        <v>34.771861294243209</v>
      </c>
      <c r="AD89" s="523">
        <f>INPUT!AD823</f>
        <v>33.867288961038966</v>
      </c>
      <c r="AE89" s="339">
        <f>INPUT!AE823</f>
        <v>19.747681142068373</v>
      </c>
      <c r="AF89" s="523">
        <f>INPUT!AF823</f>
        <v>43.243075651095481</v>
      </c>
      <c r="AG89" s="339">
        <f>INPUT!AG823</f>
        <v>36.278620174271616</v>
      </c>
      <c r="AH89" s="523">
        <f>INPUT!AH823</f>
        <v>43.655895196506556</v>
      </c>
      <c r="AI89" s="339">
        <f>INPUT!AI823</f>
        <v>34.224487041890626</v>
      </c>
      <c r="AJ89" s="523">
        <f>INPUT!AJ823</f>
        <v>44.615996464869632</v>
      </c>
      <c r="AK89" s="339">
        <f>INPUT!AK823</f>
        <v>34.885324292348145</v>
      </c>
      <c r="AL89" s="523">
        <f>INPUT!AL823</f>
        <v>44.544356711565264</v>
      </c>
      <c r="AM89" s="339">
        <f>INPUT!AM823</f>
        <v>31.526195565311511</v>
      </c>
      <c r="AN89" s="523">
        <f>INPUT!AN823</f>
        <v>43.878048780487795</v>
      </c>
      <c r="AO89" s="339">
        <f>INPUT!AO823</f>
        <v>1.4683810525309537</v>
      </c>
      <c r="AP89" s="523">
        <f>INPUT!AP823</f>
        <v>42.422058823529404</v>
      </c>
      <c r="AQ89" s="339">
        <f>INPUT!AQ823</f>
        <v>-2.8262766515801174</v>
      </c>
      <c r="AR89" s="523">
        <f>INPUT!AR823</f>
        <v>43.092907092907097</v>
      </c>
      <c r="AS89" s="339">
        <f>INPUT!AS823</f>
        <v>-3.4137741900750918</v>
      </c>
      <c r="AT89" s="523">
        <f>INPUT!AT823</f>
        <v>45.266700924974295</v>
      </c>
      <c r="AU89" s="339">
        <f>INPUT!AU823</f>
        <v>1.6216290159634994</v>
      </c>
      <c r="AV89" s="523">
        <f>INPUT!AV823</f>
        <v>45.3622816032888</v>
      </c>
      <c r="AW89" s="339">
        <f>INPUT!AW823</f>
        <v>3.3826317807026829</v>
      </c>
      <c r="AX89" s="523">
        <f>INPUT!AX823</f>
        <v>47.111637704054765</v>
      </c>
      <c r="AY89" s="339">
        <f>INPUT!AY823</f>
        <v>11.054576346785616</v>
      </c>
      <c r="AZ89" s="523">
        <f>INPUT!AZ823</f>
        <v>49.6076794657763</v>
      </c>
      <c r="BA89" s="339">
        <f>INPUT!BA823</f>
        <v>15.117969086707328</v>
      </c>
      <c r="BB89" s="523">
        <f>INPUT!BB823</f>
        <v>50.582081246521994</v>
      </c>
      <c r="BC89" s="339">
        <f>INPUT!BC823</f>
        <v>11.742362957613128</v>
      </c>
      <c r="BD89" s="523">
        <f>INPUT!BD823</f>
        <v>31.662790697674417</v>
      </c>
      <c r="BE89" s="339">
        <f>INPUT!BE823</f>
        <v>-30.200180461428026</v>
      </c>
      <c r="BF89" s="523">
        <f>INPUT!BF823</f>
        <v>32.115180035773321</v>
      </c>
      <c r="BG89" s="339">
        <f>INPUT!BG823</f>
        <v>-31.831747736060436</v>
      </c>
      <c r="BH89" s="523">
        <f>INPUT!BH823</f>
        <v>32.927757001234021</v>
      </c>
      <c r="BI89" s="339">
        <f>INPUT!BI823</f>
        <v>-33.623670053039959</v>
      </c>
      <c r="BJ89" s="523">
        <f>INPUT!BJ823</f>
        <v>33.514773844768357</v>
      </c>
      <c r="BK89" s="339">
        <f>INPUT!BK823</f>
        <v>-33.741805361018393</v>
      </c>
      <c r="BL89" s="523">
        <f>INPUT!BL823</f>
        <v>34.177152664078733</v>
      </c>
      <c r="BM89" s="339">
        <f>INPUT!BM823</f>
        <v>7.9410623984859097</v>
      </c>
      <c r="BN89" s="347"/>
      <c r="BO89" s="523"/>
      <c r="BP89" s="340"/>
      <c r="BQ89" s="523">
        <f>INPUT!BW823</f>
        <v>28.766104294478531</v>
      </c>
      <c r="BR89" s="340">
        <f>INPUT!BX823</f>
        <v>8.6189173145695186</v>
      </c>
      <c r="BS89" s="523">
        <f>INPUT!BY823</f>
        <v>31.731371799770727</v>
      </c>
      <c r="BT89" s="340">
        <f>INPUT!BZ823</f>
        <v>10.308199799794782</v>
      </c>
      <c r="BU89" s="523">
        <f>INPUT!CA823</f>
        <v>43.243075651095481</v>
      </c>
      <c r="BV89" s="340">
        <f>INPUT!CB823</f>
        <v>36.278620174271616</v>
      </c>
      <c r="BW89" s="523">
        <f>INPUT!CC823</f>
        <v>43.878048780487795</v>
      </c>
      <c r="BX89" s="340">
        <f>INPUT!CD823</f>
        <v>1.4683810525309537</v>
      </c>
      <c r="BY89" s="523">
        <f>INPUT!CE823</f>
        <v>45.3622816032888</v>
      </c>
      <c r="BZ89" s="340">
        <f>INPUT!CF823</f>
        <v>3.3826317807026829</v>
      </c>
      <c r="CA89" s="523">
        <f>INPUT!CG823</f>
        <v>31.662790697674417</v>
      </c>
      <c r="CB89" s="340">
        <f>INPUT!CH823</f>
        <v>-30.200180461428026</v>
      </c>
      <c r="CC89" s="523">
        <f>INPUT!CI823</f>
        <v>34.177152664078733</v>
      </c>
      <c r="CD89" s="340">
        <f>INPUT!CJ823</f>
        <v>7.9410623984859097</v>
      </c>
      <c r="CE89" s="523">
        <f>INPUT!CK823</f>
        <v>39.077326686234699</v>
      </c>
      <c r="CF89" s="340">
        <f>INPUT!CL823</f>
        <v>14.337572442967739</v>
      </c>
      <c r="CG89" s="523">
        <f>INPUT!CM823</f>
        <v>44.703571814686789</v>
      </c>
      <c r="CH89" s="340">
        <f>INPUT!CN823</f>
        <v>14.397722683609215</v>
      </c>
      <c r="CI89" s="523">
        <f>INPUT!CO823</f>
        <v>51.143684927072655</v>
      </c>
      <c r="CJ89" s="340">
        <f>INPUT!CP823</f>
        <v>14.40626073254856</v>
      </c>
      <c r="CK89" s="523">
        <f>INPUT!CQ823</f>
        <v>58.497802093602722</v>
      </c>
      <c r="CL89" s="340">
        <f>INPUT!CR823</f>
        <v>14.379325965691624</v>
      </c>
      <c r="CM89" s="610">
        <f>INPUT!CS823</f>
        <v>0</v>
      </c>
    </row>
    <row r="90" spans="1:91" s="331" customFormat="1" ht="12.75" customHeight="1" x14ac:dyDescent="0.2">
      <c r="A90" s="603"/>
      <c r="B90" s="512"/>
      <c r="C90" s="512"/>
      <c r="D90" s="512"/>
      <c r="E90" s="512"/>
      <c r="F90" s="512"/>
      <c r="G90" s="512"/>
      <c r="H90" s="512"/>
      <c r="I90" s="512"/>
      <c r="J90" s="512"/>
      <c r="K90" s="513"/>
      <c r="L90" s="512"/>
      <c r="M90" s="513"/>
      <c r="N90" s="512"/>
      <c r="O90" s="513"/>
      <c r="P90" s="512"/>
      <c r="Q90" s="513"/>
      <c r="R90" s="512"/>
      <c r="S90" s="513"/>
      <c r="T90" s="512"/>
      <c r="U90" s="513"/>
      <c r="V90" s="512"/>
      <c r="W90" s="513"/>
      <c r="X90" s="512"/>
      <c r="Y90" s="513"/>
      <c r="Z90" s="512"/>
      <c r="AA90" s="513"/>
      <c r="AB90" s="512"/>
      <c r="AC90" s="513"/>
      <c r="AD90" s="512"/>
      <c r="AE90" s="513"/>
      <c r="AF90" s="512"/>
      <c r="AG90" s="513"/>
      <c r="AH90" s="512"/>
      <c r="AI90" s="513"/>
      <c r="AJ90" s="512"/>
      <c r="AK90" s="513"/>
      <c r="AL90" s="512"/>
      <c r="AM90" s="513"/>
      <c r="AN90" s="512"/>
      <c r="AO90" s="513"/>
      <c r="AP90" s="512"/>
      <c r="AQ90" s="513"/>
      <c r="AR90" s="512"/>
      <c r="AS90" s="513"/>
      <c r="AT90" s="512"/>
      <c r="AU90" s="513"/>
      <c r="AV90" s="512"/>
      <c r="AW90" s="513"/>
      <c r="AX90" s="512"/>
      <c r="AY90" s="513"/>
      <c r="AZ90" s="512"/>
      <c r="BA90" s="513"/>
      <c r="BB90" s="512"/>
      <c r="BC90" s="513"/>
      <c r="BD90" s="512"/>
      <c r="BE90" s="513"/>
      <c r="BF90" s="512"/>
      <c r="BG90" s="513"/>
      <c r="BH90" s="512"/>
      <c r="BI90" s="513"/>
      <c r="BJ90" s="512"/>
      <c r="BK90" s="513"/>
      <c r="BL90" s="512"/>
      <c r="BM90" s="513"/>
      <c r="BN90" s="379"/>
      <c r="BO90" s="512"/>
      <c r="BP90" s="514"/>
      <c r="BQ90" s="512"/>
      <c r="BR90" s="514"/>
      <c r="BS90" s="512"/>
      <c r="BT90" s="514"/>
      <c r="BU90" s="512"/>
      <c r="BV90" s="514"/>
      <c r="BW90" s="512"/>
      <c r="BX90" s="514"/>
      <c r="BY90" s="512"/>
      <c r="BZ90" s="514"/>
      <c r="CA90" s="512"/>
      <c r="CB90" s="514"/>
      <c r="CC90" s="512"/>
      <c r="CD90" s="514"/>
      <c r="CE90" s="512"/>
      <c r="CF90" s="514"/>
      <c r="CG90" s="512"/>
      <c r="CH90" s="514"/>
      <c r="CI90" s="512"/>
      <c r="CJ90" s="514"/>
      <c r="CK90" s="512"/>
      <c r="CL90" s="514"/>
      <c r="CM90" s="608"/>
    </row>
    <row r="91" spans="1:91" s="342" customFormat="1" ht="12.75" customHeight="1" x14ac:dyDescent="0.2">
      <c r="A91" s="632" t="str">
        <f>INPUT!A901</f>
        <v>Capital Structure Incl FAS 115</v>
      </c>
      <c r="B91" s="517"/>
      <c r="C91" s="517"/>
      <c r="D91" s="517"/>
      <c r="E91" s="517"/>
      <c r="F91" s="517"/>
      <c r="G91" s="517"/>
      <c r="H91" s="517"/>
      <c r="I91" s="517"/>
      <c r="J91" s="517"/>
      <c r="K91" s="339"/>
      <c r="L91" s="517"/>
      <c r="M91" s="339"/>
      <c r="N91" s="517"/>
      <c r="O91" s="339"/>
      <c r="P91" s="517"/>
      <c r="Q91" s="339"/>
      <c r="R91" s="517"/>
      <c r="S91" s="339"/>
      <c r="T91" s="517"/>
      <c r="U91" s="339"/>
      <c r="V91" s="517"/>
      <c r="W91" s="339"/>
      <c r="X91" s="517"/>
      <c r="Y91" s="339"/>
      <c r="Z91" s="517"/>
      <c r="AA91" s="339"/>
      <c r="AB91" s="517"/>
      <c r="AC91" s="339"/>
      <c r="AD91" s="517"/>
      <c r="AE91" s="339"/>
      <c r="AF91" s="517"/>
      <c r="AG91" s="339"/>
      <c r="AH91" s="517"/>
      <c r="AI91" s="339"/>
      <c r="AJ91" s="517"/>
      <c r="AK91" s="339"/>
      <c r="AL91" s="517"/>
      <c r="AM91" s="339"/>
      <c r="AN91" s="517"/>
      <c r="AO91" s="339"/>
      <c r="AP91" s="517"/>
      <c r="AQ91" s="339"/>
      <c r="AR91" s="517"/>
      <c r="AS91" s="339"/>
      <c r="AT91" s="517"/>
      <c r="AU91" s="339"/>
      <c r="AV91" s="517"/>
      <c r="AW91" s="339"/>
      <c r="AX91" s="517"/>
      <c r="AY91" s="339"/>
      <c r="AZ91" s="517"/>
      <c r="BA91" s="339"/>
      <c r="BB91" s="517"/>
      <c r="BC91" s="339"/>
      <c r="BD91" s="517"/>
      <c r="BE91" s="339"/>
      <c r="BF91" s="517"/>
      <c r="BG91" s="339"/>
      <c r="BH91" s="517"/>
      <c r="BI91" s="339"/>
      <c r="BJ91" s="517"/>
      <c r="BK91" s="339"/>
      <c r="BL91" s="517"/>
      <c r="BM91" s="339"/>
      <c r="BN91" s="350"/>
      <c r="BO91" s="517"/>
      <c r="BP91" s="340"/>
      <c r="BQ91" s="517"/>
      <c r="BR91" s="340"/>
      <c r="BS91" s="517"/>
      <c r="BT91" s="340"/>
      <c r="BU91" s="517"/>
      <c r="BV91" s="340"/>
      <c r="BW91" s="517"/>
      <c r="BX91" s="340"/>
      <c r="BY91" s="517"/>
      <c r="BZ91" s="340"/>
      <c r="CA91" s="517"/>
      <c r="CB91" s="340"/>
      <c r="CC91" s="517"/>
      <c r="CD91" s="340"/>
      <c r="CE91" s="517"/>
      <c r="CF91" s="340"/>
      <c r="CG91" s="517"/>
      <c r="CH91" s="340"/>
      <c r="CI91" s="517"/>
      <c r="CJ91" s="340"/>
      <c r="CK91" s="517"/>
      <c r="CL91" s="340"/>
      <c r="CM91" s="610"/>
    </row>
    <row r="92" spans="1:91" s="331" customFormat="1" ht="12.75" customHeight="1" x14ac:dyDescent="0.2">
      <c r="A92" s="622" t="str">
        <f>INPUT!A902</f>
        <v>Total Capital</v>
      </c>
      <c r="B92" s="515">
        <f>INPUT!B902</f>
        <v>14837.2</v>
      </c>
      <c r="C92" s="515"/>
      <c r="D92" s="515">
        <f>INPUT!D902</f>
        <v>15419.8</v>
      </c>
      <c r="E92" s="515"/>
      <c r="F92" s="515">
        <f>INPUT!F902</f>
        <v>17520.7</v>
      </c>
      <c r="G92" s="515"/>
      <c r="H92" s="515">
        <f>INPUT!H902</f>
        <v>16395.2</v>
      </c>
      <c r="I92" s="515"/>
      <c r="J92" s="515">
        <f>INPUT!J902</f>
        <v>15873.100000000002</v>
      </c>
      <c r="K92" s="339">
        <f>INPUT!K902</f>
        <v>6.9817755371633483</v>
      </c>
      <c r="L92" s="515">
        <f>INPUT!L902</f>
        <v>16775.599999999999</v>
      </c>
      <c r="M92" s="339">
        <f>INPUT!M902</f>
        <v>8.7925913435971772</v>
      </c>
      <c r="N92" s="515">
        <f>INPUT!N902</f>
        <v>17803.7</v>
      </c>
      <c r="O92" s="339">
        <f>INPUT!O902</f>
        <v>1.6152322681171505</v>
      </c>
      <c r="P92" s="515">
        <f>INPUT!P902</f>
        <v>17683.2</v>
      </c>
      <c r="Q92" s="339">
        <f>INPUT!Q902</f>
        <v>7.8559578413194053</v>
      </c>
      <c r="R92" s="515">
        <f>INPUT!R902</f>
        <v>17098.400000000001</v>
      </c>
      <c r="S92" s="339">
        <f>INPUT!S902</f>
        <v>7.7193490874498227</v>
      </c>
      <c r="T92" s="515">
        <f>INPUT!T902</f>
        <v>16154.899999999998</v>
      </c>
      <c r="U92" s="339">
        <f>INPUT!U902</f>
        <v>-3.7000166909082255</v>
      </c>
      <c r="V92" s="515">
        <f>INPUT!V902</f>
        <v>16284.5</v>
      </c>
      <c r="W92" s="339">
        <f>INPUT!W902</f>
        <v>-8.5330577351898746</v>
      </c>
      <c r="X92" s="515">
        <f>INPUT!X902</f>
        <v>16786.899999999998</v>
      </c>
      <c r="Y92" s="339">
        <f>INPUT!Y902</f>
        <v>-5.0686527325371156</v>
      </c>
      <c r="Z92" s="515">
        <f>INPUT!Z902</f>
        <v>17516.5</v>
      </c>
      <c r="AA92" s="339">
        <f>INPUT!AA902</f>
        <v>2.4452580358395926</v>
      </c>
      <c r="AB92" s="515">
        <f>INPUT!AB902</f>
        <v>18382.300000000003</v>
      </c>
      <c r="AC92" s="339">
        <f>INPUT!AC902</f>
        <v>13.787767178998367</v>
      </c>
      <c r="AD92" s="515">
        <f>INPUT!AD902</f>
        <v>18154.600000000002</v>
      </c>
      <c r="AE92" s="339">
        <f>INPUT!AE902</f>
        <v>11.483926433111247</v>
      </c>
      <c r="AF92" s="515">
        <f>INPUT!AF902</f>
        <v>19661.899999999998</v>
      </c>
      <c r="AG92" s="339">
        <f>INPUT!AG902</f>
        <v>17.126449791206234</v>
      </c>
      <c r="AH92" s="515">
        <f>INPUT!AH902</f>
        <v>19660.400000000001</v>
      </c>
      <c r="AI92" s="339">
        <f>INPUT!AI902</f>
        <v>12.23931721519711</v>
      </c>
      <c r="AJ92" s="515">
        <f>INPUT!AJ902</f>
        <v>18341.8</v>
      </c>
      <c r="AK92" s="339">
        <f>INPUT!AK902</f>
        <v>-0.22032063452345207</v>
      </c>
      <c r="AL92" s="515">
        <f>INPUT!AL902</f>
        <v>17771.7</v>
      </c>
      <c r="AM92" s="339">
        <f>INPUT!AM902</f>
        <v>-2.1091073336785282</v>
      </c>
      <c r="AN92" s="515">
        <f>INPUT!AN902</f>
        <v>16921.699999999997</v>
      </c>
      <c r="AO92" s="339">
        <f>INPUT!AO902</f>
        <v>-13.936598192443261</v>
      </c>
      <c r="AP92" s="515">
        <f>INPUT!AP902</f>
        <v>17917.2</v>
      </c>
      <c r="AQ92" s="339">
        <f>INPUT!AQ902</f>
        <v>-8.8665540884213971</v>
      </c>
      <c r="AR92" s="515">
        <f>INPUT!AR902</f>
        <v>18886.400000000001</v>
      </c>
      <c r="AS92" s="339">
        <f>INPUT!AS902</f>
        <v>2.9691742358983531</v>
      </c>
      <c r="AT92" s="515">
        <f>INPUT!AT902</f>
        <v>18754.5</v>
      </c>
      <c r="AU92" s="339">
        <f>INPUT!AU902</f>
        <v>5.5301406168233758</v>
      </c>
      <c r="AV92" s="515">
        <f>INPUT!AV902</f>
        <v>16544</v>
      </c>
      <c r="AW92" s="339">
        <f>INPUT!AW902</f>
        <v>-2.2320452436811689</v>
      </c>
      <c r="AX92" s="515">
        <f>INPUT!AX902</f>
        <v>15616.2</v>
      </c>
      <c r="AY92" s="339">
        <f>INPUT!AY902</f>
        <v>-12.842408412028661</v>
      </c>
      <c r="AZ92" s="515">
        <f>INPUT!AZ902</f>
        <v>16078.7</v>
      </c>
      <c r="BA92" s="339">
        <f>INPUT!BA902</f>
        <v>-14.866252965096582</v>
      </c>
      <c r="BB92" s="515">
        <f>INPUT!BB902</f>
        <v>16774.800000000003</v>
      </c>
      <c r="BC92" s="339">
        <f>INPUT!BC902</f>
        <v>-10.555866592017903</v>
      </c>
      <c r="BD92" s="515">
        <f>INPUT!BD902</f>
        <v>13132</v>
      </c>
      <c r="BE92" s="339">
        <f>INPUT!BE902</f>
        <v>-20.62379110251451</v>
      </c>
      <c r="BF92" s="515">
        <f>INPUT!BF902</f>
        <v>12992.799843736864</v>
      </c>
      <c r="BG92" s="339">
        <f>INPUT!BG902</f>
        <v>-16.799222322095876</v>
      </c>
      <c r="BH92" s="515">
        <f>INPUT!BH902</f>
        <v>12471.545008161373</v>
      </c>
      <c r="BI92" s="339">
        <f>INPUT!BI902</f>
        <v>-22.434369643308404</v>
      </c>
      <c r="BJ92" s="515">
        <f>INPUT!BJ902</f>
        <v>12411.305206349834</v>
      </c>
      <c r="BK92" s="339">
        <f>INPUT!BK902</f>
        <v>-26.012201597933615</v>
      </c>
      <c r="BL92" s="515">
        <f>INPUT!BL902</f>
        <v>12360.117460013525</v>
      </c>
      <c r="BM92" s="339">
        <f>INPUT!BM902</f>
        <v>-5.8778749618220711</v>
      </c>
      <c r="BN92" s="347"/>
      <c r="BO92" s="515">
        <f>INPUT!BU902</f>
        <v>16395.2</v>
      </c>
      <c r="BP92" s="340" t="str">
        <f>INPUT!BV902</f>
        <v>NA</v>
      </c>
      <c r="BQ92" s="515">
        <f>INPUT!BW902</f>
        <v>17683.2</v>
      </c>
      <c r="BR92" s="340">
        <f>INPUT!BX902</f>
        <v>7.8559578413194053</v>
      </c>
      <c r="BS92" s="515">
        <f>INPUT!BY902</f>
        <v>16786.899999999998</v>
      </c>
      <c r="BT92" s="340">
        <f>INPUT!BZ902</f>
        <v>-5.0686527325371156</v>
      </c>
      <c r="BU92" s="515">
        <f>INPUT!CA902</f>
        <v>19661.899999999998</v>
      </c>
      <c r="BV92" s="340">
        <f>INPUT!CB902</f>
        <v>17.126449791206234</v>
      </c>
      <c r="BW92" s="515">
        <f>INPUT!CC902</f>
        <v>16921.699999999997</v>
      </c>
      <c r="BX92" s="340">
        <f>INPUT!CD902</f>
        <v>-13.936598192443261</v>
      </c>
      <c r="BY92" s="515">
        <f>INPUT!CE902</f>
        <v>16544</v>
      </c>
      <c r="BZ92" s="340">
        <f>INPUT!CF902</f>
        <v>-2.2320452436811689</v>
      </c>
      <c r="CA92" s="515">
        <f>INPUT!CG902</f>
        <v>13132</v>
      </c>
      <c r="CB92" s="340">
        <f>INPUT!CH902</f>
        <v>-20.62379110251451</v>
      </c>
      <c r="CC92" s="515">
        <f>INPUT!CI902</f>
        <v>12360.117460013525</v>
      </c>
      <c r="CD92" s="340">
        <f>INPUT!CJ902</f>
        <v>-5.8778749618220711</v>
      </c>
      <c r="CE92" s="515">
        <f>INPUT!CK902</f>
        <v>12567.883755639166</v>
      </c>
      <c r="CF92" s="340">
        <f>INPUT!CL902</f>
        <v>1.6809411099675264</v>
      </c>
      <c r="CG92" s="515">
        <f>INPUT!CM902</f>
        <v>12811.741617548878</v>
      </c>
      <c r="CH92" s="340">
        <f>INPUT!CN902</f>
        <v>1.9403255683383636</v>
      </c>
      <c r="CI92" s="515">
        <f>INPUT!CO902</f>
        <v>13090.850963255598</v>
      </c>
      <c r="CJ92" s="340">
        <f>INPUT!CP902</f>
        <v>2.1785433552953481</v>
      </c>
      <c r="CK92" s="515">
        <f>INPUT!CQ902</f>
        <v>13404.895321497916</v>
      </c>
      <c r="CL92" s="340">
        <f>INPUT!CR902</f>
        <v>2.3989606109167561</v>
      </c>
      <c r="CM92" s="610">
        <f>INPUT!CS902</f>
        <v>0.41220650561930583</v>
      </c>
    </row>
    <row r="93" spans="1:91" s="331" customFormat="1" ht="12.75" customHeight="1" x14ac:dyDescent="0.2">
      <c r="A93" s="622" t="str">
        <f>INPUT!A903</f>
        <v>LT Debt to LT Capital (%)</v>
      </c>
      <c r="B93" s="522">
        <f>INPUT!B903</f>
        <v>51.796834982341679</v>
      </c>
      <c r="C93" s="522"/>
      <c r="D93" s="522">
        <f>INPUT!D903</f>
        <v>32.75204607063646</v>
      </c>
      <c r="E93" s="522"/>
      <c r="F93" s="522">
        <f>INPUT!F903</f>
        <v>29.304194467116041</v>
      </c>
      <c r="G93" s="522"/>
      <c r="H93" s="522">
        <f>INPUT!H903</f>
        <v>24.649287596369668</v>
      </c>
      <c r="I93" s="522"/>
      <c r="J93" s="522">
        <f>INPUT!J903</f>
        <v>25.472024998267507</v>
      </c>
      <c r="K93" s="339" t="str">
        <f>INPUT!K903</f>
        <v>NM</v>
      </c>
      <c r="L93" s="522">
        <f>INPUT!L903</f>
        <v>23.449533846777467</v>
      </c>
      <c r="M93" s="339">
        <f>INPUT!M903</f>
        <v>-28.402842997338951</v>
      </c>
      <c r="N93" s="522">
        <f>INPUT!N903</f>
        <v>21.867364648921289</v>
      </c>
      <c r="O93" s="339">
        <f>INPUT!O903</f>
        <v>-25.378038719133045</v>
      </c>
      <c r="P93" s="522">
        <f>INPUT!P903</f>
        <v>21.536260405356497</v>
      </c>
      <c r="Q93" s="339">
        <f>INPUT!Q903</f>
        <v>-12.629278549501189</v>
      </c>
      <c r="R93" s="522">
        <f>INPUT!R903</f>
        <v>21.682145697843072</v>
      </c>
      <c r="S93" s="339">
        <f>INPUT!S903</f>
        <v>-14.878594460716045</v>
      </c>
      <c r="T93" s="522">
        <f>INPUT!T903</f>
        <v>22.799893530755377</v>
      </c>
      <c r="U93" s="339">
        <f>INPUT!U903</f>
        <v>-2.7703762482739758</v>
      </c>
      <c r="V93" s="522">
        <f>INPUT!V903</f>
        <v>21.581872332586201</v>
      </c>
      <c r="W93" s="339">
        <f>INPUT!W903</f>
        <v>-1.3055634317104214</v>
      </c>
      <c r="X93" s="522">
        <f>INPUT!X903</f>
        <v>20.937159332574808</v>
      </c>
      <c r="Y93" s="339">
        <f>INPUT!Y903</f>
        <v>-2.7818249849573706</v>
      </c>
      <c r="Z93" s="522">
        <f>INPUT!Z903</f>
        <v>20.066794165501097</v>
      </c>
      <c r="AA93" s="339">
        <f>INPUT!AA903</f>
        <v>-7.4501461010967667</v>
      </c>
      <c r="AB93" s="522">
        <f>INPUT!AB903</f>
        <v>19.122743073500047</v>
      </c>
      <c r="AC93" s="339">
        <f>INPUT!AC903</f>
        <v>-16.127928195344964</v>
      </c>
      <c r="AD93" s="522">
        <f>INPUT!AD903</f>
        <v>19.364238264682225</v>
      </c>
      <c r="AE93" s="339">
        <f>INPUT!AE903</f>
        <v>-10.275447995100951</v>
      </c>
      <c r="AF93" s="522">
        <f>INPUT!AF903</f>
        <v>17.8807744928008</v>
      </c>
      <c r="AG93" s="339">
        <f>INPUT!AG903</f>
        <v>-14.597896453979653</v>
      </c>
      <c r="AH93" s="522">
        <f>INPUT!AH903</f>
        <v>17.883664625338241</v>
      </c>
      <c r="AI93" s="339">
        <f>INPUT!AI903</f>
        <v>-10.879313965935323</v>
      </c>
      <c r="AJ93" s="522">
        <f>INPUT!AJ903</f>
        <v>19.005768245210394</v>
      </c>
      <c r="AK93" s="339">
        <f>INPUT!AK903</f>
        <v>-0.61170527596406954</v>
      </c>
      <c r="AL93" s="522">
        <f>INPUT!AL903</f>
        <v>19.613205264549816</v>
      </c>
      <c r="AM93" s="339">
        <f>INPUT!AM903</f>
        <v>1.2857051047635126</v>
      </c>
      <c r="AN93" s="522">
        <f>INPUT!AN903</f>
        <v>20.600176105237658</v>
      </c>
      <c r="AO93" s="339">
        <f>INPUT!AO903</f>
        <v>15.20852250293605</v>
      </c>
      <c r="AP93" s="522">
        <f>INPUT!AP903</f>
        <v>19.28817002656665</v>
      </c>
      <c r="AQ93" s="339">
        <f>INPUT!AQ903</f>
        <v>7.8535659813171232</v>
      </c>
      <c r="AR93" s="522">
        <f>INPUT!AR903</f>
        <v>18.783357336496103</v>
      </c>
      <c r="AS93" s="339">
        <f>INPUT!AS903</f>
        <v>-1.1702284582489342</v>
      </c>
      <c r="AT93" s="522">
        <f>INPUT!AT903</f>
        <v>18.920792343170973</v>
      </c>
      <c r="AU93" s="339">
        <f>INPUT!AU903</f>
        <v>-3.5303404621495282</v>
      </c>
      <c r="AV93" s="522">
        <f>INPUT!AV903</f>
        <v>21.454908123791103</v>
      </c>
      <c r="AW93" s="339">
        <f>INPUT!AW903</f>
        <v>4.1491490858475144</v>
      </c>
      <c r="AX93" s="522">
        <f>INPUT!AX903</f>
        <v>17.454310267542677</v>
      </c>
      <c r="AY93" s="339">
        <f>INPUT!AY903</f>
        <v>-9.5076917950126845</v>
      </c>
      <c r="AZ93" s="522">
        <f>INPUT!AZ903</f>
        <v>16.955350867918426</v>
      </c>
      <c r="BA93" s="339">
        <f>INPUT!BA903</f>
        <v>-9.7320539445089338</v>
      </c>
      <c r="BB93" s="522">
        <f>INPUT!BB903</f>
        <v>18.612442473233656</v>
      </c>
      <c r="BC93" s="339">
        <f>INPUT!BC903</f>
        <v>-1.6296879345468196</v>
      </c>
      <c r="BD93" s="522">
        <f>INPUT!BD903</f>
        <v>23.781602193116054</v>
      </c>
      <c r="BE93" s="339">
        <f>INPUT!BE903</f>
        <v>10.844577175070281</v>
      </c>
      <c r="BF93" s="522">
        <f>INPUT!BF903</f>
        <v>24.036389673973403</v>
      </c>
      <c r="BG93" s="339">
        <f>INPUT!BG903</f>
        <v>37.710338051400939</v>
      </c>
      <c r="BH93" s="522">
        <f>INPUT!BH903</f>
        <v>25.041003323616362</v>
      </c>
      <c r="BI93" s="339">
        <f>INPUT!BI903</f>
        <v>47.687909962376352</v>
      </c>
      <c r="BJ93" s="522">
        <f>INPUT!BJ903</f>
        <v>25.162542924189957</v>
      </c>
      <c r="BK93" s="339">
        <f>INPUT!BK903</f>
        <v>35.192052092979885</v>
      </c>
      <c r="BL93" s="522">
        <f>INPUT!BL903</f>
        <v>25.266750175338405</v>
      </c>
      <c r="BM93" s="339">
        <f>INPUT!BM903</f>
        <v>6.2449450216278901</v>
      </c>
      <c r="BN93" s="347"/>
      <c r="BO93" s="522">
        <f>INPUT!BU903</f>
        <v>24.649287596369668</v>
      </c>
      <c r="BP93" s="340" t="str">
        <f>INPUT!BV903</f>
        <v>NA</v>
      </c>
      <c r="BQ93" s="522">
        <f>INPUT!BW903</f>
        <v>21.536260405356497</v>
      </c>
      <c r="BR93" s="340">
        <f>INPUT!BX903</f>
        <v>-12.629278549501189</v>
      </c>
      <c r="BS93" s="522">
        <f>INPUT!BY903</f>
        <v>20.937159332574808</v>
      </c>
      <c r="BT93" s="340">
        <f>INPUT!BZ903</f>
        <v>-2.7818249849573706</v>
      </c>
      <c r="BU93" s="522">
        <f>INPUT!CA903</f>
        <v>17.8807744928008</v>
      </c>
      <c r="BV93" s="340">
        <f>INPUT!CB903</f>
        <v>-14.597896453979653</v>
      </c>
      <c r="BW93" s="522">
        <f>INPUT!CC903</f>
        <v>20.600176105237658</v>
      </c>
      <c r="BX93" s="340">
        <f>INPUT!CD903</f>
        <v>15.20852250293605</v>
      </c>
      <c r="BY93" s="522">
        <f>INPUT!CE903</f>
        <v>21.454908123791103</v>
      </c>
      <c r="BZ93" s="340">
        <f>INPUT!CF903</f>
        <v>4.1491490858475144</v>
      </c>
      <c r="CA93" s="522">
        <f>INPUT!CG903</f>
        <v>23.781602193116054</v>
      </c>
      <c r="CB93" s="340">
        <f>INPUT!CH903</f>
        <v>10.844577175070281</v>
      </c>
      <c r="CC93" s="522">
        <f>INPUT!CI903</f>
        <v>25.266750175338405</v>
      </c>
      <c r="CD93" s="340">
        <f>INPUT!CJ903</f>
        <v>6.2449450216278901</v>
      </c>
      <c r="CE93" s="522">
        <f>INPUT!CK903</f>
        <v>24.849052240785731</v>
      </c>
      <c r="CF93" s="340">
        <f>INPUT!CL903</f>
        <v>-1.6531525884969867</v>
      </c>
      <c r="CG93" s="522">
        <f>INPUT!CM903</f>
        <v>24.376076986459609</v>
      </c>
      <c r="CH93" s="340">
        <f>INPUT!CN903</f>
        <v>-1.9033935368762633</v>
      </c>
      <c r="CI93" s="522">
        <f>INPUT!CO903</f>
        <v>23.856355929540985</v>
      </c>
      <c r="CJ93" s="340">
        <f>INPUT!CP903</f>
        <v>-2.1320947468590479</v>
      </c>
      <c r="CK93" s="522">
        <f>INPUT!CQ903</f>
        <v>23.297459063268715</v>
      </c>
      <c r="CL93" s="340">
        <f>INPUT!CR903</f>
        <v>-2.3427587512650949</v>
      </c>
      <c r="CM93" s="610">
        <f>INPUT!CS903</f>
        <v>-0.41051433880824328</v>
      </c>
    </row>
    <row r="94" spans="1:91" s="331" customFormat="1" ht="12.75" customHeight="1" x14ac:dyDescent="0.2">
      <c r="A94" s="622" t="str">
        <f>INPUT!A904</f>
        <v>LT Debt to Common Equity (%)</v>
      </c>
      <c r="B94" s="522">
        <f>INPUT!B904</f>
        <v>107.45525727069352</v>
      </c>
      <c r="C94" s="522"/>
      <c r="D94" s="522">
        <f>INPUT!D904</f>
        <v>48.703409036115545</v>
      </c>
      <c r="E94" s="522"/>
      <c r="F94" s="522">
        <f>INPUT!F904</f>
        <v>41.4511076664729</v>
      </c>
      <c r="G94" s="522"/>
      <c r="H94" s="522">
        <f>INPUT!H904</f>
        <v>32.712746582051018</v>
      </c>
      <c r="I94" s="522"/>
      <c r="J94" s="522">
        <f>INPUT!J904</f>
        <v>34.177803700792055</v>
      </c>
      <c r="K94" s="339" t="str">
        <f>INPUT!K904</f>
        <v>NM</v>
      </c>
      <c r="L94" s="522">
        <f>INPUT!L904</f>
        <v>30.632777336510465</v>
      </c>
      <c r="M94" s="339">
        <f>INPUT!M904</f>
        <v>-37.103422649952442</v>
      </c>
      <c r="N94" s="522">
        <f>INPUT!N904</f>
        <v>27.987491463283131</v>
      </c>
      <c r="O94" s="339">
        <f>INPUT!O904</f>
        <v>-32.48071513919907</v>
      </c>
      <c r="P94" s="522">
        <f>INPUT!P904</f>
        <v>27.44740502634253</v>
      </c>
      <c r="Q94" s="339">
        <f>INPUT!Q904</f>
        <v>-16.095687784887801</v>
      </c>
      <c r="R94" s="522">
        <f>INPUT!R904</f>
        <v>27.684805579825404</v>
      </c>
      <c r="S94" s="339">
        <f>INPUT!S904</f>
        <v>-18.997704410175942</v>
      </c>
      <c r="T94" s="522">
        <f>INPUT!T904</f>
        <v>29.533500112255052</v>
      </c>
      <c r="U94" s="339">
        <f>INPUT!U904</f>
        <v>-3.5885653206678469</v>
      </c>
      <c r="V94" s="522">
        <f>INPUT!V904</f>
        <v>27.521534847298355</v>
      </c>
      <c r="W94" s="339">
        <f>INPUT!W904</f>
        <v>-1.6648745265221976</v>
      </c>
      <c r="X94" s="522">
        <f>INPUT!X904</f>
        <v>26.481668449842527</v>
      </c>
      <c r="Y94" s="339">
        <f>INPUT!Y904</f>
        <v>-3.5184986543286723</v>
      </c>
      <c r="Z94" s="522">
        <f>INPUT!Z904</f>
        <v>25.104453094311324</v>
      </c>
      <c r="AA94" s="339">
        <f>INPUT!AA904</f>
        <v>-9.3204645345042465</v>
      </c>
      <c r="AB94" s="522">
        <f>INPUT!AB904</f>
        <v>23.644153869954458</v>
      </c>
      <c r="AC94" s="339">
        <f>INPUT!AC904</f>
        <v>-19.941240353888102</v>
      </c>
      <c r="AD94" s="522">
        <f>INPUT!AD904</f>
        <v>24.014454440505219</v>
      </c>
      <c r="AE94" s="339">
        <f>INPUT!AE904</f>
        <v>-12.743040772442271</v>
      </c>
      <c r="AF94" s="522">
        <f>INPUT!AF904</f>
        <v>21.774163580285148</v>
      </c>
      <c r="AG94" s="339">
        <f>INPUT!AG904</f>
        <v>-17.776466307149818</v>
      </c>
      <c r="AH94" s="522">
        <f>INPUT!AH904</f>
        <v>21.778449493322761</v>
      </c>
      <c r="AI94" s="339">
        <f>INPUT!AI904</f>
        <v>-13.248659863226564</v>
      </c>
      <c r="AJ94" s="522">
        <f>INPUT!AJ904</f>
        <v>23.465582466107517</v>
      </c>
      <c r="AK94" s="339">
        <f>INPUT!AK904</f>
        <v>-0.7552454819449439</v>
      </c>
      <c r="AL94" s="522">
        <f>INPUT!AL904</f>
        <v>24.398541239386532</v>
      </c>
      <c r="AM94" s="339">
        <f>INPUT!AM904</f>
        <v>1.5993983949661228</v>
      </c>
      <c r="AN94" s="522">
        <f>INPUT!AN904</f>
        <v>25.944863722294176</v>
      </c>
      <c r="AO94" s="339">
        <f>INPUT!AO904</f>
        <v>19.154352940497255</v>
      </c>
      <c r="AP94" s="522">
        <f>INPUT!AP904</f>
        <v>23.897574906820275</v>
      </c>
      <c r="AQ94" s="339">
        <f>INPUT!AQ904</f>
        <v>9.730377794558942</v>
      </c>
      <c r="AR94" s="522">
        <f>INPUT!AR904</f>
        <v>23.12747328687194</v>
      </c>
      <c r="AS94" s="339">
        <f>INPUT!AS904</f>
        <v>-1.4408727323258375</v>
      </c>
      <c r="AT94" s="522">
        <f>INPUT!AT904</f>
        <v>23.3361830856241</v>
      </c>
      <c r="AU94" s="339">
        <f>INPUT!AU904</f>
        <v>-4.3541871759425916</v>
      </c>
      <c r="AV94" s="522">
        <f>INPUT!AV904</f>
        <v>27.315402670360537</v>
      </c>
      <c r="AW94" s="339">
        <f>INPUT!AW904</f>
        <v>5.2825058660403323</v>
      </c>
      <c r="AX94" s="522">
        <f>INPUT!AX904</f>
        <v>21.145029285132459</v>
      </c>
      <c r="AY94" s="339">
        <f>INPUT!AY904</f>
        <v>-11.518096009408263</v>
      </c>
      <c r="AZ94" s="522">
        <f>INPUT!AZ904</f>
        <v>20.417150346377081</v>
      </c>
      <c r="BA94" s="339">
        <f>INPUT!BA904</f>
        <v>-11.719062030149852</v>
      </c>
      <c r="BB94" s="522">
        <f>INPUT!BB904</f>
        <v>22.86890409152835</v>
      </c>
      <c r="BC94" s="339">
        <f>INPUT!BC904</f>
        <v>-2.0023797052895476</v>
      </c>
      <c r="BD94" s="522">
        <f>INPUT!BD904</f>
        <v>31.201918273553801</v>
      </c>
      <c r="BE94" s="339">
        <f>INPUT!BE904</f>
        <v>14.228293282348181</v>
      </c>
      <c r="BF94" s="522">
        <f>INPUT!BF904</f>
        <v>31.641979061832547</v>
      </c>
      <c r="BG94" s="339">
        <f>INPUT!BG904</f>
        <v>49.642635321771465</v>
      </c>
      <c r="BH94" s="522">
        <f>INPUT!BH904</f>
        <v>33.406268005059502</v>
      </c>
      <c r="BI94" s="339">
        <f>INPUT!BI904</f>
        <v>63.618660970419285</v>
      </c>
      <c r="BJ94" s="522">
        <f>INPUT!BJ904</f>
        <v>33.622926148733782</v>
      </c>
      <c r="BK94" s="339">
        <f>INPUT!BK904</f>
        <v>47.024649778426394</v>
      </c>
      <c r="BL94" s="522">
        <f>INPUT!BL904</f>
        <v>33.809248540133076</v>
      </c>
      <c r="BM94" s="339">
        <f>INPUT!BM904</f>
        <v>8.3563140051847498</v>
      </c>
      <c r="BN94" s="347"/>
      <c r="BO94" s="522">
        <f>INPUT!BU904</f>
        <v>32.712746582051018</v>
      </c>
      <c r="BP94" s="340" t="str">
        <f>INPUT!BV904</f>
        <v>NA</v>
      </c>
      <c r="BQ94" s="522">
        <f>INPUT!BW904</f>
        <v>27.44740502634253</v>
      </c>
      <c r="BR94" s="340">
        <f>INPUT!BX904</f>
        <v>-16.095687784887801</v>
      </c>
      <c r="BS94" s="522">
        <f>INPUT!BY904</f>
        <v>26.481668449842527</v>
      </c>
      <c r="BT94" s="340">
        <f>INPUT!BZ904</f>
        <v>-3.5184986543286723</v>
      </c>
      <c r="BU94" s="522">
        <f>INPUT!CA904</f>
        <v>21.774163580285148</v>
      </c>
      <c r="BV94" s="340">
        <f>INPUT!CB904</f>
        <v>-17.776466307149818</v>
      </c>
      <c r="BW94" s="522">
        <f>INPUT!CC904</f>
        <v>25.944863722294176</v>
      </c>
      <c r="BX94" s="340">
        <f>INPUT!CD904</f>
        <v>19.154352940497255</v>
      </c>
      <c r="BY94" s="522">
        <f>INPUT!CE904</f>
        <v>27.315402670360537</v>
      </c>
      <c r="BZ94" s="340">
        <f>INPUT!CF904</f>
        <v>5.2825058660403323</v>
      </c>
      <c r="CA94" s="522">
        <f>INPUT!CG904</f>
        <v>31.201918273553801</v>
      </c>
      <c r="CB94" s="340">
        <f>INPUT!CH904</f>
        <v>14.228293282348181</v>
      </c>
      <c r="CC94" s="522">
        <f>INPUT!CI904</f>
        <v>33.809248540133076</v>
      </c>
      <c r="CD94" s="340">
        <f>INPUT!CJ904</f>
        <v>8.3563140051847498</v>
      </c>
      <c r="CE94" s="522">
        <f>INPUT!CK904</f>
        <v>33.065520770812881</v>
      </c>
      <c r="CF94" s="340">
        <f>INPUT!CL904</f>
        <v>-2.1997761010196903</v>
      </c>
      <c r="CG94" s="522">
        <f>INPUT!CM904</f>
        <v>32.23328811187843</v>
      </c>
      <c r="CH94" s="340">
        <f>INPUT!CN904</f>
        <v>-2.5169198595204612</v>
      </c>
      <c r="CI94" s="522">
        <f>INPUT!CO904</f>
        <v>31.330725263773378</v>
      </c>
      <c r="CJ94" s="340">
        <f>INPUT!CP904</f>
        <v>-2.8000954943608325</v>
      </c>
      <c r="CK94" s="522">
        <f>INPUT!CQ904</f>
        <v>30.373777424773728</v>
      </c>
      <c r="CL94" s="340">
        <f>INPUT!CR904</f>
        <v>-3.0543430799737536</v>
      </c>
      <c r="CM94" s="610">
        <f>INPUT!CS904</f>
        <v>-0.53655387178566105</v>
      </c>
    </row>
    <row r="95" spans="1:91" s="331" customFormat="1" ht="12.75" customHeight="1" x14ac:dyDescent="0.2">
      <c r="A95" s="622" t="str">
        <f>INPUT!A905</f>
        <v>Equity to Assets (Excl SAA)(%)</v>
      </c>
      <c r="B95" s="522">
        <f>INPUT!B905</f>
        <v>6.5638344834421947</v>
      </c>
      <c r="C95" s="522"/>
      <c r="D95" s="522">
        <f>INPUT!D905</f>
        <v>9.4711604329360171</v>
      </c>
      <c r="E95" s="522"/>
      <c r="F95" s="522">
        <f>INPUT!F905</f>
        <v>10.836413583136126</v>
      </c>
      <c r="G95" s="522"/>
      <c r="H95" s="522">
        <f>INPUT!H905</f>
        <v>10.755774724160116</v>
      </c>
      <c r="I95" s="522"/>
      <c r="J95" s="522">
        <f>INPUT!J905</f>
        <v>10.485073932361395</v>
      </c>
      <c r="K95" s="339">
        <f>INPUT!K905</f>
        <v>59.74007203884932</v>
      </c>
      <c r="L95" s="522">
        <f>INPUT!L905</f>
        <v>10.864549730074085</v>
      </c>
      <c r="M95" s="339">
        <f>INPUT!M905</f>
        <v>14.711917372791493</v>
      </c>
      <c r="N95" s="522">
        <f>INPUT!N905</f>
        <v>11.798718218398218</v>
      </c>
      <c r="O95" s="339">
        <f>INPUT!O905</f>
        <v>8.8802870791093724</v>
      </c>
      <c r="P95" s="522">
        <f>INPUT!P905</f>
        <v>11.686409471155629</v>
      </c>
      <c r="Q95" s="339">
        <f>INPUT!Q905</f>
        <v>8.6524194756987463</v>
      </c>
      <c r="R95" s="522">
        <f>INPUT!R905</f>
        <v>11.372319890073779</v>
      </c>
      <c r="S95" s="339">
        <f>INPUT!S905</f>
        <v>8.4619904774726038</v>
      </c>
      <c r="T95" s="522">
        <f>INPUT!T905</f>
        <v>10.854818242110593</v>
      </c>
      <c r="U95" s="339">
        <f>INPUT!U905</f>
        <v>-8.9571019556888842E-2</v>
      </c>
      <c r="V95" s="522">
        <f>INPUT!V905</f>
        <v>11.220987552348499</v>
      </c>
      <c r="W95" s="339">
        <f>INPUT!W905</f>
        <v>-4.8965544846120697</v>
      </c>
      <c r="X95" s="522">
        <f>INPUT!X905</f>
        <v>11.622288326834274</v>
      </c>
      <c r="Y95" s="339">
        <f>INPUT!Y905</f>
        <v>-0.54868130780132418</v>
      </c>
      <c r="Z95" s="522">
        <f>INPUT!Z905</f>
        <v>12.104621135689504</v>
      </c>
      <c r="AA95" s="339">
        <f>INPUT!AA905</f>
        <v>6.4393303450328343</v>
      </c>
      <c r="AB95" s="522">
        <f>INPUT!AB905</f>
        <v>12.660414988358998</v>
      </c>
      <c r="AC95" s="339">
        <f>INPUT!AC905</f>
        <v>16.634057853163341</v>
      </c>
      <c r="AD95" s="522">
        <f>INPUT!AD905</f>
        <v>12.485958829625266</v>
      </c>
      <c r="AE95" s="339">
        <f>INPUT!AE905</f>
        <v>11.273261567891279</v>
      </c>
      <c r="AF95" s="522">
        <f>INPUT!AF905</f>
        <v>13.35247500680185</v>
      </c>
      <c r="AG95" s="339">
        <f>INPUT!AG905</f>
        <v>14.8867988068478</v>
      </c>
      <c r="AH95" s="522">
        <f>INPUT!AH905</f>
        <v>13.234503292148689</v>
      </c>
      <c r="AI95" s="339">
        <f>INPUT!AI905</f>
        <v>9.3343041784911271</v>
      </c>
      <c r="AJ95" s="522">
        <f>INPUT!AJ905</f>
        <v>12.353623063067856</v>
      </c>
      <c r="AK95" s="339">
        <f>INPUT!AK905</f>
        <v>-2.4232375129348505</v>
      </c>
      <c r="AL95" s="522">
        <f>INPUT!AL905</f>
        <v>11.522005456904889</v>
      </c>
      <c r="AM95" s="339">
        <f>INPUT!AM905</f>
        <v>-7.7202991446136959</v>
      </c>
      <c r="AN95" s="522">
        <f>INPUT!AN905</f>
        <v>11.036942599815335</v>
      </c>
      <c r="AO95" s="339">
        <f>INPUT!AO905</f>
        <v>-17.34159701333996</v>
      </c>
      <c r="AP95" s="522">
        <f>INPUT!AP905</f>
        <v>12.231197915301069</v>
      </c>
      <c r="AQ95" s="339">
        <f>INPUT!AQ905</f>
        <v>-7.5809824872145164</v>
      </c>
      <c r="AR95" s="522">
        <f>INPUT!AR905</f>
        <v>12.702170703248896</v>
      </c>
      <c r="AS95" s="339">
        <f>INPUT!AS905</f>
        <v>2.8214203914238789</v>
      </c>
      <c r="AT95" s="522">
        <f>INPUT!AT905</f>
        <v>12.603763888716207</v>
      </c>
      <c r="AU95" s="339">
        <f>INPUT!AU905</f>
        <v>9.388629747289734</v>
      </c>
      <c r="AV95" s="522">
        <f>INPUT!AV905</f>
        <v>8.731243398401908</v>
      </c>
      <c r="AW95" s="339">
        <f>INPUT!AW905</f>
        <v>-20.890741983672221</v>
      </c>
      <c r="AX95" s="522">
        <f>INPUT!AX905</f>
        <v>8.773040247568451</v>
      </c>
      <c r="AY95" s="339">
        <f>INPUT!AY905</f>
        <v>-28.273254113617995</v>
      </c>
      <c r="AZ95" s="522">
        <f>INPUT!AZ905</f>
        <v>9.0560972747946469</v>
      </c>
      <c r="BA95" s="339">
        <f>INPUT!BA905</f>
        <v>-28.704333405956163</v>
      </c>
      <c r="BB95" s="522">
        <f>INPUT!BB905</f>
        <v>9.1395222111691155</v>
      </c>
      <c r="BC95" s="339">
        <f>INPUT!BC905</f>
        <v>-27.485770981861446</v>
      </c>
      <c r="BD95" s="522">
        <f>INPUT!BD905</f>
        <v>6.9062355530715465</v>
      </c>
      <c r="BE95" s="339">
        <f>INPUT!BE905</f>
        <v>-20.90203837020962</v>
      </c>
      <c r="BF95" s="522">
        <f>INPUT!BF905</f>
        <v>11.353055547919828</v>
      </c>
      <c r="BG95" s="339">
        <f>INPUT!BG905</f>
        <v>29.408451660374602</v>
      </c>
      <c r="BH95" s="522">
        <f>INPUT!BH905</f>
        <v>10.621985926803765</v>
      </c>
      <c r="BI95" s="339">
        <f>INPUT!BI905</f>
        <v>17.290987546781022</v>
      </c>
      <c r="BJ95" s="522">
        <f>INPUT!BJ905</f>
        <v>10.424175270073089</v>
      </c>
      <c r="BK95" s="339">
        <f>INPUT!BK905</f>
        <v>14.056019879617354</v>
      </c>
      <c r="BL95" s="522">
        <f>INPUT!BL905</f>
        <v>10.239331515506478</v>
      </c>
      <c r="BM95" s="339">
        <f>INPUT!BM905</f>
        <v>48.262123943231842</v>
      </c>
      <c r="BN95" s="347"/>
      <c r="BO95" s="522">
        <f>INPUT!BU905</f>
        <v>10.755774724160116</v>
      </c>
      <c r="BP95" s="340" t="str">
        <f>INPUT!BV905</f>
        <v>NA</v>
      </c>
      <c r="BQ95" s="522">
        <f>INPUT!BW905</f>
        <v>11.686409471155629</v>
      </c>
      <c r="BR95" s="340">
        <f>INPUT!BX905</f>
        <v>8.6524194756987463</v>
      </c>
      <c r="BS95" s="522">
        <f>INPUT!BY905</f>
        <v>11.622288326834274</v>
      </c>
      <c r="BT95" s="340">
        <f>INPUT!BZ905</f>
        <v>-0.54868130780132418</v>
      </c>
      <c r="BU95" s="522">
        <f>INPUT!CA905</f>
        <v>13.35247500680185</v>
      </c>
      <c r="BV95" s="340">
        <f>INPUT!CB905</f>
        <v>14.8867988068478</v>
      </c>
      <c r="BW95" s="522">
        <f>INPUT!CC905</f>
        <v>11.036942599815335</v>
      </c>
      <c r="BX95" s="340">
        <f>INPUT!CD905</f>
        <v>-17.34159701333996</v>
      </c>
      <c r="BY95" s="522">
        <f>INPUT!CE905</f>
        <v>15.089074834007985</v>
      </c>
      <c r="BZ95" s="340">
        <f>INPUT!CF905</f>
        <v>36.714263914541398</v>
      </c>
      <c r="CA95" s="522">
        <f>INPUT!CG905</f>
        <v>11.655312954876273</v>
      </c>
      <c r="CB95" s="340">
        <f>INPUT!CH905</f>
        <v>-22.756609778305613</v>
      </c>
      <c r="CC95" s="522">
        <f>INPUT!CI905</f>
        <v>10.239331515506478</v>
      </c>
      <c r="CD95" s="340">
        <f>INPUT!CJ905</f>
        <v>-12.148806684572</v>
      </c>
      <c r="CE95" s="522">
        <f>INPUT!CK905</f>
        <v>10.34065814671515</v>
      </c>
      <c r="CF95" s="340">
        <f>INPUT!CL905</f>
        <v>0.98958248451299635</v>
      </c>
      <c r="CG95" s="522">
        <f>INPUT!CM905</f>
        <v>10.476639779158479</v>
      </c>
      <c r="CH95" s="340">
        <f>INPUT!CN905</f>
        <v>1.3150191265777877</v>
      </c>
      <c r="CI95" s="522">
        <f>INPUT!CO905</f>
        <v>10.645008868011967</v>
      </c>
      <c r="CJ95" s="340">
        <f>INPUT!CP905</f>
        <v>1.6070905595936491</v>
      </c>
      <c r="CK95" s="522">
        <f>INPUT!CQ905</f>
        <v>10.844123028455689</v>
      </c>
      <c r="CL95" s="340">
        <f>INPUT!CR905</f>
        <v>1.8704931382636625</v>
      </c>
      <c r="CM95" s="610">
        <f>INPUT!CS905</f>
        <v>-1.4324187845718317</v>
      </c>
    </row>
    <row r="96" spans="1:91" s="331" customFormat="1" ht="12.75" customHeight="1" x14ac:dyDescent="0.2">
      <c r="A96" s="622" t="str">
        <f>INPUT!A906</f>
        <v>Equity to Total Assets (%)</v>
      </c>
      <c r="B96" s="522">
        <f>INPUT!B906</f>
        <v>3.4432638983505361</v>
      </c>
      <c r="C96" s="522"/>
      <c r="D96" s="522">
        <f>INPUT!D906</f>
        <v>5.0183903595799242</v>
      </c>
      <c r="E96" s="522"/>
      <c r="F96" s="522">
        <f>INPUT!F906</f>
        <v>6.2263052650945081</v>
      </c>
      <c r="G96" s="522"/>
      <c r="H96" s="522">
        <f>INPUT!H906</f>
        <v>6.0685415733339614</v>
      </c>
      <c r="I96" s="522"/>
      <c r="J96" s="522">
        <f>INPUT!J906</f>
        <v>5.6366086292776414</v>
      </c>
      <c r="K96" s="339">
        <f>INPUT!K906</f>
        <v>63.699582595972593</v>
      </c>
      <c r="L96" s="522">
        <f>INPUT!L906</f>
        <v>6.0814141757594893</v>
      </c>
      <c r="M96" s="339">
        <f>INPUT!M906</f>
        <v>21.182565324961054</v>
      </c>
      <c r="N96" s="522">
        <f>INPUT!N906</f>
        <v>6.4938429750908702</v>
      </c>
      <c r="O96" s="339">
        <f>INPUT!O906</f>
        <v>4.2968935605553149</v>
      </c>
      <c r="P96" s="522">
        <f>INPUT!P906</f>
        <v>6.4118631645395316</v>
      </c>
      <c r="Q96" s="339">
        <f>INPUT!Q906</f>
        <v>5.6573986856112812</v>
      </c>
      <c r="R96" s="522">
        <f>INPUT!R906</f>
        <v>6.063436721756851</v>
      </c>
      <c r="S96" s="339">
        <f>INPUT!S906</f>
        <v>7.5724273326727154</v>
      </c>
      <c r="T96" s="522">
        <f>INPUT!T906</f>
        <v>5.7440120484424755</v>
      </c>
      <c r="U96" s="339">
        <f>INPUT!U906</f>
        <v>-5.5480866384976402</v>
      </c>
      <c r="V96" s="522">
        <f>INPUT!V906</f>
        <v>5.8669969704794021</v>
      </c>
      <c r="W96" s="339">
        <f>INPUT!W906</f>
        <v>-9.6529282739962863</v>
      </c>
      <c r="X96" s="522">
        <f>INPUT!X906</f>
        <v>6.004889984399826</v>
      </c>
      <c r="Y96" s="339">
        <f>INPUT!Y906</f>
        <v>-6.3471906635570345</v>
      </c>
      <c r="Z96" s="522">
        <f>INPUT!Z906</f>
        <v>6.2643533396835132</v>
      </c>
      <c r="AA96" s="339">
        <f>INPUT!AA906</f>
        <v>3.3135765597376965</v>
      </c>
      <c r="AB96" s="522">
        <f>INPUT!AB906</f>
        <v>6.5184279062426009</v>
      </c>
      <c r="AC96" s="339">
        <f>INPUT!AC906</f>
        <v>13.4821419465879</v>
      </c>
      <c r="AD96" s="522">
        <f>INPUT!AD906</f>
        <v>6.5264609872859927</v>
      </c>
      <c r="AE96" s="339">
        <f>INPUT!AE906</f>
        <v>11.24023107775194</v>
      </c>
      <c r="AF96" s="522">
        <f>INPUT!AF906</f>
        <v>7.1150355593139221</v>
      </c>
      <c r="AG96" s="339">
        <f>INPUT!AG906</f>
        <v>18.487359098970281</v>
      </c>
      <c r="AH96" s="522">
        <f>INPUT!AH906</f>
        <v>7.0491375237636174</v>
      </c>
      <c r="AI96" s="339">
        <f>INPUT!AI906</f>
        <v>12.52777647628276</v>
      </c>
      <c r="AJ96" s="522">
        <f>INPUT!AJ906</f>
        <v>6.5563887475390032</v>
      </c>
      <c r="AK96" s="339">
        <f>INPUT!AK906</f>
        <v>0.58236191060805353</v>
      </c>
      <c r="AL96" s="522">
        <f>INPUT!AL906</f>
        <v>6.5319471522263157</v>
      </c>
      <c r="AM96" s="339">
        <f>INPUT!AM906</f>
        <v>8.4060334552082949E-2</v>
      </c>
      <c r="AN96" s="522">
        <f>INPUT!AN906</f>
        <v>6.156162485521163</v>
      </c>
      <c r="AO96" s="339">
        <f>INPUT!AO906</f>
        <v>-13.476715130925076</v>
      </c>
      <c r="AP96" s="522">
        <f>INPUT!AP906</f>
        <v>6.7573736832833573</v>
      </c>
      <c r="AQ96" s="339">
        <f>INPUT!AQ906</f>
        <v>-4.1390005443457945</v>
      </c>
      <c r="AR96" s="522">
        <f>INPUT!AR906</f>
        <v>7.0664871447511084</v>
      </c>
      <c r="AS96" s="339">
        <f>INPUT!AS906</f>
        <v>7.7801731540640517</v>
      </c>
      <c r="AT96" s="522">
        <f>INPUT!AT906</f>
        <v>6.9553778161595661</v>
      </c>
      <c r="AU96" s="339">
        <f>INPUT!AU906</f>
        <v>6.4824569774562635</v>
      </c>
      <c r="AV96" s="522">
        <f>INPUT!AV906</f>
        <v>6.0435993053430357</v>
      </c>
      <c r="AW96" s="339">
        <f>INPUT!AW906</f>
        <v>-1.8284634371309672</v>
      </c>
      <c r="AX96" s="522">
        <f>INPUT!AX906</f>
        <v>5.9300174673413162</v>
      </c>
      <c r="AY96" s="339">
        <f>INPUT!AY906</f>
        <v>-12.243754078434133</v>
      </c>
      <c r="AZ96" s="522">
        <f>INPUT!AZ906</f>
        <v>6.0641058072356895</v>
      </c>
      <c r="BA96" s="339">
        <f>INPUT!BA906</f>
        <v>-14.185001925036744</v>
      </c>
      <c r="BB96" s="522">
        <f>INPUT!BB906</f>
        <v>6.0145520034115636</v>
      </c>
      <c r="BC96" s="339">
        <f>INPUT!BC906</f>
        <v>-13.526595357079863</v>
      </c>
      <c r="BD96" s="522">
        <f>INPUT!BD906</f>
        <v>4.4977800945482</v>
      </c>
      <c r="BE96" s="339">
        <f>INPUT!BE906</f>
        <v>-25.577791191884693</v>
      </c>
      <c r="BF96" s="522">
        <f>INPUT!BF906</f>
        <v>5.9702544300847791</v>
      </c>
      <c r="BG96" s="339">
        <f>INPUT!BG906</f>
        <v>0.67853025669928346</v>
      </c>
      <c r="BH96" s="522">
        <f>INPUT!BH906</f>
        <v>5.5920332795251824</v>
      </c>
      <c r="BI96" s="339">
        <f>INPUT!BI906</f>
        <v>-7.7847013676316523</v>
      </c>
      <c r="BJ96" s="522">
        <f>INPUT!BJ906</f>
        <v>5.4940876632906299</v>
      </c>
      <c r="BK96" s="339">
        <f>INPUT!BK906</f>
        <v>-8.6534182400570643</v>
      </c>
      <c r="BL96" s="522">
        <f>INPUT!BL906</f>
        <v>5.402828172981752</v>
      </c>
      <c r="BM96" s="339">
        <f>INPUT!BM906</f>
        <v>20.122106003594276</v>
      </c>
      <c r="BN96" s="347"/>
      <c r="BO96" s="522">
        <f>INPUT!BU906</f>
        <v>6.0685415733339614</v>
      </c>
      <c r="BP96" s="340" t="str">
        <f>INPUT!BV906</f>
        <v>NA</v>
      </c>
      <c r="BQ96" s="522">
        <f>INPUT!BW906</f>
        <v>6.4118631645395316</v>
      </c>
      <c r="BR96" s="340">
        <f>INPUT!BX906</f>
        <v>5.6573986856112812</v>
      </c>
      <c r="BS96" s="522">
        <f>INPUT!BY906</f>
        <v>6.004889984399826</v>
      </c>
      <c r="BT96" s="340">
        <f>INPUT!BZ906</f>
        <v>-6.3471906635570345</v>
      </c>
      <c r="BU96" s="522">
        <f>INPUT!CA906</f>
        <v>7.1150355593139221</v>
      </c>
      <c r="BV96" s="340">
        <f>INPUT!CB906</f>
        <v>18.487359098970281</v>
      </c>
      <c r="BW96" s="522">
        <f>INPUT!CC906</f>
        <v>6.156162485521163</v>
      </c>
      <c r="BX96" s="340">
        <f>INPUT!CD906</f>
        <v>-13.476715130925076</v>
      </c>
      <c r="BY96" s="522">
        <f>INPUT!CE906</f>
        <v>8.5319716671175208</v>
      </c>
      <c r="BZ96" s="340">
        <f>INPUT!CF906</f>
        <v>38.592372881386481</v>
      </c>
      <c r="CA96" s="522">
        <f>INPUT!CG906</f>
        <v>6.1224614631759238</v>
      </c>
      <c r="CB96" s="340">
        <f>INPUT!CH906</f>
        <v>-28.240954118822536</v>
      </c>
      <c r="CC96" s="522">
        <f>INPUT!CI906</f>
        <v>5.402828172981752</v>
      </c>
      <c r="CD96" s="340">
        <f>INPUT!CJ906</f>
        <v>-11.753986440298048</v>
      </c>
      <c r="CE96" s="522">
        <f>INPUT!CK906</f>
        <v>5.4625966562486878</v>
      </c>
      <c r="CF96" s="340">
        <f>INPUT!CL906</f>
        <v>1.1062443844841008</v>
      </c>
      <c r="CG96" s="522">
        <f>INPUT!CM906</f>
        <v>5.5408961477739664</v>
      </c>
      <c r="CH96" s="340">
        <f>INPUT!CN906</f>
        <v>1.4333749396582496</v>
      </c>
      <c r="CI96" s="522">
        <f>INPUT!CO906</f>
        <v>5.6365923556567177</v>
      </c>
      <c r="CJ96" s="340">
        <f>INPUT!CP906</f>
        <v>1.7270890002368366</v>
      </c>
      <c r="CK96" s="522">
        <f>INPUT!CQ906</f>
        <v>5.7488781867662277</v>
      </c>
      <c r="CL96" s="340">
        <f>INPUT!CR906</f>
        <v>1.9920871339369262</v>
      </c>
      <c r="CM96" s="610">
        <f>INPUT!CS906</f>
        <v>-1.251294933303615</v>
      </c>
    </row>
    <row r="97" spans="1:147" s="331" customFormat="1" ht="12.75" customHeight="1" x14ac:dyDescent="0.2">
      <c r="A97" s="622" t="str">
        <f>INPUT!A907</f>
        <v>Oper Return on Avg Assets (%)</v>
      </c>
      <c r="B97" s="522">
        <f>INPUT!B907</f>
        <v>0.31352757907061723</v>
      </c>
      <c r="C97" s="522"/>
      <c r="D97" s="522">
        <f>INPUT!D907</f>
        <v>0.3772861205015498</v>
      </c>
      <c r="E97" s="522"/>
      <c r="F97" s="522">
        <f>INPUT!F907</f>
        <v>0.39341344382895416</v>
      </c>
      <c r="G97" s="522"/>
      <c r="H97" s="522">
        <f>INPUT!H907</f>
        <v>0.33845159881483516</v>
      </c>
      <c r="I97" s="522"/>
      <c r="J97" s="522">
        <f>INPUT!J907</f>
        <v>0.30186262392701357</v>
      </c>
      <c r="K97" s="339">
        <f>INPUT!K907</f>
        <v>-3.7205515311226622</v>
      </c>
      <c r="L97" s="522">
        <f>INPUT!L907</f>
        <v>0.24582694935337646</v>
      </c>
      <c r="M97" s="339">
        <f>INPUT!M907</f>
        <v>-34.843362637728767</v>
      </c>
      <c r="N97" s="522">
        <f>INPUT!N907</f>
        <v>0.33014422793236953</v>
      </c>
      <c r="O97" s="339">
        <f>INPUT!O907</f>
        <v>-16.082118414868518</v>
      </c>
      <c r="P97" s="522">
        <f>INPUT!P907</f>
        <v>0.25183927350554414</v>
      </c>
      <c r="Q97" s="339">
        <f>INPUT!Q907</f>
        <v>-25.590756732301955</v>
      </c>
      <c r="R97" s="522">
        <f>INPUT!R907</f>
        <v>0.30500118697972445</v>
      </c>
      <c r="S97" s="339">
        <f>INPUT!S907</f>
        <v>1.039732250346348</v>
      </c>
      <c r="T97" s="522">
        <f>INPUT!T907</f>
        <v>0.32294191315227966</v>
      </c>
      <c r="U97" s="339">
        <f>INPUT!U907</f>
        <v>31.36961346253797</v>
      </c>
      <c r="V97" s="522">
        <f>INPUT!V907</f>
        <v>0.52050028784560132</v>
      </c>
      <c r="W97" s="339">
        <f>INPUT!W907</f>
        <v>57.658454641292863</v>
      </c>
      <c r="X97" s="522">
        <f>INPUT!X907</f>
        <v>0.36141947208156061</v>
      </c>
      <c r="Y97" s="339">
        <f>INPUT!Y907</f>
        <v>43.511957865302577</v>
      </c>
      <c r="Z97" s="522">
        <f>INPUT!Z907</f>
        <v>0.27033258880818783</v>
      </c>
      <c r="AA97" s="339">
        <f>INPUT!AA907</f>
        <v>-11.36670926262372</v>
      </c>
      <c r="AB97" s="522">
        <f>INPUT!AB907</f>
        <v>0.37791911090777952</v>
      </c>
      <c r="AC97" s="339">
        <f>INPUT!AC907</f>
        <v>17.02386575308854</v>
      </c>
      <c r="AD97" s="522">
        <f>INPUT!AD907</f>
        <v>0.33840441856856313</v>
      </c>
      <c r="AE97" s="339">
        <f>INPUT!AE907</f>
        <v>-34.984777824187141</v>
      </c>
      <c r="AF97" s="522">
        <f>INPUT!AF907</f>
        <v>0.43445259615565712</v>
      </c>
      <c r="AG97" s="339">
        <f>INPUT!AG907</f>
        <v>20.207301962306911</v>
      </c>
      <c r="AH97" s="522">
        <f>INPUT!AH907</f>
        <v>0.3456393833369924</v>
      </c>
      <c r="AI97" s="339">
        <f>INPUT!AI907</f>
        <v>27.857090726948151</v>
      </c>
      <c r="AJ97" s="522">
        <f>INPUT!AJ907</f>
        <v>0.31342478694028292</v>
      </c>
      <c r="AK97" s="339">
        <f>INPUT!AK907</f>
        <v>-17.065642383783718</v>
      </c>
      <c r="AL97" s="522">
        <f>INPUT!AL907</f>
        <v>0.16748937729776742</v>
      </c>
      <c r="AM97" s="339" t="str">
        <f>INPUT!AM907</f>
        <v>NM</v>
      </c>
      <c r="AN97" s="522">
        <f>INPUT!AN907</f>
        <v>0.35892281412886462</v>
      </c>
      <c r="AO97" s="339">
        <f>INPUT!AO907</f>
        <v>-17.385045617205019</v>
      </c>
      <c r="AP97" s="522">
        <f>INPUT!AP907</f>
        <v>0.109742044842273</v>
      </c>
      <c r="AQ97" s="339" t="str">
        <f>INPUT!AQ907</f>
        <v>NM</v>
      </c>
      <c r="AR97" s="522">
        <f>INPUT!AR907</f>
        <v>0.16468667774970527</v>
      </c>
      <c r="AS97" s="339">
        <f>INPUT!AS907</f>
        <v>-47.455758251473846</v>
      </c>
      <c r="AT97" s="522">
        <f>INPUT!AT907</f>
        <v>-4.6073377067725831E-2</v>
      </c>
      <c r="AU97" s="339" t="str">
        <f>INPUT!AU907</f>
        <v>NM</v>
      </c>
      <c r="AV97" s="522">
        <f>INPUT!AV907</f>
        <v>0.18767497442548409</v>
      </c>
      <c r="AW97" s="339">
        <f>INPUT!AW907</f>
        <v>-47.711606217903203</v>
      </c>
      <c r="AX97" s="522">
        <f>INPUT!AX907</f>
        <v>0.18293127704013265</v>
      </c>
      <c r="AY97" s="339">
        <f>INPUT!AY907</f>
        <v>66.692061646063763</v>
      </c>
      <c r="AZ97" s="522">
        <f>INPUT!AZ907</f>
        <v>0.13302672829848364</v>
      </c>
      <c r="BA97" s="339">
        <f>INPUT!BA907</f>
        <v>-19.224353714475427</v>
      </c>
      <c r="BB97" s="522">
        <f>INPUT!BB907</f>
        <v>5.1336603739999383E-2</v>
      </c>
      <c r="BC97" s="339" t="str">
        <f>INPUT!BC907</f>
        <v>NM</v>
      </c>
      <c r="BD97" s="522">
        <f>INPUT!BD907</f>
        <v>0.2825739536506105</v>
      </c>
      <c r="BE97" s="339">
        <f>INPUT!BE907</f>
        <v>50.565601255912696</v>
      </c>
      <c r="BF97" s="522">
        <f>INPUT!BF907</f>
        <v>0.30665392989592594</v>
      </c>
      <c r="BG97" s="339">
        <f>INPUT!BG907</f>
        <v>67.633405756332323</v>
      </c>
      <c r="BH97" s="522">
        <f>INPUT!BH907</f>
        <v>0.41748630544128734</v>
      </c>
      <c r="BI97" s="339" t="str">
        <f>INPUT!BI907</f>
        <v>NM</v>
      </c>
      <c r="BJ97" s="522">
        <f>INPUT!BJ907</f>
        <v>0.43811962681374006</v>
      </c>
      <c r="BK97" s="339" t="str">
        <f>INPUT!BK907</f>
        <v>NM</v>
      </c>
      <c r="BL97" s="522">
        <f>INPUT!BL907</f>
        <v>0.45243421046094856</v>
      </c>
      <c r="BM97" s="339">
        <f>INPUT!BM907</f>
        <v>60.1117883003337</v>
      </c>
      <c r="BN97" s="347"/>
      <c r="BO97" s="522">
        <f>INPUT!BU907</f>
        <v>1.4303373545188733</v>
      </c>
      <c r="BP97" s="340" t="str">
        <f>INPUT!BV907</f>
        <v>NA</v>
      </c>
      <c r="BQ97" s="522">
        <f>INPUT!BW907</f>
        <v>1.1362473718173105</v>
      </c>
      <c r="BR97" s="340">
        <f>INPUT!BX907</f>
        <v>-20.560882491982934</v>
      </c>
      <c r="BS97" s="522">
        <f>INPUT!BY907</f>
        <v>1.5080607218642879</v>
      </c>
      <c r="BT97" s="340">
        <f>INPUT!BZ907</f>
        <v>32.722922778012695</v>
      </c>
      <c r="BU97" s="522">
        <f>INPUT!CA907</f>
        <v>1.4286380808382295</v>
      </c>
      <c r="BV97" s="340">
        <f>INPUT!CB907</f>
        <v>-5.2665413185667198</v>
      </c>
      <c r="BW97" s="522">
        <f>INPUT!CC907</f>
        <v>1.1946045231561233</v>
      </c>
      <c r="BX97" s="340">
        <f>INPUT!CD907</f>
        <v>-16.381584728918252</v>
      </c>
      <c r="BY97" s="522">
        <f>INPUT!CE907</f>
        <v>0.48505207889177582</v>
      </c>
      <c r="BZ97" s="340" t="str">
        <f>INPUT!CF907</f>
        <v>NM</v>
      </c>
      <c r="CA97" s="522">
        <f>INPUT!CG907</f>
        <v>0.90975718815036677</v>
      </c>
      <c r="CB97" s="340">
        <f>INPUT!CH907</f>
        <v>87.558661789253065</v>
      </c>
      <c r="CC97" s="522">
        <f>INPUT!CI907</f>
        <v>1.6711055971978295</v>
      </c>
      <c r="CD97" s="340">
        <f>INPUT!CJ907</f>
        <v>83.686990217177069</v>
      </c>
      <c r="CE97" s="522">
        <f>INPUT!CK907</f>
        <v>1.8368522339064806</v>
      </c>
      <c r="CF97" s="340">
        <f>INPUT!CL907</f>
        <v>9.9183819973184928</v>
      </c>
      <c r="CG97" s="522">
        <f>INPUT!CM907</f>
        <v>1.9019492661572392</v>
      </c>
      <c r="CH97" s="340">
        <f>INPUT!CN907</f>
        <v>3.5439449646047505</v>
      </c>
      <c r="CI97" s="522">
        <f>INPUT!CO907</f>
        <v>1.9633520792479837</v>
      </c>
      <c r="CJ97" s="340">
        <f>INPUT!CP907</f>
        <v>3.2284148785316935</v>
      </c>
      <c r="CK97" s="522">
        <f>INPUT!CQ907</f>
        <v>2.0223007256175114</v>
      </c>
      <c r="CL97" s="340">
        <f>INPUT!CR907</f>
        <v>3.002449076383007</v>
      </c>
      <c r="CM97" s="610">
        <f>INPUT!CS907</f>
        <v>17.323240118851778</v>
      </c>
    </row>
    <row r="98" spans="1:147" s="331" customFormat="1" ht="12.75" customHeight="1" x14ac:dyDescent="0.2">
      <c r="A98" s="622" t="str">
        <f>INPUT!A908</f>
        <v>Book Value per Share</v>
      </c>
      <c r="B98" s="523">
        <f>INPUT!B908</f>
        <v>31.095652173913045</v>
      </c>
      <c r="C98" s="523"/>
      <c r="D98" s="523">
        <f>INPUT!D908</f>
        <v>45.084782608695647</v>
      </c>
      <c r="E98" s="523"/>
      <c r="F98" s="523">
        <f>INPUT!F908</f>
        <v>53.853913043478265</v>
      </c>
      <c r="G98" s="523"/>
      <c r="H98" s="523">
        <f>INPUT!H908</f>
        <v>53.712608695652172</v>
      </c>
      <c r="I98" s="523"/>
      <c r="J98" s="523">
        <f>INPUT!J908</f>
        <v>51.434347826086963</v>
      </c>
      <c r="K98" s="339">
        <f>INPUT!K908</f>
        <v>65.406879194630889</v>
      </c>
      <c r="L98" s="523">
        <f>INPUT!L908</f>
        <v>55.833913043478255</v>
      </c>
      <c r="M98" s="339">
        <f>INPUT!M908</f>
        <v>23.842036742369444</v>
      </c>
      <c r="N98" s="523">
        <f>INPUT!N908</f>
        <v>60.480434782608697</v>
      </c>
      <c r="O98" s="339">
        <f>INPUT!O908</f>
        <v>12.304624426790678</v>
      </c>
      <c r="P98" s="523">
        <f>INPUT!P908</f>
        <v>60.325652173913049</v>
      </c>
      <c r="Q98" s="339">
        <f>INPUT!Q908</f>
        <v>12.311901504787981</v>
      </c>
      <c r="R98" s="523">
        <f>INPUT!R908</f>
        <v>58.20215237262731</v>
      </c>
      <c r="S98" s="339">
        <f>INPUT!S908</f>
        <v>13.15814204434762</v>
      </c>
      <c r="T98" s="523">
        <f>INPUT!T908</f>
        <v>47.820552147239255</v>
      </c>
      <c r="U98" s="339">
        <f>INPUT!U908</f>
        <v>-14.352139155998145</v>
      </c>
      <c r="V98" s="523">
        <f>INPUT!V908</f>
        <v>48.964723926380366</v>
      </c>
      <c r="W98" s="339">
        <f>INPUT!W908</f>
        <v>-19.040390330559763</v>
      </c>
      <c r="X98" s="523">
        <f>INPUT!X908</f>
        <v>50.715322888803975</v>
      </c>
      <c r="Y98" s="339">
        <f>INPUT!Y908</f>
        <v>-15.930750748294308</v>
      </c>
      <c r="Z98" s="523">
        <f>INPUT!Z908</f>
        <v>54.97251668629761</v>
      </c>
      <c r="AA98" s="339">
        <f>INPUT!AA908</f>
        <v>-5.5489969952530638</v>
      </c>
      <c r="AB98" s="523">
        <f>INPUT!AB908</f>
        <v>58.393951296150831</v>
      </c>
      <c r="AC98" s="339">
        <f>INPUT!AC908</f>
        <v>22.110575211168904</v>
      </c>
      <c r="AD98" s="523">
        <f>INPUT!AD908</f>
        <v>59.411931818181827</v>
      </c>
      <c r="AE98" s="339">
        <f>INPUT!AE908</f>
        <v>21.336192781376838</v>
      </c>
      <c r="AF98" s="523">
        <f>INPUT!AF908</f>
        <v>66.747416287722189</v>
      </c>
      <c r="AG98" s="339">
        <f>INPUT!AG908</f>
        <v>31.611932027070843</v>
      </c>
      <c r="AH98" s="523">
        <f>INPUT!AH908</f>
        <v>70.499563318777305</v>
      </c>
      <c r="AI98" s="339">
        <f>INPUT!AI908</f>
        <v>28.24510786196177</v>
      </c>
      <c r="AJ98" s="523">
        <f>INPUT!AJ908</f>
        <v>65.646486964206801</v>
      </c>
      <c r="AK98" s="339">
        <f>INPUT!AK908</f>
        <v>12.420011845531743</v>
      </c>
      <c r="AL98" s="523">
        <f>INPUT!AL908</f>
        <v>66.354389224338135</v>
      </c>
      <c r="AM98" s="339">
        <f>INPUT!AM908</f>
        <v>11.685291478826665</v>
      </c>
      <c r="AN98" s="523">
        <f>INPUT!AN908</f>
        <v>64.255380200860827</v>
      </c>
      <c r="AO98" s="339">
        <f>INPUT!AO908</f>
        <v>-3.7335319109868759</v>
      </c>
      <c r="AP98" s="523">
        <f>INPUT!AP908</f>
        <v>70.88872549019608</v>
      </c>
      <c r="AQ98" s="339">
        <f>INPUT!AQ908</f>
        <v>0.55200649918794031</v>
      </c>
      <c r="AR98" s="523">
        <f>INPUT!AR908</f>
        <v>76.617882117882132</v>
      </c>
      <c r="AS98" s="339">
        <f>INPUT!AS908</f>
        <v>16.71284429836648</v>
      </c>
      <c r="AT98" s="523">
        <f>INPUT!AT908</f>
        <v>78.139773895169569</v>
      </c>
      <c r="AU98" s="339">
        <f>INPUT!AU908</f>
        <v>17.761273683020605</v>
      </c>
      <c r="AV98" s="523">
        <f>INPUT!AV908</f>
        <v>66.775436793422401</v>
      </c>
      <c r="AW98" s="339">
        <f>INPUT!AW908</f>
        <v>3.9219386527383993</v>
      </c>
      <c r="AX98" s="523">
        <f>INPUT!AX908</f>
        <v>67.880463401790408</v>
      </c>
      <c r="AY98" s="339">
        <f>INPUT!AY908</f>
        <v>-4.2436396868521964</v>
      </c>
      <c r="AZ98" s="523">
        <f>INPUT!AZ908</f>
        <v>74.304396215915418</v>
      </c>
      <c r="BA98" s="339">
        <f>INPUT!BA908</f>
        <v>-3.0195116831958968</v>
      </c>
      <c r="BB98" s="523">
        <f>INPUT!BB908</f>
        <v>75.974401780745708</v>
      </c>
      <c r="BC98" s="339">
        <f>INPUT!BC908</f>
        <v>-2.771152265335286</v>
      </c>
      <c r="BD98" s="523">
        <f>INPUT!BD908</f>
        <v>58.191860465116278</v>
      </c>
      <c r="BE98" s="339">
        <f>INPUT!BE908</f>
        <v>-12.854391884938799</v>
      </c>
      <c r="BF98" s="523">
        <f>INPUT!BF908</f>
        <v>59.729103835100979</v>
      </c>
      <c r="BG98" s="339">
        <f>INPUT!BG908</f>
        <v>-12.008402945691188</v>
      </c>
      <c r="BH98" s="523">
        <f>INPUT!BH908</f>
        <v>58.239333478103795</v>
      </c>
      <c r="BI98" s="339">
        <f>INPUT!BI908</f>
        <v>-21.620608679908248</v>
      </c>
      <c r="BJ98" s="523">
        <f>INPUT!BJ908</f>
        <v>59.574596334336675</v>
      </c>
      <c r="BK98" s="339">
        <f>INPUT!BK908</f>
        <v>-21.585961931937526</v>
      </c>
      <c r="BL98" s="523">
        <f>INPUT!BL908</f>
        <v>61.014922070610311</v>
      </c>
      <c r="BM98" s="339">
        <f>INPUT!BM908</f>
        <v>4.8512997916372536</v>
      </c>
      <c r="BN98" s="347"/>
      <c r="BO98" s="523">
        <f>INPUT!BU908</f>
        <v>53.712608695652172</v>
      </c>
      <c r="BP98" s="340" t="str">
        <f>INPUT!BV908</f>
        <v>NA</v>
      </c>
      <c r="BQ98" s="523">
        <f>INPUT!BW908</f>
        <v>60.325652173913049</v>
      </c>
      <c r="BR98" s="340">
        <f>INPUT!BX908</f>
        <v>12.311901504787981</v>
      </c>
      <c r="BS98" s="523">
        <f>INPUT!BY908</f>
        <v>50.715322888803975</v>
      </c>
      <c r="BT98" s="340">
        <f>INPUT!BZ908</f>
        <v>-15.930750748294308</v>
      </c>
      <c r="BU98" s="523">
        <f>INPUT!CA908</f>
        <v>66.747416287722189</v>
      </c>
      <c r="BV98" s="340">
        <f>INPUT!CB908</f>
        <v>31.611932027070843</v>
      </c>
      <c r="BW98" s="523">
        <f>INPUT!CC908</f>
        <v>64.255380200860827</v>
      </c>
      <c r="BX98" s="340">
        <f>INPUT!CD908</f>
        <v>-3.7335319109868759</v>
      </c>
      <c r="BY98" s="523">
        <f>INPUT!CE908</f>
        <v>66.775436793422401</v>
      </c>
      <c r="BZ98" s="340">
        <f>INPUT!CF908</f>
        <v>3.9219386527383993</v>
      </c>
      <c r="CA98" s="523">
        <f>INPUT!CG908</f>
        <v>58.191860465116278</v>
      </c>
      <c r="CB98" s="340">
        <f>INPUT!CH908</f>
        <v>-12.854391884938799</v>
      </c>
      <c r="CC98" s="523">
        <f>INPUT!CI908</f>
        <v>61.014922070610311</v>
      </c>
      <c r="CD98" s="340">
        <f>INPUT!CJ908</f>
        <v>4.8512997916372536</v>
      </c>
      <c r="CE98" s="523">
        <f>INPUT!CK908</f>
        <v>66.98230827481845</v>
      </c>
      <c r="CF98" s="340">
        <f>INPUT!CL908</f>
        <v>9.7802078601400222</v>
      </c>
      <c r="CG98" s="523">
        <f>INPUT!CM908</f>
        <v>73.744815710712786</v>
      </c>
      <c r="CH98" s="340">
        <f>INPUT!CN908</f>
        <v>10.095960575363838</v>
      </c>
      <c r="CI98" s="523">
        <f>INPUT!CO908</f>
        <v>81.394018684011968</v>
      </c>
      <c r="CJ98" s="340">
        <f>INPUT!CP908</f>
        <v>10.372529783389229</v>
      </c>
      <c r="CK98" s="523">
        <f>INPUT!CQ908</f>
        <v>90.033906946700711</v>
      </c>
      <c r="CL98" s="340">
        <f>INPUT!CR908</f>
        <v>10.61489333292478</v>
      </c>
      <c r="CM98" s="610">
        <f>INPUT!CS908</f>
        <v>9.1211089330840203</v>
      </c>
    </row>
    <row r="99" spans="1:147" s="331" customFormat="1" ht="12.75" customHeight="1" x14ac:dyDescent="0.2">
      <c r="A99" s="633" t="s">
        <v>373</v>
      </c>
      <c r="B99" s="634">
        <f>INPUT!B781</f>
        <v>29.723926380368098</v>
      </c>
      <c r="C99" s="634"/>
      <c r="D99" s="634">
        <f>INPUT!D781</f>
        <v>42.060966257668703</v>
      </c>
      <c r="E99" s="634"/>
      <c r="F99" s="634">
        <f>INPUT!F781</f>
        <v>49.794478527607367</v>
      </c>
      <c r="G99" s="634"/>
      <c r="H99" s="634">
        <f>INPUT!H781</f>
        <v>49.669861963190179</v>
      </c>
      <c r="I99" s="634"/>
      <c r="J99" s="634">
        <f>INPUT!J781</f>
        <v>47.660659509202461</v>
      </c>
      <c r="K99" s="627">
        <f>INPUT!K781</f>
        <v>60.344427244582064</v>
      </c>
      <c r="L99" s="634">
        <f>INPUT!L781</f>
        <v>51.540644171779135</v>
      </c>
      <c r="M99" s="627">
        <f>INPUT!M781</f>
        <v>22.53794612334201</v>
      </c>
      <c r="N99" s="634">
        <f>INPUT!N781</f>
        <v>55.63842024539877</v>
      </c>
      <c r="O99" s="627">
        <f>INPUT!O781</f>
        <v>11.736123945050192</v>
      </c>
      <c r="P99" s="634">
        <f>INPUT!P781</f>
        <v>55.501917177914116</v>
      </c>
      <c r="Q99" s="627">
        <f>INPUT!Q781</f>
        <v>11.741637653525206</v>
      </c>
      <c r="R99" s="634">
        <f>INPUT!R781</f>
        <v>53.646855828220865</v>
      </c>
      <c r="S99" s="627">
        <f>INPUT!S781</f>
        <v>12.5600366857336</v>
      </c>
      <c r="T99" s="634">
        <f>INPUT!T781</f>
        <v>47.820552147239255</v>
      </c>
      <c r="U99" s="627">
        <f>INPUT!U781</f>
        <v>-7.2177833325893896</v>
      </c>
      <c r="V99" s="634">
        <f>INPUT!V781</f>
        <v>48.964723926380366</v>
      </c>
      <c r="W99" s="627">
        <f>INPUT!W781</f>
        <v>-11.994762413424764</v>
      </c>
      <c r="X99" s="634">
        <f>INPUT!X781</f>
        <v>50.890337423312879</v>
      </c>
      <c r="Y99" s="627">
        <f>INPUT!Y781</f>
        <v>-8.3088656916455506</v>
      </c>
      <c r="Z99" s="634">
        <f>INPUT!Z781</f>
        <v>53.686733128834355</v>
      </c>
      <c r="AA99" s="627">
        <f>INPUT!AA781</f>
        <v>7.4332968815871148E-2</v>
      </c>
      <c r="AB99" s="634">
        <f>INPUT!AB781</f>
        <v>57.005751533742334</v>
      </c>
      <c r="AC99" s="627">
        <f>INPUT!AC781</f>
        <v>19.207639757529126</v>
      </c>
      <c r="AD99" s="634">
        <f>INPUT!AD781</f>
        <v>56.131518404907979</v>
      </c>
      <c r="AE99" s="627">
        <f>INPUT!AE781</f>
        <v>14.636648394675023</v>
      </c>
      <c r="AF99" s="634">
        <f>INPUT!AF781</f>
        <v>61.91027607361962</v>
      </c>
      <c r="AG99" s="627">
        <f>INPUT!AG781</f>
        <v>21.654284896249298</v>
      </c>
      <c r="AH99" s="634">
        <f>INPUT!AH781</f>
        <v>61.903374233128837</v>
      </c>
      <c r="AI99" s="627">
        <f>INPUT!AI781</f>
        <v>15.304788772631506</v>
      </c>
      <c r="AJ99" s="634">
        <f>INPUT!AJ781</f>
        <v>56.962423312883431</v>
      </c>
      <c r="AK99" s="627">
        <f>INPUT!AK781</f>
        <v>-7.6006753166402152E-2</v>
      </c>
      <c r="AL99" s="634">
        <f>INPUT!AL781</f>
        <v>54.777990797546018</v>
      </c>
      <c r="AM99" s="627">
        <f>INPUT!AM781</f>
        <v>-2.4113504245479533</v>
      </c>
      <c r="AN99" s="634">
        <f>INPUT!AN781</f>
        <v>51.517638036809807</v>
      </c>
      <c r="AO99" s="627">
        <f>INPUT!AO781</f>
        <v>-16.786612329836125</v>
      </c>
      <c r="AP99" s="634">
        <f>INPUT!AP781</f>
        <v>55.449769938650299</v>
      </c>
      <c r="AQ99" s="627">
        <f>INPUT!AQ781</f>
        <v>-10.425286786749599</v>
      </c>
      <c r="AR99" s="634">
        <f>INPUT!AR781</f>
        <v>76.617882117882132</v>
      </c>
      <c r="AS99" s="627">
        <f>INPUT!AS781</f>
        <v>34.506008806955265</v>
      </c>
      <c r="AT99" s="634">
        <f>INPUT!AT781</f>
        <v>78.139773895169569</v>
      </c>
      <c r="AU99" s="627">
        <f>INPUT!AU781</f>
        <v>42.648119723789016</v>
      </c>
      <c r="AV99" s="634">
        <f>INPUT!AV781</f>
        <v>66.775436793422401</v>
      </c>
      <c r="AW99" s="627">
        <f>INPUT!AW781</f>
        <v>29.616650409536938</v>
      </c>
      <c r="AX99" s="634">
        <f>INPUT!AX781</f>
        <v>67.880463401790408</v>
      </c>
      <c r="AY99" s="627">
        <f>INPUT!AY781</f>
        <v>22.41793514543604</v>
      </c>
      <c r="AZ99" s="634">
        <f>INPUT!AZ781</f>
        <v>74.304396215915418</v>
      </c>
      <c r="BA99" s="627">
        <f>INPUT!BA781</f>
        <v>-3.0195116831958968</v>
      </c>
      <c r="BB99" s="634">
        <f>INPUT!BB781</f>
        <v>75.974401780745708</v>
      </c>
      <c r="BC99" s="627">
        <f>INPUT!BC781</f>
        <v>-2.771152265335286</v>
      </c>
      <c r="BD99" s="634">
        <f>INPUT!BD781</f>
        <v>58.191860465116278</v>
      </c>
      <c r="BE99" s="627">
        <f>INPUT!BE781</f>
        <v>-12.854391884938799</v>
      </c>
      <c r="BF99" s="634">
        <f>INPUT!BF781</f>
        <v>59.729103835100979</v>
      </c>
      <c r="BG99" s="627">
        <f>INPUT!BG781</f>
        <v>-12.008402945691188</v>
      </c>
      <c r="BH99" s="634">
        <f>INPUT!BH781</f>
        <v>58.239333478103795</v>
      </c>
      <c r="BI99" s="627">
        <f>INPUT!BI781</f>
        <v>-21.620608679908248</v>
      </c>
      <c r="BJ99" s="634">
        <f>INPUT!BJ781</f>
        <v>59.574596334336675</v>
      </c>
      <c r="BK99" s="627">
        <f>INPUT!BK781</f>
        <v>-21.585961931937526</v>
      </c>
      <c r="BL99" s="634">
        <f>INPUT!BL781</f>
        <v>61.014922070610311</v>
      </c>
      <c r="BM99" s="627">
        <f>INPUT!BM781</f>
        <v>4.8512997916372536</v>
      </c>
      <c r="BN99" s="628"/>
      <c r="BO99" s="634">
        <f>INPUT!BU781</f>
        <v>49.669861963190179</v>
      </c>
      <c r="BP99" s="629" t="str">
        <f>INPUT!BV781</f>
        <v>NA</v>
      </c>
      <c r="BQ99" s="634">
        <f>INPUT!BW781</f>
        <v>55.501917177914116</v>
      </c>
      <c r="BR99" s="629">
        <f>INPUT!BX781</f>
        <v>11.741637653525206</v>
      </c>
      <c r="BS99" s="634">
        <f>INPUT!BY781</f>
        <v>50.715322888803975</v>
      </c>
      <c r="BT99" s="629">
        <f>INPUT!BZ781</f>
        <v>-8.6241963025646129</v>
      </c>
      <c r="BU99" s="634">
        <f>INPUT!CA781</f>
        <v>66.747416287722189</v>
      </c>
      <c r="BV99" s="629">
        <f>INPUT!CB781</f>
        <v>31.611932027070843</v>
      </c>
      <c r="BW99" s="634">
        <f>INPUT!CC781</f>
        <v>64.255380200860827</v>
      </c>
      <c r="BX99" s="629">
        <f>INPUT!CD781</f>
        <v>-3.7335319109868759</v>
      </c>
      <c r="BY99" s="634">
        <f>INPUT!CE781</f>
        <v>66.775436793422401</v>
      </c>
      <c r="BZ99" s="629">
        <f>INPUT!CF781</f>
        <v>3.9219386527383993</v>
      </c>
      <c r="CA99" s="634">
        <f>INPUT!CG781</f>
        <v>58.191860465116278</v>
      </c>
      <c r="CB99" s="629">
        <f>INPUT!CH781</f>
        <v>-12.854391884938799</v>
      </c>
      <c r="CC99" s="634">
        <f>INPUT!CI781</f>
        <v>61.014922070610311</v>
      </c>
      <c r="CD99" s="629">
        <f>INPUT!CJ781</f>
        <v>4.8512997916372536</v>
      </c>
      <c r="CE99" s="634">
        <f>INPUT!CK781</f>
        <v>66.98230827481845</v>
      </c>
      <c r="CF99" s="629">
        <f>INPUT!CL781</f>
        <v>9.7802078601400222</v>
      </c>
      <c r="CG99" s="634">
        <f>INPUT!CM781</f>
        <v>73.744815710712786</v>
      </c>
      <c r="CH99" s="629">
        <f>INPUT!CN781</f>
        <v>10.095960575363838</v>
      </c>
      <c r="CI99" s="634">
        <f>INPUT!CO781</f>
        <v>81.394018684011968</v>
      </c>
      <c r="CJ99" s="629">
        <f>INPUT!CP781</f>
        <v>10.372529783389229</v>
      </c>
      <c r="CK99" s="634">
        <f>INPUT!CQ781</f>
        <v>90.033906946700711</v>
      </c>
      <c r="CL99" s="629">
        <f>INPUT!CR781</f>
        <v>10.61489333292478</v>
      </c>
      <c r="CM99" s="630">
        <f>INPUT!CS781</f>
        <v>0</v>
      </c>
    </row>
    <row r="100" spans="1:147" s="331" customFormat="1" x14ac:dyDescent="0.2">
      <c r="A100" s="377"/>
      <c r="B100" s="345"/>
      <c r="C100" s="345"/>
      <c r="D100" s="345"/>
      <c r="E100" s="345"/>
      <c r="F100" s="345"/>
      <c r="G100" s="345"/>
      <c r="H100" s="345"/>
      <c r="I100" s="345"/>
      <c r="J100" s="345"/>
      <c r="K100" s="346"/>
      <c r="L100" s="345"/>
      <c r="M100" s="346"/>
      <c r="N100" s="345"/>
      <c r="O100" s="346"/>
      <c r="P100" s="345"/>
      <c r="Q100" s="346"/>
      <c r="R100" s="345"/>
      <c r="S100" s="346"/>
      <c r="T100" s="345"/>
      <c r="U100" s="346"/>
      <c r="V100" s="345"/>
      <c r="W100" s="346"/>
      <c r="X100" s="345"/>
      <c r="Y100" s="346"/>
      <c r="Z100" s="345"/>
      <c r="AA100" s="346"/>
      <c r="AB100" s="345"/>
      <c r="AC100" s="346"/>
      <c r="AD100" s="345"/>
      <c r="AE100" s="346"/>
      <c r="AF100" s="345"/>
      <c r="AG100" s="346"/>
      <c r="AH100" s="345"/>
      <c r="AI100" s="346"/>
      <c r="AJ100" s="345"/>
      <c r="AK100" s="346"/>
      <c r="AL100" s="345"/>
      <c r="AM100" s="346"/>
      <c r="AN100" s="345"/>
      <c r="AO100" s="346"/>
      <c r="AP100" s="345"/>
      <c r="AQ100" s="346"/>
      <c r="AR100" s="345"/>
      <c r="AS100" s="346"/>
      <c r="AT100" s="345"/>
      <c r="AU100" s="346"/>
      <c r="AV100" s="345"/>
      <c r="AW100" s="346"/>
      <c r="AX100" s="345"/>
      <c r="AY100" s="346"/>
      <c r="AZ100" s="345"/>
      <c r="BA100" s="346"/>
      <c r="BB100" s="345"/>
      <c r="BC100" s="346"/>
      <c r="BD100" s="345"/>
      <c r="BE100" s="346"/>
      <c r="BF100" s="345"/>
      <c r="BG100" s="346"/>
      <c r="BH100" s="345"/>
      <c r="BI100" s="346"/>
      <c r="BJ100" s="345"/>
      <c r="BK100" s="346"/>
      <c r="BL100" s="345"/>
      <c r="BM100" s="346"/>
      <c r="BN100" s="347"/>
      <c r="BO100" s="345"/>
      <c r="BP100" s="364"/>
      <c r="BQ100" s="345"/>
      <c r="BR100" s="364"/>
      <c r="BS100" s="345"/>
      <c r="BT100" s="364"/>
      <c r="BU100" s="345"/>
      <c r="BV100" s="364"/>
      <c r="BW100" s="345"/>
      <c r="BX100" s="364"/>
      <c r="BY100" s="345"/>
      <c r="BZ100" s="364"/>
      <c r="CA100" s="345"/>
      <c r="CB100" s="364"/>
      <c r="CC100" s="345"/>
      <c r="CD100" s="364"/>
      <c r="CE100" s="345"/>
      <c r="CF100" s="364"/>
      <c r="CG100" s="345"/>
      <c r="CH100" s="364"/>
      <c r="CI100" s="345"/>
      <c r="CJ100" s="364"/>
      <c r="CK100" s="345"/>
      <c r="CL100" s="364"/>
      <c r="CM100" s="346"/>
    </row>
    <row r="101" spans="1:147" s="380" customFormat="1" ht="12" customHeight="1" x14ac:dyDescent="0.2">
      <c r="A101" s="295" t="s">
        <v>253</v>
      </c>
      <c r="B101" s="379"/>
      <c r="C101" s="379"/>
      <c r="D101" s="339"/>
      <c r="E101" s="379"/>
      <c r="F101" s="379"/>
      <c r="G101" s="379"/>
      <c r="H101" s="339"/>
      <c r="I101" s="379"/>
      <c r="J101" s="379"/>
      <c r="K101" s="339"/>
      <c r="L101" s="379"/>
      <c r="M101" s="339"/>
      <c r="N101" s="379"/>
      <c r="O101" s="339"/>
      <c r="P101" s="379"/>
      <c r="Q101" s="339"/>
      <c r="R101" s="379"/>
      <c r="S101" s="339"/>
      <c r="T101" s="379"/>
      <c r="U101" s="339"/>
      <c r="V101" s="379"/>
      <c r="W101" s="339"/>
      <c r="X101" s="379"/>
      <c r="Y101" s="339"/>
      <c r="Z101" s="379"/>
      <c r="AA101" s="339"/>
      <c r="AB101" s="379"/>
      <c r="AC101" s="339"/>
      <c r="AD101" s="379"/>
      <c r="AE101" s="339"/>
      <c r="AF101" s="379"/>
      <c r="AG101" s="339"/>
      <c r="AH101" s="379"/>
      <c r="AI101" s="339"/>
      <c r="AJ101" s="379"/>
      <c r="AK101" s="339"/>
      <c r="AL101" s="379"/>
      <c r="AM101" s="339"/>
      <c r="AN101" s="379"/>
      <c r="AO101" s="339"/>
      <c r="AP101" s="379"/>
      <c r="AQ101" s="339"/>
      <c r="AR101" s="379"/>
      <c r="AS101" s="339"/>
      <c r="AT101" s="379"/>
      <c r="AU101" s="339"/>
      <c r="AV101" s="379"/>
      <c r="AW101" s="339"/>
      <c r="AX101" s="379"/>
      <c r="AY101" s="339"/>
      <c r="AZ101" s="379"/>
      <c r="BA101" s="339"/>
      <c r="BB101" s="379"/>
      <c r="BC101" s="339"/>
      <c r="BD101" s="379"/>
      <c r="BE101" s="339"/>
      <c r="BF101" s="379"/>
      <c r="BG101" s="339"/>
      <c r="BH101" s="379"/>
      <c r="BI101" s="339"/>
      <c r="BJ101" s="379"/>
      <c r="BK101" s="339"/>
      <c r="BL101" s="379"/>
      <c r="BM101" s="339"/>
      <c r="BN101" s="379"/>
      <c r="BO101" s="339"/>
      <c r="BP101" s="340"/>
      <c r="BQ101" s="339"/>
      <c r="BR101" s="340"/>
      <c r="BS101" s="339"/>
      <c r="BT101" s="340"/>
      <c r="BU101" s="339"/>
      <c r="BV101" s="340"/>
      <c r="BW101" s="339"/>
      <c r="BX101" s="340"/>
      <c r="BY101" s="339"/>
      <c r="BZ101" s="340"/>
      <c r="CA101" s="339"/>
      <c r="CB101" s="340"/>
      <c r="CC101" s="339"/>
      <c r="CD101" s="340"/>
      <c r="CE101" s="339"/>
      <c r="CF101" s="340"/>
      <c r="CG101" s="339"/>
      <c r="CH101" s="340"/>
      <c r="CI101" s="339"/>
      <c r="CJ101" s="340"/>
      <c r="CK101" s="339"/>
      <c r="CL101" s="340"/>
      <c r="CM101" s="339"/>
      <c r="CN101" s="379"/>
      <c r="CO101" s="339"/>
      <c r="CP101" s="379"/>
      <c r="CQ101" s="339"/>
      <c r="CR101" s="379"/>
      <c r="CS101" s="339"/>
      <c r="CT101" s="379"/>
      <c r="CU101" s="339"/>
      <c r="CV101" s="379"/>
      <c r="CW101" s="339"/>
      <c r="CX101" s="379"/>
      <c r="CY101" s="339"/>
      <c r="CZ101" s="379"/>
      <c r="DA101" s="339"/>
      <c r="DB101" s="379"/>
      <c r="DC101" s="339"/>
      <c r="DD101" s="379"/>
      <c r="DE101" s="339"/>
      <c r="DF101" s="379"/>
      <c r="DG101" s="339"/>
      <c r="DH101" s="379"/>
      <c r="DI101" s="339"/>
      <c r="DJ101" s="379"/>
      <c r="DK101" s="339"/>
      <c r="DL101" s="379"/>
      <c r="DM101" s="339"/>
      <c r="DN101" s="379"/>
      <c r="DO101" s="339"/>
      <c r="DP101" s="369"/>
      <c r="DQ101" s="379"/>
      <c r="DR101" s="339"/>
      <c r="DS101" s="379"/>
      <c r="DT101" s="339"/>
      <c r="DU101" s="379"/>
      <c r="DV101" s="339"/>
      <c r="DW101" s="379"/>
      <c r="DX101" s="339"/>
      <c r="DY101" s="379"/>
      <c r="DZ101" s="339"/>
      <c r="EA101" s="379"/>
      <c r="EB101" s="339"/>
      <c r="EC101" s="379"/>
      <c r="ED101" s="339"/>
      <c r="EE101" s="379"/>
      <c r="EF101" s="339"/>
      <c r="EG101" s="379"/>
      <c r="EH101" s="339"/>
      <c r="EI101" s="379"/>
      <c r="EJ101" s="339"/>
      <c r="EK101" s="379"/>
      <c r="EL101" s="339"/>
      <c r="EM101" s="379"/>
      <c r="EN101" s="339"/>
      <c r="EO101" s="379"/>
      <c r="EP101" s="339"/>
      <c r="EQ101" s="339"/>
    </row>
    <row r="102" spans="1:147" s="380" customFormat="1" ht="12" customHeight="1" x14ac:dyDescent="0.2">
      <c r="A102" s="295" t="s">
        <v>258</v>
      </c>
      <c r="B102" s="379"/>
      <c r="C102" s="379"/>
      <c r="D102" s="339"/>
      <c r="E102" s="379"/>
      <c r="F102" s="379"/>
      <c r="G102" s="379"/>
      <c r="H102" s="339"/>
      <c r="I102" s="379"/>
      <c r="J102" s="379"/>
      <c r="K102" s="339"/>
      <c r="L102" s="379"/>
      <c r="M102" s="339"/>
      <c r="N102" s="379"/>
      <c r="O102" s="339"/>
      <c r="P102" s="379"/>
      <c r="Q102" s="339"/>
      <c r="R102" s="379"/>
      <c r="S102" s="339"/>
      <c r="T102" s="379"/>
      <c r="U102" s="339"/>
      <c r="V102" s="379"/>
      <c r="W102" s="339"/>
      <c r="X102" s="379"/>
      <c r="Y102" s="339"/>
      <c r="Z102" s="379"/>
      <c r="AA102" s="339"/>
      <c r="AB102" s="379"/>
      <c r="AC102" s="339"/>
      <c r="AD102" s="379"/>
      <c r="AE102" s="339"/>
      <c r="AF102" s="379"/>
      <c r="AG102" s="339"/>
      <c r="AH102" s="379"/>
      <c r="AI102" s="339"/>
      <c r="AJ102" s="379"/>
      <c r="AK102" s="339"/>
      <c r="AL102" s="379"/>
      <c r="AM102" s="339"/>
      <c r="AN102" s="379"/>
      <c r="AO102" s="339"/>
      <c r="AP102" s="379"/>
      <c r="AQ102" s="339"/>
      <c r="AR102" s="379"/>
      <c r="AS102" s="339"/>
      <c r="AT102" s="379"/>
      <c r="AU102" s="339"/>
      <c r="AV102" s="379"/>
      <c r="AW102" s="339"/>
      <c r="AX102" s="379"/>
      <c r="AY102" s="339"/>
      <c r="AZ102" s="379"/>
      <c r="BA102" s="339"/>
      <c r="BB102" s="379"/>
      <c r="BC102" s="339"/>
      <c r="BD102" s="379"/>
      <c r="BE102" s="339"/>
      <c r="BF102" s="379"/>
      <c r="BG102" s="339"/>
      <c r="BH102" s="379"/>
      <c r="BI102" s="339"/>
      <c r="BJ102" s="379"/>
      <c r="BK102" s="339"/>
      <c r="BL102" s="379"/>
      <c r="BM102" s="339"/>
      <c r="BN102" s="379"/>
      <c r="BO102" s="339"/>
      <c r="BP102" s="340"/>
      <c r="BQ102" s="339"/>
      <c r="BR102" s="340"/>
      <c r="BS102" s="339"/>
      <c r="BT102" s="340"/>
      <c r="BU102" s="339"/>
      <c r="BV102" s="340"/>
      <c r="BW102" s="339"/>
      <c r="BX102" s="340"/>
      <c r="BY102" s="339"/>
      <c r="BZ102" s="340"/>
      <c r="CA102" s="339"/>
      <c r="CB102" s="340"/>
      <c r="CC102" s="339"/>
      <c r="CD102" s="340"/>
      <c r="CE102" s="339"/>
      <c r="CF102" s="340"/>
      <c r="CG102" s="339"/>
      <c r="CH102" s="340"/>
      <c r="CI102" s="339"/>
      <c r="CJ102" s="340"/>
      <c r="CK102" s="339"/>
      <c r="CL102" s="340"/>
      <c r="CM102" s="339"/>
      <c r="CN102" s="379"/>
      <c r="CO102" s="339"/>
      <c r="CP102" s="379"/>
      <c r="CQ102" s="339"/>
      <c r="CR102" s="379"/>
      <c r="CS102" s="339"/>
      <c r="CT102" s="379"/>
      <c r="CU102" s="339"/>
      <c r="CV102" s="379"/>
      <c r="CW102" s="339"/>
      <c r="CX102" s="379"/>
      <c r="CY102" s="339"/>
      <c r="CZ102" s="379"/>
      <c r="DA102" s="339"/>
      <c r="DB102" s="379"/>
      <c r="DC102" s="339"/>
      <c r="DD102" s="379"/>
      <c r="DE102" s="339"/>
      <c r="DF102" s="379"/>
      <c r="DG102" s="339"/>
      <c r="DH102" s="379"/>
      <c r="DI102" s="339"/>
      <c r="DJ102" s="379"/>
      <c r="DK102" s="339"/>
      <c r="DL102" s="379"/>
      <c r="DM102" s="339"/>
      <c r="DN102" s="379"/>
      <c r="DO102" s="339"/>
      <c r="DP102" s="369"/>
      <c r="DQ102" s="379"/>
      <c r="DR102" s="339"/>
      <c r="DS102" s="379"/>
      <c r="DT102" s="339"/>
      <c r="DU102" s="379"/>
      <c r="DV102" s="339"/>
      <c r="DW102" s="379"/>
      <c r="DX102" s="339"/>
      <c r="DY102" s="379"/>
      <c r="DZ102" s="339"/>
      <c r="EA102" s="379"/>
      <c r="EB102" s="339"/>
      <c r="EC102" s="379"/>
      <c r="ED102" s="339"/>
      <c r="EE102" s="379"/>
      <c r="EF102" s="339"/>
      <c r="EG102" s="379"/>
      <c r="EH102" s="339"/>
      <c r="EI102" s="379"/>
      <c r="EJ102" s="339"/>
      <c r="EK102" s="379"/>
      <c r="EL102" s="339"/>
      <c r="EM102" s="379"/>
      <c r="EN102" s="339"/>
      <c r="EO102" s="379"/>
      <c r="EP102" s="339"/>
      <c r="EQ102" s="339"/>
    </row>
  </sheetData>
  <phoneticPr fontId="9" type="noConversion"/>
  <pageMargins left="0" right="0" top="0" bottom="0" header="0" footer="0"/>
  <pageSetup paperSize="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X98"/>
  <sheetViews>
    <sheetView showGridLines="0" workbookViewId="0">
      <pane xSplit="1" ySplit="5" topLeftCell="AV6" activePane="bottomRight" state="frozen"/>
      <selection pane="topRight" activeCell="B1" sqref="B1"/>
      <selection pane="bottomLeft" activeCell="A6" sqref="A6"/>
      <selection pane="bottomRight" activeCell="A16" sqref="A16"/>
    </sheetView>
  </sheetViews>
  <sheetFormatPr defaultRowHeight="12.75" outlineLevelRow="1" outlineLevelCol="1" x14ac:dyDescent="0.2"/>
  <cols>
    <col min="1" max="1" width="35.7109375" style="296" customWidth="1"/>
    <col min="2" max="2" width="7.42578125" style="296" hidden="1" customWidth="1" outlineLevel="1"/>
    <col min="3" max="3" width="7.42578125" style="297" hidden="1" customWidth="1" outlineLevel="1"/>
    <col min="4" max="4" width="7.42578125" style="296" hidden="1" customWidth="1" outlineLevel="1"/>
    <col min="5" max="5" width="7.42578125" style="297" hidden="1" customWidth="1" outlineLevel="1"/>
    <col min="6" max="6" width="7.42578125" style="296" hidden="1" customWidth="1" outlineLevel="1"/>
    <col min="7" max="7" width="7.42578125" style="297" hidden="1" customWidth="1" outlineLevel="1"/>
    <col min="8" max="8" width="7.42578125" style="296" hidden="1" customWidth="1" outlineLevel="1"/>
    <col min="9" max="9" width="7.42578125" style="297" hidden="1" customWidth="1" outlineLevel="1"/>
    <col min="10" max="10" width="7.42578125" style="296" hidden="1" customWidth="1" outlineLevel="1" collapsed="1"/>
    <col min="11" max="11" width="7.42578125" style="297" hidden="1" customWidth="1" outlineLevel="1"/>
    <col min="12" max="12" width="7.42578125" style="296" hidden="1" customWidth="1" outlineLevel="1" collapsed="1"/>
    <col min="13" max="13" width="7.42578125" style="297" hidden="1" customWidth="1" outlineLevel="1"/>
    <col min="14" max="14" width="7.42578125" style="296" hidden="1" customWidth="1" outlineLevel="1" collapsed="1"/>
    <col min="15" max="15" width="7.42578125" style="297" hidden="1" customWidth="1" outlineLevel="1"/>
    <col min="16" max="16" width="7.42578125" style="296" hidden="1" customWidth="1" outlineLevel="1" collapsed="1"/>
    <col min="17" max="17" width="7.42578125" style="297" hidden="1" customWidth="1" outlineLevel="1"/>
    <col min="18" max="18" width="7.42578125" style="296" hidden="1" customWidth="1" outlineLevel="1" collapsed="1"/>
    <col min="19" max="19" width="7.42578125" style="297" hidden="1" customWidth="1" outlineLevel="1"/>
    <col min="20" max="20" width="7.42578125" style="296" hidden="1" customWidth="1" outlineLevel="1" collapsed="1"/>
    <col min="21" max="21" width="7.42578125" style="297" hidden="1" customWidth="1" outlineLevel="1"/>
    <col min="22" max="22" width="7.42578125" style="296" hidden="1" customWidth="1" outlineLevel="1" collapsed="1"/>
    <col min="23" max="23" width="7.42578125" style="297" hidden="1" customWidth="1" outlineLevel="1"/>
    <col min="24" max="24" width="7.42578125" style="296" hidden="1" customWidth="1" outlineLevel="1"/>
    <col min="25" max="25" width="7.42578125" style="297" hidden="1" customWidth="1" outlineLevel="1"/>
    <col min="26" max="26" width="7.42578125" style="296" hidden="1" customWidth="1" outlineLevel="1"/>
    <col min="27" max="27" width="7.42578125" style="297" hidden="1" customWidth="1" outlineLevel="1"/>
    <col min="28" max="28" width="7.42578125" style="296" hidden="1" customWidth="1" outlineLevel="1"/>
    <col min="29" max="29" width="7.42578125" style="297" hidden="1" customWidth="1" outlineLevel="1"/>
    <col min="30" max="30" width="7.42578125" style="296" hidden="1" customWidth="1" outlineLevel="1"/>
    <col min="31" max="31" width="7.42578125" style="297" hidden="1" customWidth="1" outlineLevel="1"/>
    <col min="32" max="32" width="7.42578125" style="296" hidden="1" customWidth="1" outlineLevel="1"/>
    <col min="33" max="33" width="7.42578125" style="297" hidden="1" customWidth="1" outlineLevel="1"/>
    <col min="34" max="34" width="7.42578125" style="296" customWidth="1" collapsed="1"/>
    <col min="35" max="35" width="7.42578125" style="297" hidden="1" customWidth="1" outlineLevel="1"/>
    <col min="36" max="36" width="7.42578125" style="296" customWidth="1" collapsed="1"/>
    <col min="37" max="37" width="7.42578125" style="297" hidden="1" customWidth="1" outlineLevel="1"/>
    <col min="38" max="38" width="7.42578125" style="296" customWidth="1" collapsed="1"/>
    <col min="39" max="39" width="7.42578125" style="297" hidden="1" customWidth="1" outlineLevel="1"/>
    <col min="40" max="40" width="7.42578125" style="296" customWidth="1" collapsed="1"/>
    <col min="41" max="41" width="7.42578125" style="297" hidden="1" customWidth="1" outlineLevel="1"/>
    <col min="42" max="42" width="7.42578125" style="296" customWidth="1" collapsed="1"/>
    <col min="43" max="43" width="7.42578125" style="297" hidden="1" customWidth="1" outlineLevel="1"/>
    <col min="44" max="44" width="7.42578125" style="296" customWidth="1" collapsed="1"/>
    <col min="45" max="45" width="7.42578125" style="297" hidden="1" customWidth="1" outlineLevel="1"/>
    <col min="46" max="46" width="7.42578125" style="296" customWidth="1" collapsed="1"/>
    <col min="47" max="47" width="7.42578125" style="297" hidden="1" customWidth="1" outlineLevel="1"/>
    <col min="48" max="48" width="7.42578125" style="296" customWidth="1" collapsed="1"/>
    <col min="49" max="49" width="7.42578125" style="297" hidden="1" customWidth="1" outlineLevel="1"/>
    <col min="50" max="50" width="7.42578125" style="296" customWidth="1" collapsed="1"/>
    <col min="51" max="51" width="7.42578125" style="297" hidden="1" customWidth="1" outlineLevel="1"/>
    <col min="52" max="52" width="7.42578125" style="296" customWidth="1" collapsed="1"/>
    <col min="53" max="53" width="7.42578125" style="297" hidden="1" customWidth="1" outlineLevel="1"/>
    <col min="54" max="54" width="7.42578125" style="296" customWidth="1" collapsed="1"/>
    <col min="55" max="55" width="7.42578125" style="297" hidden="1" customWidth="1" outlineLevel="1"/>
    <col min="56" max="56" width="7.42578125" style="296" customWidth="1" collapsed="1"/>
    <col min="57" max="57" width="7.42578125" style="297" hidden="1" customWidth="1" outlineLevel="1"/>
    <col min="58" max="58" width="0.85546875" style="303" customWidth="1" collapsed="1"/>
    <col min="59" max="59" width="7.42578125" style="296" hidden="1" customWidth="1" outlineLevel="1"/>
    <col min="60" max="60" width="7.42578125" style="297" hidden="1" customWidth="1" outlineLevel="1"/>
    <col min="61" max="61" width="7.42578125" style="296" hidden="1" customWidth="1" outlineLevel="1"/>
    <col min="62" max="62" width="7.42578125" style="297" hidden="1" customWidth="1" outlineLevel="1"/>
    <col min="63" max="63" width="7.42578125" style="296" customWidth="1" collapsed="1"/>
    <col min="64" max="64" width="7.42578125" style="297" hidden="1" customWidth="1" outlineLevel="1"/>
    <col min="65" max="65" width="7.42578125" style="296" customWidth="1" collapsed="1"/>
    <col min="66" max="66" width="7.42578125" style="297" hidden="1" customWidth="1" outlineLevel="1"/>
    <col min="67" max="67" width="7.42578125" style="296" customWidth="1" collapsed="1"/>
    <col min="68" max="68" width="7.42578125" style="297" hidden="1" customWidth="1" outlineLevel="1"/>
    <col min="69" max="69" width="7.42578125" style="296" customWidth="1" collapsed="1"/>
    <col min="70" max="70" width="7.42578125" style="297" hidden="1" customWidth="1" outlineLevel="1"/>
    <col min="71" max="71" width="7.42578125" style="296" customWidth="1" collapsed="1"/>
    <col min="72" max="72" width="7.42578125" style="297" hidden="1" customWidth="1" outlineLevel="1"/>
    <col min="73" max="73" width="7.42578125" style="296" customWidth="1" collapsed="1"/>
    <col min="74" max="74" width="7.42578125" style="297" hidden="1" customWidth="1" outlineLevel="1"/>
    <col min="75" max="75" width="7.42578125" style="296" customWidth="1" collapsed="1"/>
    <col min="76" max="76" width="7.42578125" style="297" hidden="1" customWidth="1" outlineLevel="1"/>
    <col min="77" max="77" width="7.42578125" style="296" customWidth="1" collapsed="1"/>
    <col min="78" max="78" width="7.42578125" style="297" hidden="1" customWidth="1" outlineLevel="1"/>
    <col min="79" max="79" width="7.42578125" style="296" customWidth="1" collapsed="1"/>
    <col min="80" max="80" width="7.42578125" style="297" hidden="1" customWidth="1" outlineLevel="1"/>
    <col min="81" max="81" width="7.42578125" style="296" customWidth="1" collapsed="1"/>
    <col min="82" max="82" width="7.42578125" style="297" hidden="1" customWidth="1" outlineLevel="1"/>
    <col min="83" max="83" width="7.42578125" style="297" customWidth="1" collapsed="1"/>
    <col min="84" max="16384" width="9.140625" style="296"/>
  </cols>
  <sheetData>
    <row r="1" spans="1:154" ht="15.75" x14ac:dyDescent="0.25">
      <c r="A1" s="293" t="s">
        <v>444</v>
      </c>
      <c r="B1" s="331"/>
      <c r="C1" s="332"/>
      <c r="D1" s="331"/>
      <c r="E1" s="332"/>
      <c r="F1" s="331"/>
      <c r="G1" s="332"/>
      <c r="H1" s="331"/>
      <c r="I1" s="332"/>
      <c r="J1" s="331"/>
      <c r="K1" s="332"/>
      <c r="L1" s="331"/>
      <c r="M1" s="332"/>
      <c r="N1" s="331"/>
      <c r="O1" s="332"/>
      <c r="P1" s="331"/>
      <c r="Q1" s="332"/>
      <c r="R1" s="331"/>
      <c r="S1" s="332"/>
      <c r="T1" s="331"/>
      <c r="U1" s="332"/>
      <c r="V1" s="331"/>
      <c r="W1" s="332"/>
      <c r="X1" s="331"/>
      <c r="Y1" s="332"/>
      <c r="Z1" s="331"/>
      <c r="AA1" s="332"/>
      <c r="AB1" s="331"/>
      <c r="AC1" s="332"/>
      <c r="AD1" s="331"/>
      <c r="AE1" s="332"/>
      <c r="AF1" s="331"/>
      <c r="AG1" s="332"/>
      <c r="AH1" s="331"/>
      <c r="AI1" s="332"/>
      <c r="AJ1" s="331"/>
      <c r="AK1" s="332"/>
      <c r="AL1" s="331"/>
      <c r="AM1" s="332"/>
      <c r="AN1" s="331"/>
      <c r="AO1" s="332"/>
      <c r="AP1" s="331"/>
      <c r="AQ1" s="332"/>
      <c r="AR1" s="331"/>
      <c r="AS1" s="332"/>
      <c r="AT1" s="331"/>
      <c r="AU1" s="332"/>
      <c r="AV1" s="331"/>
      <c r="AW1" s="332"/>
      <c r="AX1" s="331"/>
      <c r="AY1" s="332"/>
      <c r="AZ1" s="331"/>
      <c r="BA1" s="332"/>
      <c r="BB1" s="331"/>
      <c r="BC1" s="332"/>
      <c r="BD1" s="331"/>
      <c r="BE1" s="332"/>
      <c r="BF1" s="333"/>
      <c r="BG1" s="331"/>
      <c r="BH1" s="332"/>
      <c r="BI1" s="331"/>
      <c r="BJ1" s="332"/>
      <c r="BK1" s="331"/>
      <c r="BL1" s="332"/>
      <c r="BM1" s="331"/>
      <c r="BN1" s="332"/>
      <c r="BO1" s="331"/>
      <c r="BP1" s="332"/>
      <c r="BQ1" s="331"/>
      <c r="BR1" s="332"/>
      <c r="BS1" s="331"/>
      <c r="BT1" s="332"/>
      <c r="BU1" s="331"/>
      <c r="BV1" s="332"/>
      <c r="BW1" s="331"/>
      <c r="BX1" s="332"/>
      <c r="BY1" s="331"/>
      <c r="BZ1" s="332"/>
      <c r="CA1" s="331"/>
      <c r="CB1" s="332"/>
      <c r="CC1" s="331"/>
      <c r="CD1" s="332"/>
      <c r="CE1" s="332"/>
    </row>
    <row r="2" spans="1:154" s="298" customFormat="1" x14ac:dyDescent="0.2">
      <c r="A2" s="334" t="s">
        <v>243</v>
      </c>
      <c r="B2" s="335"/>
      <c r="C2" s="336"/>
      <c r="D2" s="335"/>
      <c r="E2" s="336"/>
      <c r="F2" s="335"/>
      <c r="G2" s="336"/>
      <c r="H2" s="335"/>
      <c r="I2" s="336"/>
      <c r="J2" s="335"/>
      <c r="K2" s="336"/>
      <c r="L2" s="335"/>
      <c r="M2" s="336"/>
      <c r="N2" s="335"/>
      <c r="O2" s="336"/>
      <c r="P2" s="335"/>
      <c r="Q2" s="336"/>
      <c r="R2" s="335"/>
      <c r="S2" s="336"/>
      <c r="T2" s="335"/>
      <c r="U2" s="336"/>
      <c r="V2" s="335"/>
      <c r="W2" s="336"/>
      <c r="X2" s="335"/>
      <c r="Y2" s="336"/>
      <c r="Z2" s="335"/>
      <c r="AA2" s="336"/>
      <c r="AB2" s="335"/>
      <c r="AC2" s="336"/>
      <c r="AD2" s="335"/>
      <c r="AE2" s="336"/>
      <c r="AF2" s="335"/>
      <c r="AG2" s="336"/>
      <c r="AH2" s="335"/>
      <c r="AI2" s="336"/>
      <c r="AJ2" s="335"/>
      <c r="AK2" s="336"/>
      <c r="AL2" s="335"/>
      <c r="AM2" s="336"/>
      <c r="AN2" s="335"/>
      <c r="AO2" s="336"/>
      <c r="AP2" s="335"/>
      <c r="AQ2" s="336"/>
      <c r="AR2" s="335"/>
      <c r="AS2" s="336"/>
      <c r="AT2" s="335"/>
      <c r="AU2" s="336"/>
      <c r="AV2" s="335"/>
      <c r="AW2" s="336"/>
      <c r="AX2" s="335"/>
      <c r="AY2" s="336"/>
      <c r="AZ2" s="335"/>
      <c r="BA2" s="336"/>
      <c r="BB2" s="335"/>
      <c r="BC2" s="336"/>
      <c r="BD2" s="335"/>
      <c r="BE2" s="336"/>
      <c r="BF2" s="337"/>
      <c r="BG2" s="335"/>
      <c r="BH2" s="336"/>
      <c r="BI2" s="335"/>
      <c r="BJ2" s="336"/>
      <c r="BK2" s="335"/>
      <c r="BL2" s="336"/>
      <c r="BM2" s="335"/>
      <c r="BN2" s="336"/>
      <c r="BO2" s="335"/>
      <c r="BP2" s="336"/>
      <c r="BQ2" s="335"/>
      <c r="BR2" s="336"/>
      <c r="BS2" s="335"/>
      <c r="BT2" s="336"/>
      <c r="BU2" s="335"/>
      <c r="BV2" s="336"/>
      <c r="BW2" s="335"/>
      <c r="BX2" s="336"/>
      <c r="BY2" s="335"/>
      <c r="BZ2" s="336"/>
      <c r="CA2" s="335"/>
      <c r="CB2" s="336"/>
      <c r="CC2" s="335"/>
      <c r="CD2" s="336"/>
      <c r="CE2" s="336"/>
    </row>
    <row r="3" spans="1:154" s="301" customFormat="1" ht="12" customHeight="1" x14ac:dyDescent="0.2">
      <c r="A3" s="292" t="s">
        <v>242</v>
      </c>
      <c r="B3" s="338"/>
      <c r="C3" s="339"/>
      <c r="D3" s="339"/>
      <c r="E3" s="339"/>
      <c r="F3" s="338"/>
      <c r="G3" s="339"/>
      <c r="H3" s="339"/>
      <c r="I3" s="339"/>
      <c r="J3" s="338"/>
      <c r="K3" s="339" t="str">
        <f>INPUT!K3</f>
        <v>1Q12/</v>
      </c>
      <c r="L3" s="339"/>
      <c r="M3" s="339" t="str">
        <f>INPUT!M3</f>
        <v>2Q12/</v>
      </c>
      <c r="N3" s="338"/>
      <c r="O3" s="339" t="str">
        <f>INPUT!O3</f>
        <v>3Q12/</v>
      </c>
      <c r="P3" s="339"/>
      <c r="Q3" s="339" t="str">
        <f>INPUT!Q3</f>
        <v>4Q12/</v>
      </c>
      <c r="R3" s="338"/>
      <c r="S3" s="339" t="str">
        <f>INPUT!S3</f>
        <v>1Q13/</v>
      </c>
      <c r="T3" s="339"/>
      <c r="U3" s="339" t="str">
        <f>INPUT!U3</f>
        <v>2Q13/</v>
      </c>
      <c r="V3" s="338"/>
      <c r="W3" s="339" t="str">
        <f>INPUT!W3</f>
        <v>3Q13/</v>
      </c>
      <c r="X3" s="339"/>
      <c r="Y3" s="339" t="str">
        <f>INPUT!Y3</f>
        <v>4Q13/</v>
      </c>
      <c r="Z3" s="339"/>
      <c r="AA3" s="339" t="str">
        <f>INPUT!AA3</f>
        <v>1Q14/</v>
      </c>
      <c r="AB3" s="339"/>
      <c r="AC3" s="339" t="str">
        <f>INPUT!AC3</f>
        <v>2Q14/</v>
      </c>
      <c r="AD3" s="339"/>
      <c r="AE3" s="339" t="str">
        <f>INPUT!AE3</f>
        <v>3Q14/</v>
      </c>
      <c r="AF3" s="339"/>
      <c r="AG3" s="339" t="str">
        <f>INPUT!AG3</f>
        <v>4Q14/</v>
      </c>
      <c r="AH3" s="339"/>
      <c r="AI3" s="339" t="str">
        <f>INPUT!AI3</f>
        <v>1Q15/</v>
      </c>
      <c r="AJ3" s="339"/>
      <c r="AK3" s="339" t="str">
        <f>INPUT!AK3</f>
        <v>2Q15/</v>
      </c>
      <c r="AL3" s="339"/>
      <c r="AM3" s="339" t="str">
        <f>INPUT!AM3</f>
        <v>3Q15/</v>
      </c>
      <c r="AN3" s="339"/>
      <c r="AO3" s="339" t="str">
        <f>INPUT!AO3</f>
        <v>4Q15/</v>
      </c>
      <c r="AP3" s="339"/>
      <c r="AQ3" s="339" t="str">
        <f>INPUT!AQ3</f>
        <v>1Q16/</v>
      </c>
      <c r="AR3" s="339"/>
      <c r="AS3" s="339" t="str">
        <f>INPUT!AS3</f>
        <v>2Q16/</v>
      </c>
      <c r="AT3" s="339"/>
      <c r="AU3" s="339" t="str">
        <f>INPUT!AU3</f>
        <v>3Q16/</v>
      </c>
      <c r="AV3" s="339"/>
      <c r="AW3" s="339" t="str">
        <f>INPUT!AW3</f>
        <v>4Q16/</v>
      </c>
      <c r="AX3" s="339"/>
      <c r="AY3" s="339" t="str">
        <f>INPUT!AY3</f>
        <v>1Q17/</v>
      </c>
      <c r="AZ3" s="339"/>
      <c r="BA3" s="339" t="str">
        <f>INPUT!BA3</f>
        <v>2Q17/</v>
      </c>
      <c r="BB3" s="339"/>
      <c r="BC3" s="339" t="str">
        <f>INPUT!BC3</f>
        <v>3Q17/</v>
      </c>
      <c r="BD3" s="339"/>
      <c r="BE3" s="339" t="str">
        <f>INPUT!BE3</f>
        <v>4Q17/</v>
      </c>
      <c r="BF3" s="333"/>
      <c r="BG3" s="339"/>
      <c r="BH3" s="339" t="str">
        <f>INPUT!BV3</f>
        <v>2011/</v>
      </c>
      <c r="BI3" s="339"/>
      <c r="BJ3" s="339" t="str">
        <f>INPUT!BX3</f>
        <v>2012/</v>
      </c>
      <c r="BK3" s="339"/>
      <c r="BL3" s="339" t="str">
        <f>INPUT!BZ3</f>
        <v>2013/</v>
      </c>
      <c r="BM3" s="339"/>
      <c r="BN3" s="339" t="str">
        <f>INPUT!CB3</f>
        <v>2014/</v>
      </c>
      <c r="BO3" s="339"/>
      <c r="BP3" s="339" t="str">
        <f>INPUT!CD3</f>
        <v>2015/</v>
      </c>
      <c r="BQ3" s="339"/>
      <c r="BR3" s="339" t="str">
        <f>INPUT!CF3</f>
        <v>2016/</v>
      </c>
      <c r="BS3" s="339"/>
      <c r="BT3" s="339" t="str">
        <f>INPUT!CH3</f>
        <v>2017/</v>
      </c>
      <c r="BU3" s="339"/>
      <c r="BV3" s="339" t="str">
        <f>INPUT!CJ3</f>
        <v>2018E/</v>
      </c>
      <c r="BW3" s="339"/>
      <c r="BX3" s="339" t="str">
        <f>INPUT!CL3</f>
        <v>2019E/</v>
      </c>
      <c r="BY3" s="339"/>
      <c r="BZ3" s="339" t="str">
        <f>INPUT!CN3</f>
        <v>2020E/</v>
      </c>
      <c r="CA3" s="339"/>
      <c r="CB3" s="339" t="str">
        <f>INPUT!CP3</f>
        <v>2021E/</v>
      </c>
      <c r="CC3" s="339"/>
      <c r="CD3" s="339" t="str">
        <f>INPUT!CR3</f>
        <v>2022E/</v>
      </c>
      <c r="CE3" s="339" t="str">
        <f>INPUT!CS3</f>
        <v>5-Yr</v>
      </c>
      <c r="CF3" s="305"/>
      <c r="CG3" s="304"/>
      <c r="CH3" s="305"/>
      <c r="CI3" s="304"/>
      <c r="CJ3" s="305"/>
      <c r="CK3" s="304"/>
      <c r="CL3" s="305"/>
      <c r="CM3" s="304"/>
      <c r="CN3" s="305"/>
      <c r="CO3" s="304"/>
      <c r="CP3" s="305"/>
      <c r="CQ3" s="304"/>
      <c r="CR3" s="305"/>
      <c r="CS3" s="304"/>
      <c r="CT3" s="305"/>
      <c r="CU3" s="304"/>
      <c r="CV3" s="305"/>
      <c r="CW3" s="304"/>
      <c r="CX3" s="305"/>
      <c r="CY3" s="304"/>
      <c r="CZ3" s="305"/>
      <c r="DA3" s="304"/>
      <c r="DB3" s="305"/>
      <c r="DC3" s="304"/>
      <c r="DD3" s="305"/>
      <c r="DE3" s="304"/>
      <c r="DF3" s="305"/>
      <c r="DG3" s="304"/>
      <c r="DH3" s="305"/>
      <c r="DI3" s="304"/>
      <c r="DJ3" s="305"/>
      <c r="DK3" s="304"/>
      <c r="DL3" s="305"/>
      <c r="DM3" s="304"/>
      <c r="DN3" s="305"/>
      <c r="DO3" s="304"/>
      <c r="DP3" s="305"/>
      <c r="DQ3" s="304"/>
      <c r="DR3" s="305"/>
      <c r="DS3" s="304"/>
      <c r="DT3" s="305"/>
      <c r="DU3" s="304"/>
      <c r="DV3" s="305"/>
      <c r="DW3" s="306"/>
      <c r="DX3" s="304"/>
      <c r="DY3" s="305"/>
      <c r="DZ3" s="304"/>
      <c r="EA3" s="305"/>
      <c r="EB3" s="304"/>
      <c r="EC3" s="305"/>
      <c r="ED3" s="304"/>
      <c r="EE3" s="305"/>
      <c r="EF3" s="304"/>
      <c r="EG3" s="305"/>
      <c r="EH3" s="304"/>
      <c r="EI3" s="305"/>
      <c r="EJ3" s="304"/>
      <c r="EK3" s="305"/>
      <c r="EL3" s="304"/>
      <c r="EM3" s="305"/>
      <c r="EN3" s="304"/>
      <c r="EO3" s="305"/>
      <c r="EP3" s="304"/>
      <c r="EQ3" s="305"/>
      <c r="ER3" s="304"/>
      <c r="ES3" s="305"/>
      <c r="ET3" s="304"/>
      <c r="EU3" s="305"/>
      <c r="EV3" s="304"/>
      <c r="EW3" s="305"/>
      <c r="EX3" s="305"/>
    </row>
    <row r="4" spans="1:154" x14ac:dyDescent="0.2">
      <c r="A4" s="331"/>
      <c r="B4" s="331"/>
      <c r="C4" s="339"/>
      <c r="D4" s="331"/>
      <c r="E4" s="339"/>
      <c r="F4" s="331"/>
      <c r="G4" s="339"/>
      <c r="H4" s="331"/>
      <c r="I4" s="339"/>
      <c r="J4" s="331"/>
      <c r="K4" s="339" t="str">
        <f>INPUT!K4</f>
        <v>1Q11</v>
      </c>
      <c r="L4" s="331"/>
      <c r="M4" s="339" t="str">
        <f>INPUT!M4</f>
        <v>2Q11</v>
      </c>
      <c r="N4" s="331"/>
      <c r="O4" s="339" t="str">
        <f>INPUT!O4</f>
        <v>3Q11</v>
      </c>
      <c r="P4" s="331"/>
      <c r="Q4" s="339" t="str">
        <f>INPUT!Q4</f>
        <v>4Q11</v>
      </c>
      <c r="R4" s="331"/>
      <c r="S4" s="339" t="str">
        <f>INPUT!S4</f>
        <v>1Q12</v>
      </c>
      <c r="T4" s="331"/>
      <c r="U4" s="339" t="str">
        <f>INPUT!U4</f>
        <v>2Q12</v>
      </c>
      <c r="V4" s="331"/>
      <c r="W4" s="339" t="str">
        <f>INPUT!W4</f>
        <v>3Q12</v>
      </c>
      <c r="X4" s="331"/>
      <c r="Y4" s="339" t="str">
        <f>INPUT!Y4</f>
        <v>4Q12</v>
      </c>
      <c r="Z4" s="331"/>
      <c r="AA4" s="339" t="str">
        <f>INPUT!AA4</f>
        <v>1Q13</v>
      </c>
      <c r="AB4" s="331"/>
      <c r="AC4" s="339" t="str">
        <f>INPUT!AC4</f>
        <v>2Q13</v>
      </c>
      <c r="AD4" s="331"/>
      <c r="AE4" s="339" t="str">
        <f>INPUT!AE4</f>
        <v>3Q13</v>
      </c>
      <c r="AF4" s="331"/>
      <c r="AG4" s="339" t="str">
        <f>INPUT!AG4</f>
        <v>4Q13</v>
      </c>
      <c r="AH4" s="331"/>
      <c r="AI4" s="339" t="str">
        <f>INPUT!AI4</f>
        <v>1Q14</v>
      </c>
      <c r="AJ4" s="331"/>
      <c r="AK4" s="339" t="str">
        <f>INPUT!AK4</f>
        <v>2Q14</v>
      </c>
      <c r="AL4" s="331"/>
      <c r="AM4" s="339" t="str">
        <f>INPUT!AM4</f>
        <v>3Q14</v>
      </c>
      <c r="AN4" s="331"/>
      <c r="AO4" s="339" t="str">
        <f>INPUT!AO4</f>
        <v>4Q14</v>
      </c>
      <c r="AP4" s="331"/>
      <c r="AQ4" s="339" t="str">
        <f>INPUT!AQ4</f>
        <v>1Q15</v>
      </c>
      <c r="AR4" s="331"/>
      <c r="AS4" s="339" t="str">
        <f>INPUT!AS4</f>
        <v>2Q15</v>
      </c>
      <c r="AT4" s="331"/>
      <c r="AU4" s="339" t="str">
        <f>INPUT!AU4</f>
        <v>3Q15</v>
      </c>
      <c r="AV4" s="331"/>
      <c r="AW4" s="339" t="str">
        <f>INPUT!AW4</f>
        <v>4Q15</v>
      </c>
      <c r="AX4" s="331"/>
      <c r="AY4" s="339" t="str">
        <f>INPUT!AY4</f>
        <v>1Q16</v>
      </c>
      <c r="AZ4" s="331"/>
      <c r="BA4" s="339" t="str">
        <f>INPUT!BA4</f>
        <v>2Q16</v>
      </c>
      <c r="BB4" s="331"/>
      <c r="BC4" s="339" t="str">
        <f>INPUT!BC4</f>
        <v>3Q16</v>
      </c>
      <c r="BD4" s="331"/>
      <c r="BE4" s="339" t="str">
        <f>INPUT!BE4</f>
        <v>4Q16</v>
      </c>
      <c r="BF4" s="333"/>
      <c r="BG4" s="331"/>
      <c r="BH4" s="340" t="str">
        <f>INPUT!BV4</f>
        <v>2010</v>
      </c>
      <c r="BI4" s="331"/>
      <c r="BJ4" s="340" t="str">
        <f>INPUT!BX4</f>
        <v>2011</v>
      </c>
      <c r="BK4" s="331"/>
      <c r="BL4" s="340" t="str">
        <f>INPUT!BZ4</f>
        <v>2012</v>
      </c>
      <c r="BM4" s="331"/>
      <c r="BN4" s="340" t="str">
        <f>INPUT!CB4</f>
        <v>2013</v>
      </c>
      <c r="BO4" s="331"/>
      <c r="BP4" s="340" t="str">
        <f>INPUT!CD4</f>
        <v>2014</v>
      </c>
      <c r="BQ4" s="331"/>
      <c r="BR4" s="340" t="str">
        <f>INPUT!CF4</f>
        <v>2015</v>
      </c>
      <c r="BS4" s="331"/>
      <c r="BT4" s="340">
        <f>INPUT!CH4</f>
        <v>2016</v>
      </c>
      <c r="BU4" s="331"/>
      <c r="BV4" s="340">
        <f>INPUT!CJ4</f>
        <v>2017</v>
      </c>
      <c r="BW4" s="331"/>
      <c r="BX4" s="340" t="str">
        <f>INPUT!CL4</f>
        <v>2018E</v>
      </c>
      <c r="BY4" s="331"/>
      <c r="BZ4" s="340" t="str">
        <f>INPUT!CN4</f>
        <v>2019E</v>
      </c>
      <c r="CA4" s="331"/>
      <c r="CB4" s="340" t="str">
        <f>INPUT!CP4</f>
        <v>2020E</v>
      </c>
      <c r="CC4" s="331"/>
      <c r="CD4" s="340" t="str">
        <f>INPUT!CR4</f>
        <v>2021E</v>
      </c>
      <c r="CE4" s="340" t="str">
        <f>INPUT!CS4</f>
        <v>CAGR</v>
      </c>
    </row>
    <row r="5" spans="1:154" x14ac:dyDescent="0.2">
      <c r="A5" s="331"/>
      <c r="B5" s="341" t="str">
        <f>INPUT!B5</f>
        <v>1Q11</v>
      </c>
      <c r="C5" s="339"/>
      <c r="D5" s="341" t="str">
        <f>INPUT!D5</f>
        <v>2Q11</v>
      </c>
      <c r="E5" s="339"/>
      <c r="F5" s="341" t="str">
        <f>INPUT!F5</f>
        <v>3Q11</v>
      </c>
      <c r="G5" s="339"/>
      <c r="H5" s="341" t="str">
        <f>INPUT!H5</f>
        <v>4Q11</v>
      </c>
      <c r="I5" s="339"/>
      <c r="J5" s="341" t="str">
        <f>INPUT!J5</f>
        <v>1Q12</v>
      </c>
      <c r="K5" s="339" t="str">
        <f>INPUT!K5</f>
        <v>% Chg</v>
      </c>
      <c r="L5" s="341" t="s">
        <v>117</v>
      </c>
      <c r="M5" s="339" t="str">
        <f>INPUT!M5</f>
        <v>% Chg</v>
      </c>
      <c r="N5" s="341" t="s">
        <v>118</v>
      </c>
      <c r="O5" s="339" t="str">
        <f>INPUT!O5</f>
        <v>% Chg</v>
      </c>
      <c r="P5" s="341" t="s">
        <v>160</v>
      </c>
      <c r="Q5" s="339" t="str">
        <f>INPUT!Q5</f>
        <v>% Chg</v>
      </c>
      <c r="R5" s="341" t="s">
        <v>285</v>
      </c>
      <c r="S5" s="339" t="str">
        <f>INPUT!S5</f>
        <v>% Chg</v>
      </c>
      <c r="T5" s="341" t="s">
        <v>286</v>
      </c>
      <c r="U5" s="339" t="str">
        <f>INPUT!U5</f>
        <v>% Chg</v>
      </c>
      <c r="V5" s="341" t="s">
        <v>288</v>
      </c>
      <c r="W5" s="339" t="str">
        <f>INPUT!W5</f>
        <v>% Chg</v>
      </c>
      <c r="X5" s="341" t="s">
        <v>287</v>
      </c>
      <c r="Y5" s="339" t="str">
        <f>INPUT!Y5</f>
        <v>% Chg</v>
      </c>
      <c r="Z5" s="405" t="str">
        <f>INPUT!Z5</f>
        <v>1Q14</v>
      </c>
      <c r="AA5" s="339" t="str">
        <f>INPUT!AA5</f>
        <v>% Chg</v>
      </c>
      <c r="AB5" s="405" t="str">
        <f>INPUT!AB5</f>
        <v>2Q14</v>
      </c>
      <c r="AC5" s="339" t="str">
        <f>INPUT!AC5</f>
        <v>% Chg</v>
      </c>
      <c r="AD5" s="405" t="str">
        <f>INPUT!AD5</f>
        <v>3Q14</v>
      </c>
      <c r="AE5" s="339" t="str">
        <f>INPUT!AE5</f>
        <v>% Chg</v>
      </c>
      <c r="AF5" s="405" t="str">
        <f>INPUT!AF5</f>
        <v>4Q14</v>
      </c>
      <c r="AG5" s="339" t="str">
        <f>INPUT!AG5</f>
        <v>% Chg</v>
      </c>
      <c r="AH5" s="405" t="str">
        <f>INPUT!AH5</f>
        <v>1Q15</v>
      </c>
      <c r="AI5" s="339" t="str">
        <f>INPUT!AI5</f>
        <v>% Chg</v>
      </c>
      <c r="AJ5" s="405" t="str">
        <f>INPUT!AJ5</f>
        <v>2Q15</v>
      </c>
      <c r="AK5" s="339" t="str">
        <f>INPUT!AK5</f>
        <v>% Chg</v>
      </c>
      <c r="AL5" s="405" t="str">
        <f>INPUT!AL5</f>
        <v>3Q15</v>
      </c>
      <c r="AM5" s="339" t="str">
        <f>INPUT!AM5</f>
        <v>% Chg</v>
      </c>
      <c r="AN5" s="405" t="str">
        <f>INPUT!AN5</f>
        <v>4Q15</v>
      </c>
      <c r="AO5" s="339" t="str">
        <f>INPUT!AO5</f>
        <v>% Chg</v>
      </c>
      <c r="AP5" s="405" t="str">
        <f>INPUT!AP5</f>
        <v>1Q16</v>
      </c>
      <c r="AQ5" s="339" t="str">
        <f>INPUT!AQ5</f>
        <v>% Chg</v>
      </c>
      <c r="AR5" s="405" t="str">
        <f>INPUT!AR5</f>
        <v>2Q16</v>
      </c>
      <c r="AS5" s="339" t="str">
        <f>INPUT!AS5</f>
        <v>% Chg</v>
      </c>
      <c r="AT5" s="405" t="str">
        <f>INPUT!AT5</f>
        <v>3Q16</v>
      </c>
      <c r="AU5" s="339" t="str">
        <f>INPUT!AU5</f>
        <v>% Chg</v>
      </c>
      <c r="AV5" s="405" t="str">
        <f>INPUT!AV5</f>
        <v>4Q16</v>
      </c>
      <c r="AW5" s="339" t="str">
        <f>INPUT!AW5</f>
        <v>% Chg</v>
      </c>
      <c r="AX5" s="405" t="str">
        <f>INPUT!AX5</f>
        <v>1Q17</v>
      </c>
      <c r="AY5" s="339" t="str">
        <f>INPUT!AY5</f>
        <v>% Chg</v>
      </c>
      <c r="AZ5" s="405" t="str">
        <f>INPUT!AZ5</f>
        <v>2Q17</v>
      </c>
      <c r="BA5" s="339" t="str">
        <f>INPUT!BA5</f>
        <v>% Chg</v>
      </c>
      <c r="BB5" s="405" t="str">
        <f>INPUT!BB5</f>
        <v>3Q17</v>
      </c>
      <c r="BC5" s="339" t="str">
        <f>INPUT!BC5</f>
        <v>% Chg</v>
      </c>
      <c r="BD5" s="405" t="str">
        <f>INPUT!BD5</f>
        <v>4Q17</v>
      </c>
      <c r="BE5" s="339" t="str">
        <f>INPUT!BE5</f>
        <v>% Chg</v>
      </c>
      <c r="BF5" s="333"/>
      <c r="BG5" s="341" t="str">
        <f>INPUT!BU5</f>
        <v>2011</v>
      </c>
      <c r="BH5" s="339" t="str">
        <f>INPUT!BV5</f>
        <v>% Chg</v>
      </c>
      <c r="BI5" s="405" t="str">
        <f>INPUT!BW5</f>
        <v>2012</v>
      </c>
      <c r="BJ5" s="339" t="str">
        <f>INPUT!BX5</f>
        <v>% Chg</v>
      </c>
      <c r="BK5" s="405" t="str">
        <f>INPUT!BY5</f>
        <v>2013</v>
      </c>
      <c r="BL5" s="339" t="str">
        <f>INPUT!BZ5</f>
        <v>% Chg</v>
      </c>
      <c r="BM5" s="405" t="str">
        <f>INPUT!CA5</f>
        <v>2014</v>
      </c>
      <c r="BN5" s="339" t="str">
        <f>INPUT!CB5</f>
        <v>% Chg</v>
      </c>
      <c r="BO5" s="405" t="str">
        <f>INPUT!CC5</f>
        <v>2015</v>
      </c>
      <c r="BP5" s="339" t="str">
        <f>INPUT!CD5</f>
        <v>% Chg</v>
      </c>
      <c r="BQ5" s="405">
        <f>INPUT!CE5</f>
        <v>2016</v>
      </c>
      <c r="BR5" s="339" t="str">
        <f>INPUT!CF5</f>
        <v>% Chg</v>
      </c>
      <c r="BS5" s="405">
        <f>INPUT!CG5</f>
        <v>2017</v>
      </c>
      <c r="BT5" s="339" t="str">
        <f>INPUT!CH5</f>
        <v>% Chg</v>
      </c>
      <c r="BU5" s="405" t="str">
        <f>INPUT!CI5</f>
        <v>2018E</v>
      </c>
      <c r="BV5" s="339" t="str">
        <f>INPUT!CJ5</f>
        <v>% Chg</v>
      </c>
      <c r="BW5" s="405" t="str">
        <f>INPUT!CK5</f>
        <v>2019E</v>
      </c>
      <c r="BX5" s="339" t="str">
        <f>INPUT!CL5</f>
        <v>% Chg</v>
      </c>
      <c r="BY5" s="405" t="str">
        <f>INPUT!CM5</f>
        <v>2020E</v>
      </c>
      <c r="BZ5" s="339" t="str">
        <f>INPUT!CN5</f>
        <v>% Chg</v>
      </c>
      <c r="CA5" s="405" t="str">
        <f>INPUT!CO5</f>
        <v>2021E</v>
      </c>
      <c r="CB5" s="339" t="str">
        <f>INPUT!CP5</f>
        <v>% Chg</v>
      </c>
      <c r="CC5" s="405" t="str">
        <f>INPUT!CQ5</f>
        <v>2022E</v>
      </c>
      <c r="CD5" s="339" t="str">
        <f>INPUT!CR5</f>
        <v>% Chg</v>
      </c>
      <c r="CE5" s="339" t="str">
        <f>INPUT!CS5</f>
        <v>(%)</v>
      </c>
    </row>
    <row r="6" spans="1:154" x14ac:dyDescent="0.2">
      <c r="A6" s="331"/>
      <c r="B6" s="331"/>
      <c r="C6" s="332"/>
      <c r="D6" s="331"/>
      <c r="E6" s="332"/>
      <c r="F6" s="331"/>
      <c r="G6" s="332"/>
      <c r="H6" s="331"/>
      <c r="I6" s="332"/>
      <c r="J6" s="331"/>
      <c r="K6" s="332"/>
      <c r="L6" s="331"/>
      <c r="M6" s="332"/>
      <c r="N6" s="331"/>
      <c r="O6" s="332"/>
      <c r="P6" s="331"/>
      <c r="Q6" s="332"/>
      <c r="R6" s="331"/>
      <c r="S6" s="332"/>
      <c r="T6" s="331"/>
      <c r="U6" s="332"/>
      <c r="V6" s="331"/>
      <c r="W6" s="332"/>
      <c r="X6" s="331"/>
      <c r="Y6" s="332"/>
      <c r="Z6" s="331"/>
      <c r="AA6" s="332"/>
      <c r="AB6" s="331"/>
      <c r="AC6" s="332"/>
      <c r="AD6" s="331"/>
      <c r="AE6" s="332"/>
      <c r="AF6" s="331"/>
      <c r="AG6" s="332"/>
      <c r="AH6" s="331"/>
      <c r="AI6" s="332"/>
      <c r="AJ6" s="331"/>
      <c r="AK6" s="332"/>
      <c r="AL6" s="331"/>
      <c r="AM6" s="332"/>
      <c r="AN6" s="331"/>
      <c r="AO6" s="332"/>
      <c r="AP6" s="331"/>
      <c r="AQ6" s="332"/>
      <c r="AR6" s="331"/>
      <c r="AS6" s="332"/>
      <c r="AT6" s="331"/>
      <c r="AU6" s="332"/>
      <c r="AV6" s="331"/>
      <c r="AW6" s="332"/>
      <c r="AX6" s="331"/>
      <c r="AY6" s="332"/>
      <c r="AZ6" s="331"/>
      <c r="BA6" s="332"/>
      <c r="BB6" s="331"/>
      <c r="BC6" s="332"/>
      <c r="BD6" s="331"/>
      <c r="BE6" s="332"/>
      <c r="BF6" s="333"/>
      <c r="BG6" s="331"/>
      <c r="BH6" s="332"/>
      <c r="BI6" s="331"/>
      <c r="BJ6" s="332"/>
      <c r="BK6" s="331"/>
      <c r="BL6" s="332"/>
      <c r="BM6" s="331"/>
      <c r="BN6" s="332"/>
      <c r="BO6" s="331"/>
      <c r="BP6" s="332"/>
      <c r="BQ6" s="331"/>
      <c r="BR6" s="332"/>
      <c r="BS6" s="331"/>
      <c r="BT6" s="332"/>
      <c r="BU6" s="331"/>
      <c r="BV6" s="332"/>
      <c r="BW6" s="331"/>
      <c r="BX6" s="332"/>
      <c r="BY6" s="331"/>
      <c r="BZ6" s="332"/>
      <c r="CA6" s="331"/>
      <c r="CB6" s="332"/>
      <c r="CC6" s="331"/>
      <c r="CD6" s="332"/>
      <c r="CE6" s="332"/>
    </row>
    <row r="7" spans="1:154" x14ac:dyDescent="0.2">
      <c r="A7" s="342" t="s">
        <v>260</v>
      </c>
      <c r="B7" s="331"/>
      <c r="C7" s="332"/>
      <c r="D7" s="331"/>
      <c r="E7" s="332"/>
      <c r="F7" s="331"/>
      <c r="G7" s="332"/>
      <c r="H7" s="331"/>
      <c r="I7" s="332"/>
      <c r="J7" s="331"/>
      <c r="K7" s="332"/>
      <c r="L7" s="331"/>
      <c r="M7" s="332"/>
      <c r="N7" s="331"/>
      <c r="O7" s="332"/>
      <c r="P7" s="331"/>
      <c r="Q7" s="332"/>
      <c r="R7" s="331"/>
      <c r="S7" s="332"/>
      <c r="T7" s="331"/>
      <c r="U7" s="332"/>
      <c r="V7" s="331"/>
      <c r="W7" s="332"/>
      <c r="X7" s="331"/>
      <c r="Y7" s="332"/>
      <c r="Z7" s="331"/>
      <c r="AA7" s="332"/>
      <c r="AB7" s="331"/>
      <c r="AC7" s="332"/>
      <c r="AD7" s="331"/>
      <c r="AE7" s="332"/>
      <c r="AF7" s="331"/>
      <c r="AG7" s="332"/>
      <c r="AH7" s="331"/>
      <c r="AI7" s="332"/>
      <c r="AJ7" s="331"/>
      <c r="AK7" s="332"/>
      <c r="AL7" s="331"/>
      <c r="AM7" s="332"/>
      <c r="AN7" s="331"/>
      <c r="AO7" s="332"/>
      <c r="AP7" s="331"/>
      <c r="AQ7" s="332"/>
      <c r="AR7" s="331"/>
      <c r="AS7" s="332"/>
      <c r="AT7" s="331"/>
      <c r="AU7" s="332"/>
      <c r="AV7" s="331"/>
      <c r="AW7" s="332"/>
      <c r="AX7" s="331"/>
      <c r="AY7" s="332"/>
      <c r="AZ7" s="331"/>
      <c r="BA7" s="332"/>
      <c r="BB7" s="331"/>
      <c r="BC7" s="332"/>
      <c r="BD7" s="331"/>
      <c r="BE7" s="332"/>
      <c r="BF7" s="343"/>
      <c r="BG7" s="331"/>
      <c r="BH7" s="332"/>
      <c r="BI7" s="331"/>
      <c r="BJ7" s="332"/>
      <c r="BK7" s="331"/>
      <c r="BL7" s="332"/>
      <c r="BM7" s="331"/>
      <c r="BN7" s="332"/>
      <c r="BO7" s="331"/>
      <c r="BP7" s="332"/>
      <c r="BQ7" s="331"/>
      <c r="BR7" s="332"/>
      <c r="BS7" s="331"/>
      <c r="BT7" s="332"/>
      <c r="BU7" s="331"/>
      <c r="BV7" s="332"/>
      <c r="BW7" s="331"/>
      <c r="BX7" s="332"/>
      <c r="BY7" s="331"/>
      <c r="BZ7" s="332"/>
      <c r="CA7" s="331"/>
      <c r="CB7" s="332"/>
      <c r="CC7" s="331"/>
      <c r="CD7" s="332"/>
      <c r="CE7" s="332"/>
    </row>
    <row r="8" spans="1:154" s="299" customFormat="1" x14ac:dyDescent="0.2">
      <c r="A8" s="344" t="s">
        <v>192</v>
      </c>
      <c r="B8" s="345">
        <f>INPUT!B83</f>
        <v>125.46500000000009</v>
      </c>
      <c r="C8" s="346"/>
      <c r="D8" s="345">
        <f>INPUT!D83</f>
        <v>148.72800000000001</v>
      </c>
      <c r="E8" s="346"/>
      <c r="F8" s="345">
        <f>INPUT!F83</f>
        <v>97.669999999999959</v>
      </c>
      <c r="G8" s="346"/>
      <c r="H8" s="345">
        <f>INPUT!H83</f>
        <v>70.007000000000062</v>
      </c>
      <c r="I8" s="346"/>
      <c r="J8" s="345">
        <f>INPUT!J83</f>
        <v>124.08499999999992</v>
      </c>
      <c r="K8" s="346">
        <f>INPUT!K83</f>
        <v>-1.0999083409717225</v>
      </c>
      <c r="L8" s="345">
        <f>INPUT!L83</f>
        <v>71.1099999999999</v>
      </c>
      <c r="M8" s="346" t="str">
        <f>INPUT!M83</f>
        <v>NM</v>
      </c>
      <c r="N8" s="345">
        <f>INPUT!N83</f>
        <v>145.29600000000011</v>
      </c>
      <c r="O8" s="346">
        <f>INPUT!O83</f>
        <v>48.762158288113213</v>
      </c>
      <c r="P8" s="345">
        <f>INPUT!P83</f>
        <v>107.80000000000007</v>
      </c>
      <c r="Q8" s="346">
        <f>INPUT!Q83</f>
        <v>53.984601539845968</v>
      </c>
      <c r="R8" s="345">
        <f>INPUT!R83</f>
        <v>137.80000000000007</v>
      </c>
      <c r="S8" s="346">
        <f>INPUT!S83</f>
        <v>11.052907281299241</v>
      </c>
      <c r="T8" s="345">
        <f>INPUT!T83</f>
        <v>132.2000000000001</v>
      </c>
      <c r="U8" s="346">
        <f>INPUT!U83</f>
        <v>85.909154830544637</v>
      </c>
      <c r="V8" s="345">
        <f>INPUT!V83</f>
        <v>187.29999999999995</v>
      </c>
      <c r="W8" s="346">
        <f>INPUT!W83</f>
        <v>28.909261094592974</v>
      </c>
      <c r="X8" s="345">
        <f>INPUT!X83</f>
        <v>138.59999999999991</v>
      </c>
      <c r="Y8" s="346">
        <f>INPUT!Y83</f>
        <v>28.571428571428402</v>
      </c>
      <c r="Z8" s="345">
        <f>INPUT!Z83</f>
        <v>114.90000000000003</v>
      </c>
      <c r="AA8" s="346">
        <f>INPUT!AA83</f>
        <v>-16.618287373004371</v>
      </c>
      <c r="AB8" s="345">
        <f>INPUT!AB83</f>
        <v>135.7000000000001</v>
      </c>
      <c r="AC8" s="346">
        <f>INPUT!AC83</f>
        <v>2.6475037821482639</v>
      </c>
      <c r="AD8" s="345">
        <f>INPUT!AD83</f>
        <v>117.30000000000001</v>
      </c>
      <c r="AE8" s="346">
        <f>INPUT!AE83</f>
        <v>-37.373198077949787</v>
      </c>
      <c r="AF8" s="345">
        <f>INPUT!AF83</f>
        <v>149.99999999999983</v>
      </c>
      <c r="AG8" s="346">
        <f>INPUT!AG83</f>
        <v>8.2251082251081797</v>
      </c>
      <c r="AH8" s="345">
        <f>INPUT!AH83</f>
        <v>124.60000000000002</v>
      </c>
      <c r="AI8" s="346">
        <f>INPUT!AI83</f>
        <v>8.4421235857267121</v>
      </c>
      <c r="AJ8" s="345">
        <f>INPUT!AJ83</f>
        <v>128.40000000000003</v>
      </c>
      <c r="AK8" s="346">
        <f>INPUT!AK83</f>
        <v>-5.3795136330140441</v>
      </c>
      <c r="AL8" s="345">
        <f>INPUT!AL83</f>
        <v>80.499999999999886</v>
      </c>
      <c r="AM8" s="346">
        <f>INPUT!AM83</f>
        <v>-31.372549019607941</v>
      </c>
      <c r="AN8" s="345">
        <f>INPUT!AN83</f>
        <v>137.10000000000002</v>
      </c>
      <c r="AO8" s="346">
        <f>INPUT!AO83</f>
        <v>-8.599999999999886</v>
      </c>
      <c r="AP8" s="345">
        <f>INPUT!AP83</f>
        <v>103.69999999999987</v>
      </c>
      <c r="AQ8" s="346">
        <f>INPUT!AQ83</f>
        <v>-16.773675762439922</v>
      </c>
      <c r="AR8" s="345">
        <f>INPUT!AR83</f>
        <v>140.49999999999994</v>
      </c>
      <c r="AS8" s="346">
        <f>INPUT!AS83</f>
        <v>9.4236760124609908</v>
      </c>
      <c r="AT8" s="345">
        <f>INPUT!AT83</f>
        <v>62.899999999999977</v>
      </c>
      <c r="AU8" s="346">
        <f>INPUT!AU83</f>
        <v>-21.863354037267001</v>
      </c>
      <c r="AV8" s="345">
        <f>INPUT!AV83</f>
        <v>142.69999999999999</v>
      </c>
      <c r="AW8" s="346">
        <f>INPUT!AW83</f>
        <v>4.0846097738876486</v>
      </c>
      <c r="AX8" s="345">
        <f>INPUT!AX83</f>
        <v>148.79999999999984</v>
      </c>
      <c r="AY8" s="346">
        <f>INPUT!AY83</f>
        <v>43.490838958534248</v>
      </c>
      <c r="AZ8" s="345">
        <f>INPUT!AZ83</f>
        <v>33.499999999999886</v>
      </c>
      <c r="BA8" s="346" t="str">
        <f>INPUT!BA83</f>
        <v>NM</v>
      </c>
      <c r="BB8" s="345">
        <f>INPUT!BB83</f>
        <v>106.80000000000007</v>
      </c>
      <c r="BC8" s="346">
        <f>INPUT!BC83</f>
        <v>69.793322734499384</v>
      </c>
      <c r="BD8" s="345">
        <f>INPUT!BD83</f>
        <v>168.19999999999993</v>
      </c>
      <c r="BE8" s="346">
        <f>INPUT!BE83</f>
        <v>17.869656622284481</v>
      </c>
      <c r="BF8" s="347"/>
      <c r="BG8" s="345">
        <f>INPUT!BU83</f>
        <v>441.86999999999944</v>
      </c>
      <c r="BH8" s="346">
        <f>INPUT!BV83</f>
        <v>-5.9050255536628571</v>
      </c>
      <c r="BI8" s="345">
        <f>INPUT!BW83</f>
        <v>448.29100000000062</v>
      </c>
      <c r="BJ8" s="346">
        <f>INPUT!BX83</f>
        <v>1.4531423269290134</v>
      </c>
      <c r="BK8" s="345">
        <f>INPUT!BY83</f>
        <v>595.90000000000009</v>
      </c>
      <c r="BL8" s="346">
        <f>INPUT!BZ83</f>
        <v>32.927049617324286</v>
      </c>
      <c r="BM8" s="345">
        <f>INPUT!CA83</f>
        <v>517.90000000000009</v>
      </c>
      <c r="BN8" s="346">
        <f>INPUT!CB83</f>
        <v>-13.089444537674099</v>
      </c>
      <c r="BO8" s="345">
        <f>INPUT!CC83</f>
        <v>470.59999999999991</v>
      </c>
      <c r="BP8" s="346">
        <f>INPUT!CD83</f>
        <v>-9.1330372658814838</v>
      </c>
      <c r="BQ8" s="345">
        <f>INPUT!CE83</f>
        <v>449.80000000000018</v>
      </c>
      <c r="BR8" s="346">
        <f>INPUT!CF83</f>
        <v>-4.4198895027623752</v>
      </c>
      <c r="BS8" s="345">
        <f>INPUT!CG83</f>
        <v>457.30000000000018</v>
      </c>
      <c r="BT8" s="346">
        <f>INPUT!CH83</f>
        <v>1.6674077367718976</v>
      </c>
      <c r="BU8" s="345">
        <f>INPUT!CI83</f>
        <v>590.97397628191584</v>
      </c>
      <c r="BV8" s="346">
        <f>INPUT!CJ83</f>
        <v>29.231134109318969</v>
      </c>
      <c r="BW8" s="345">
        <f>INPUT!CK83</f>
        <v>617.18412268518705</v>
      </c>
      <c r="BX8" s="346">
        <f>INPUT!CL83</f>
        <v>4.4350762394261611</v>
      </c>
      <c r="BY8" s="345">
        <f>INPUT!CM83</f>
        <v>646.89799005747</v>
      </c>
      <c r="BZ8" s="346">
        <f>INPUT!CN83</f>
        <v>4.814425109156506</v>
      </c>
      <c r="CA8" s="345">
        <f>INPUT!CO83</f>
        <v>677.64068580846333</v>
      </c>
      <c r="CB8" s="346">
        <f>INPUT!CP83</f>
        <v>4.7523251306225589</v>
      </c>
      <c r="CC8" s="345">
        <f>INPUT!CQ83</f>
        <v>707.23859556709749</v>
      </c>
      <c r="CD8" s="346">
        <f>INPUT!CR83</f>
        <v>4.3677881771992721</v>
      </c>
      <c r="CE8" s="346">
        <f>INPUT!CS83</f>
        <v>9.1121090284214112</v>
      </c>
    </row>
    <row r="9" spans="1:154" x14ac:dyDescent="0.2">
      <c r="A9" s="331" t="s">
        <v>193</v>
      </c>
      <c r="B9" s="345">
        <f>INPUT!B168</f>
        <v>39.399999999999977</v>
      </c>
      <c r="C9" s="346"/>
      <c r="D9" s="345">
        <f>INPUT!D168</f>
        <v>63.900000000000034</v>
      </c>
      <c r="E9" s="346"/>
      <c r="F9" s="345">
        <f>INPUT!F168</f>
        <v>84.5</v>
      </c>
      <c r="G9" s="346"/>
      <c r="H9" s="345">
        <f>INPUT!H168</f>
        <v>199.9</v>
      </c>
      <c r="I9" s="346"/>
      <c r="J9" s="345">
        <f>INPUT!J168</f>
        <v>36.39999999999992</v>
      </c>
      <c r="K9" s="346">
        <f>INPUT!K168</f>
        <v>-7.6142131979696881</v>
      </c>
      <c r="L9" s="345">
        <f>INPUT!L168</f>
        <v>27.100000000000023</v>
      </c>
      <c r="M9" s="346" t="str">
        <f>INPUT!M168</f>
        <v>NM</v>
      </c>
      <c r="N9" s="345">
        <f>INPUT!N168</f>
        <v>32.600000000000023</v>
      </c>
      <c r="O9" s="346" t="str">
        <f>INPUT!O168</f>
        <v>NM</v>
      </c>
      <c r="P9" s="345">
        <f>INPUT!P168</f>
        <v>6.3000000000000114</v>
      </c>
      <c r="Q9" s="346" t="str">
        <f>INPUT!Q168</f>
        <v>NM</v>
      </c>
      <c r="R9" s="345">
        <f>INPUT!R168</f>
        <v>54.299999999999955</v>
      </c>
      <c r="S9" s="346">
        <f>INPUT!S168</f>
        <v>49.175824175824381</v>
      </c>
      <c r="T9" s="345">
        <f>INPUT!T168</f>
        <v>59.499999999999972</v>
      </c>
      <c r="U9" s="346" t="str">
        <f>INPUT!U168</f>
        <v>NM</v>
      </c>
      <c r="V9" s="345">
        <f>INPUT!V168</f>
        <v>96.9</v>
      </c>
      <c r="W9" s="346" t="str">
        <f>INPUT!W168</f>
        <v>NM</v>
      </c>
      <c r="X9" s="345">
        <f>INPUT!X168</f>
        <v>83.200000000000045</v>
      </c>
      <c r="Y9" s="346" t="str">
        <f>INPUT!Y168</f>
        <v>NM</v>
      </c>
      <c r="Z9" s="345">
        <f>INPUT!Z168</f>
        <v>54.800000000000068</v>
      </c>
      <c r="AA9" s="346">
        <f>INPUT!AA168</f>
        <v>0.92081031307571504</v>
      </c>
      <c r="AB9" s="345">
        <f>INPUT!AB168</f>
        <v>64.200000000000045</v>
      </c>
      <c r="AC9" s="346">
        <f>INPUT!AC168</f>
        <v>7.8991596638656736</v>
      </c>
      <c r="AD9" s="345">
        <f>INPUT!AD168</f>
        <v>78.299999999999955</v>
      </c>
      <c r="AE9" s="346">
        <f>INPUT!AE168</f>
        <v>-19.195046439628538</v>
      </c>
      <c r="AF9" s="345">
        <f>INPUT!AF168</f>
        <v>64.700000000000017</v>
      </c>
      <c r="AG9" s="346">
        <f>INPUT!AG168</f>
        <v>-22.235576923076948</v>
      </c>
      <c r="AH9" s="345">
        <f>INPUT!AH168</f>
        <v>68.600000000000023</v>
      </c>
      <c r="AI9" s="346">
        <f>INPUT!AI168</f>
        <v>25.182481751824692</v>
      </c>
      <c r="AJ9" s="345">
        <f>INPUT!AJ168</f>
        <v>60.999999999999943</v>
      </c>
      <c r="AK9" s="346">
        <f>INPUT!AK168</f>
        <v>-4.984423676012617</v>
      </c>
      <c r="AL9" s="345">
        <f>INPUT!AL168</f>
        <v>50.599999999999966</v>
      </c>
      <c r="AM9" s="346">
        <f>INPUT!AM168</f>
        <v>-35.376756066411239</v>
      </c>
      <c r="AN9" s="345">
        <f>INPUT!AN168</f>
        <v>62.900000000000034</v>
      </c>
      <c r="AO9" s="346">
        <f>INPUT!AO168</f>
        <v>-2.7820710973724627</v>
      </c>
      <c r="AP9" s="345">
        <f>INPUT!AP168</f>
        <v>0</v>
      </c>
      <c r="AQ9" s="346">
        <f>INPUT!AQ168</f>
        <v>0</v>
      </c>
      <c r="AR9" s="345">
        <f>INPUT!AR168</f>
        <v>0</v>
      </c>
      <c r="AS9" s="346">
        <f>INPUT!AS168</f>
        <v>0</v>
      </c>
      <c r="AT9" s="345">
        <f>INPUT!AT168</f>
        <v>0</v>
      </c>
      <c r="AU9" s="346">
        <f>INPUT!AU168</f>
        <v>0</v>
      </c>
      <c r="AV9" s="345">
        <f>INPUT!AV168</f>
        <v>0</v>
      </c>
      <c r="AW9" s="346" t="str">
        <f>INPUT!AW168</f>
        <v>NM</v>
      </c>
      <c r="AX9" s="345">
        <f>INPUT!AX168</f>
        <v>0</v>
      </c>
      <c r="AY9" s="346">
        <f>INPUT!AY168</f>
        <v>0</v>
      </c>
      <c r="AZ9" s="345">
        <f>INPUT!AZ168</f>
        <v>0</v>
      </c>
      <c r="BA9" s="346">
        <f>INPUT!BA168</f>
        <v>0</v>
      </c>
      <c r="BB9" s="345">
        <f>INPUT!BB168</f>
        <v>0</v>
      </c>
      <c r="BC9" s="346" t="str">
        <f>INPUT!BC168</f>
        <v>NA</v>
      </c>
      <c r="BD9" s="345">
        <f>INPUT!BD168</f>
        <v>0</v>
      </c>
      <c r="BE9" s="346" t="str">
        <f>INPUT!BE168</f>
        <v>NA</v>
      </c>
      <c r="BF9" s="347"/>
      <c r="BG9" s="345">
        <f>INPUT!BU168</f>
        <v>387.70000000000016</v>
      </c>
      <c r="BH9" s="346" t="str">
        <f>INPUT!BV168</f>
        <v>NM</v>
      </c>
      <c r="BI9" s="345">
        <f>INPUT!BW168</f>
        <v>102.40000000000009</v>
      </c>
      <c r="BJ9" s="346" t="str">
        <f>INPUT!BX168</f>
        <v>NM</v>
      </c>
      <c r="BK9" s="345">
        <f>INPUT!BY168</f>
        <v>293.89999999999998</v>
      </c>
      <c r="BL9" s="346" t="str">
        <f>INPUT!BZ168</f>
        <v>NM</v>
      </c>
      <c r="BM9" s="345">
        <f>INPUT!CA168</f>
        <v>262.00000000000011</v>
      </c>
      <c r="BN9" s="346">
        <f>INPUT!CB168</f>
        <v>-10.854031983667866</v>
      </c>
      <c r="BO9" s="345">
        <f>INPUT!CC168</f>
        <v>243.10000000000014</v>
      </c>
      <c r="BP9" s="346">
        <f>INPUT!CD168</f>
        <v>-7.2137404580152609</v>
      </c>
      <c r="BQ9" s="345">
        <f>INPUT!CE168</f>
        <v>0</v>
      </c>
      <c r="BR9" s="346" t="str">
        <f>INPUT!CF168</f>
        <v>NM</v>
      </c>
      <c r="BS9" s="345">
        <f>INPUT!CG168</f>
        <v>0</v>
      </c>
      <c r="BT9" s="346" t="str">
        <f>INPUT!CH168</f>
        <v>NA</v>
      </c>
      <c r="BU9" s="345">
        <f>INPUT!CI168</f>
        <v>0</v>
      </c>
      <c r="BV9" s="346">
        <f>INPUT!CJ168</f>
        <v>0</v>
      </c>
      <c r="BW9" s="345">
        <f>INPUT!CK168</f>
        <v>0</v>
      </c>
      <c r="BX9" s="346">
        <f>INPUT!CL168</f>
        <v>0</v>
      </c>
      <c r="BY9" s="345">
        <f>INPUT!CM168</f>
        <v>0</v>
      </c>
      <c r="BZ9" s="346">
        <f>INPUT!CN168</f>
        <v>0</v>
      </c>
      <c r="CA9" s="345">
        <f>INPUT!CO168</f>
        <v>0</v>
      </c>
      <c r="CB9" s="346">
        <f>INPUT!CP168</f>
        <v>0</v>
      </c>
      <c r="CC9" s="345">
        <f>INPUT!CQ168</f>
        <v>0</v>
      </c>
      <c r="CD9" s="346">
        <f>INPUT!CR168</f>
        <v>0</v>
      </c>
      <c r="CE9" s="346">
        <f>INPUT!CS168</f>
        <v>0</v>
      </c>
    </row>
    <row r="10" spans="1:154" x14ac:dyDescent="0.2">
      <c r="A10" s="331" t="s">
        <v>187</v>
      </c>
      <c r="B10" s="345">
        <f>INPUT!B273</f>
        <v>25.297999999999988</v>
      </c>
      <c r="C10" s="346"/>
      <c r="D10" s="345">
        <f>INPUT!D273</f>
        <v>26.352000000000004</v>
      </c>
      <c r="E10" s="346"/>
      <c r="F10" s="345">
        <f>INPUT!F273</f>
        <v>22.780999999999992</v>
      </c>
      <c r="G10" s="346"/>
      <c r="H10" s="345">
        <f>INPUT!H273</f>
        <v>13.064999999999998</v>
      </c>
      <c r="I10" s="346"/>
      <c r="J10" s="345">
        <f>INPUT!J273</f>
        <v>32.994</v>
      </c>
      <c r="K10" s="346">
        <f>INPUT!K273</f>
        <v>30.421377183967181</v>
      </c>
      <c r="L10" s="345">
        <f>INPUT!L273</f>
        <v>31.294000000000011</v>
      </c>
      <c r="M10" s="346">
        <f>INPUT!M273</f>
        <v>18.753794778384968</v>
      </c>
      <c r="N10" s="345">
        <f>INPUT!N273</f>
        <v>38.959999999999994</v>
      </c>
      <c r="O10" s="346">
        <f>INPUT!O273</f>
        <v>71.019709406961979</v>
      </c>
      <c r="P10" s="345">
        <f>INPUT!P273</f>
        <v>31.219000000000008</v>
      </c>
      <c r="Q10" s="346" t="str">
        <f>INPUT!Q273</f>
        <v>NM</v>
      </c>
      <c r="R10" s="345">
        <f>INPUT!R273</f>
        <v>30.100000000000009</v>
      </c>
      <c r="S10" s="346">
        <f>INPUT!S273</f>
        <v>-8.7712917500151306</v>
      </c>
      <c r="T10" s="345">
        <f>INPUT!T273</f>
        <v>41</v>
      </c>
      <c r="U10" s="346">
        <f>INPUT!U273</f>
        <v>31.015530133571879</v>
      </c>
      <c r="V10" s="345">
        <f>INPUT!V273</f>
        <v>54.000000000000028</v>
      </c>
      <c r="W10" s="346">
        <f>INPUT!W273</f>
        <v>38.603696098562736</v>
      </c>
      <c r="X10" s="345">
        <f>INPUT!X273</f>
        <v>52.899999999999991</v>
      </c>
      <c r="Y10" s="346">
        <f>INPUT!Y273</f>
        <v>69.448092507767626</v>
      </c>
      <c r="Z10" s="345">
        <f>INPUT!Z273</f>
        <v>49.8</v>
      </c>
      <c r="AA10" s="346">
        <f>INPUT!AA273</f>
        <v>65.448504983388659</v>
      </c>
      <c r="AB10" s="345">
        <f>INPUT!AB273</f>
        <v>54.899999999999991</v>
      </c>
      <c r="AC10" s="346">
        <f>INPUT!AC273</f>
        <v>33.902439024390233</v>
      </c>
      <c r="AD10" s="345">
        <f>INPUT!AD273</f>
        <v>58.600000000000009</v>
      </c>
      <c r="AE10" s="346">
        <f>INPUT!AE273</f>
        <v>8.51851851851848</v>
      </c>
      <c r="AF10" s="345">
        <f>INPUT!AF273</f>
        <v>47</v>
      </c>
      <c r="AG10" s="346">
        <f>INPUT!AG273</f>
        <v>-11.153119092627584</v>
      </c>
      <c r="AH10" s="345">
        <f>INPUT!AH273</f>
        <v>46.899999999999991</v>
      </c>
      <c r="AI10" s="346">
        <f>INPUT!AI273</f>
        <v>-5.8232931726907804</v>
      </c>
      <c r="AJ10" s="345">
        <f>INPUT!AJ273</f>
        <v>47</v>
      </c>
      <c r="AK10" s="346">
        <f>INPUT!AK273</f>
        <v>-14.389799635701262</v>
      </c>
      <c r="AL10" s="345">
        <f>INPUT!AL273</f>
        <v>45.599999999999994</v>
      </c>
      <c r="AM10" s="346">
        <f>INPUT!AM273</f>
        <v>-22.184300341296947</v>
      </c>
      <c r="AN10" s="345">
        <f>INPUT!AN273</f>
        <v>42.400000000000006</v>
      </c>
      <c r="AO10" s="346">
        <f>INPUT!AO273</f>
        <v>-9.7872340425531839</v>
      </c>
      <c r="AP10" s="345">
        <f>INPUT!AP273</f>
        <v>22.700000000000017</v>
      </c>
      <c r="AQ10" s="346" t="str">
        <f>INPUT!AQ273</f>
        <v>NM</v>
      </c>
      <c r="AR10" s="345">
        <f>INPUT!AR273</f>
        <v>31.700000000000017</v>
      </c>
      <c r="AS10" s="346">
        <f>INPUT!AS273</f>
        <v>-32.553191489361666</v>
      </c>
      <c r="AT10" s="345">
        <f>INPUT!AT273</f>
        <v>51.399999999999977</v>
      </c>
      <c r="AU10" s="346">
        <f>INPUT!AU273</f>
        <v>12.719298245613997</v>
      </c>
      <c r="AV10" s="345">
        <f>INPUT!AV273</f>
        <v>64.899999999999991</v>
      </c>
      <c r="AW10" s="346">
        <f>INPUT!AW273</f>
        <v>53.066037735849015</v>
      </c>
      <c r="AX10" s="345">
        <f>INPUT!AX273</f>
        <v>49.400000000000006</v>
      </c>
      <c r="AY10" s="346" t="str">
        <f>INPUT!AY273</f>
        <v>NM</v>
      </c>
      <c r="AZ10" s="345">
        <f>INPUT!AZ273</f>
        <v>84.700000000000017</v>
      </c>
      <c r="BA10" s="346" t="str">
        <f>INPUT!BA273</f>
        <v>NM</v>
      </c>
      <c r="BB10" s="345">
        <f>INPUT!BB273</f>
        <v>53.599999999999994</v>
      </c>
      <c r="BC10" s="346">
        <f>INPUT!BC273</f>
        <v>4.2801556420233755</v>
      </c>
      <c r="BD10" s="345">
        <f>INPUT!BD273</f>
        <v>61</v>
      </c>
      <c r="BE10" s="346">
        <f>INPUT!BE273</f>
        <v>-6.0092449922958258</v>
      </c>
      <c r="BF10" s="347"/>
      <c r="BG10" s="345">
        <f>INPUT!BU273</f>
        <v>87.496000000000038</v>
      </c>
      <c r="BH10" s="346">
        <f>INPUT!BV273</f>
        <v>74.642714570858473</v>
      </c>
      <c r="BI10" s="345">
        <f>INPUT!BW273</f>
        <v>134.46699999999998</v>
      </c>
      <c r="BJ10" s="346">
        <f>INPUT!BX273</f>
        <v>53.683596964432567</v>
      </c>
      <c r="BK10" s="345">
        <f>INPUT!BY273</f>
        <v>178.00000000000017</v>
      </c>
      <c r="BL10" s="346">
        <f>INPUT!BZ273</f>
        <v>32.374485933351814</v>
      </c>
      <c r="BM10" s="345">
        <f>INPUT!CA273</f>
        <v>210.29999999999995</v>
      </c>
      <c r="BN10" s="346">
        <f>INPUT!CB273</f>
        <v>18.146067415730194</v>
      </c>
      <c r="BO10" s="345">
        <f>INPUT!CC273</f>
        <v>181.89999999999992</v>
      </c>
      <c r="BP10" s="346">
        <f>INPUT!CD273</f>
        <v>-13.504517356157885</v>
      </c>
      <c r="BQ10" s="345">
        <f>INPUT!CE273</f>
        <v>170.69999999999987</v>
      </c>
      <c r="BR10" s="346">
        <f>INPUT!CF273</f>
        <v>-6.1572292468389467</v>
      </c>
      <c r="BS10" s="345">
        <f>INPUT!CG273</f>
        <v>248.69999999999993</v>
      </c>
      <c r="BT10" s="346">
        <f>INPUT!CH273</f>
        <v>45.694200351493919</v>
      </c>
      <c r="BU10" s="345">
        <f>INPUT!CI273</f>
        <v>217.48358519005455</v>
      </c>
      <c r="BV10" s="346">
        <f>INPUT!CJ273</f>
        <v>-12.551835468413907</v>
      </c>
      <c r="BW10" s="345">
        <f>INPUT!CK273</f>
        <v>228.82649070227592</v>
      </c>
      <c r="BX10" s="346">
        <f>INPUT!CL273</f>
        <v>5.2155225886629575</v>
      </c>
      <c r="BY10" s="345">
        <f>INPUT!CM273</f>
        <v>238.92389714011205</v>
      </c>
      <c r="BZ10" s="346">
        <f>INPUT!CN273</f>
        <v>4.4126912084553105</v>
      </c>
      <c r="CA10" s="345">
        <f>INPUT!CO273</f>
        <v>246.91519455282821</v>
      </c>
      <c r="CB10" s="346">
        <f>INPUT!CP273</f>
        <v>3.3447041122177223</v>
      </c>
      <c r="CC10" s="345">
        <f>INPUT!CQ273</f>
        <v>255.60776598641326</v>
      </c>
      <c r="CD10" s="346">
        <f>INPUT!CR273</f>
        <v>3.5204684139943598</v>
      </c>
      <c r="CE10" s="346">
        <f>INPUT!CS273</f>
        <v>0.54943900170381088</v>
      </c>
    </row>
    <row r="11" spans="1:154" x14ac:dyDescent="0.2">
      <c r="A11" s="331" t="s">
        <v>194</v>
      </c>
      <c r="B11" s="345">
        <f>INPUT!B342</f>
        <v>75.637999999999977</v>
      </c>
      <c r="C11" s="346"/>
      <c r="D11" s="345">
        <f>INPUT!D342</f>
        <v>80.930000000000064</v>
      </c>
      <c r="E11" s="346"/>
      <c r="F11" s="345">
        <f>INPUT!F342</f>
        <v>83.863</v>
      </c>
      <c r="G11" s="346"/>
      <c r="H11" s="345">
        <f>INPUT!H342</f>
        <v>39.012999999999977</v>
      </c>
      <c r="I11" s="346"/>
      <c r="J11" s="345">
        <f>INPUT!J342</f>
        <v>55.078999999999951</v>
      </c>
      <c r="K11" s="346">
        <f>INPUT!K342</f>
        <v>-27.180782146540139</v>
      </c>
      <c r="L11" s="345">
        <f>INPUT!L342</f>
        <v>33.371000000000095</v>
      </c>
      <c r="M11" s="346" t="str">
        <f>INPUT!M342</f>
        <v>NM</v>
      </c>
      <c r="N11" s="345">
        <f>INPUT!N342</f>
        <v>53.100999999999942</v>
      </c>
      <c r="O11" s="346">
        <f>INPUT!O342</f>
        <v>-36.68125394989454</v>
      </c>
      <c r="P11" s="345">
        <f>INPUT!P342</f>
        <v>54.479000000000042</v>
      </c>
      <c r="Q11" s="346">
        <f>INPUT!Q342</f>
        <v>39.643195857791191</v>
      </c>
      <c r="R11" s="345">
        <f>INPUT!R342</f>
        <v>50.699999999999989</v>
      </c>
      <c r="S11" s="346">
        <f>INPUT!S342</f>
        <v>-7.9503985184915642</v>
      </c>
      <c r="T11" s="345">
        <f>INPUT!T342</f>
        <v>40</v>
      </c>
      <c r="U11" s="346">
        <f>INPUT!U342</f>
        <v>19.864553055047462</v>
      </c>
      <c r="V11" s="345">
        <f>INPUT!V342</f>
        <v>117.09999999999997</v>
      </c>
      <c r="W11" s="346" t="str">
        <f>INPUT!W342</f>
        <v>NM</v>
      </c>
      <c r="X11" s="345">
        <f>INPUT!X342</f>
        <v>47</v>
      </c>
      <c r="Y11" s="346">
        <f>INPUT!Y342</f>
        <v>-13.728225554801</v>
      </c>
      <c r="Z11" s="345">
        <f>INPUT!Z342</f>
        <v>31.10000000000008</v>
      </c>
      <c r="AA11" s="346">
        <f>INPUT!AA342</f>
        <v>-38.658777120315413</v>
      </c>
      <c r="AB11" s="345">
        <f>INPUT!AB342</f>
        <v>63.39999999999992</v>
      </c>
      <c r="AC11" s="346">
        <f>INPUT!AC342</f>
        <v>58.499999999999794</v>
      </c>
      <c r="AD11" s="345">
        <f>INPUT!AD342</f>
        <v>39.800000000000011</v>
      </c>
      <c r="AE11" s="346" t="str">
        <f>INPUT!AE342</f>
        <v>NM</v>
      </c>
      <c r="AF11" s="345">
        <f>INPUT!AF342</f>
        <v>103.00000000000006</v>
      </c>
      <c r="AG11" s="346" t="str">
        <f>INPUT!AG342</f>
        <v>NM</v>
      </c>
      <c r="AH11" s="345">
        <f>INPUT!AH342</f>
        <v>43.399999999999977</v>
      </c>
      <c r="AI11" s="346">
        <f>INPUT!AI342</f>
        <v>39.549839228295383</v>
      </c>
      <c r="AJ11" s="345">
        <f>INPUT!AJ342</f>
        <v>37.700000000000045</v>
      </c>
      <c r="AK11" s="346">
        <f>INPUT!AK342</f>
        <v>-40.536277602523519</v>
      </c>
      <c r="AL11" s="345">
        <f>INPUT!AL342</f>
        <v>-10.799999999999955</v>
      </c>
      <c r="AM11" s="346" t="str">
        <f>INPUT!AM342</f>
        <v>NM</v>
      </c>
      <c r="AN11" s="345">
        <f>INPUT!AN342</f>
        <v>102.39999999999998</v>
      </c>
      <c r="AO11" s="346">
        <f>INPUT!AO342</f>
        <v>-0.58252427184474209</v>
      </c>
      <c r="AP11" s="345">
        <f>INPUT!AP342</f>
        <v>41.099999999999966</v>
      </c>
      <c r="AQ11" s="346">
        <f>INPUT!AQ342</f>
        <v>-5.2995391705069395</v>
      </c>
      <c r="AR11" s="345">
        <f>INPUT!AR342</f>
        <v>50.299999999999983</v>
      </c>
      <c r="AS11" s="346">
        <f>INPUT!AS342</f>
        <v>33.421750663129757</v>
      </c>
      <c r="AT11" s="345">
        <f>INPUT!AT342</f>
        <v>-76.200000000000045</v>
      </c>
      <c r="AU11" s="346" t="str">
        <f>INPUT!AU342</f>
        <v>NM</v>
      </c>
      <c r="AV11" s="345">
        <f>INPUT!AV342</f>
        <v>43.399999999999977</v>
      </c>
      <c r="AW11" s="346" t="str">
        <f>INPUT!AW342</f>
        <v>NM</v>
      </c>
      <c r="AX11" s="345">
        <f>INPUT!AX342</f>
        <v>31.699999999999989</v>
      </c>
      <c r="AY11" s="346">
        <f>INPUT!AY342</f>
        <v>-22.871046228710423</v>
      </c>
      <c r="AZ11" s="345">
        <f>INPUT!AZ342</f>
        <v>62.299999999999955</v>
      </c>
      <c r="BA11" s="346">
        <f>INPUT!BA342</f>
        <v>23.856858846918438</v>
      </c>
      <c r="BB11" s="345">
        <f>INPUT!BB342</f>
        <v>-66.200000000000045</v>
      </c>
      <c r="BC11" s="346">
        <f>INPUT!BC342</f>
        <v>-13.123359580052485</v>
      </c>
      <c r="BD11" s="345">
        <f>INPUT!BD342</f>
        <v>63</v>
      </c>
      <c r="BE11" s="346">
        <f>INPUT!BE342</f>
        <v>45.161290322580719</v>
      </c>
      <c r="BF11" s="347"/>
      <c r="BG11" s="345">
        <f>INPUT!BU342</f>
        <v>279.44399999999973</v>
      </c>
      <c r="BH11" s="346">
        <f>INPUT!BV342</f>
        <v>-10.863157894736929</v>
      </c>
      <c r="BI11" s="345">
        <f>INPUT!BW342</f>
        <v>196.02999999999975</v>
      </c>
      <c r="BJ11" s="346">
        <f>INPUT!BX342</f>
        <v>-29.849987832982659</v>
      </c>
      <c r="BK11" s="345">
        <f>INPUT!BY342</f>
        <v>254.79999999999995</v>
      </c>
      <c r="BL11" s="346">
        <f>INPUT!BZ342</f>
        <v>29.980105085956389</v>
      </c>
      <c r="BM11" s="345">
        <f>INPUT!CA342</f>
        <v>237.30000000000018</v>
      </c>
      <c r="BN11" s="346">
        <f>INPUT!CB342</f>
        <v>-6.8681318681317771</v>
      </c>
      <c r="BO11" s="345">
        <f>INPUT!CC342</f>
        <v>172.70000000000005</v>
      </c>
      <c r="BP11" s="346">
        <f>INPUT!CD342</f>
        <v>-27.222924568057351</v>
      </c>
      <c r="BQ11" s="345">
        <f>INPUT!CE342</f>
        <v>58.599999999999909</v>
      </c>
      <c r="BR11" s="346" t="str">
        <f>INPUT!CF342</f>
        <v>NM</v>
      </c>
      <c r="BS11" s="345">
        <f>INPUT!CG342</f>
        <v>90.799999999999955</v>
      </c>
      <c r="BT11" s="346">
        <f>INPUT!CH342</f>
        <v>54.948805460751025</v>
      </c>
      <c r="BU11" s="345">
        <f>INPUT!CI342</f>
        <v>224.91037554477407</v>
      </c>
      <c r="BV11" s="346" t="str">
        <f>INPUT!CJ342</f>
        <v>NM</v>
      </c>
      <c r="BW11" s="345">
        <f>INPUT!CK342</f>
        <v>227.57663464966186</v>
      </c>
      <c r="BX11" s="346">
        <f>INPUT!CL342</f>
        <v>1.1854762584561085</v>
      </c>
      <c r="BY11" s="345">
        <f>INPUT!CM342</f>
        <v>231.32052167082247</v>
      </c>
      <c r="BZ11" s="346">
        <f>INPUT!CN342</f>
        <v>1.6451104600101241</v>
      </c>
      <c r="CA11" s="345">
        <f>INPUT!CO342</f>
        <v>235.11407968444178</v>
      </c>
      <c r="CB11" s="346">
        <f>INPUT!CP342</f>
        <v>1.6399574003285622</v>
      </c>
      <c r="CC11" s="345">
        <f>INPUT!CQ342</f>
        <v>238.95766936922246</v>
      </c>
      <c r="CD11" s="346">
        <f>INPUT!CR342</f>
        <v>1.6347764837985723</v>
      </c>
      <c r="CE11" s="346">
        <f>INPUT!CS342</f>
        <v>21.352024234508793</v>
      </c>
    </row>
    <row r="12" spans="1:154" x14ac:dyDescent="0.2">
      <c r="A12" s="331" t="s">
        <v>195</v>
      </c>
      <c r="B12" s="345">
        <f>INPUT!B417</f>
        <v>13.335955239999976</v>
      </c>
      <c r="C12" s="346"/>
      <c r="D12" s="345">
        <f>INPUT!D417</f>
        <v>30.890866800000012</v>
      </c>
      <c r="E12" s="346"/>
      <c r="F12" s="345">
        <f>INPUT!F417</f>
        <v>17.992191009999985</v>
      </c>
      <c r="G12" s="346"/>
      <c r="H12" s="345">
        <f>INPUT!H417</f>
        <v>21.099437460000019</v>
      </c>
      <c r="I12" s="346"/>
      <c r="J12" s="345">
        <f>INPUT!J417</f>
        <v>15.496000000000009</v>
      </c>
      <c r="K12" s="346">
        <f>INPUT!K417</f>
        <v>16.197150643706259</v>
      </c>
      <c r="L12" s="345">
        <f>INPUT!L417</f>
        <v>29.004999999999995</v>
      </c>
      <c r="M12" s="346">
        <f>INPUT!M417</f>
        <v>-6.104933254899847</v>
      </c>
      <c r="N12" s="345">
        <f>INPUT!N417</f>
        <v>36.029999999999987</v>
      </c>
      <c r="O12" s="346" t="str">
        <f>INPUT!O417</f>
        <v>NM</v>
      </c>
      <c r="P12" s="345">
        <f>INPUT!P417</f>
        <v>28.621000000000038</v>
      </c>
      <c r="Q12" s="346">
        <f>INPUT!Q417</f>
        <v>35.64816623314853</v>
      </c>
      <c r="R12" s="345">
        <f>INPUT!R417</f>
        <v>12.399999999999991</v>
      </c>
      <c r="S12" s="346">
        <f>INPUT!S417</f>
        <v>-19.979349509550957</v>
      </c>
      <c r="T12" s="345">
        <f>INPUT!T417</f>
        <v>34.09999999999998</v>
      </c>
      <c r="U12" s="346">
        <f>INPUT!U417</f>
        <v>17.565936907429712</v>
      </c>
      <c r="V12" s="345">
        <f>INPUT!V417</f>
        <v>29.09999999999998</v>
      </c>
      <c r="W12" s="346">
        <f>INPUT!W417</f>
        <v>-19.233971690258144</v>
      </c>
      <c r="X12" s="345">
        <f>INPUT!X417</f>
        <v>30.499999999999986</v>
      </c>
      <c r="Y12" s="346">
        <f>INPUT!Y417</f>
        <v>6.5651095349566591</v>
      </c>
      <c r="Z12" s="345">
        <f>INPUT!Z417</f>
        <v>16.899999999999991</v>
      </c>
      <c r="AA12" s="346">
        <f>INPUT!AA417</f>
        <v>36.290322580645196</v>
      </c>
      <c r="AB12" s="345">
        <f>INPUT!AB417</f>
        <v>37.800000000000011</v>
      </c>
      <c r="AC12" s="346">
        <f>INPUT!AC417</f>
        <v>10.850439882698048</v>
      </c>
      <c r="AD12" s="345">
        <f>INPUT!AD417</f>
        <v>37</v>
      </c>
      <c r="AE12" s="346">
        <f>INPUT!AE417</f>
        <v>27.147766323024136</v>
      </c>
      <c r="AF12" s="345">
        <f>INPUT!AF417</f>
        <v>57.2</v>
      </c>
      <c r="AG12" s="346">
        <f>INPUT!AG417</f>
        <v>87.540983606557461</v>
      </c>
      <c r="AH12" s="345">
        <f>INPUT!AH417</f>
        <v>40.599999999999994</v>
      </c>
      <c r="AI12" s="346" t="str">
        <f>INPUT!AI417</f>
        <v>NM</v>
      </c>
      <c r="AJ12" s="345">
        <f>INPUT!AJ417</f>
        <v>37.699999999999989</v>
      </c>
      <c r="AK12" s="346">
        <f>INPUT!AK417</f>
        <v>-0.26455026455032282</v>
      </c>
      <c r="AL12" s="345">
        <f>INPUT!AL417</f>
        <v>44.199999999999989</v>
      </c>
      <c r="AM12" s="346">
        <f>INPUT!AM417</f>
        <v>19.459459459459438</v>
      </c>
      <c r="AN12" s="345">
        <f>INPUT!AN417</f>
        <v>23.599999999999994</v>
      </c>
      <c r="AO12" s="346" t="str">
        <f>INPUT!AO417</f>
        <v>NM</v>
      </c>
      <c r="AP12" s="345">
        <f>INPUT!AP417</f>
        <v>20.799999999999997</v>
      </c>
      <c r="AQ12" s="346">
        <f>INPUT!AQ417</f>
        <v>-48.768472906403936</v>
      </c>
      <c r="AR12" s="345">
        <f>INPUT!AR417</f>
        <v>32.300000000000011</v>
      </c>
      <c r="AS12" s="346">
        <f>INPUT!AS417</f>
        <v>-14.323607427055652</v>
      </c>
      <c r="AT12" s="345">
        <f>INPUT!AT417</f>
        <v>41.300000000000011</v>
      </c>
      <c r="AU12" s="346">
        <f>INPUT!AU417</f>
        <v>-6.5610859728506332</v>
      </c>
      <c r="AV12" s="345">
        <f>INPUT!AV417</f>
        <v>31.899999999999991</v>
      </c>
      <c r="AW12" s="346">
        <f>INPUT!AW417</f>
        <v>35.169491525423723</v>
      </c>
      <c r="AX12" s="345">
        <f>INPUT!AX417</f>
        <v>10.600000000000009</v>
      </c>
      <c r="AY12" s="346">
        <f>INPUT!AY417</f>
        <v>-49.038461538461483</v>
      </c>
      <c r="AZ12" s="345">
        <f>INPUT!AZ417</f>
        <v>27</v>
      </c>
      <c r="BA12" s="346">
        <f>INPUT!BA417</f>
        <v>-16.408668730650188</v>
      </c>
      <c r="BB12" s="345">
        <f>INPUT!BB417</f>
        <v>58.000000000000014</v>
      </c>
      <c r="BC12" s="346">
        <f>INPUT!BC417</f>
        <v>40.435835351089587</v>
      </c>
      <c r="BD12" s="345">
        <f>INPUT!BD417</f>
        <v>30</v>
      </c>
      <c r="BE12" s="346">
        <f>INPUT!BE417</f>
        <v>-5.9561128526645524</v>
      </c>
      <c r="BF12" s="347"/>
      <c r="BG12" s="345">
        <f>INPUT!BU417</f>
        <v>83.318450509999991</v>
      </c>
      <c r="BH12" s="346">
        <f>INPUT!BV417</f>
        <v>1.6078664756098204</v>
      </c>
      <c r="BI12" s="345">
        <f>INPUT!BW417</f>
        <v>109.15199999999987</v>
      </c>
      <c r="BJ12" s="346">
        <f>INPUT!BX417</f>
        <v>31.005796833558861</v>
      </c>
      <c r="BK12" s="345">
        <f>INPUT!BY417</f>
        <v>106.10000000000008</v>
      </c>
      <c r="BL12" s="346">
        <f>INPUT!BZ417</f>
        <v>-2.796100850190375</v>
      </c>
      <c r="BM12" s="345">
        <f>INPUT!CA417</f>
        <v>148.89999999999986</v>
      </c>
      <c r="BN12" s="346">
        <f>INPUT!CB417</f>
        <v>40.339302544768849</v>
      </c>
      <c r="BO12" s="345">
        <f>INPUT!CC417</f>
        <v>146.09999999999991</v>
      </c>
      <c r="BP12" s="346">
        <f>INPUT!CD417</f>
        <v>-1.8804566823371061</v>
      </c>
      <c r="BQ12" s="345">
        <f>INPUT!CE417</f>
        <v>126.30000000000001</v>
      </c>
      <c r="BR12" s="346">
        <f>INPUT!CF417</f>
        <v>-13.552361396303835</v>
      </c>
      <c r="BS12" s="345">
        <f>INPUT!CG417</f>
        <v>125.60000000000008</v>
      </c>
      <c r="BT12" s="346">
        <f>INPUT!CH417</f>
        <v>-0.55423594615988669</v>
      </c>
      <c r="BU12" s="345">
        <f>INPUT!CI417</f>
        <v>119.54295244115605</v>
      </c>
      <c r="BV12" s="346">
        <f>INPUT!CJ417</f>
        <v>-4.8224900946210454</v>
      </c>
      <c r="BW12" s="345">
        <f>INPUT!CK417</f>
        <v>127.59095869892695</v>
      </c>
      <c r="BX12" s="346">
        <f>INPUT!CL417</f>
        <v>6.7323134433478815</v>
      </c>
      <c r="BY12" s="345">
        <f>INPUT!CM417</f>
        <v>130.03756043703845</v>
      </c>
      <c r="BZ12" s="346">
        <f>INPUT!CN417</f>
        <v>1.917535351297639</v>
      </c>
      <c r="CA12" s="345">
        <f>INPUT!CO417</f>
        <v>132.45070490350696</v>
      </c>
      <c r="CB12" s="346">
        <f>INPUT!CP417</f>
        <v>1.8557288050915943</v>
      </c>
      <c r="CC12" s="345">
        <f>INPUT!CQ417</f>
        <v>134.82208720827538</v>
      </c>
      <c r="CD12" s="346">
        <f>INPUT!CR417</f>
        <v>1.7903885875851122</v>
      </c>
      <c r="CE12" s="346">
        <f>INPUT!CS417</f>
        <v>1.4271637670947745</v>
      </c>
    </row>
    <row r="13" spans="1:154" s="300" customFormat="1" x14ac:dyDescent="0.2">
      <c r="A13" s="348" t="s">
        <v>261</v>
      </c>
      <c r="B13" s="349">
        <f>INPUT!B653</f>
        <v>279.13695524000002</v>
      </c>
      <c r="C13" s="346"/>
      <c r="D13" s="349">
        <f>INPUT!D653</f>
        <v>350.80086680000011</v>
      </c>
      <c r="E13" s="346"/>
      <c r="F13" s="349">
        <f>INPUT!F653</f>
        <v>306.80619100999996</v>
      </c>
      <c r="G13" s="346"/>
      <c r="H13" s="349">
        <f>INPUT!H653</f>
        <v>343.08443746</v>
      </c>
      <c r="I13" s="346"/>
      <c r="J13" s="349">
        <f>INPUT!J653</f>
        <v>264.0539999999998</v>
      </c>
      <c r="K13" s="346">
        <f>INPUT!K653</f>
        <v>-5.4034247192500935</v>
      </c>
      <c r="L13" s="349">
        <f>INPUT!L653</f>
        <v>191.88000000000002</v>
      </c>
      <c r="M13" s="346">
        <f>INPUT!M653</f>
        <v>-45.302301630458807</v>
      </c>
      <c r="N13" s="349">
        <f>INPUT!N653</f>
        <v>305.98700000000002</v>
      </c>
      <c r="O13" s="346">
        <f>INPUT!O653</f>
        <v>-0.26700602334757129</v>
      </c>
      <c r="P13" s="349">
        <f>INPUT!P653</f>
        <v>228.41900000000015</v>
      </c>
      <c r="Q13" s="346">
        <f>INPUT!Q653</f>
        <v>-33.421929105533565</v>
      </c>
      <c r="R13" s="349">
        <f>INPUT!R653</f>
        <v>285.3</v>
      </c>
      <c r="S13" s="346">
        <f>INPUT!S653</f>
        <v>8.0460814833330332</v>
      </c>
      <c r="T13" s="349">
        <f>INPUT!T653</f>
        <v>306.8</v>
      </c>
      <c r="U13" s="346">
        <f>INPUT!U653</f>
        <v>59.891598915989142</v>
      </c>
      <c r="V13" s="349">
        <f>INPUT!V653</f>
        <v>484.39999999999986</v>
      </c>
      <c r="W13" s="346">
        <f>INPUT!W653</f>
        <v>58.307379071659859</v>
      </c>
      <c r="X13" s="349">
        <f>INPUT!X653</f>
        <v>352.19999999999993</v>
      </c>
      <c r="Y13" s="346">
        <f>INPUT!Y653</f>
        <v>54.190325673433335</v>
      </c>
      <c r="Z13" s="349">
        <f>INPUT!Z653</f>
        <v>267.50000000000017</v>
      </c>
      <c r="AA13" s="346">
        <f>INPUT!AA653</f>
        <v>-6.2390466175954558</v>
      </c>
      <c r="AB13" s="349">
        <f>INPUT!AB653</f>
        <v>356.00000000000006</v>
      </c>
      <c r="AC13" s="346">
        <f>INPUT!AC653</f>
        <v>16.036505867014348</v>
      </c>
      <c r="AD13" s="349">
        <f>INPUT!AD653</f>
        <v>331</v>
      </c>
      <c r="AE13" s="346">
        <f>INPUT!AE653</f>
        <v>-31.668042939719221</v>
      </c>
      <c r="AF13" s="349">
        <f>INPUT!AF653</f>
        <v>421.89999999999986</v>
      </c>
      <c r="AG13" s="346">
        <f>INPUT!AG653</f>
        <v>19.789892106757499</v>
      </c>
      <c r="AH13" s="349">
        <f>INPUT!AH653</f>
        <v>324.10000000000002</v>
      </c>
      <c r="AI13" s="346">
        <f>INPUT!AI653</f>
        <v>21.158878504672817</v>
      </c>
      <c r="AJ13" s="349">
        <f>INPUT!AJ653</f>
        <v>311.8</v>
      </c>
      <c r="AK13" s="346">
        <f>INPUT!AK653</f>
        <v>-12.415730337078667</v>
      </c>
      <c r="AL13" s="349">
        <f>INPUT!AL653</f>
        <v>210.09999999999988</v>
      </c>
      <c r="AM13" s="346">
        <f>INPUT!AM653</f>
        <v>-36.525679758308193</v>
      </c>
      <c r="AN13" s="349">
        <f>INPUT!AN653</f>
        <v>368.40000000000009</v>
      </c>
      <c r="AO13" s="346">
        <f>INPUT!AO653</f>
        <v>-12.680730030812937</v>
      </c>
      <c r="AP13" s="349">
        <f>INPUT!AP653</f>
        <v>188.29999999999984</v>
      </c>
      <c r="AQ13" s="346">
        <f>INPUT!AQ653</f>
        <v>-41.900647948164206</v>
      </c>
      <c r="AR13" s="349">
        <f>INPUT!AR653</f>
        <v>254.79999999999995</v>
      </c>
      <c r="AS13" s="346">
        <f>INPUT!AS653</f>
        <v>-18.28094932649136</v>
      </c>
      <c r="AT13" s="349">
        <f>INPUT!AT653</f>
        <v>79.39999999999992</v>
      </c>
      <c r="AU13" s="346" t="str">
        <f>INPUT!AU653</f>
        <v>NM</v>
      </c>
      <c r="AV13" s="349">
        <f>INPUT!AV653</f>
        <v>282.89999999999992</v>
      </c>
      <c r="AW13" s="346">
        <f>INPUT!AW653</f>
        <v>-23.208469055374636</v>
      </c>
      <c r="AX13" s="349">
        <f>INPUT!AX653</f>
        <v>240.49999999999983</v>
      </c>
      <c r="AY13" s="346">
        <f>INPUT!AY653</f>
        <v>27.721720658523651</v>
      </c>
      <c r="AZ13" s="349">
        <f>INPUT!AZ653</f>
        <v>207.49999999999986</v>
      </c>
      <c r="BA13" s="346">
        <f>INPUT!BA653</f>
        <v>-18.563579277865038</v>
      </c>
      <c r="BB13" s="349">
        <f>INPUT!BB653</f>
        <v>152.20000000000005</v>
      </c>
      <c r="BC13" s="346">
        <f>INPUT!BC653</f>
        <v>91.687657430730724</v>
      </c>
      <c r="BD13" s="349">
        <f>INPUT!BD653</f>
        <v>322.19999999999993</v>
      </c>
      <c r="BE13" s="346">
        <f>INPUT!BE653</f>
        <v>13.891834570519634</v>
      </c>
      <c r="BF13" s="350"/>
      <c r="BG13" s="349">
        <f>INPUT!BU653</f>
        <v>1279.8284505099994</v>
      </c>
      <c r="BH13" s="346">
        <f>INPUT!BV653</f>
        <v>24.23106683265377</v>
      </c>
      <c r="BI13" s="349">
        <f>INPUT!BW653</f>
        <v>990.34000000000037</v>
      </c>
      <c r="BJ13" s="346">
        <f>INPUT!BX653</f>
        <v>-22.619316705660086</v>
      </c>
      <c r="BK13" s="349">
        <f>INPUT!BY653</f>
        <v>1428.7000000000003</v>
      </c>
      <c r="BL13" s="346">
        <f>INPUT!BZ653</f>
        <v>44.263586243108399</v>
      </c>
      <c r="BM13" s="349">
        <f>INPUT!CA653</f>
        <v>1376.4000000000003</v>
      </c>
      <c r="BN13" s="346">
        <f>INPUT!CB653</f>
        <v>-3.6606705396514228</v>
      </c>
      <c r="BO13" s="349">
        <f>INPUT!CC653</f>
        <v>1214.3999999999999</v>
      </c>
      <c r="BP13" s="346">
        <f>INPUT!CD653</f>
        <v>-11.769834350479547</v>
      </c>
      <c r="BQ13" s="349">
        <f>INPUT!CE653</f>
        <v>805.39999999999986</v>
      </c>
      <c r="BR13" s="346">
        <f>INPUT!CF653</f>
        <v>-33.679183135704882</v>
      </c>
      <c r="BS13" s="349">
        <f>INPUT!CG653</f>
        <v>922.40000000000009</v>
      </c>
      <c r="BT13" s="346">
        <f>INPUT!CH653</f>
        <v>14.52694313384657</v>
      </c>
      <c r="BU13" s="349">
        <f>INPUT!CI653</f>
        <v>1152.9108894579006</v>
      </c>
      <c r="BV13" s="346">
        <f>INPUT!CJ653</f>
        <v>24.99033927340637</v>
      </c>
      <c r="BW13" s="349">
        <f>INPUT!CK653</f>
        <v>1201.1782067360518</v>
      </c>
      <c r="BX13" s="346">
        <f>INPUT!CL653</f>
        <v>4.186560966636943</v>
      </c>
      <c r="BY13" s="349">
        <f>INPUT!CM653</f>
        <v>1247.1799693054431</v>
      </c>
      <c r="BZ13" s="346">
        <f>INPUT!CN653</f>
        <v>3.8297200458199621</v>
      </c>
      <c r="CA13" s="349">
        <f>INPUT!CO653</f>
        <v>1292.1206649492401</v>
      </c>
      <c r="CB13" s="346">
        <f>INPUT!CP653</f>
        <v>3.6033849764941728</v>
      </c>
      <c r="CC13" s="349">
        <f>INPUT!CQ653</f>
        <v>1336.6261181310085</v>
      </c>
      <c r="CD13" s="346">
        <f>INPUT!CR653</f>
        <v>3.4443728352194336</v>
      </c>
      <c r="CE13" s="346">
        <f>INPUT!CS653</f>
        <v>7.7006017384560588</v>
      </c>
    </row>
    <row r="14" spans="1:154" s="300" customFormat="1" x14ac:dyDescent="0.2">
      <c r="A14" s="351" t="s">
        <v>186</v>
      </c>
      <c r="B14" s="345">
        <f>INPUT!B440</f>
        <v>-44.3</v>
      </c>
      <c r="C14" s="346"/>
      <c r="D14" s="345">
        <f>INPUT!D440</f>
        <v>-69.099999999999994</v>
      </c>
      <c r="E14" s="346"/>
      <c r="F14" s="345">
        <f>INPUT!F440</f>
        <v>-20.800000000000004</v>
      </c>
      <c r="G14" s="346"/>
      <c r="H14" s="345">
        <f>INPUT!H440</f>
        <v>-96</v>
      </c>
      <c r="I14" s="346"/>
      <c r="J14" s="345">
        <f>INPUT!J440</f>
        <v>-48.4</v>
      </c>
      <c r="K14" s="346">
        <f>INPUT!K440</f>
        <v>9.2550790067720037</v>
      </c>
      <c r="L14" s="345">
        <f>INPUT!L440</f>
        <v>-32.700000000000003</v>
      </c>
      <c r="M14" s="346" t="str">
        <f>INPUT!M440</f>
        <v>NM</v>
      </c>
      <c r="N14" s="345">
        <f>INPUT!N440</f>
        <v>-57.6</v>
      </c>
      <c r="O14" s="346" t="str">
        <f>INPUT!O440</f>
        <v>NM</v>
      </c>
      <c r="P14" s="345">
        <f>INPUT!P440</f>
        <v>-43.600000000000009</v>
      </c>
      <c r="Q14" s="346" t="str">
        <f>INPUT!Q440</f>
        <v>NM</v>
      </c>
      <c r="R14" s="345">
        <f>INPUT!R440</f>
        <v>-50.1</v>
      </c>
      <c r="S14" s="346">
        <f>INPUT!S440</f>
        <v>3.512396694214881</v>
      </c>
      <c r="T14" s="345">
        <f>INPUT!T440</f>
        <v>-52.800000000000011</v>
      </c>
      <c r="U14" s="346">
        <f>INPUT!U440</f>
        <v>61.467889908256915</v>
      </c>
      <c r="V14" s="345">
        <f>INPUT!V440</f>
        <v>-63.699999999999996</v>
      </c>
      <c r="W14" s="346">
        <f>INPUT!W440</f>
        <v>10.590277777777768</v>
      </c>
      <c r="X14" s="345">
        <f>INPUT!X440</f>
        <v>-44</v>
      </c>
      <c r="Y14" s="346">
        <f>INPUT!Y440</f>
        <v>0.91743119266052275</v>
      </c>
      <c r="Z14" s="345">
        <f>INPUT!Z440</f>
        <v>-37.299999999999997</v>
      </c>
      <c r="AA14" s="346">
        <f>INPUT!AA440</f>
        <v>-25.54890219560879</v>
      </c>
      <c r="AB14" s="345">
        <f>INPUT!AB440</f>
        <v>-38.300000000000004</v>
      </c>
      <c r="AC14" s="346">
        <f>INPUT!AC440</f>
        <v>-27.462121212121215</v>
      </c>
      <c r="AD14" s="345">
        <f>INPUT!AD440</f>
        <v>-47.1</v>
      </c>
      <c r="AE14" s="346">
        <f>INPUT!AE440</f>
        <v>-26.059654631083195</v>
      </c>
      <c r="AF14" s="345">
        <f>INPUT!AF440</f>
        <v>-47.7</v>
      </c>
      <c r="AG14" s="346">
        <f>INPUT!AG440</f>
        <v>8.4090909090909207</v>
      </c>
      <c r="AH14" s="345">
        <f>INPUT!AH440</f>
        <v>-48.2</v>
      </c>
      <c r="AI14" s="346">
        <f>INPUT!AI440</f>
        <v>29.222520107238626</v>
      </c>
      <c r="AJ14" s="345">
        <f>INPUT!AJ440</f>
        <v>-53.29999999999999</v>
      </c>
      <c r="AK14" s="346">
        <f>INPUT!AK440</f>
        <v>39.164490861618752</v>
      </c>
      <c r="AL14" s="345">
        <f>INPUT!AL440</f>
        <v>-75.600000000000009</v>
      </c>
      <c r="AM14" s="346">
        <f>INPUT!AM440</f>
        <v>60.509554140127399</v>
      </c>
      <c r="AN14" s="345">
        <f>INPUT!AN440</f>
        <v>-82.100000000000009</v>
      </c>
      <c r="AO14" s="346">
        <f>INPUT!AO440</f>
        <v>72.117400419287222</v>
      </c>
      <c r="AP14" s="345">
        <f>INPUT!AP440</f>
        <v>-104.89999999999999</v>
      </c>
      <c r="AQ14" s="346" t="str">
        <f>INPUT!AQ440</f>
        <v>NM</v>
      </c>
      <c r="AR14" s="345">
        <f>INPUT!AR440</f>
        <v>-126.2</v>
      </c>
      <c r="AS14" s="346" t="str">
        <f>INPUT!AS440</f>
        <v>NM</v>
      </c>
      <c r="AT14" s="345">
        <f>INPUT!AT440</f>
        <v>-109.4</v>
      </c>
      <c r="AU14" s="346">
        <f>INPUT!AU440</f>
        <v>44.708994708994695</v>
      </c>
      <c r="AV14" s="345">
        <f>INPUT!AV440</f>
        <v>-133.30000000000001</v>
      </c>
      <c r="AW14" s="346">
        <f>INPUT!AW440</f>
        <v>62.362971985383673</v>
      </c>
      <c r="AX14" s="345">
        <f>INPUT!AX440</f>
        <v>-95.1</v>
      </c>
      <c r="AY14" s="346">
        <f>INPUT!AY440</f>
        <v>-9.3422306959008559</v>
      </c>
      <c r="AZ14" s="345">
        <f>INPUT!AZ440</f>
        <v>-100.5</v>
      </c>
      <c r="BA14" s="346">
        <f>INPUT!BA440</f>
        <v>-20.364500792393024</v>
      </c>
      <c r="BB14" s="345">
        <f>INPUT!BB440</f>
        <v>-110</v>
      </c>
      <c r="BC14" s="346">
        <f>INPUT!BC440</f>
        <v>0.54844606946982122</v>
      </c>
      <c r="BD14" s="345">
        <f>INPUT!BD440</f>
        <v>-88.699999999999989</v>
      </c>
      <c r="BE14" s="346">
        <f>INPUT!BE440</f>
        <v>-33.458364591147806</v>
      </c>
      <c r="BF14" s="347"/>
      <c r="BG14" s="345">
        <f>INPUT!BU440</f>
        <v>-230.19999999999996</v>
      </c>
      <c r="BH14" s="346">
        <f>INPUT!BV440</f>
        <v>-42.320220496116278</v>
      </c>
      <c r="BI14" s="345">
        <f>INPUT!BW440</f>
        <v>-182.3</v>
      </c>
      <c r="BJ14" s="346">
        <f>INPUT!BX440</f>
        <v>-20.807993049522132</v>
      </c>
      <c r="BK14" s="345">
        <f>INPUT!BY440</f>
        <v>-210.6</v>
      </c>
      <c r="BL14" s="346">
        <f>INPUT!BZ440</f>
        <v>15.523861766319236</v>
      </c>
      <c r="BM14" s="345">
        <f>INPUT!CA440</f>
        <v>-170.4</v>
      </c>
      <c r="BN14" s="346">
        <f>INPUT!CB440</f>
        <v>-19.088319088319082</v>
      </c>
      <c r="BO14" s="345">
        <f>INPUT!CC440</f>
        <v>-259.20000000000005</v>
      </c>
      <c r="BP14" s="346">
        <f>INPUT!CD440</f>
        <v>52.112676056338046</v>
      </c>
      <c r="BQ14" s="345">
        <f>INPUT!CE440</f>
        <v>-473.80000000000007</v>
      </c>
      <c r="BR14" s="346">
        <f>INPUT!CF440</f>
        <v>82.793209876543187</v>
      </c>
      <c r="BS14" s="345">
        <f>INPUT!CG440</f>
        <v>-394.29999999999995</v>
      </c>
      <c r="BT14" s="346">
        <f>INPUT!CH440</f>
        <v>-16.779231743351641</v>
      </c>
      <c r="BU14" s="345">
        <f>INPUT!CI440</f>
        <v>-295.70500000000004</v>
      </c>
      <c r="BV14" s="346">
        <f>INPUT!CJ440</f>
        <v>-25.005072279989836</v>
      </c>
      <c r="BW14" s="345">
        <f>INPUT!CK440</f>
        <v>-232.40999999999997</v>
      </c>
      <c r="BX14" s="346">
        <f>INPUT!CL440</f>
        <v>-21.404778410916304</v>
      </c>
      <c r="BY14" s="345">
        <f>INPUT!CM440</f>
        <v>-232.72999999999996</v>
      </c>
      <c r="BZ14" s="346">
        <f>INPUT!CN440</f>
        <v>0.13768770706938938</v>
      </c>
      <c r="CA14" s="345">
        <f>INPUT!CO440</f>
        <v>-233.05319999999998</v>
      </c>
      <c r="CB14" s="346">
        <f>INPUT!CP440</f>
        <v>0.13887337257767474</v>
      </c>
      <c r="CC14" s="345">
        <f>INPUT!CQ440</f>
        <v>-233.37963199999996</v>
      </c>
      <c r="CD14" s="346">
        <f>INPUT!CR440</f>
        <v>0.14006758971769617</v>
      </c>
      <c r="CE14" s="346">
        <f>INPUT!CS440</f>
        <v>-9.9575642335450567</v>
      </c>
    </row>
    <row r="15" spans="1:154" s="300" customFormat="1" x14ac:dyDescent="0.2">
      <c r="A15" s="351" t="s">
        <v>221</v>
      </c>
      <c r="B15" s="345">
        <f>INPUT!B610</f>
        <v>15.6</v>
      </c>
      <c r="C15" s="346"/>
      <c r="D15" s="345">
        <f>INPUT!D610</f>
        <v>18.8</v>
      </c>
      <c r="E15" s="346"/>
      <c r="F15" s="345">
        <f>INPUT!F610</f>
        <v>20.900000000000002</v>
      </c>
      <c r="G15" s="346"/>
      <c r="H15" s="345">
        <f>INPUT!H610</f>
        <v>15</v>
      </c>
      <c r="I15" s="346"/>
      <c r="J15" s="345">
        <f>INPUT!J610</f>
        <v>24.29999999999999</v>
      </c>
      <c r="K15" s="346">
        <f>INPUT!K610</f>
        <v>55.769230769230703</v>
      </c>
      <c r="L15" s="345">
        <f>INPUT!L610</f>
        <v>39.800000000000004</v>
      </c>
      <c r="M15" s="346" t="str">
        <f>INPUT!M610</f>
        <v>NM</v>
      </c>
      <c r="N15" s="345">
        <f>INPUT!N610</f>
        <v>21.800000000000004</v>
      </c>
      <c r="O15" s="346">
        <f>INPUT!O610</f>
        <v>4.3062200956937913</v>
      </c>
      <c r="P15" s="345">
        <f>INPUT!P610</f>
        <v>23.800000000000004</v>
      </c>
      <c r="Q15" s="346">
        <f>INPUT!Q610</f>
        <v>58.666666666666686</v>
      </c>
      <c r="R15" s="345">
        <f>INPUT!R610</f>
        <v>21.4</v>
      </c>
      <c r="S15" s="346">
        <f>INPUT!S610</f>
        <v>-11.934156378600791</v>
      </c>
      <c r="T15" s="345">
        <f>INPUT!T610</f>
        <v>18</v>
      </c>
      <c r="U15" s="346" t="str">
        <f>INPUT!U610</f>
        <v>NM</v>
      </c>
      <c r="V15" s="345">
        <f>INPUT!V610</f>
        <v>14.499999999999993</v>
      </c>
      <c r="W15" s="346">
        <f>INPUT!W610</f>
        <v>-33.486238532110136</v>
      </c>
      <c r="X15" s="345">
        <f>INPUT!X610</f>
        <v>-3.3000000000000043</v>
      </c>
      <c r="Y15" s="346" t="str">
        <f>INPUT!Y610</f>
        <v>NM</v>
      </c>
      <c r="Z15" s="345">
        <f>INPUT!Z610</f>
        <v>0.89999999999999858</v>
      </c>
      <c r="AA15" s="346" t="str">
        <f>INPUT!AA610</f>
        <v>NM</v>
      </c>
      <c r="AB15" s="345">
        <f>INPUT!AB610</f>
        <v>10.5</v>
      </c>
      <c r="AC15" s="346">
        <f>INPUT!AC610</f>
        <v>-41.666666666666664</v>
      </c>
      <c r="AD15" s="345">
        <f>INPUT!AD610</f>
        <v>10.499999999999998</v>
      </c>
      <c r="AE15" s="346">
        <f>INPUT!AE610</f>
        <v>-27.586206896551701</v>
      </c>
      <c r="AF15" s="345">
        <f>INPUT!AF610</f>
        <v>2.8000000000000007</v>
      </c>
      <c r="AG15" s="346" t="str">
        <f>INPUT!AG610</f>
        <v>NM</v>
      </c>
      <c r="AH15" s="345">
        <f>INPUT!AH610</f>
        <v>13.799999999999999</v>
      </c>
      <c r="AI15" s="346" t="str">
        <f>INPUT!AI610</f>
        <v>NM</v>
      </c>
      <c r="AJ15" s="345">
        <f>INPUT!AJ610</f>
        <v>4</v>
      </c>
      <c r="AK15" s="346" t="str">
        <f>INPUT!AK610</f>
        <v>NM</v>
      </c>
      <c r="AL15" s="345">
        <f>INPUT!AL610</f>
        <v>2.5999999999999996</v>
      </c>
      <c r="AM15" s="346" t="str">
        <f>INPUT!AM610</f>
        <v>NM</v>
      </c>
      <c r="AN15" s="345">
        <f>INPUT!AN610</f>
        <v>2</v>
      </c>
      <c r="AO15" s="346">
        <f>INPUT!AO610</f>
        <v>-28.571428571428591</v>
      </c>
      <c r="AP15" s="345">
        <f>INPUT!AP610</f>
        <v>3.7999999999999989</v>
      </c>
      <c r="AQ15" s="346" t="str">
        <f>INPUT!AQ610</f>
        <v>NM</v>
      </c>
      <c r="AR15" s="345">
        <f>INPUT!AR610</f>
        <v>1.9000000000000004</v>
      </c>
      <c r="AS15" s="346" t="str">
        <f>INPUT!AS610</f>
        <v>NM</v>
      </c>
      <c r="AT15" s="345">
        <f>INPUT!AT610</f>
        <v>-6.9</v>
      </c>
      <c r="AU15" s="346" t="str">
        <f>INPUT!AU610</f>
        <v>NM</v>
      </c>
      <c r="AV15" s="345">
        <f>INPUT!AV610</f>
        <v>0</v>
      </c>
      <c r="AW15" s="346" t="str">
        <f>INPUT!AW610</f>
        <v>NM</v>
      </c>
      <c r="AX15" s="345">
        <f>INPUT!AX610</f>
        <v>0</v>
      </c>
      <c r="AY15" s="346">
        <f>INPUT!AY610</f>
        <v>0</v>
      </c>
      <c r="AZ15" s="345">
        <f>INPUT!AZ610</f>
        <v>0</v>
      </c>
      <c r="BA15" s="346">
        <f>INPUT!BA610</f>
        <v>0</v>
      </c>
      <c r="BB15" s="345">
        <f>INPUT!BB610</f>
        <v>0</v>
      </c>
      <c r="BC15" s="346">
        <f>INPUT!BC610</f>
        <v>0</v>
      </c>
      <c r="BD15" s="345">
        <f>INPUT!BD610</f>
        <v>0</v>
      </c>
      <c r="BE15" s="346">
        <f>INPUT!BE610</f>
        <v>0</v>
      </c>
      <c r="BF15" s="347"/>
      <c r="BG15" s="345">
        <f>INPUT!BU610</f>
        <v>70.300000000000011</v>
      </c>
      <c r="BH15" s="346" t="str">
        <f>INPUT!BV610</f>
        <v>NM</v>
      </c>
      <c r="BI15" s="345">
        <f>INPUT!BW610</f>
        <v>109.69999999999999</v>
      </c>
      <c r="BJ15" s="346">
        <f>INPUT!BX610</f>
        <v>56.045519203413896</v>
      </c>
      <c r="BK15" s="345">
        <f>INPUT!BY610</f>
        <v>50.600000000000009</v>
      </c>
      <c r="BL15" s="346" t="str">
        <f>INPUT!BZ610</f>
        <v>NM</v>
      </c>
      <c r="BM15" s="345">
        <f>INPUT!CA610</f>
        <v>24.700000000000017</v>
      </c>
      <c r="BN15" s="346" t="str">
        <f>INPUT!CB610</f>
        <v>NM</v>
      </c>
      <c r="BO15" s="345">
        <f>INPUT!CC610</f>
        <v>22.399999999999991</v>
      </c>
      <c r="BP15" s="346">
        <f>INPUT!CD610</f>
        <v>-9.311740890688359</v>
      </c>
      <c r="BQ15" s="345">
        <f>INPUT!CE610</f>
        <v>-1.1999999999999957</v>
      </c>
      <c r="BR15" s="346">
        <f>INPUT!CF610</f>
        <v>0</v>
      </c>
      <c r="BS15" s="345">
        <f>INPUT!CG610</f>
        <v>0</v>
      </c>
      <c r="BT15" s="346">
        <f>INPUT!CH610</f>
        <v>0</v>
      </c>
      <c r="BU15" s="345">
        <f>INPUT!CI610</f>
        <v>0</v>
      </c>
      <c r="BV15" s="346">
        <f>INPUT!CJ610</f>
        <v>0</v>
      </c>
      <c r="BW15" s="345">
        <f>INPUT!CK610</f>
        <v>0</v>
      </c>
      <c r="BX15" s="346">
        <f>INPUT!CL610</f>
        <v>0</v>
      </c>
      <c r="BY15" s="345">
        <f>INPUT!CM610</f>
        <v>0</v>
      </c>
      <c r="BZ15" s="346">
        <f>INPUT!CN610</f>
        <v>0</v>
      </c>
      <c r="CA15" s="345">
        <f>INPUT!CO610</f>
        <v>0</v>
      </c>
      <c r="CB15" s="346">
        <f>INPUT!CP610</f>
        <v>0</v>
      </c>
      <c r="CC15" s="345">
        <f>INPUT!CQ610</f>
        <v>0</v>
      </c>
      <c r="CD15" s="346">
        <f>INPUT!CR610</f>
        <v>0</v>
      </c>
      <c r="CE15" s="346">
        <f>INPUT!CS610</f>
        <v>0</v>
      </c>
    </row>
    <row r="16" spans="1:154" s="300" customFormat="1" x14ac:dyDescent="0.2">
      <c r="A16" s="342" t="s">
        <v>260</v>
      </c>
      <c r="B16" s="349">
        <f>INPUT!B656</f>
        <v>250.43695524</v>
      </c>
      <c r="C16" s="346"/>
      <c r="D16" s="349">
        <f>INPUT!D656</f>
        <v>300.5008668000001</v>
      </c>
      <c r="E16" s="346"/>
      <c r="F16" s="349">
        <f>INPUT!F656</f>
        <v>306.90619100999993</v>
      </c>
      <c r="G16" s="346"/>
      <c r="H16" s="349">
        <f>INPUT!H656</f>
        <v>262.08443746</v>
      </c>
      <c r="I16" s="346"/>
      <c r="J16" s="349">
        <f>INPUT!J656</f>
        <v>239.95399999999978</v>
      </c>
      <c r="K16" s="346">
        <f>INPUT!K656</f>
        <v>-4.1858659517538648</v>
      </c>
      <c r="L16" s="349">
        <f>INPUT!L656</f>
        <v>198.98000000000002</v>
      </c>
      <c r="M16" s="346">
        <f>INPUT!M656</f>
        <v>-33.783884845685932</v>
      </c>
      <c r="N16" s="349">
        <f>INPUT!N656</f>
        <v>270.18700000000001</v>
      </c>
      <c r="O16" s="346">
        <f>INPUT!O656</f>
        <v>-11.964304430992566</v>
      </c>
      <c r="P16" s="349">
        <f>INPUT!P656</f>
        <v>208.61900000000014</v>
      </c>
      <c r="Q16" s="346">
        <f>INPUT!Q656</f>
        <v>-20.400080973201582</v>
      </c>
      <c r="R16" s="349">
        <f>INPUT!R656</f>
        <v>256.60000000000002</v>
      </c>
      <c r="S16" s="346">
        <f>INPUT!S656</f>
        <v>6.9371629562333892</v>
      </c>
      <c r="T16" s="349">
        <f>INPUT!T656</f>
        <v>272</v>
      </c>
      <c r="U16" s="346">
        <f>INPUT!U656</f>
        <v>36.697155493014357</v>
      </c>
      <c r="V16" s="349">
        <f>INPUT!V656</f>
        <v>435.19999999999987</v>
      </c>
      <c r="W16" s="346">
        <f>INPUT!W656</f>
        <v>61.073626784412212</v>
      </c>
      <c r="X16" s="349">
        <f>INPUT!X656</f>
        <v>304.89999999999992</v>
      </c>
      <c r="Y16" s="346">
        <f>INPUT!Y656</f>
        <v>46.151596930289053</v>
      </c>
      <c r="Z16" s="349">
        <f>INPUT!Z656</f>
        <v>231.10000000000016</v>
      </c>
      <c r="AA16" s="346">
        <f>INPUT!AA656</f>
        <v>-9.9376461418549731</v>
      </c>
      <c r="AB16" s="349">
        <f>INPUT!AB656</f>
        <v>328.20000000000005</v>
      </c>
      <c r="AC16" s="346">
        <f>INPUT!AC656</f>
        <v>20.661764705882369</v>
      </c>
      <c r="AD16" s="349">
        <f>INPUT!AD656</f>
        <v>294.39999999999998</v>
      </c>
      <c r="AE16" s="346">
        <f>INPUT!AE656</f>
        <v>-32.352941176470573</v>
      </c>
      <c r="AF16" s="349">
        <f>INPUT!AF656</f>
        <v>376.99999999999989</v>
      </c>
      <c r="AG16" s="346">
        <f>INPUT!AG656</f>
        <v>23.647097408986539</v>
      </c>
      <c r="AH16" s="349">
        <f>INPUT!AH656</f>
        <v>289.70000000000005</v>
      </c>
      <c r="AI16" s="346">
        <f>INPUT!AI656</f>
        <v>25.356988316745934</v>
      </c>
      <c r="AJ16" s="349">
        <f>INPUT!AJ656</f>
        <v>262.5</v>
      </c>
      <c r="AK16" s="346">
        <f>INPUT!AK656</f>
        <v>-20.018281535649006</v>
      </c>
      <c r="AL16" s="349">
        <f>INPUT!AL656</f>
        <v>137.09999999999988</v>
      </c>
      <c r="AM16" s="346" t="str">
        <f>INPUT!AM656</f>
        <v>NM</v>
      </c>
      <c r="AN16" s="349">
        <f>INPUT!AN656</f>
        <v>288.30000000000007</v>
      </c>
      <c r="AO16" s="346">
        <f>INPUT!AO656</f>
        <v>-23.527851458885895</v>
      </c>
      <c r="AP16" s="349">
        <f>INPUT!AP656</f>
        <v>87.199999999999847</v>
      </c>
      <c r="AQ16" s="346" t="str">
        <f>INPUT!AQ656</f>
        <v>NM</v>
      </c>
      <c r="AR16" s="349">
        <f>INPUT!AR656</f>
        <v>130.49999999999997</v>
      </c>
      <c r="AS16" s="346" t="str">
        <f>INPUT!AS656</f>
        <v>NM</v>
      </c>
      <c r="AT16" s="349">
        <f>INPUT!AT656</f>
        <v>-36.900000000000084</v>
      </c>
      <c r="AU16" s="346" t="str">
        <f>INPUT!AU656</f>
        <v>NM</v>
      </c>
      <c r="AV16" s="349">
        <f>INPUT!AV656</f>
        <v>149.59999999999991</v>
      </c>
      <c r="AW16" s="346">
        <f>INPUT!AW656</f>
        <v>-48.109608047173126</v>
      </c>
      <c r="AX16" s="349">
        <f>INPUT!AX656</f>
        <v>145.39999999999984</v>
      </c>
      <c r="AY16" s="346">
        <f>INPUT!AY656</f>
        <v>66.743119266055146</v>
      </c>
      <c r="AZ16" s="349">
        <f>INPUT!AZ656</f>
        <v>106.99999999999986</v>
      </c>
      <c r="BA16" s="346">
        <f>INPUT!BA656</f>
        <v>-18.007662835249139</v>
      </c>
      <c r="BB16" s="349">
        <f>INPUT!BB656</f>
        <v>42.200000000000045</v>
      </c>
      <c r="BC16" s="346" t="str">
        <f>INPUT!BC656</f>
        <v>NM</v>
      </c>
      <c r="BD16" s="349">
        <f>INPUT!BD656</f>
        <v>233.49999999999994</v>
      </c>
      <c r="BE16" s="346">
        <f>INPUT!BE656</f>
        <v>56.082887700534826</v>
      </c>
      <c r="BF16" s="350"/>
      <c r="BG16" s="349">
        <f>INPUT!BU656</f>
        <v>1119.9284505099993</v>
      </c>
      <c r="BH16" s="346">
        <f>INPUT!BV656</f>
        <v>80.458983324202208</v>
      </c>
      <c r="BI16" s="349">
        <f>INPUT!BW656</f>
        <v>917.74000000000046</v>
      </c>
      <c r="BJ16" s="346">
        <f>INPUT!BX656</f>
        <v>-18.0536935567558</v>
      </c>
      <c r="BK16" s="349">
        <f>INPUT!BY656</f>
        <v>1268.7000000000003</v>
      </c>
      <c r="BL16" s="346">
        <f>INPUT!BZ656</f>
        <v>38.241767820951431</v>
      </c>
      <c r="BM16" s="349">
        <f>INPUT!CA656</f>
        <v>1230.7000000000003</v>
      </c>
      <c r="BN16" s="346">
        <f>INPUT!CB656</f>
        <v>-2.995191928745955</v>
      </c>
      <c r="BO16" s="349">
        <f>INPUT!CC656</f>
        <v>977.5999999999998</v>
      </c>
      <c r="BP16" s="346">
        <f>INPUT!CD656</f>
        <v>-20.565531811164416</v>
      </c>
      <c r="BQ16" s="349">
        <f>INPUT!CE656</f>
        <v>330.39999999999981</v>
      </c>
      <c r="BR16" s="346" t="str">
        <f>INPUT!CF656</f>
        <v>NM</v>
      </c>
      <c r="BS16" s="349">
        <f>INPUT!CG656</f>
        <v>528.10000000000014</v>
      </c>
      <c r="BT16" s="346">
        <f>INPUT!CH656</f>
        <v>59.836561743341534</v>
      </c>
      <c r="BU16" s="349">
        <f>INPUT!CI656</f>
        <v>857.20588945790053</v>
      </c>
      <c r="BV16" s="346">
        <f>INPUT!CJ656</f>
        <v>62.318858068150028</v>
      </c>
      <c r="BW16" s="349">
        <f>INPUT!CK656</f>
        <v>968.76820673605187</v>
      </c>
      <c r="BX16" s="346">
        <f>INPUT!CL656</f>
        <v>13.014646615261082</v>
      </c>
      <c r="BY16" s="349">
        <f>INPUT!CM656</f>
        <v>1014.4499693054431</v>
      </c>
      <c r="BZ16" s="346">
        <f>INPUT!CN656</f>
        <v>4.7154481589874786</v>
      </c>
      <c r="CA16" s="349">
        <f>INPUT!CO656</f>
        <v>1059.06746494924</v>
      </c>
      <c r="CB16" s="346">
        <f>INPUT!CP656</f>
        <v>4.3981957704966934</v>
      </c>
      <c r="CC16" s="349">
        <f>INPUT!CQ656</f>
        <v>1103.2464861310086</v>
      </c>
      <c r="CD16" s="346">
        <f>INPUT!CR656</f>
        <v>4.1715020661017066</v>
      </c>
      <c r="CE16" s="346">
        <f>INPUT!CS656</f>
        <v>15.8754082034535</v>
      </c>
    </row>
    <row r="17" spans="1:139" s="300" customFormat="1" x14ac:dyDescent="0.2">
      <c r="A17" s="348"/>
      <c r="B17" s="352"/>
      <c r="C17" s="332"/>
      <c r="D17" s="352"/>
      <c r="E17" s="332"/>
      <c r="F17" s="352"/>
      <c r="G17" s="332"/>
      <c r="H17" s="352"/>
      <c r="I17" s="332"/>
      <c r="J17" s="352"/>
      <c r="K17" s="332"/>
      <c r="L17" s="352"/>
      <c r="M17" s="332"/>
      <c r="N17" s="352"/>
      <c r="O17" s="332"/>
      <c r="P17" s="352"/>
      <c r="Q17" s="332"/>
      <c r="R17" s="352"/>
      <c r="S17" s="332"/>
      <c r="T17" s="352"/>
      <c r="U17" s="332"/>
      <c r="V17" s="352"/>
      <c r="W17" s="332"/>
      <c r="X17" s="352"/>
      <c r="Y17" s="332"/>
      <c r="Z17" s="352"/>
      <c r="AA17" s="332"/>
      <c r="AB17" s="352"/>
      <c r="AC17" s="332"/>
      <c r="AD17" s="352"/>
      <c r="AE17" s="332"/>
      <c r="AF17" s="352"/>
      <c r="AG17" s="332"/>
      <c r="AH17" s="352"/>
      <c r="AI17" s="332"/>
      <c r="AJ17" s="352"/>
      <c r="AK17" s="332"/>
      <c r="AL17" s="352"/>
      <c r="AM17" s="332"/>
      <c r="AN17" s="352"/>
      <c r="AO17" s="332"/>
      <c r="AP17" s="352"/>
      <c r="AQ17" s="332"/>
      <c r="AR17" s="352"/>
      <c r="AS17" s="332"/>
      <c r="AT17" s="352"/>
      <c r="AU17" s="332"/>
      <c r="AV17" s="352"/>
      <c r="AW17" s="332"/>
      <c r="AX17" s="352"/>
      <c r="AY17" s="332"/>
      <c r="AZ17" s="352"/>
      <c r="BA17" s="332"/>
      <c r="BB17" s="352"/>
      <c r="BC17" s="332"/>
      <c r="BD17" s="352"/>
      <c r="BE17" s="332"/>
      <c r="BF17" s="350"/>
      <c r="BG17" s="352"/>
      <c r="BH17" s="332"/>
      <c r="BI17" s="352"/>
      <c r="BJ17" s="332"/>
      <c r="BK17" s="352"/>
      <c r="BL17" s="332"/>
      <c r="BM17" s="352"/>
      <c r="BN17" s="332"/>
      <c r="BO17" s="352"/>
      <c r="BP17" s="332"/>
      <c r="BQ17" s="352"/>
      <c r="BR17" s="332"/>
      <c r="BS17" s="352"/>
      <c r="BT17" s="332"/>
      <c r="BU17" s="352"/>
      <c r="BV17" s="332"/>
      <c r="BW17" s="352"/>
      <c r="BX17" s="332"/>
      <c r="BY17" s="352"/>
      <c r="BZ17" s="332"/>
      <c r="CA17" s="352"/>
      <c r="CB17" s="332"/>
      <c r="CC17" s="352"/>
      <c r="CD17" s="332"/>
      <c r="CE17" s="332"/>
    </row>
    <row r="18" spans="1:139" x14ac:dyDescent="0.2">
      <c r="A18" s="331" t="s">
        <v>245</v>
      </c>
      <c r="B18" s="345">
        <f>INPUT!B657</f>
        <v>87.63</v>
      </c>
      <c r="C18" s="346"/>
      <c r="D18" s="345">
        <f>INPUT!D657</f>
        <v>105.095</v>
      </c>
      <c r="E18" s="346"/>
      <c r="F18" s="345">
        <f>INPUT!F657</f>
        <v>107.462</v>
      </c>
      <c r="G18" s="346"/>
      <c r="H18" s="345">
        <f>INPUT!H657</f>
        <v>91.796999999999997</v>
      </c>
      <c r="I18" s="346"/>
      <c r="J18" s="345">
        <f>INPUT!J657</f>
        <v>83.947999999999993</v>
      </c>
      <c r="K18" s="346">
        <f>INPUT!K657</f>
        <v>-4.2017573890220312</v>
      </c>
      <c r="L18" s="345">
        <f>INPUT!L657</f>
        <v>69.600999999999999</v>
      </c>
      <c r="M18" s="346">
        <f>INPUT!M657</f>
        <v>-33.773252771302154</v>
      </c>
      <c r="N18" s="345">
        <f>INPUT!N657</f>
        <v>94.643000000000001</v>
      </c>
      <c r="O18" s="346">
        <f>INPUT!O657</f>
        <v>-11.928867878878114</v>
      </c>
      <c r="P18" s="345">
        <f>INPUT!P657</f>
        <v>73.064999999999998</v>
      </c>
      <c r="Q18" s="346">
        <f>INPUT!Q657</f>
        <v>-20.405895617503845</v>
      </c>
      <c r="R18" s="345">
        <f>INPUT!R657</f>
        <v>89.9</v>
      </c>
      <c r="S18" s="346">
        <f>INPUT!S657</f>
        <v>7.0901033973412186</v>
      </c>
      <c r="T18" s="345">
        <f>INPUT!T657</f>
        <v>95.200000000000074</v>
      </c>
      <c r="U18" s="346">
        <f>INPUT!U657</f>
        <v>36.779643970632712</v>
      </c>
      <c r="V18" s="345">
        <f>INPUT!V657</f>
        <v>152.32000000000008</v>
      </c>
      <c r="W18" s="346">
        <f>INPUT!W657</f>
        <v>60.941643861669718</v>
      </c>
      <c r="X18" s="345">
        <f>INPUT!X657</f>
        <v>106.71500000000003</v>
      </c>
      <c r="Y18" s="346">
        <f>INPUT!Y657</f>
        <v>46.054882638746378</v>
      </c>
      <c r="Z18" s="345">
        <f>INPUT!Z657</f>
        <v>80.885000000000048</v>
      </c>
      <c r="AA18" s="346">
        <f>INPUT!AA657</f>
        <v>-10.027808676306959</v>
      </c>
      <c r="AB18" s="345">
        <f>INPUT!AB657</f>
        <v>114.87000000000009</v>
      </c>
      <c r="AC18" s="346">
        <f>INPUT!AC657</f>
        <v>20.661764705882348</v>
      </c>
      <c r="AD18" s="345">
        <f>INPUT!AD657</f>
        <v>103.03999999999995</v>
      </c>
      <c r="AE18" s="346">
        <f>INPUT!AE657</f>
        <v>-32.352941176470651</v>
      </c>
      <c r="AF18" s="345">
        <f>INPUT!AF657</f>
        <v>131.94999999999999</v>
      </c>
      <c r="AG18" s="346">
        <f>INPUT!AG657</f>
        <v>23.647097408986497</v>
      </c>
      <c r="AH18" s="345">
        <f>INPUT!AH657</f>
        <v>92.704000000000008</v>
      </c>
      <c r="AI18" s="346">
        <f>INPUT!AI657</f>
        <v>14.612103603881987</v>
      </c>
      <c r="AJ18" s="345">
        <f>INPUT!AJ657</f>
        <v>83.999999999999929</v>
      </c>
      <c r="AK18" s="346">
        <f>INPUT!AK657</f>
        <v>-26.873857404022061</v>
      </c>
      <c r="AL18" s="345">
        <f>INPUT!AL657</f>
        <v>43.872000000000114</v>
      </c>
      <c r="AM18" s="346" t="str">
        <f>INPUT!AM657</f>
        <v>NM</v>
      </c>
      <c r="AN18" s="345">
        <f>INPUT!AN657</f>
        <v>92.256000000000057</v>
      </c>
      <c r="AO18" s="346">
        <f>INPUT!AO657</f>
        <v>-30.082607048124245</v>
      </c>
      <c r="AP18" s="345">
        <f>INPUT!AP657</f>
        <v>27.904000000000014</v>
      </c>
      <c r="AQ18" s="346" t="str">
        <f>INPUT!AQ657</f>
        <v>NM</v>
      </c>
      <c r="AR18" s="345">
        <f>INPUT!AR657</f>
        <v>41.759999999999927</v>
      </c>
      <c r="AS18" s="346" t="str">
        <f>INPUT!AS657</f>
        <v>NM</v>
      </c>
      <c r="AT18" s="345">
        <f>INPUT!AT657</f>
        <v>-11.808000000000028</v>
      </c>
      <c r="AU18" s="346" t="str">
        <f>INPUT!AU657</f>
        <v>NM</v>
      </c>
      <c r="AV18" s="345">
        <f>INPUT!AV657</f>
        <v>47.872000000000043</v>
      </c>
      <c r="AW18" s="346">
        <f>INPUT!AW657</f>
        <v>-48.109608047173069</v>
      </c>
      <c r="AX18" s="345">
        <f>INPUT!AX657</f>
        <v>46.528000000000027</v>
      </c>
      <c r="AY18" s="346">
        <f>INPUT!AY657</f>
        <v>66.743119266055047</v>
      </c>
      <c r="AZ18" s="345">
        <f>INPUT!AZ657</f>
        <v>34.239999999999924</v>
      </c>
      <c r="BA18" s="346">
        <f>INPUT!BA657</f>
        <v>-18.007662835249082</v>
      </c>
      <c r="BB18" s="345">
        <f>INPUT!BB657</f>
        <v>13.504000000000014</v>
      </c>
      <c r="BC18" s="346" t="str">
        <f>INPUT!BC657</f>
        <v>NM</v>
      </c>
      <c r="BD18" s="345">
        <f>INPUT!BD657</f>
        <v>74.72</v>
      </c>
      <c r="BE18" s="346">
        <f>INPUT!BE657</f>
        <v>56.08288770053462</v>
      </c>
      <c r="BF18" s="347"/>
      <c r="BG18" s="345">
        <f>INPUT!BU657</f>
        <v>391.98400000000004</v>
      </c>
      <c r="BH18" s="346" t="str">
        <f>INPUT!BV657</f>
        <v>NA</v>
      </c>
      <c r="BI18" s="345">
        <f>INPUT!BW657</f>
        <v>321.25699999999995</v>
      </c>
      <c r="BJ18" s="346">
        <f>INPUT!BX657</f>
        <v>-18.043338503612418</v>
      </c>
      <c r="BK18" s="345">
        <f>INPUT!BY657</f>
        <v>444.13500000000022</v>
      </c>
      <c r="BL18" s="346">
        <f>INPUT!BZ657</f>
        <v>38.24912764546773</v>
      </c>
      <c r="BM18" s="345">
        <f>INPUT!CA657</f>
        <v>430.74500000000006</v>
      </c>
      <c r="BN18" s="346">
        <f>INPUT!CB657</f>
        <v>-3.0148490886780288</v>
      </c>
      <c r="BO18" s="345">
        <f>INPUT!CC657</f>
        <v>312.83200000000011</v>
      </c>
      <c r="BP18" s="346">
        <f>INPUT!CD657</f>
        <v>-27.374200513064562</v>
      </c>
      <c r="BQ18" s="345">
        <f>INPUT!CE657</f>
        <v>105.72799999999995</v>
      </c>
      <c r="BR18" s="346" t="str">
        <f>INPUT!CF657</f>
        <v>NM</v>
      </c>
      <c r="BS18" s="345">
        <f>INPUT!CG657</f>
        <v>168.99199999999996</v>
      </c>
      <c r="BT18" s="346">
        <f>INPUT!CH657</f>
        <v>59.836561743341441</v>
      </c>
      <c r="BU18" s="345">
        <f>INPUT!CI657</f>
        <v>158.58308954971159</v>
      </c>
      <c r="BV18" s="346">
        <f>INPUT!CJ657</f>
        <v>-6.1594101793507221</v>
      </c>
      <c r="BW18" s="345">
        <f>INPUT!CK657</f>
        <v>179.22211824616949</v>
      </c>
      <c r="BX18" s="346">
        <f>INPUT!CL657</f>
        <v>13.014646615261016</v>
      </c>
      <c r="BY18" s="345">
        <f>INPUT!CM657</f>
        <v>187.67324432150701</v>
      </c>
      <c r="BZ18" s="346">
        <f>INPUT!CN657</f>
        <v>4.7154481589875674</v>
      </c>
      <c r="CA18" s="345">
        <f>INPUT!CO657</f>
        <v>195.92748101560949</v>
      </c>
      <c r="CB18" s="346">
        <f>INPUT!CP657</f>
        <v>4.3981957704967156</v>
      </c>
      <c r="CC18" s="345">
        <f>INPUT!CQ657</f>
        <v>204.1005999342367</v>
      </c>
      <c r="CD18" s="346">
        <f>INPUT!CR657</f>
        <v>4.1715020661017288</v>
      </c>
      <c r="CE18" s="346">
        <f>INPUT!CS657</f>
        <v>3.8473998576445512</v>
      </c>
    </row>
    <row r="19" spans="1:139" x14ac:dyDescent="0.2">
      <c r="A19" s="331" t="s">
        <v>23</v>
      </c>
      <c r="B19" s="345">
        <f>INPUT!B658</f>
        <v>34.990842272468129</v>
      </c>
      <c r="C19" s="346"/>
      <c r="D19" s="345">
        <f>INPUT!D658</f>
        <v>34.973276822507977</v>
      </c>
      <c r="E19" s="346"/>
      <c r="F19" s="345">
        <f>INPUT!F658</f>
        <v>35.014608094529635</v>
      </c>
      <c r="G19" s="346"/>
      <c r="H19" s="345">
        <f>INPUT!H658</f>
        <v>35.025734793585478</v>
      </c>
      <c r="I19" s="346"/>
      <c r="J19" s="345">
        <f>INPUT!J658</f>
        <v>34.985038799103194</v>
      </c>
      <c r="K19" s="346">
        <f>INPUT!K658</f>
        <v>-1.6585692106940719E-2</v>
      </c>
      <c r="L19" s="345">
        <f>INPUT!L658</f>
        <v>34.978892350990044</v>
      </c>
      <c r="M19" s="346">
        <f>INPUT!M658</f>
        <v>1.6056626636862248E-2</v>
      </c>
      <c r="N19" s="345">
        <f>INPUT!N658</f>
        <v>35.028702343191938</v>
      </c>
      <c r="O19" s="346">
        <f>INPUT!O658</f>
        <v>4.0252481547842223E-2</v>
      </c>
      <c r="P19" s="345">
        <f>INPUT!P658</f>
        <v>35.023176220766061</v>
      </c>
      <c r="Q19" s="346">
        <f>INPUT!Q658</f>
        <v>-7.3048369563011306E-3</v>
      </c>
      <c r="R19" s="345">
        <f>INPUT!R658</f>
        <v>35.035074045206549</v>
      </c>
      <c r="S19" s="346">
        <f>INPUT!S658</f>
        <v>0.14301898131563462</v>
      </c>
      <c r="T19" s="345">
        <f>INPUT!T658</f>
        <v>35.000000000000028</v>
      </c>
      <c r="U19" s="346">
        <f>INPUT!U658</f>
        <v>6.0343960575370836E-2</v>
      </c>
      <c r="V19" s="345">
        <f>INPUT!V658</f>
        <v>35.000000000000028</v>
      </c>
      <c r="W19" s="346">
        <f>INPUT!W658</f>
        <v>-8.1939498959171519E-2</v>
      </c>
      <c r="X19" s="345">
        <f>INPUT!X658</f>
        <v>35.000000000000021</v>
      </c>
      <c r="Y19" s="346">
        <f>INPUT!Y658</f>
        <v>-6.6173954697745785E-2</v>
      </c>
      <c r="Z19" s="345">
        <f>INPUT!Z658</f>
        <v>35</v>
      </c>
      <c r="AA19" s="346">
        <f>INPUT!AA658</f>
        <v>-0.10011123470523575</v>
      </c>
      <c r="AB19" s="345">
        <f>INPUT!AB658</f>
        <v>35.000000000000021</v>
      </c>
      <c r="AC19" s="346">
        <f>INPUT!AC658</f>
        <v>-2.2204460492503131E-14</v>
      </c>
      <c r="AD19" s="345">
        <f>INPUT!AD658</f>
        <v>34.999999999999986</v>
      </c>
      <c r="AE19" s="346">
        <f>INPUT!AE658</f>
        <v>-1.2212453270876722E-13</v>
      </c>
      <c r="AF19" s="345">
        <f>INPUT!AF658</f>
        <v>35.000000000000007</v>
      </c>
      <c r="AG19" s="346">
        <f>INPUT!AG658</f>
        <v>-4.4408920985006262E-14</v>
      </c>
      <c r="AH19" s="345">
        <f>INPUT!AH658</f>
        <v>31.999999999999996</v>
      </c>
      <c r="AI19" s="346">
        <f>INPUT!AI658</f>
        <v>-8.5714285714285854</v>
      </c>
      <c r="AJ19" s="345">
        <f>INPUT!AJ658</f>
        <v>31.999999999999972</v>
      </c>
      <c r="AK19" s="346">
        <f>INPUT!AK658</f>
        <v>-8.571428571428708</v>
      </c>
      <c r="AL19" s="345">
        <f>INPUT!AL658</f>
        <v>32.000000000000114</v>
      </c>
      <c r="AM19" s="346">
        <f>INPUT!AM658</f>
        <v>-8.571428571428207</v>
      </c>
      <c r="AN19" s="345">
        <f>INPUT!AN658</f>
        <v>32.000000000000014</v>
      </c>
      <c r="AO19" s="346">
        <f>INPUT!AO658</f>
        <v>-8.5714285714285516</v>
      </c>
      <c r="AP19" s="345">
        <f>INPUT!AP658</f>
        <v>32.000000000000071</v>
      </c>
      <c r="AQ19" s="346">
        <f>INPUT!AQ658</f>
        <v>2.2204460492503131E-13</v>
      </c>
      <c r="AR19" s="345">
        <f>INPUT!AR658</f>
        <v>31.99999999999995</v>
      </c>
      <c r="AS19" s="346">
        <f>INPUT!AS658</f>
        <v>-6.6613381477509392E-14</v>
      </c>
      <c r="AT19" s="345">
        <f>INPUT!AT658</f>
        <v>32.000000000000007</v>
      </c>
      <c r="AU19" s="346">
        <f>INPUT!AU658</f>
        <v>-3.3306690738754696E-13</v>
      </c>
      <c r="AV19" s="345">
        <f>INPUT!AV658</f>
        <v>32.00000000000005</v>
      </c>
      <c r="AW19" s="346">
        <f>INPUT!AW658</f>
        <v>1.1102230246251565E-13</v>
      </c>
      <c r="AX19" s="345">
        <f>INPUT!AX658</f>
        <v>32.000000000000057</v>
      </c>
      <c r="AY19" s="346">
        <f>INPUT!AY658</f>
        <v>-4.4408920985006262E-14</v>
      </c>
      <c r="AZ19" s="345">
        <f>INPUT!AZ658</f>
        <v>31.999999999999972</v>
      </c>
      <c r="BA19" s="346">
        <f>INPUT!BA658</f>
        <v>6.6613381477509392E-14</v>
      </c>
      <c r="BB19" s="345">
        <f>INPUT!BB658</f>
        <v>32</v>
      </c>
      <c r="BC19" s="346">
        <f>INPUT!BC658</f>
        <v>-2.2204460492503131E-14</v>
      </c>
      <c r="BD19" s="345">
        <f>INPUT!BD658</f>
        <v>32.000000000000007</v>
      </c>
      <c r="BE19" s="346">
        <f>INPUT!BE658</f>
        <v>-1.3322676295501878E-13</v>
      </c>
      <c r="BF19" s="347"/>
      <c r="BG19" s="345">
        <f>INPUT!BU658</f>
        <v>35.00080740171358</v>
      </c>
      <c r="BH19" s="346">
        <f>INPUT!BV658</f>
        <v>2.3068620387922678E-3</v>
      </c>
      <c r="BI19" s="345">
        <f>INPUT!BW658</f>
        <v>35.005230239501358</v>
      </c>
      <c r="BJ19" s="346">
        <f>INPUT!BX658</f>
        <v>1.2636387889619627E-2</v>
      </c>
      <c r="BK19" s="345">
        <f>INPUT!BY658</f>
        <v>35.007093875620725</v>
      </c>
      <c r="BL19" s="346">
        <f>INPUT!BZ658</f>
        <v>5.3238790507004197E-3</v>
      </c>
      <c r="BM19" s="345">
        <f>INPUT!CA658</f>
        <v>35</v>
      </c>
      <c r="BN19" s="346">
        <f>INPUT!CB658</f>
        <v>-2.0264108885847953E-2</v>
      </c>
      <c r="BO19" s="345">
        <f>INPUT!CC658</f>
        <v>32.000000000000014</v>
      </c>
      <c r="BP19" s="346">
        <f>INPUT!CD658</f>
        <v>-8.5714285714285303</v>
      </c>
      <c r="BQ19" s="345">
        <f>INPUT!CE658</f>
        <v>32.000000000000007</v>
      </c>
      <c r="BR19" s="346">
        <f>INPUT!CF658</f>
        <v>-2.2204460492503131E-14</v>
      </c>
      <c r="BS19" s="345">
        <f>INPUT!CG658</f>
        <v>31.999999999999986</v>
      </c>
      <c r="BT19" s="346">
        <f>INPUT!CH658</f>
        <v>-6.6613381477509392E-14</v>
      </c>
      <c r="BU19" s="345">
        <f>INPUT!CI658</f>
        <v>18.5</v>
      </c>
      <c r="BV19" s="346">
        <f>INPUT!CJ658</f>
        <v>-42.187499999999979</v>
      </c>
      <c r="BW19" s="345">
        <f>INPUT!CK658</f>
        <v>18.499999999999989</v>
      </c>
      <c r="BX19" s="346">
        <f>INPUT!CL658</f>
        <v>-5.5511151231257827E-14</v>
      </c>
      <c r="BY19" s="345">
        <f>INPUT!CM658</f>
        <v>18.500000000000004</v>
      </c>
      <c r="BZ19" s="346">
        <f>INPUT!CN658</f>
        <v>6.6613381477509392E-14</v>
      </c>
      <c r="CA19" s="345">
        <f>INPUT!CO658</f>
        <v>18.500000000000007</v>
      </c>
      <c r="CB19" s="346">
        <f>INPUT!CP658</f>
        <v>2.2204460492503131E-14</v>
      </c>
      <c r="CC19" s="345">
        <f>INPUT!CQ658</f>
        <v>18.500000000000007</v>
      </c>
      <c r="CD19" s="346">
        <f>INPUT!CR658</f>
        <v>0</v>
      </c>
      <c r="CE19" s="346">
        <f>INPUT!CS658</f>
        <v>-10.380121660232023</v>
      </c>
    </row>
    <row r="20" spans="1:139" s="300" customFormat="1" x14ac:dyDescent="0.2">
      <c r="A20" s="342" t="s">
        <v>259</v>
      </c>
      <c r="B20" s="349">
        <f>INPUT!B659</f>
        <v>162.80695524000001</v>
      </c>
      <c r="C20" s="346"/>
      <c r="D20" s="349">
        <f>INPUT!D659</f>
        <v>195.4058668000001</v>
      </c>
      <c r="E20" s="346"/>
      <c r="F20" s="349">
        <f>INPUT!F659</f>
        <v>199.44419100999994</v>
      </c>
      <c r="G20" s="346"/>
      <c r="H20" s="349">
        <f>INPUT!H659</f>
        <v>170.28743746000001</v>
      </c>
      <c r="I20" s="346"/>
      <c r="J20" s="349">
        <f>INPUT!J659</f>
        <v>156.0059999999998</v>
      </c>
      <c r="K20" s="346">
        <f>INPUT!K659</f>
        <v>-4.1773124679929445</v>
      </c>
      <c r="L20" s="349">
        <f>INPUT!L659</f>
        <v>129.37900000000002</v>
      </c>
      <c r="M20" s="346">
        <f>INPUT!M659</f>
        <v>-33.789603086778996</v>
      </c>
      <c r="N20" s="349">
        <f>INPUT!N659</f>
        <v>175.54400000000001</v>
      </c>
      <c r="O20" s="346">
        <f>INPUT!O659</f>
        <v>-11.983397906435689</v>
      </c>
      <c r="P20" s="349">
        <f>INPUT!P659</f>
        <v>135.55400000000014</v>
      </c>
      <c r="Q20" s="346">
        <f>INPUT!Q659</f>
        <v>-20.396946467738488</v>
      </c>
      <c r="R20" s="349">
        <f>INPUT!R659</f>
        <v>166.70000000000002</v>
      </c>
      <c r="S20" s="346">
        <f>INPUT!S659</f>
        <v>6.8548645564915578</v>
      </c>
      <c r="T20" s="349">
        <f>INPUT!T659</f>
        <v>176.79999999999993</v>
      </c>
      <c r="U20" s="346">
        <f>INPUT!U659</f>
        <v>36.652779817435508</v>
      </c>
      <c r="V20" s="349">
        <f>INPUT!V659</f>
        <v>282.87999999999977</v>
      </c>
      <c r="W20" s="346">
        <f>INPUT!W659</f>
        <v>61.144784213644307</v>
      </c>
      <c r="X20" s="349">
        <f>INPUT!X659</f>
        <v>198.18499999999989</v>
      </c>
      <c r="Y20" s="346">
        <f>INPUT!Y659</f>
        <v>46.203726928013687</v>
      </c>
      <c r="Z20" s="349">
        <f>INPUT!Z659</f>
        <v>150.21500000000012</v>
      </c>
      <c r="AA20" s="346">
        <f>INPUT!AA659</f>
        <v>-9.8890221955608268</v>
      </c>
      <c r="AB20" s="349">
        <f>INPUT!AB659</f>
        <v>213.32999999999996</v>
      </c>
      <c r="AC20" s="346">
        <f>INPUT!AC659</f>
        <v>20.661764705882369</v>
      </c>
      <c r="AD20" s="349">
        <f>INPUT!AD659</f>
        <v>191.36</v>
      </c>
      <c r="AE20" s="346">
        <f>INPUT!AE659</f>
        <v>-32.35294117647053</v>
      </c>
      <c r="AF20" s="349">
        <f>INPUT!AF659</f>
        <v>245.0499999999999</v>
      </c>
      <c r="AG20" s="346">
        <f>INPUT!AG659</f>
        <v>23.647097408986561</v>
      </c>
      <c r="AH20" s="349">
        <f>INPUT!AH659</f>
        <v>196.99600000000004</v>
      </c>
      <c r="AI20" s="346">
        <f>INPUT!AI659</f>
        <v>31.14269546982651</v>
      </c>
      <c r="AJ20" s="349">
        <f>INPUT!AJ659</f>
        <v>178.50000000000006</v>
      </c>
      <c r="AK20" s="346">
        <f>INPUT!AK659</f>
        <v>-16.326817606525058</v>
      </c>
      <c r="AL20" s="349">
        <f>INPUT!AL659</f>
        <v>93.227999999999767</v>
      </c>
      <c r="AM20" s="346" t="str">
        <f>INPUT!AM659</f>
        <v>NM</v>
      </c>
      <c r="AN20" s="349">
        <f>INPUT!AN659</f>
        <v>196.04400000000001</v>
      </c>
      <c r="AO20" s="346">
        <f>INPUT!AO659</f>
        <v>-19.998367680065254</v>
      </c>
      <c r="AP20" s="349">
        <f>INPUT!AP659</f>
        <v>59.295999999999836</v>
      </c>
      <c r="AQ20" s="346" t="str">
        <f>INPUT!AQ659</f>
        <v>NM</v>
      </c>
      <c r="AR20" s="349">
        <f>INPUT!AR659</f>
        <v>88.740000000000038</v>
      </c>
      <c r="AS20" s="346" t="str">
        <f>INPUT!AS659</f>
        <v>NM</v>
      </c>
      <c r="AT20" s="349">
        <f>INPUT!AT659</f>
        <v>-25.092000000000056</v>
      </c>
      <c r="AU20" s="346" t="str">
        <f>INPUT!AU659</f>
        <v>NM</v>
      </c>
      <c r="AV20" s="349">
        <f>INPUT!AV659</f>
        <v>101.72799999999987</v>
      </c>
      <c r="AW20" s="346">
        <f>INPUT!AW659</f>
        <v>-48.109608047173161</v>
      </c>
      <c r="AX20" s="349">
        <f>INPUT!AX659</f>
        <v>98.871999999999815</v>
      </c>
      <c r="AY20" s="346">
        <f>INPUT!AY659</f>
        <v>66.743119266055203</v>
      </c>
      <c r="AZ20" s="349">
        <f>INPUT!AZ659</f>
        <v>72.759999999999934</v>
      </c>
      <c r="BA20" s="346">
        <f>INPUT!BA659</f>
        <v>-18.00766283524915</v>
      </c>
      <c r="BB20" s="349">
        <f>INPUT!BB659</f>
        <v>28.696000000000033</v>
      </c>
      <c r="BC20" s="346" t="str">
        <f>INPUT!BC659</f>
        <v>NM</v>
      </c>
      <c r="BD20" s="349">
        <f>INPUT!BD659</f>
        <v>158.77999999999994</v>
      </c>
      <c r="BE20" s="346">
        <f>INPUT!BE659</f>
        <v>56.082887700534911</v>
      </c>
      <c r="BF20" s="350"/>
      <c r="BG20" s="349">
        <f>INPUT!BU659</f>
        <v>727.94445050999923</v>
      </c>
      <c r="BH20" s="346">
        <f>INPUT!BV659</f>
        <v>17.296882131807756</v>
      </c>
      <c r="BI20" s="349">
        <f>INPUT!BW659</f>
        <v>596.48300000000052</v>
      </c>
      <c r="BJ20" s="346">
        <f>INPUT!BX659</f>
        <v>-18.059269552490797</v>
      </c>
      <c r="BK20" s="349">
        <f>INPUT!BY659</f>
        <v>824.56500000000005</v>
      </c>
      <c r="BL20" s="346">
        <f>INPUT!BZ659</f>
        <v>38.237803927354072</v>
      </c>
      <c r="BM20" s="349">
        <f>INPUT!CA659</f>
        <v>799.95500000000015</v>
      </c>
      <c r="BN20" s="346">
        <f>INPUT!CB659</f>
        <v>-2.9846040033229548</v>
      </c>
      <c r="BO20" s="349">
        <f>INPUT!CC659</f>
        <v>664.76799999999969</v>
      </c>
      <c r="BP20" s="346">
        <f>INPUT!CD659</f>
        <v>-16.899325587064329</v>
      </c>
      <c r="BQ20" s="349">
        <f>INPUT!CE659</f>
        <v>224.67199999999985</v>
      </c>
      <c r="BR20" s="346" t="str">
        <f>INPUT!CF659</f>
        <v>NM</v>
      </c>
      <c r="BS20" s="349">
        <f>INPUT!CG659</f>
        <v>359.10800000000017</v>
      </c>
      <c r="BT20" s="346">
        <f>INPUT!CH659</f>
        <v>59.836561743341576</v>
      </c>
      <c r="BU20" s="349">
        <f>INPUT!CI659</f>
        <v>698.62279990818888</v>
      </c>
      <c r="BV20" s="346">
        <f>INPUT!CJ659</f>
        <v>94.543925478738572</v>
      </c>
      <c r="BW20" s="349">
        <f>INPUT!CK659</f>
        <v>789.54608848988232</v>
      </c>
      <c r="BX20" s="346">
        <f>INPUT!CL659</f>
        <v>13.014646615261105</v>
      </c>
      <c r="BY20" s="349">
        <f>INPUT!CM659</f>
        <v>826.77672498393611</v>
      </c>
      <c r="BZ20" s="346">
        <f>INPUT!CN659</f>
        <v>4.7154481589874786</v>
      </c>
      <c r="CA20" s="349">
        <f>INPUT!CO659</f>
        <v>863.13998393363056</v>
      </c>
      <c r="CB20" s="346">
        <f>INPUT!CP659</f>
        <v>4.3981957704966712</v>
      </c>
      <c r="CC20" s="349">
        <f>INPUT!CQ659</f>
        <v>899.14588619677193</v>
      </c>
      <c r="CD20" s="346">
        <f>INPUT!CR659</f>
        <v>4.1715020661017066</v>
      </c>
      <c r="CE20" s="346">
        <f>INPUT!CS659</f>
        <v>20.149236749895149</v>
      </c>
    </row>
    <row r="21" spans="1:139" s="311" customFormat="1" ht="12" hidden="1" customHeight="1" outlineLevel="1" x14ac:dyDescent="0.2">
      <c r="A21" s="353" t="s">
        <v>249</v>
      </c>
      <c r="B21" s="354">
        <f>(B8+B9+B10+B11+B12+B14+B15-B18)-B20</f>
        <v>0</v>
      </c>
      <c r="C21" s="354"/>
      <c r="D21" s="354">
        <f>(D8+D9+D10+D11+D12+D14+D15-D18)-D20</f>
        <v>0</v>
      </c>
      <c r="E21" s="354"/>
      <c r="F21" s="354">
        <f>(F8+F9+F10+F11+F12+F14+F15-F18)-F20</f>
        <v>0</v>
      </c>
      <c r="G21" s="354"/>
      <c r="H21" s="354">
        <f>(H8+H9+H10+H11+H12+H14+H15-H18)-H20</f>
        <v>0</v>
      </c>
      <c r="I21" s="354"/>
      <c r="J21" s="354">
        <f>(J8+J9+J10+J11+J12+J14+J15-J18)-J20</f>
        <v>0</v>
      </c>
      <c r="K21" s="354"/>
      <c r="L21" s="354">
        <f>(L8+L9+L10+L11+L12+L14+L15-L18)-L20</f>
        <v>0</v>
      </c>
      <c r="M21" s="354"/>
      <c r="N21" s="354">
        <f>(N8+N9+N10+N11+N12+N14+N15-N18)-N20</f>
        <v>0</v>
      </c>
      <c r="O21" s="354"/>
      <c r="P21" s="354">
        <f>(P8+P9+P10+P11+P12+P14+P15-P18)-P20</f>
        <v>0</v>
      </c>
      <c r="Q21" s="354"/>
      <c r="R21" s="354">
        <f>(R8+R9+R10+R11+R12+R14+R15-R18)-R20</f>
        <v>0</v>
      </c>
      <c r="S21" s="354"/>
      <c r="T21" s="354">
        <f>(T8+T9+T10+T11+T12+T14+T15-T18)-T20</f>
        <v>0</v>
      </c>
      <c r="U21" s="354"/>
      <c r="V21" s="354">
        <f>(V8+V9+V10+V11+V12+V14+V15-V18)-V20</f>
        <v>0</v>
      </c>
      <c r="W21" s="354"/>
      <c r="X21" s="354">
        <f>(X8+X9+X10+X11+X12+X14+X15-X18)-X20</f>
        <v>0</v>
      </c>
      <c r="Y21" s="354"/>
      <c r="Z21" s="354">
        <f>(Z8+Z9+Z10+Z11+Z12+Z14+Z15-Z18)-Z20</f>
        <v>0</v>
      </c>
      <c r="AA21" s="354"/>
      <c r="AB21" s="354">
        <f>(AB8+AB9+AB10+AB11+AB12+AB14+AB15-AB18)-AB20</f>
        <v>0</v>
      </c>
      <c r="AC21" s="354"/>
      <c r="AD21" s="354">
        <f>(AD8+AD9+AD10+AD11+AD12+AD14+AD15-AD18)-AD20</f>
        <v>0</v>
      </c>
      <c r="AE21" s="354"/>
      <c r="AF21" s="354">
        <f>(AF8+AF9+AF10+AF11+AF12+AF14+AF15-AF18)-AF20</f>
        <v>0</v>
      </c>
      <c r="AG21" s="354"/>
      <c r="AH21" s="354">
        <f>(AH8+AH9+AH10+AH11+AH12+AH14+AH15-AH18)-AH20</f>
        <v>0</v>
      </c>
      <c r="AI21" s="354"/>
      <c r="AJ21" s="354">
        <f>(AJ8+AJ9+AJ10+AJ11+AJ12+AJ14+AJ15-AJ18)-AJ20</f>
        <v>0</v>
      </c>
      <c r="AK21" s="354"/>
      <c r="AL21" s="354">
        <f>(AL8+AL9+AL10+AL11+AL12+AL14+AL15-AL18)-AL20</f>
        <v>0</v>
      </c>
      <c r="AM21" s="354"/>
      <c r="AN21" s="354">
        <f>(AN8+AN9+AN10+AN11+AN12+AN14+AN15-AN18)-AN20</f>
        <v>0</v>
      </c>
      <c r="AO21" s="354"/>
      <c r="AP21" s="354">
        <f>(AP8+AP9+AP10+AP11+AP12+AP14+AP15-AP18)-AP20</f>
        <v>0</v>
      </c>
      <c r="AQ21" s="354"/>
      <c r="AR21" s="354">
        <f>(AR8+AR9+AR10+AR11+AR12+AR14+AR15-AR18)-AR20</f>
        <v>0</v>
      </c>
      <c r="AS21" s="354"/>
      <c r="AT21" s="354">
        <f>(AT8+AT9+AT10+AT11+AT12+AT14+AT15-AT18)-AT20</f>
        <v>0</v>
      </c>
      <c r="AU21" s="354"/>
      <c r="AV21" s="354">
        <f>(AV8+AV9+AV10+AV11+AV12+AV14+AV15-AV18)-AV20</f>
        <v>0</v>
      </c>
      <c r="AW21" s="354"/>
      <c r="AX21" s="354">
        <f t="shared" ref="AX21" si="0">(AX8+AX9+AX10+AX11+AX12+AX14+AX15-AX18)-AX20</f>
        <v>0</v>
      </c>
      <c r="AY21" s="354"/>
      <c r="AZ21" s="354">
        <f t="shared" ref="AZ21" si="1">(AZ8+AZ9+AZ10+AZ11+AZ12+AZ14+AZ15-AZ18)-AZ20</f>
        <v>0</v>
      </c>
      <c r="BA21" s="354"/>
      <c r="BB21" s="354">
        <f t="shared" ref="BB21" si="2">(BB8+BB9+BB10+BB11+BB12+BB14+BB15-BB18)-BB20</f>
        <v>0</v>
      </c>
      <c r="BC21" s="354"/>
      <c r="BD21" s="354">
        <f t="shared" ref="BD21" si="3">(BD8+BD9+BD10+BD11+BD12+BD14+BD15-BD18)-BD20</f>
        <v>0</v>
      </c>
      <c r="BE21" s="354"/>
      <c r="BF21" s="354"/>
      <c r="BG21" s="354">
        <f>(BG8+BG9+BG10+BG11+BG12+BG14+BG15-BG18)-BG20</f>
        <v>0</v>
      </c>
      <c r="BH21" s="354"/>
      <c r="BI21" s="354">
        <f>(BI8+BI9+BI10+BI11+BI12+BI14+BI15-BI18)-BI20</f>
        <v>0</v>
      </c>
      <c r="BJ21" s="354"/>
      <c r="BK21" s="354">
        <f>(BK8+BK9+BK10+BK11+BK12+BK14+BK15-BK18)-BK20</f>
        <v>0</v>
      </c>
      <c r="BL21" s="354"/>
      <c r="BM21" s="354">
        <f>(BM8+BM9+BM10+BM11+BM12+BM14+BM15-BM18)-BM20</f>
        <v>0</v>
      </c>
      <c r="BN21" s="354"/>
      <c r="BO21" s="354">
        <f>(BO8+BO9+BO10+BO11+BO12+BO14+BO15-BO18)-BO20</f>
        <v>0</v>
      </c>
      <c r="BP21" s="354"/>
      <c r="BQ21" s="354">
        <f>(BQ8+BQ9+BQ10+BQ11+BQ12+BQ14+BQ15-BQ18)-BQ20</f>
        <v>0</v>
      </c>
      <c r="BR21" s="354"/>
      <c r="BS21" s="354">
        <f>(BS8+BS9+BS10+BS11+BS12+BS14+BS15-BS18)-BS20</f>
        <v>0</v>
      </c>
      <c r="BT21" s="354"/>
      <c r="BU21" s="354">
        <f>(BU8+BU9+BU10+BU11+BU12+BU14+BU15-BU18)-BU20</f>
        <v>0</v>
      </c>
      <c r="BV21" s="354"/>
      <c r="BW21" s="354">
        <f>(BW8+BW9+BW10+BW11+BW12+BW14+BW15-BW18)-BW20</f>
        <v>0</v>
      </c>
      <c r="BX21" s="354"/>
      <c r="BY21" s="354">
        <f>(BY8+BY9+BY10+BY11+BY12+BY14+BY15-BY18)-BY20</f>
        <v>0</v>
      </c>
      <c r="BZ21" s="354"/>
      <c r="CA21" s="354">
        <f>(CA8+CA9+CA10+CA11+CA12+CA14+CA15-CA18)-CA20</f>
        <v>0</v>
      </c>
      <c r="CB21" s="354"/>
      <c r="CC21" s="589">
        <f>(CC8+CC9+CC10+CC11+CC12+CC14+CC15-CC18)-CC20</f>
        <v>0</v>
      </c>
      <c r="CD21" s="589"/>
      <c r="CE21" s="354"/>
      <c r="CF21" s="307"/>
      <c r="CG21" s="307"/>
      <c r="CH21" s="307"/>
      <c r="CI21" s="307"/>
      <c r="CJ21" s="307"/>
      <c r="CK21" s="307"/>
      <c r="CL21" s="307"/>
      <c r="CM21" s="308"/>
      <c r="CN21" s="309"/>
      <c r="CO21" s="308"/>
      <c r="CP21" s="309"/>
      <c r="CQ21" s="308"/>
      <c r="CR21" s="309"/>
      <c r="CS21" s="308"/>
      <c r="CT21" s="309"/>
      <c r="CU21" s="308"/>
      <c r="CV21" s="309"/>
      <c r="CW21" s="308"/>
      <c r="CX21" s="309"/>
      <c r="CY21" s="308"/>
      <c r="CZ21" s="309"/>
      <c r="DA21" s="308"/>
      <c r="DB21" s="309"/>
      <c r="DC21" s="308"/>
      <c r="DD21" s="309"/>
      <c r="DE21" s="308"/>
      <c r="DF21" s="309"/>
      <c r="DG21" s="308"/>
      <c r="DH21" s="308"/>
      <c r="DI21" s="309"/>
      <c r="DJ21" s="308"/>
      <c r="DK21" s="309"/>
      <c r="DL21" s="308"/>
      <c r="DM21" s="309"/>
      <c r="DN21" s="308"/>
      <c r="DO21" s="309"/>
      <c r="DP21" s="308"/>
      <c r="DQ21" s="309"/>
      <c r="DR21" s="308"/>
      <c r="DS21" s="309"/>
      <c r="DT21" s="308"/>
      <c r="DU21" s="309"/>
      <c r="DV21" s="308"/>
      <c r="DW21" s="309"/>
      <c r="DX21" s="308"/>
      <c r="DY21" s="309"/>
      <c r="DZ21" s="308"/>
      <c r="EA21" s="309"/>
      <c r="EB21" s="308"/>
      <c r="EC21" s="309"/>
      <c r="ED21" s="308"/>
      <c r="EE21" s="309"/>
      <c r="EF21" s="308"/>
      <c r="EG21" s="309"/>
      <c r="EH21" s="308"/>
      <c r="EI21" s="310"/>
    </row>
    <row r="22" spans="1:139" collapsed="1" x14ac:dyDescent="0.2">
      <c r="A22" s="331"/>
      <c r="B22" s="355"/>
      <c r="C22" s="332"/>
      <c r="D22" s="355"/>
      <c r="E22" s="332"/>
      <c r="F22" s="355"/>
      <c r="G22" s="332"/>
      <c r="H22" s="355"/>
      <c r="I22" s="332"/>
      <c r="J22" s="355"/>
      <c r="K22" s="332"/>
      <c r="L22" s="355"/>
      <c r="M22" s="332"/>
      <c r="N22" s="355"/>
      <c r="O22" s="332"/>
      <c r="P22" s="355"/>
      <c r="Q22" s="332"/>
      <c r="R22" s="355"/>
      <c r="S22" s="332"/>
      <c r="T22" s="355"/>
      <c r="U22" s="332"/>
      <c r="V22" s="355"/>
      <c r="W22" s="332"/>
      <c r="X22" s="355"/>
      <c r="Y22" s="332"/>
      <c r="Z22" s="355"/>
      <c r="AA22" s="332"/>
      <c r="AB22" s="355"/>
      <c r="AC22" s="332"/>
      <c r="AD22" s="355"/>
      <c r="AE22" s="332"/>
      <c r="AF22" s="355"/>
      <c r="AG22" s="332"/>
      <c r="AH22" s="355"/>
      <c r="AI22" s="332"/>
      <c r="AJ22" s="355"/>
      <c r="AK22" s="332"/>
      <c r="AL22" s="355"/>
      <c r="AM22" s="332"/>
      <c r="AN22" s="355"/>
      <c r="AO22" s="332"/>
      <c r="AP22" s="355"/>
      <c r="AQ22" s="332"/>
      <c r="AR22" s="355"/>
      <c r="AS22" s="332"/>
      <c r="AT22" s="355"/>
      <c r="AU22" s="332"/>
      <c r="AV22" s="355"/>
      <c r="AW22" s="332"/>
      <c r="AX22" s="355"/>
      <c r="AY22" s="332"/>
      <c r="AZ22" s="355"/>
      <c r="BA22" s="332"/>
      <c r="BB22" s="355"/>
      <c r="BC22" s="332"/>
      <c r="BD22" s="355"/>
      <c r="BE22" s="332"/>
      <c r="BF22" s="356"/>
      <c r="BG22" s="355"/>
      <c r="BH22" s="332"/>
      <c r="BI22" s="355"/>
      <c r="BJ22" s="332"/>
      <c r="BK22" s="355"/>
      <c r="BL22" s="332"/>
      <c r="BM22" s="355"/>
      <c r="BN22" s="332"/>
      <c r="BO22" s="355"/>
      <c r="BP22" s="332"/>
      <c r="BQ22" s="355"/>
      <c r="BR22" s="332"/>
      <c r="BS22" s="355"/>
      <c r="BT22" s="332"/>
      <c r="BU22" s="355"/>
      <c r="BV22" s="332"/>
      <c r="BW22" s="355"/>
      <c r="BX22" s="332"/>
      <c r="BY22" s="355"/>
      <c r="BZ22" s="332"/>
      <c r="CA22" s="355"/>
      <c r="CB22" s="332"/>
      <c r="CC22" s="355"/>
      <c r="CD22" s="332"/>
      <c r="CE22" s="332"/>
    </row>
    <row r="23" spans="1:139" x14ac:dyDescent="0.2">
      <c r="A23" s="331" t="s">
        <v>256</v>
      </c>
      <c r="B23" s="345">
        <f>INPUT!B756</f>
        <v>230</v>
      </c>
      <c r="C23" s="346"/>
      <c r="D23" s="345">
        <f>INPUT!D756</f>
        <v>230</v>
      </c>
      <c r="E23" s="346"/>
      <c r="F23" s="345">
        <f>INPUT!F756</f>
        <v>230</v>
      </c>
      <c r="G23" s="346"/>
      <c r="H23" s="345">
        <f>INPUT!H756</f>
        <v>230</v>
      </c>
      <c r="I23" s="346"/>
      <c r="J23" s="345">
        <f>INPUT!J756</f>
        <v>230</v>
      </c>
      <c r="K23" s="346">
        <f>INPUT!K756</f>
        <v>0</v>
      </c>
      <c r="L23" s="345">
        <f>INPUT!L756</f>
        <v>230</v>
      </c>
      <c r="M23" s="346">
        <f>INPUT!M756</f>
        <v>0</v>
      </c>
      <c r="N23" s="345">
        <f>INPUT!N756</f>
        <v>230</v>
      </c>
      <c r="O23" s="346">
        <f>INPUT!O756</f>
        <v>0</v>
      </c>
      <c r="P23" s="345">
        <f>INPUT!P756</f>
        <v>230</v>
      </c>
      <c r="Q23" s="346">
        <f>INPUT!Q756</f>
        <v>0</v>
      </c>
      <c r="R23" s="345">
        <f>INPUT!R756</f>
        <v>230</v>
      </c>
      <c r="S23" s="346">
        <f>INPUT!S756</f>
        <v>0</v>
      </c>
      <c r="T23" s="345">
        <f>INPUT!T756</f>
        <v>250.3</v>
      </c>
      <c r="U23" s="346">
        <f>INPUT!U756</f>
        <v>8.8260869565217384</v>
      </c>
      <c r="V23" s="345">
        <f>INPUT!V756</f>
        <v>262.3</v>
      </c>
      <c r="W23" s="346">
        <f>INPUT!W756</f>
        <v>14.043478260869581</v>
      </c>
      <c r="X23" s="345">
        <f>INPUT!X756</f>
        <v>263.3</v>
      </c>
      <c r="Y23" s="346">
        <f>INPUT!Y756</f>
        <v>14.478260869565229</v>
      </c>
      <c r="Z23" s="345">
        <f>INPUT!Z756</f>
        <v>263.5</v>
      </c>
      <c r="AA23" s="346">
        <f>INPUT!AA756</f>
        <v>14.565217391304341</v>
      </c>
      <c r="AB23" s="345">
        <f>INPUT!AB756</f>
        <v>256.2</v>
      </c>
      <c r="AC23" s="346">
        <f>INPUT!AC756</f>
        <v>2.3571713943268069</v>
      </c>
      <c r="AD23" s="345">
        <f>INPUT!AD756</f>
        <v>254.4</v>
      </c>
      <c r="AE23" s="346">
        <f>INPUT!AE756</f>
        <v>-3.0118185284025989</v>
      </c>
      <c r="AF23" s="345">
        <f>INPUT!AF756</f>
        <v>246.4</v>
      </c>
      <c r="AG23" s="346">
        <f>INPUT!AG756</f>
        <v>-6.418533991644515</v>
      </c>
      <c r="AH23" s="345">
        <f>INPUT!AH756</f>
        <v>240.7</v>
      </c>
      <c r="AI23" s="346">
        <f>INPUT!AI756</f>
        <v>-8.6527514231499065</v>
      </c>
      <c r="AJ23" s="345">
        <f>INPUT!AJ756</f>
        <v>229.8</v>
      </c>
      <c r="AK23" s="346">
        <f>INPUT!AK756</f>
        <v>-10.304449648711934</v>
      </c>
      <c r="AL23" s="345">
        <f>INPUT!AL756</f>
        <v>223.6</v>
      </c>
      <c r="AM23" s="346">
        <f>INPUT!AM756</f>
        <v>-12.106918238993714</v>
      </c>
      <c r="AN23" s="345">
        <f>INPUT!AN756</f>
        <v>216</v>
      </c>
      <c r="AO23" s="346">
        <f>INPUT!AO756</f>
        <v>-12.337662337662337</v>
      </c>
      <c r="AP23" s="345">
        <f>INPUT!AP756</f>
        <v>209.1</v>
      </c>
      <c r="AQ23" s="346">
        <f>INPUT!AQ756</f>
        <v>-13.128375571250517</v>
      </c>
      <c r="AR23" s="345">
        <f>INPUT!AR756</f>
        <v>203.5</v>
      </c>
      <c r="AS23" s="346">
        <f>INPUT!AS756</f>
        <v>-11.444734551784164</v>
      </c>
      <c r="AT23" s="345">
        <f>INPUT!AT756</f>
        <v>201.5</v>
      </c>
      <c r="AU23" s="346">
        <f>INPUT!AU756</f>
        <v>-9.8837209302325526</v>
      </c>
      <c r="AV23" s="345">
        <f>INPUT!AV756</f>
        <v>197.1</v>
      </c>
      <c r="AW23" s="346">
        <f>INPUT!AW756</f>
        <v>-8.7500000000000018</v>
      </c>
      <c r="AX23" s="345">
        <f>INPUT!AX756</f>
        <v>194.4</v>
      </c>
      <c r="AY23" s="346">
        <f>INPUT!AY756</f>
        <v>-7.0301291248206503</v>
      </c>
      <c r="AZ23" s="345">
        <f>INPUT!AZ756</f>
        <v>187.7</v>
      </c>
      <c r="BA23" s="346">
        <f>INPUT!BA756</f>
        <v>-7.7641277641277711</v>
      </c>
      <c r="BB23" s="345">
        <f>INPUT!BB756</f>
        <v>182.4</v>
      </c>
      <c r="BC23" s="346">
        <f>INPUT!BC756</f>
        <v>-9.4789081885855992</v>
      </c>
      <c r="BD23" s="345">
        <f>INPUT!BD756</f>
        <v>183</v>
      </c>
      <c r="BE23" s="346">
        <f>INPUT!BE756</f>
        <v>-7.1537290715372848</v>
      </c>
      <c r="BF23" s="345"/>
      <c r="BG23" s="345">
        <f>INPUT!BU756</f>
        <v>230</v>
      </c>
      <c r="BH23" s="346" t="str">
        <f>INPUT!BV756</f>
        <v>NA</v>
      </c>
      <c r="BI23" s="345">
        <f>INPUT!BW756</f>
        <v>230</v>
      </c>
      <c r="BJ23" s="346">
        <f>INPUT!BX756</f>
        <v>0</v>
      </c>
      <c r="BK23" s="345">
        <f>INPUT!BY756</f>
        <v>251.8</v>
      </c>
      <c r="BL23" s="346">
        <f>INPUT!BZ756</f>
        <v>9.4782608695652257</v>
      </c>
      <c r="BM23" s="345">
        <f>INPUT!CA756</f>
        <v>255.125</v>
      </c>
      <c r="BN23" s="346">
        <f>INPUT!CB756</f>
        <v>1.3204924543288366</v>
      </c>
      <c r="BO23" s="345">
        <f>INPUT!CC756</f>
        <v>227.52500000000001</v>
      </c>
      <c r="BP23" s="346">
        <f>INPUT!CD756</f>
        <v>-10.818226359627637</v>
      </c>
      <c r="BQ23" s="345">
        <f>INPUT!CE756</f>
        <v>202.8</v>
      </c>
      <c r="BR23" s="346">
        <f>INPUT!CF756</f>
        <v>-10.866937699153933</v>
      </c>
      <c r="BS23" s="345">
        <f>INPUT!CG756</f>
        <v>186.875</v>
      </c>
      <c r="BT23" s="346">
        <f>INPUT!CH756</f>
        <v>-7.8525641025641075</v>
      </c>
      <c r="BU23" s="345">
        <f>INPUT!CI756</f>
        <v>164.41705587874645</v>
      </c>
      <c r="BV23" s="346">
        <f>INPUT!CJ756</f>
        <v>-12.017628961205906</v>
      </c>
      <c r="BW23" s="345">
        <f>INPUT!CK756</f>
        <v>150.45983702213059</v>
      </c>
      <c r="BX23" s="346">
        <f>INPUT!CL756</f>
        <v>-8.4889117993384939</v>
      </c>
      <c r="BY23" s="345">
        <f>INPUT!CM756</f>
        <v>142.62393387589015</v>
      </c>
      <c r="BZ23" s="346">
        <f>INPUT!CN756</f>
        <v>-5.2079699814428837</v>
      </c>
      <c r="CA23" s="345">
        <f>INPUT!CO756</f>
        <v>134.83130346424653</v>
      </c>
      <c r="CB23" s="346">
        <f>INPUT!CP756</f>
        <v>-5.4637606745756129</v>
      </c>
      <c r="CC23" s="345">
        <f>INPUT!CQ756</f>
        <v>126.7190180303338</v>
      </c>
      <c r="CD23" s="346">
        <f>INPUT!CR756</f>
        <v>-6.0166187120366139</v>
      </c>
      <c r="CE23" s="346">
        <f>INPUT!CS756</f>
        <v>-7.4752077490880753</v>
      </c>
    </row>
    <row r="24" spans="1:139" s="317" customFormat="1" ht="12" customHeight="1" x14ac:dyDescent="0.2">
      <c r="A24" s="312" t="s">
        <v>45</v>
      </c>
      <c r="B24" s="313">
        <f>INPUT!B758</f>
        <v>0.70785632713043478</v>
      </c>
      <c r="C24" s="314"/>
      <c r="D24" s="315">
        <f>INPUT!D758</f>
        <v>0.84959072521739176</v>
      </c>
      <c r="E24" s="314"/>
      <c r="F24" s="313">
        <f>INPUT!F758</f>
        <v>0.86714865656521711</v>
      </c>
      <c r="G24" s="314"/>
      <c r="H24" s="315">
        <f>INPUT!H758</f>
        <v>0.74038016286956521</v>
      </c>
      <c r="I24" s="314"/>
      <c r="J24" s="313">
        <f>INPUT!J758</f>
        <v>0.67828695652173832</v>
      </c>
      <c r="K24" s="314">
        <f>INPUT!K758</f>
        <v>-4.177312467992933</v>
      </c>
      <c r="L24" s="313">
        <f>INPUT!L758</f>
        <v>0.56251739130434786</v>
      </c>
      <c r="M24" s="314">
        <f>INPUT!M758</f>
        <v>-33.789603086778996</v>
      </c>
      <c r="N24" s="313">
        <f>INPUT!N758</f>
        <v>0.76323478260869571</v>
      </c>
      <c r="O24" s="314">
        <f>INPUT!O758</f>
        <v>-11.983397906435689</v>
      </c>
      <c r="P24" s="313">
        <f>INPUT!P758</f>
        <v>0.58936521739130499</v>
      </c>
      <c r="Q24" s="314">
        <f>INPUT!Q758</f>
        <v>-20.396946467738488</v>
      </c>
      <c r="R24" s="313">
        <f>INPUT!R758</f>
        <v>0.72478260869565225</v>
      </c>
      <c r="S24" s="314">
        <f>INPUT!S758</f>
        <v>6.8548645564915578</v>
      </c>
      <c r="T24" s="313">
        <f>INPUT!T758</f>
        <v>0.70635237714742272</v>
      </c>
      <c r="U24" s="314">
        <f>INPUT!U758</f>
        <v>25.56987358374019</v>
      </c>
      <c r="V24" s="313">
        <f>INPUT!V758</f>
        <v>1.078459778879145</v>
      </c>
      <c r="W24" s="314">
        <f>INPUT!W758</f>
        <v>41.301183260153195</v>
      </c>
      <c r="X24" s="313">
        <f>INPUT!X758</f>
        <v>0.75269654386631168</v>
      </c>
      <c r="Y24" s="314">
        <f>INPUT!Y758</f>
        <v>27.713092265260709</v>
      </c>
      <c r="Z24" s="313">
        <f>INPUT!Z758</f>
        <v>0.57007590132827368</v>
      </c>
      <c r="AA24" s="314">
        <f>INPUT!AA758</f>
        <v>-21.345256565385164</v>
      </c>
      <c r="AB24" s="313">
        <f>INPUT!AB758</f>
        <v>0.83266978922716617</v>
      </c>
      <c r="AC24" s="314">
        <f>INPUT!AC758</f>
        <v>17.883058961289478</v>
      </c>
      <c r="AD24" s="313">
        <f>INPUT!AD758</f>
        <v>0.75220125786163528</v>
      </c>
      <c r="AE24" s="314">
        <f>INPUT!AE758</f>
        <v>-30.252266000739848</v>
      </c>
      <c r="AF24" s="313">
        <f>INPUT!AF758</f>
        <v>0.99452110389610349</v>
      </c>
      <c r="AG24" s="314">
        <f>INPUT!AG758</f>
        <v>32.127762775106206</v>
      </c>
      <c r="AH24" s="313">
        <f>INPUT!AH758</f>
        <v>0.81842958039052782</v>
      </c>
      <c r="AI24" s="314">
        <f>INPUT!AI758</f>
        <v>43.565019760279533</v>
      </c>
      <c r="AJ24" s="313">
        <f>INPUT!AJ758</f>
        <v>0.77676240208877301</v>
      </c>
      <c r="AK24" s="314">
        <f>INPUT!AK758</f>
        <v>-6.7142326840370909</v>
      </c>
      <c r="AL24" s="313">
        <f>INPUT!AL758</f>
        <v>0.41694096601073244</v>
      </c>
      <c r="AM24" s="314">
        <f>INPUT!AM758</f>
        <v>-44.570557194225366</v>
      </c>
      <c r="AN24" s="313">
        <f>INPUT!AN758</f>
        <v>0.90761111111111115</v>
      </c>
      <c r="AO24" s="314">
        <f>INPUT!AO758</f>
        <v>-8.738878686889251</v>
      </c>
      <c r="AP24" s="313">
        <f>INPUT!AP758</f>
        <v>0.28357723577235694</v>
      </c>
      <c r="AQ24" s="314" t="str">
        <f>INPUT!AQ758</f>
        <v>NM</v>
      </c>
      <c r="AR24" s="313">
        <f>INPUT!AR758</f>
        <v>0.43606879606879623</v>
      </c>
      <c r="AS24" s="314">
        <f>INPUT!AS758</f>
        <v>-43.860723060723053</v>
      </c>
      <c r="AT24" s="313">
        <f>INPUT!AT758</f>
        <v>-0.12452605459057099</v>
      </c>
      <c r="AU24" s="314" t="str">
        <f>INPUT!AU758</f>
        <v>NM</v>
      </c>
      <c r="AV24" s="313">
        <f>INPUT!AV758</f>
        <v>0.51612379502790395</v>
      </c>
      <c r="AW24" s="314">
        <f>INPUT!AW758</f>
        <v>-43.133817037997979</v>
      </c>
      <c r="AX24" s="313">
        <f>INPUT!AX758</f>
        <v>0.50860082304526655</v>
      </c>
      <c r="AY24" s="314">
        <f>INPUT!AY758</f>
        <v>79.351781062408151</v>
      </c>
      <c r="AZ24" s="313">
        <f>INPUT!AZ758</f>
        <v>0.3876398508257855</v>
      </c>
      <c r="BA24" s="314">
        <f>INPUT!BA758</f>
        <v>-11.10580387305914</v>
      </c>
      <c r="BB24" s="313">
        <f>INPUT!BB758</f>
        <v>0.15732456140350895</v>
      </c>
      <c r="BC24" s="314" t="str">
        <f>INPUT!BC758</f>
        <v>NM</v>
      </c>
      <c r="BD24" s="313">
        <f>INPUT!BD758</f>
        <v>0.86765027322404342</v>
      </c>
      <c r="BE24" s="314">
        <f>INPUT!BE758</f>
        <v>68.108946261067913</v>
      </c>
      <c r="BF24" s="313"/>
      <c r="BG24" s="313">
        <f>INPUT!BU758</f>
        <v>3.1649758717826053</v>
      </c>
      <c r="BH24" s="314" t="str">
        <f>INPUT!BV758</f>
        <v>NA</v>
      </c>
      <c r="BI24" s="313">
        <f>INPUT!BW758</f>
        <v>2.5934043478260893</v>
      </c>
      <c r="BJ24" s="314">
        <f>INPUT!BX758</f>
        <v>-18.059269552490786</v>
      </c>
      <c r="BK24" s="313">
        <f>INPUT!BY758</f>
        <v>3.2746822875297856</v>
      </c>
      <c r="BL24" s="314">
        <f>INPUT!BZ758</f>
        <v>26.26963821799615</v>
      </c>
      <c r="BM24" s="313">
        <f>INPUT!CA758</f>
        <v>3.135541401273886</v>
      </c>
      <c r="BN24" s="314">
        <f>INPUT!CB758</f>
        <v>-4.2489888801047204</v>
      </c>
      <c r="BO24" s="313">
        <f>INPUT!CC758</f>
        <v>2.9217360729590141</v>
      </c>
      <c r="BP24" s="314">
        <f>INPUT!CD758</f>
        <v>-6.8187691040535681</v>
      </c>
      <c r="BQ24" s="313">
        <f>INPUT!CE758</f>
        <v>1.1078500986193287</v>
      </c>
      <c r="BR24" s="314" t="str">
        <f>INPUT!CF758</f>
        <v>NM</v>
      </c>
      <c r="BS24" s="313">
        <f>INPUT!CG758</f>
        <v>1.9216481605351179</v>
      </c>
      <c r="BT24" s="314">
        <f>INPUT!CH758</f>
        <v>73.457416570165464</v>
      </c>
      <c r="BU24" s="313">
        <f>INPUT!CI758</f>
        <v>4.2490895860792328</v>
      </c>
      <c r="BV24" s="314" t="str">
        <f>INPUT!CJ758</f>
        <v>NM</v>
      </c>
      <c r="BW24" s="313">
        <f>INPUT!CK758</f>
        <v>5.2475537932009786</v>
      </c>
      <c r="BX24" s="314">
        <f>INPUT!CL758</f>
        <v>23.498309152927497</v>
      </c>
      <c r="BY24" s="313">
        <f>INPUT!CM758</f>
        <v>5.7969002993802468</v>
      </c>
      <c r="BZ24" s="314">
        <f>INPUT!CN758</f>
        <v>10.468620767471348</v>
      </c>
      <c r="CA24" s="313">
        <f>INPUT!CO758</f>
        <v>6.401629011637576</v>
      </c>
      <c r="CB24" s="314">
        <f>INPUT!CP758</f>
        <v>10.43193225734762</v>
      </c>
      <c r="CC24" s="313">
        <f>INPUT!CQ758</f>
        <v>7.0955875461529843</v>
      </c>
      <c r="CD24" s="314">
        <f>INPUT!CR758</f>
        <v>10.84034287606881</v>
      </c>
      <c r="CE24" s="586">
        <f>INPUT!CS758</f>
        <v>29.856262118449607</v>
      </c>
      <c r="CF24" s="313"/>
      <c r="CG24" s="314"/>
      <c r="CH24" s="313"/>
      <c r="CI24" s="314"/>
      <c r="CJ24" s="313"/>
      <c r="CK24" s="314"/>
      <c r="CL24" s="313"/>
      <c r="CM24" s="314"/>
      <c r="CN24" s="313"/>
      <c r="CO24" s="314"/>
      <c r="CP24" s="313"/>
      <c r="CQ24" s="314"/>
      <c r="CR24" s="313"/>
      <c r="CS24" s="314"/>
      <c r="CT24" s="313"/>
      <c r="CU24" s="314"/>
      <c r="CV24" s="313"/>
      <c r="CW24" s="314"/>
      <c r="CX24" s="313"/>
      <c r="CY24" s="314"/>
      <c r="CZ24" s="313"/>
      <c r="DA24" s="314"/>
      <c r="DB24" s="313"/>
      <c r="DC24" s="314"/>
      <c r="DD24" s="313"/>
      <c r="DE24" s="314"/>
      <c r="DF24" s="313"/>
      <c r="DG24" s="314"/>
      <c r="DH24" s="316"/>
      <c r="DI24" s="313"/>
      <c r="DJ24" s="314"/>
      <c r="DK24" s="313"/>
      <c r="DL24" s="314"/>
      <c r="DM24" s="313"/>
      <c r="DN24" s="314"/>
      <c r="DO24" s="313"/>
      <c r="DP24" s="314"/>
      <c r="DQ24" s="313"/>
      <c r="DR24" s="314"/>
      <c r="DS24" s="313"/>
      <c r="DT24" s="314"/>
      <c r="DU24" s="313"/>
      <c r="DV24" s="314"/>
      <c r="DW24" s="313"/>
      <c r="DX24" s="314"/>
      <c r="DY24" s="313"/>
      <c r="DZ24" s="314"/>
      <c r="EA24" s="313"/>
      <c r="EB24" s="314"/>
      <c r="EC24" s="313"/>
      <c r="ED24" s="314"/>
      <c r="EE24" s="313"/>
      <c r="EF24" s="314"/>
      <c r="EG24" s="313"/>
      <c r="EH24" s="314"/>
      <c r="EI24" s="314"/>
    </row>
    <row r="25" spans="1:139" s="311" customFormat="1" ht="12" hidden="1" customHeight="1" outlineLevel="1" x14ac:dyDescent="0.2">
      <c r="A25" s="302" t="s">
        <v>249</v>
      </c>
      <c r="B25" s="309">
        <f>(B20/B65)-B24</f>
        <v>0</v>
      </c>
      <c r="C25" s="308"/>
      <c r="D25" s="309">
        <f>(D20/D65)-D24</f>
        <v>0</v>
      </c>
      <c r="E25" s="308"/>
      <c r="F25" s="309">
        <f>(F20/F65)-F24</f>
        <v>0</v>
      </c>
      <c r="G25" s="308"/>
      <c r="H25" s="309">
        <f>(H20/H65)-H24</f>
        <v>0</v>
      </c>
      <c r="I25" s="308"/>
      <c r="J25" s="309">
        <f>(J20/J65)-J24</f>
        <v>0</v>
      </c>
      <c r="K25" s="308"/>
      <c r="L25" s="309">
        <f>(L20/L65)-L24</f>
        <v>0</v>
      </c>
      <c r="M25" s="308"/>
      <c r="N25" s="309">
        <f>(N20/N65)-N24</f>
        <v>0</v>
      </c>
      <c r="O25" s="308"/>
      <c r="P25" s="309">
        <f>(P20/P65)-P24</f>
        <v>0</v>
      </c>
      <c r="Q25" s="308"/>
      <c r="R25" s="309">
        <f>(R20/R65)-R24</f>
        <v>0</v>
      </c>
      <c r="S25" s="308"/>
      <c r="T25" s="309">
        <f>(T20/T65)-T24</f>
        <v>0</v>
      </c>
      <c r="U25" s="308"/>
      <c r="V25" s="309">
        <f>(V20/V65)-V24</f>
        <v>0</v>
      </c>
      <c r="W25" s="308"/>
      <c r="X25" s="309">
        <f>(X20/X65)-X24</f>
        <v>0</v>
      </c>
      <c r="Y25" s="308"/>
      <c r="Z25" s="309">
        <f>(Z20/Z65)-Z24</f>
        <v>0</v>
      </c>
      <c r="AA25" s="308"/>
      <c r="AB25" s="309">
        <f>(AB20/AB65)-AB24</f>
        <v>0</v>
      </c>
      <c r="AC25" s="308"/>
      <c r="AD25" s="309">
        <f>(AD20/AD65)-AD24</f>
        <v>0</v>
      </c>
      <c r="AE25" s="308"/>
      <c r="AF25" s="309">
        <f>(AF20/AF65)-AF24</f>
        <v>0</v>
      </c>
      <c r="AG25" s="308"/>
      <c r="AH25" s="309">
        <f>(AH20/AH65)-AH24</f>
        <v>0</v>
      </c>
      <c r="AI25" s="308"/>
      <c r="AJ25" s="309">
        <f>(AJ20/AJ65)-AJ24</f>
        <v>0</v>
      </c>
      <c r="AK25" s="308"/>
      <c r="AL25" s="309">
        <f>(AL20/AL65)-AL24</f>
        <v>0</v>
      </c>
      <c r="AM25" s="308"/>
      <c r="AN25" s="309">
        <f>(AN20/AN65)-AN24</f>
        <v>0</v>
      </c>
      <c r="AO25" s="308"/>
      <c r="AP25" s="309">
        <f>(AP20/AP65)-AP24</f>
        <v>0</v>
      </c>
      <c r="AQ25" s="308"/>
      <c r="AR25" s="309">
        <f>(AR20/AR65)-AR24</f>
        <v>0</v>
      </c>
      <c r="AS25" s="308"/>
      <c r="AT25" s="309">
        <f>(AT20/AT65)-AT24</f>
        <v>0</v>
      </c>
      <c r="AU25" s="308"/>
      <c r="AV25" s="309">
        <f>(AV20/AV65)-AV24</f>
        <v>0</v>
      </c>
      <c r="AW25" s="308"/>
      <c r="AX25" s="309">
        <f t="shared" ref="AX25" si="4">(AX20/AX65)-AX24</f>
        <v>0</v>
      </c>
      <c r="AY25" s="308"/>
      <c r="AZ25" s="309">
        <f t="shared" ref="AZ25" si="5">(AZ20/AZ65)-AZ24</f>
        <v>0</v>
      </c>
      <c r="BA25" s="308"/>
      <c r="BB25" s="309">
        <f t="shared" ref="BB25" si="6">(BB20/BB65)-BB24</f>
        <v>0</v>
      </c>
      <c r="BC25" s="308"/>
      <c r="BD25" s="309">
        <f t="shared" ref="BD25" si="7">(BD20/BD65)-BD24</f>
        <v>0</v>
      </c>
      <c r="BE25" s="308"/>
      <c r="BF25" s="309"/>
      <c r="BG25" s="309">
        <f>(BG20/BG65)-BG24</f>
        <v>0</v>
      </c>
      <c r="BH25" s="309"/>
      <c r="BI25" s="309">
        <f>(BI20/BI65)-BI24</f>
        <v>0</v>
      </c>
      <c r="BJ25" s="309"/>
      <c r="BK25" s="309">
        <f>(BK20/BK65)-BK24</f>
        <v>0</v>
      </c>
      <c r="BL25" s="309"/>
      <c r="BM25" s="309">
        <f>(BM20/BM65)-BM24</f>
        <v>0</v>
      </c>
      <c r="BN25" s="309"/>
      <c r="BO25" s="309">
        <f>(BO20/BO65)-BO24</f>
        <v>0</v>
      </c>
      <c r="BP25" s="309"/>
      <c r="BQ25" s="309">
        <f>(BQ20/BQ65)-BQ24</f>
        <v>0</v>
      </c>
      <c r="BR25" s="309"/>
      <c r="BS25" s="309">
        <f>(BS20/BS65)-BS24</f>
        <v>0</v>
      </c>
      <c r="BT25" s="309"/>
      <c r="BU25" s="309">
        <f>(BU20/BU65)-BU24</f>
        <v>0</v>
      </c>
      <c r="BV25" s="309"/>
      <c r="BW25" s="309">
        <f>(BW20/BW65)-BW24</f>
        <v>0</v>
      </c>
      <c r="BX25" s="309"/>
      <c r="BY25" s="309">
        <f>(BY20/BY65)-BY24</f>
        <v>0</v>
      </c>
      <c r="BZ25" s="309"/>
      <c r="CA25" s="309">
        <f>(CA20/CA65)-CA24</f>
        <v>0</v>
      </c>
      <c r="CB25" s="309"/>
      <c r="CC25" s="588">
        <f>(CC20/CC65)-CC24</f>
        <v>0</v>
      </c>
      <c r="CD25" s="588"/>
      <c r="CE25" s="308"/>
      <c r="CF25" s="309"/>
      <c r="CG25" s="308"/>
      <c r="CH25" s="309"/>
      <c r="CI25" s="308"/>
      <c r="CJ25" s="309"/>
      <c r="CK25" s="308"/>
      <c r="CL25" s="309"/>
      <c r="CM25" s="308"/>
      <c r="CN25" s="309"/>
      <c r="CO25" s="308"/>
      <c r="CP25" s="309"/>
      <c r="CQ25" s="308"/>
      <c r="CR25" s="309"/>
      <c r="CS25" s="308"/>
      <c r="CT25" s="309"/>
      <c r="CU25" s="308"/>
      <c r="CV25" s="309"/>
      <c r="CW25" s="308"/>
      <c r="CX25" s="309"/>
      <c r="CY25" s="308"/>
      <c r="CZ25" s="309"/>
      <c r="DA25" s="308"/>
      <c r="DB25" s="309"/>
      <c r="DC25" s="308"/>
      <c r="DD25" s="309"/>
      <c r="DE25" s="308"/>
      <c r="DF25" s="309"/>
      <c r="DG25" s="308"/>
      <c r="DH25" s="308"/>
      <c r="DI25" s="309"/>
      <c r="DJ25" s="308"/>
      <c r="DK25" s="309"/>
      <c r="DL25" s="308"/>
      <c r="DM25" s="309"/>
      <c r="DN25" s="308"/>
      <c r="DO25" s="309"/>
      <c r="DP25" s="308"/>
      <c r="DQ25" s="309"/>
      <c r="DR25" s="308"/>
      <c r="DS25" s="309"/>
      <c r="DT25" s="308"/>
      <c r="DU25" s="309"/>
      <c r="DV25" s="308"/>
      <c r="DW25" s="309"/>
      <c r="DX25" s="308"/>
      <c r="DY25" s="309"/>
      <c r="DZ25" s="308"/>
      <c r="EA25" s="309"/>
      <c r="EB25" s="308"/>
      <c r="EC25" s="309"/>
      <c r="ED25" s="308"/>
      <c r="EE25" s="309"/>
      <c r="EF25" s="308"/>
      <c r="EG25" s="309"/>
      <c r="EH25" s="308"/>
      <c r="EI25" s="310"/>
    </row>
    <row r="26" spans="1:139" s="331" customFormat="1" collapsed="1" x14ac:dyDescent="0.2">
      <c r="B26" s="355"/>
      <c r="C26" s="332"/>
      <c r="D26" s="355"/>
      <c r="E26" s="332"/>
      <c r="F26" s="355"/>
      <c r="G26" s="332"/>
      <c r="H26" s="355"/>
      <c r="I26" s="332"/>
      <c r="J26" s="355"/>
      <c r="K26" s="332"/>
      <c r="L26" s="355"/>
      <c r="M26" s="332"/>
      <c r="N26" s="355"/>
      <c r="O26" s="332"/>
      <c r="P26" s="355"/>
      <c r="Q26" s="332"/>
      <c r="R26" s="355"/>
      <c r="S26" s="332"/>
      <c r="T26" s="355"/>
      <c r="U26" s="332"/>
      <c r="V26" s="355"/>
      <c r="W26" s="332"/>
      <c r="X26" s="355"/>
      <c r="Y26" s="332"/>
      <c r="Z26" s="355"/>
      <c r="AA26" s="332"/>
      <c r="AB26" s="355"/>
      <c r="AC26" s="332"/>
      <c r="AD26" s="355"/>
      <c r="AE26" s="332"/>
      <c r="AF26" s="355"/>
      <c r="AG26" s="332"/>
      <c r="AH26" s="355"/>
      <c r="AI26" s="332"/>
      <c r="AJ26" s="355"/>
      <c r="AK26" s="332"/>
      <c r="AL26" s="355"/>
      <c r="AM26" s="332"/>
      <c r="AN26" s="355"/>
      <c r="AO26" s="332"/>
      <c r="AP26" s="355"/>
      <c r="AQ26" s="332"/>
      <c r="AR26" s="355"/>
      <c r="AS26" s="332"/>
      <c r="AT26" s="355"/>
      <c r="AU26" s="332"/>
      <c r="AV26" s="355"/>
      <c r="AW26" s="332"/>
      <c r="AX26" s="355"/>
      <c r="AY26" s="332"/>
      <c r="AZ26" s="355"/>
      <c r="BA26" s="332"/>
      <c r="BB26" s="355"/>
      <c r="BC26" s="332"/>
      <c r="BD26" s="355"/>
      <c r="BE26" s="332"/>
      <c r="BF26" s="356"/>
      <c r="BG26" s="355"/>
      <c r="BH26" s="332"/>
      <c r="BI26" s="355"/>
      <c r="BJ26" s="332"/>
      <c r="BK26" s="355"/>
      <c r="BL26" s="332"/>
      <c r="BM26" s="355"/>
      <c r="BN26" s="332"/>
      <c r="BO26" s="355"/>
      <c r="BP26" s="332"/>
      <c r="BQ26" s="355"/>
      <c r="BR26" s="332"/>
      <c r="BS26" s="355"/>
      <c r="BT26" s="332"/>
      <c r="BU26" s="355"/>
      <c r="BV26" s="332"/>
      <c r="BW26" s="355"/>
      <c r="BX26" s="332"/>
      <c r="BY26" s="355"/>
      <c r="BZ26" s="332"/>
      <c r="CA26" s="355"/>
      <c r="CB26" s="332"/>
      <c r="CC26" s="355"/>
      <c r="CD26" s="332"/>
      <c r="CE26" s="332"/>
    </row>
    <row r="27" spans="1:139" s="323" customFormat="1" ht="12" customHeight="1" x14ac:dyDescent="0.2">
      <c r="A27" s="318" t="s">
        <v>403</v>
      </c>
      <c r="B27" s="319">
        <f>INPUT!B763</f>
        <v>0.70785632713043478</v>
      </c>
      <c r="C27" s="319"/>
      <c r="D27" s="320">
        <f>INPUT!D763</f>
        <v>0.84959072521739176</v>
      </c>
      <c r="E27" s="319"/>
      <c r="F27" s="319">
        <f>INPUT!F763</f>
        <v>0.86714865656521711</v>
      </c>
      <c r="G27" s="319"/>
      <c r="H27" s="320">
        <f>INPUT!H763</f>
        <v>0.74038016286956521</v>
      </c>
      <c r="I27" s="319"/>
      <c r="J27" s="319">
        <f>INPUT!J763</f>
        <v>0.67828695652173832</v>
      </c>
      <c r="K27" s="321">
        <f>INPUT!K763</f>
        <v>-4.177312467992933</v>
      </c>
      <c r="L27" s="319">
        <f>INPUT!L763</f>
        <v>0.56251739130434786</v>
      </c>
      <c r="M27" s="321">
        <f>INPUT!M763</f>
        <v>-33.789603086778996</v>
      </c>
      <c r="N27" s="319">
        <f>INPUT!N763</f>
        <v>0.76323478260869571</v>
      </c>
      <c r="O27" s="321">
        <f>INPUT!O763</f>
        <v>-11.983397906435689</v>
      </c>
      <c r="P27" s="319">
        <f>INPUT!P763</f>
        <v>0.58936521739130499</v>
      </c>
      <c r="Q27" s="321">
        <f>INPUT!Q763</f>
        <v>-20.396946467738488</v>
      </c>
      <c r="R27" s="319">
        <f>INPUT!R763</f>
        <v>0.72478260869565225</v>
      </c>
      <c r="S27" s="321">
        <f>INPUT!S763</f>
        <v>6.8548645564915578</v>
      </c>
      <c r="T27" s="319">
        <f>INPUT!T763</f>
        <v>0.70635237714742272</v>
      </c>
      <c r="U27" s="321">
        <f>INPUT!U763</f>
        <v>25.56987358374019</v>
      </c>
      <c r="V27" s="319">
        <f>INPUT!V763</f>
        <v>1.078459778879145</v>
      </c>
      <c r="W27" s="321">
        <f>INPUT!W763</f>
        <v>41.301183260153195</v>
      </c>
      <c r="X27" s="319">
        <f>INPUT!X763</f>
        <v>0.75269654386631168</v>
      </c>
      <c r="Y27" s="321">
        <f>INPUT!Y763</f>
        <v>27.713092265260709</v>
      </c>
      <c r="Z27" s="319">
        <f>INPUT!Z763</f>
        <v>0.57007590132827368</v>
      </c>
      <c r="AA27" s="321">
        <f>INPUT!AA763</f>
        <v>-21.345256565385164</v>
      </c>
      <c r="AB27" s="319">
        <f>INPUT!AB763</f>
        <v>0.83266978922716617</v>
      </c>
      <c r="AC27" s="321">
        <f>INPUT!AC763</f>
        <v>17.883058961289478</v>
      </c>
      <c r="AD27" s="319">
        <f>INPUT!AD763</f>
        <v>0.75220125786163528</v>
      </c>
      <c r="AE27" s="321">
        <f>INPUT!AE763</f>
        <v>-30.252266000739848</v>
      </c>
      <c r="AF27" s="319">
        <f>INPUT!AF763</f>
        <v>0.99452110389610349</v>
      </c>
      <c r="AG27" s="321">
        <f>INPUT!AG763</f>
        <v>32.127762775106206</v>
      </c>
      <c r="AH27" s="319">
        <f>INPUT!AH763</f>
        <v>0.81842958039052782</v>
      </c>
      <c r="AI27" s="321">
        <f>INPUT!AI763</f>
        <v>43.565019760279533</v>
      </c>
      <c r="AJ27" s="319">
        <f>INPUT!AJ763</f>
        <v>0.77676240208877301</v>
      </c>
      <c r="AK27" s="321">
        <f>INPUT!AK763</f>
        <v>-6.7142326840370909</v>
      </c>
      <c r="AL27" s="319">
        <f>INPUT!AL763</f>
        <v>0.41694096601073244</v>
      </c>
      <c r="AM27" s="321">
        <f>INPUT!AM763</f>
        <v>-44.570557194225366</v>
      </c>
      <c r="AN27" s="319">
        <f>INPUT!AN763</f>
        <v>0.90761111111111115</v>
      </c>
      <c r="AO27" s="321">
        <f>INPUT!AO763</f>
        <v>-8.738878686889251</v>
      </c>
      <c r="AP27" s="319">
        <f>INPUT!AP763</f>
        <v>0.28357723577235694</v>
      </c>
      <c r="AQ27" s="321" t="str">
        <f>INPUT!AQ763</f>
        <v>NM</v>
      </c>
      <c r="AR27" s="319">
        <f>INPUT!AR763</f>
        <v>0.43606879606879623</v>
      </c>
      <c r="AS27" s="321">
        <f>INPUT!AS763</f>
        <v>-43.860723060723053</v>
      </c>
      <c r="AT27" s="319">
        <f>INPUT!AT763</f>
        <v>-0.12452605459057099</v>
      </c>
      <c r="AU27" s="321" t="str">
        <f>INPUT!AU763</f>
        <v>NM</v>
      </c>
      <c r="AV27" s="319">
        <f>INPUT!AV763</f>
        <v>0.51612379502790395</v>
      </c>
      <c r="AW27" s="321">
        <f>INPUT!AW763</f>
        <v>-43.133817037997979</v>
      </c>
      <c r="AX27" s="319">
        <f>INPUT!AX763</f>
        <v>0.50860082304526655</v>
      </c>
      <c r="AY27" s="321">
        <f>INPUT!AY763</f>
        <v>79.351781062408151</v>
      </c>
      <c r="AZ27" s="319">
        <f>INPUT!AZ763</f>
        <v>0.3876398508257855</v>
      </c>
      <c r="BA27" s="321">
        <f>INPUT!BA763</f>
        <v>-11.10580387305914</v>
      </c>
      <c r="BB27" s="319">
        <f>INPUT!BB763</f>
        <v>0.15732456140350895</v>
      </c>
      <c r="BC27" s="321" t="str">
        <f>INPUT!BC763</f>
        <v>NM</v>
      </c>
      <c r="BD27" s="319">
        <f>INPUT!BD763</f>
        <v>0.86765027322404342</v>
      </c>
      <c r="BE27" s="321">
        <f>INPUT!BE763</f>
        <v>68.108946261067913</v>
      </c>
      <c r="BF27" s="319"/>
      <c r="BG27" s="319">
        <f>INPUT!BU763</f>
        <v>3.1649758717826089</v>
      </c>
      <c r="BH27" s="321" t="str">
        <f>INPUT!BV763</f>
        <v>NA</v>
      </c>
      <c r="BI27" s="319">
        <f>INPUT!BW763</f>
        <v>2.5934043478260866</v>
      </c>
      <c r="BJ27" s="321">
        <f>INPUT!BX763</f>
        <v>-18.059269552490964</v>
      </c>
      <c r="BK27" s="319">
        <f>INPUT!BY763</f>
        <v>3.2746822875297839</v>
      </c>
      <c r="BL27" s="321">
        <f>INPUT!BZ763</f>
        <v>26.269638217996217</v>
      </c>
      <c r="BM27" s="319">
        <f>INPUT!CA763</f>
        <v>3.1355414012738851</v>
      </c>
      <c r="BN27" s="321">
        <f>INPUT!CB763</f>
        <v>-4.2489888801046982</v>
      </c>
      <c r="BO27" s="319">
        <f>INPUT!CC763</f>
        <v>2.9217360729590149</v>
      </c>
      <c r="BP27" s="321">
        <f>INPUT!CD763</f>
        <v>-6.8187691040535121</v>
      </c>
      <c r="BQ27" s="319">
        <f>INPUT!CE763</f>
        <v>1.1078500986193278</v>
      </c>
      <c r="BR27" s="321" t="str">
        <f>INPUT!CF763</f>
        <v>NM</v>
      </c>
      <c r="BS27" s="319">
        <f>INPUT!CG763</f>
        <v>1.9216481605351157</v>
      </c>
      <c r="BT27" s="321">
        <f>INPUT!CH763</f>
        <v>73.457416570165407</v>
      </c>
      <c r="BU27" s="319">
        <f>INPUT!CI763</f>
        <v>4.2490895860792346</v>
      </c>
      <c r="BV27" s="321" t="str">
        <f>INPUT!CJ763</f>
        <v>NM</v>
      </c>
      <c r="BW27" s="319">
        <f>INPUT!CK763</f>
        <v>5.2475537932009786</v>
      </c>
      <c r="BX27" s="321">
        <f>INPUT!CL763</f>
        <v>23.498309152927455</v>
      </c>
      <c r="BY27" s="319">
        <f>INPUT!CM763</f>
        <v>5.7969002993802468</v>
      </c>
      <c r="BZ27" s="321">
        <f>INPUT!CN763</f>
        <v>10.468620767471348</v>
      </c>
      <c r="CA27" s="319">
        <f>INPUT!CO763</f>
        <v>6.401629011637576</v>
      </c>
      <c r="CB27" s="321">
        <f>INPUT!CP763</f>
        <v>10.43193225734762</v>
      </c>
      <c r="CC27" s="319">
        <f>INPUT!CQ763</f>
        <v>7.0955875461529843</v>
      </c>
      <c r="CD27" s="321">
        <f>INPUT!CR763</f>
        <v>10.84034287606881</v>
      </c>
      <c r="CE27" s="321">
        <f>INPUT!CS763</f>
        <v>29.856262118449649</v>
      </c>
      <c r="CF27" s="319"/>
      <c r="CG27" s="321"/>
      <c r="CH27" s="319"/>
      <c r="CI27" s="321"/>
      <c r="CJ27" s="319"/>
      <c r="CK27" s="321"/>
      <c r="CL27" s="319"/>
      <c r="CM27" s="321"/>
      <c r="CN27" s="319"/>
      <c r="CO27" s="321"/>
      <c r="CP27" s="319"/>
      <c r="CQ27" s="321"/>
      <c r="CR27" s="319"/>
      <c r="CS27" s="321"/>
      <c r="CT27" s="319"/>
      <c r="CU27" s="321"/>
      <c r="CV27" s="319"/>
      <c r="CW27" s="321"/>
      <c r="CX27" s="319"/>
      <c r="CY27" s="321"/>
      <c r="CZ27" s="319"/>
      <c r="DA27" s="321"/>
      <c r="DB27" s="319"/>
      <c r="DC27" s="321"/>
      <c r="DD27" s="319"/>
      <c r="DE27" s="321"/>
      <c r="DF27" s="319"/>
      <c r="DG27" s="321"/>
      <c r="DH27" s="322"/>
      <c r="DI27" s="319"/>
      <c r="DJ27" s="321"/>
      <c r="DK27" s="319"/>
      <c r="DL27" s="321"/>
      <c r="DM27" s="319"/>
      <c r="DN27" s="321"/>
      <c r="DO27" s="319"/>
      <c r="DP27" s="321"/>
      <c r="DQ27" s="319"/>
      <c r="DR27" s="321"/>
      <c r="DS27" s="319"/>
      <c r="DT27" s="321"/>
      <c r="DU27" s="319"/>
      <c r="DV27" s="321"/>
      <c r="DW27" s="319"/>
      <c r="DX27" s="321"/>
      <c r="DY27" s="319"/>
      <c r="DZ27" s="321"/>
      <c r="EA27" s="319"/>
      <c r="EB27" s="321"/>
      <c r="EC27" s="319"/>
      <c r="ED27" s="321"/>
      <c r="EE27" s="319"/>
      <c r="EF27" s="321"/>
      <c r="EG27" s="319"/>
      <c r="EH27" s="321"/>
      <c r="EI27" s="321"/>
    </row>
    <row r="28" spans="1:139" s="331" customFormat="1" x14ac:dyDescent="0.2">
      <c r="B28" s="355"/>
      <c r="C28" s="332"/>
      <c r="D28" s="355"/>
      <c r="E28" s="332"/>
      <c r="F28" s="355"/>
      <c r="G28" s="332"/>
      <c r="H28" s="355"/>
      <c r="I28" s="332"/>
      <c r="J28" s="355"/>
      <c r="K28" s="332"/>
      <c r="L28" s="355"/>
      <c r="M28" s="332"/>
      <c r="N28" s="355"/>
      <c r="O28" s="332"/>
      <c r="P28" s="355"/>
      <c r="Q28" s="332"/>
      <c r="R28" s="355"/>
      <c r="S28" s="332"/>
      <c r="T28" s="355"/>
      <c r="U28" s="332"/>
      <c r="V28" s="355"/>
      <c r="W28" s="332"/>
      <c r="X28" s="355"/>
      <c r="Y28" s="332"/>
      <c r="Z28" s="355"/>
      <c r="AA28" s="332"/>
      <c r="AB28" s="355"/>
      <c r="AC28" s="332"/>
      <c r="AD28" s="355"/>
      <c r="AE28" s="332"/>
      <c r="AF28" s="355"/>
      <c r="AG28" s="332"/>
      <c r="AH28" s="355"/>
      <c r="AI28" s="332"/>
      <c r="AJ28" s="355"/>
      <c r="AK28" s="332"/>
      <c r="AL28" s="355"/>
      <c r="AM28" s="332"/>
      <c r="AN28" s="355"/>
      <c r="AO28" s="332"/>
      <c r="AP28" s="355"/>
      <c r="AQ28" s="332"/>
      <c r="AR28" s="355"/>
      <c r="AS28" s="332"/>
      <c r="AT28" s="355"/>
      <c r="AU28" s="332"/>
      <c r="AV28" s="355"/>
      <c r="AW28" s="332"/>
      <c r="AX28" s="355"/>
      <c r="AY28" s="332"/>
      <c r="AZ28" s="355"/>
      <c r="BA28" s="332"/>
      <c r="BB28" s="355"/>
      <c r="BC28" s="332"/>
      <c r="BD28" s="355"/>
      <c r="BE28" s="332"/>
      <c r="BF28" s="356"/>
      <c r="BG28" s="355"/>
      <c r="BH28" s="332"/>
      <c r="BI28" s="355"/>
      <c r="BJ28" s="332"/>
      <c r="BK28" s="355"/>
      <c r="BL28" s="332"/>
      <c r="BM28" s="355"/>
      <c r="BN28" s="332"/>
      <c r="BO28" s="355"/>
      <c r="BP28" s="332"/>
      <c r="BQ28" s="355"/>
      <c r="BR28" s="332"/>
      <c r="BS28" s="355"/>
      <c r="BT28" s="332"/>
      <c r="BU28" s="355"/>
      <c r="BV28" s="332"/>
      <c r="BW28" s="355"/>
      <c r="BX28" s="332"/>
      <c r="BY28" s="355"/>
      <c r="BZ28" s="332"/>
      <c r="CA28" s="355"/>
      <c r="CB28" s="332"/>
      <c r="CC28" s="355"/>
      <c r="CD28" s="332"/>
      <c r="CE28" s="332"/>
    </row>
    <row r="29" spans="1:139" s="331" customFormat="1" ht="12" customHeight="1" x14ac:dyDescent="0.2">
      <c r="A29" s="331" t="s">
        <v>224</v>
      </c>
      <c r="B29" s="345">
        <f>INPUT!B685</f>
        <v>-64.7</v>
      </c>
      <c r="C29" s="346"/>
      <c r="D29" s="345">
        <f>INPUT!D685</f>
        <v>196.3</v>
      </c>
      <c r="E29" s="346"/>
      <c r="F29" s="345">
        <f>INPUT!F685</f>
        <v>813.00000000000011</v>
      </c>
      <c r="G29" s="346"/>
      <c r="H29" s="345">
        <f>INPUT!H685</f>
        <v>-1509.1000000000001</v>
      </c>
      <c r="I29" s="346"/>
      <c r="J29" s="345">
        <f>INPUT!J685</f>
        <v>-907.8</v>
      </c>
      <c r="K29" s="345" t="str">
        <f>INPUT!K685</f>
        <v>NM</v>
      </c>
      <c r="L29" s="345">
        <f>INPUT!L685</f>
        <v>382.00000000000006</v>
      </c>
      <c r="M29" s="345">
        <f>INPUT!M685</f>
        <v>94.600101884870114</v>
      </c>
      <c r="N29" s="345">
        <f>INPUT!N685</f>
        <v>0.79999999999996163</v>
      </c>
      <c r="O29" s="345" t="str">
        <f>INPUT!O685</f>
        <v>NM</v>
      </c>
      <c r="P29" s="345">
        <f>INPUT!P685</f>
        <v>-167.3</v>
      </c>
      <c r="Q29" s="345" t="str">
        <f>INPUT!Q685</f>
        <v>NM</v>
      </c>
      <c r="R29" s="345">
        <f>INPUT!R685</f>
        <v>-477.1</v>
      </c>
      <c r="S29" s="345">
        <f>INPUT!S685</f>
        <v>-47.444371006829691</v>
      </c>
      <c r="T29" s="345">
        <f>INPUT!T685</f>
        <v>-338.40000000000003</v>
      </c>
      <c r="U29" s="345" t="str">
        <f>INPUT!U685</f>
        <v>NM</v>
      </c>
      <c r="V29" s="345">
        <f>INPUT!V685</f>
        <v>-167.39999999999998</v>
      </c>
      <c r="W29" s="345" t="str">
        <f>INPUT!W685</f>
        <v>NM</v>
      </c>
      <c r="X29" s="345">
        <f>INPUT!X685</f>
        <v>-226.39999999999995</v>
      </c>
      <c r="Y29" s="345">
        <f>INPUT!Y685</f>
        <v>35.325762104004731</v>
      </c>
      <c r="Z29" s="345">
        <f>INPUT!Z685</f>
        <v>20.200000000000045</v>
      </c>
      <c r="AA29" s="345" t="str">
        <f>INPUT!AA685</f>
        <v>NM</v>
      </c>
      <c r="AB29" s="345">
        <f>INPUT!AB685</f>
        <v>-82.09999999999998</v>
      </c>
      <c r="AC29" s="345" t="str">
        <f>INPUT!AC685</f>
        <v>NM</v>
      </c>
      <c r="AD29" s="345">
        <f>INPUT!AD685</f>
        <v>135.99999999999989</v>
      </c>
      <c r="AE29" s="345" t="str">
        <f>INPUT!AE685</f>
        <v>NM</v>
      </c>
      <c r="AF29" s="345">
        <f>INPUT!AF685</f>
        <v>-317.3</v>
      </c>
      <c r="AG29" s="345">
        <f>INPUT!AG685</f>
        <v>40.15017667844527</v>
      </c>
      <c r="AH29" s="345">
        <f>INPUT!AH685</f>
        <v>-29.400000000000034</v>
      </c>
      <c r="AI29" s="345" t="str">
        <f>INPUT!AI685</f>
        <v>NM</v>
      </c>
      <c r="AJ29" s="345">
        <f>INPUT!AJ685</f>
        <v>180.5</v>
      </c>
      <c r="AK29" s="345" t="str">
        <f>INPUT!AK685</f>
        <v>NM</v>
      </c>
      <c r="AL29" s="345">
        <f>INPUT!AL685</f>
        <v>-7.1000000000000227</v>
      </c>
      <c r="AM29" s="345" t="str">
        <f>INPUT!AM685</f>
        <v>NM</v>
      </c>
      <c r="AN29" s="345">
        <f>INPUT!AN685</f>
        <v>-317.3</v>
      </c>
      <c r="AO29" s="345">
        <f>INPUT!AO685</f>
        <v>0</v>
      </c>
      <c r="AP29" s="345">
        <f>INPUT!AP685</f>
        <v>88.999999999999972</v>
      </c>
      <c r="AQ29" s="345" t="str">
        <f>INPUT!AQ685</f>
        <v>NM</v>
      </c>
      <c r="AR29" s="345">
        <f>INPUT!AR685</f>
        <v>114.70000000000005</v>
      </c>
      <c r="AS29" s="345">
        <f>INPUT!AS685</f>
        <v>-36.454293628808841</v>
      </c>
      <c r="AT29" s="345">
        <f>INPUT!AT685</f>
        <v>-276.10000000000002</v>
      </c>
      <c r="AU29" s="345" t="str">
        <f>INPUT!AU685</f>
        <v>NM</v>
      </c>
      <c r="AV29" s="345">
        <f>INPUT!AV685</f>
        <v>-663.2</v>
      </c>
      <c r="AW29" s="345" t="str">
        <f>INPUT!AW685</f>
        <v>NM</v>
      </c>
      <c r="AX29" s="345">
        <f>INPUT!AX685</f>
        <v>-332.09999999999991</v>
      </c>
      <c r="AY29" s="345" t="str">
        <f>INPUT!AY685</f>
        <v>NM</v>
      </c>
      <c r="AZ29" s="345">
        <f>INPUT!AZ685</f>
        <v>26.800000000000011</v>
      </c>
      <c r="BA29" s="345" t="str">
        <f>INPUT!BA685</f>
        <v>NM</v>
      </c>
      <c r="BB29" s="345">
        <f>INPUT!BB685</f>
        <v>198.20000000000002</v>
      </c>
      <c r="BC29" s="345" t="str">
        <f>INPUT!BC685</f>
        <v>NM</v>
      </c>
      <c r="BD29" s="345">
        <f>INPUT!BD685</f>
        <v>0</v>
      </c>
      <c r="BE29" s="345" t="str">
        <f>INPUT!BE685</f>
        <v>NM</v>
      </c>
      <c r="BF29" s="347"/>
      <c r="BG29" s="345">
        <f>INPUT!BU685</f>
        <v>-564.50000000000023</v>
      </c>
      <c r="BH29" s="345" t="str">
        <f>INPUT!BV685</f>
        <v>NA</v>
      </c>
      <c r="BI29" s="345">
        <f>INPUT!BW685</f>
        <v>-692.29999999999973</v>
      </c>
      <c r="BJ29" s="345">
        <f>INPUT!BX685</f>
        <v>22.639503985828057</v>
      </c>
      <c r="BK29" s="345">
        <f>INPUT!BY685</f>
        <v>-1209.3000000000002</v>
      </c>
      <c r="BL29" s="345">
        <f>INPUT!BZ685</f>
        <v>74.67860754008386</v>
      </c>
      <c r="BM29" s="345">
        <f>INPUT!CA685</f>
        <v>-243.20000000000027</v>
      </c>
      <c r="BN29" s="345" t="str">
        <f>INPUT!CB685</f>
        <v>NM</v>
      </c>
      <c r="BO29" s="345">
        <f>INPUT!CC685</f>
        <v>-173.30000000000018</v>
      </c>
      <c r="BP29" s="345">
        <f>INPUT!CD685</f>
        <v>-28.74177631578948</v>
      </c>
      <c r="BQ29" s="345">
        <f>INPUT!CE685</f>
        <v>-735.5999999999998</v>
      </c>
      <c r="BR29" s="345" t="str">
        <f>INPUT!CF685</f>
        <v>NM</v>
      </c>
      <c r="BS29" s="345">
        <f>INPUT!CG685</f>
        <v>-107.09999999999985</v>
      </c>
      <c r="BT29" s="345" t="str">
        <f>INPUT!CH685</f>
        <v>NM</v>
      </c>
      <c r="BU29" s="345">
        <f>INPUT!CI685</f>
        <v>99.4</v>
      </c>
      <c r="BV29" s="345" t="str">
        <f>INPUT!CJ685</f>
        <v>NM</v>
      </c>
      <c r="BW29" s="345">
        <f>INPUT!CK685</f>
        <v>0</v>
      </c>
      <c r="BX29" s="345" t="str">
        <f>INPUT!CL685</f>
        <v>NM</v>
      </c>
      <c r="BY29" s="345">
        <f>INPUT!CM685</f>
        <v>0</v>
      </c>
      <c r="BZ29" s="345" t="str">
        <f>INPUT!CN685</f>
        <v>NA</v>
      </c>
      <c r="CA29" s="345">
        <f>INPUT!CO685</f>
        <v>0</v>
      </c>
      <c r="CB29" s="345" t="str">
        <f>INPUT!CP685</f>
        <v>NA</v>
      </c>
      <c r="CC29" s="345">
        <f>INPUT!CQ685</f>
        <v>0</v>
      </c>
      <c r="CD29" s="345" t="str">
        <f>INPUT!CR685</f>
        <v>NA</v>
      </c>
      <c r="CE29" s="345" t="str">
        <f>INPUT!CS685</f>
        <v>NM</v>
      </c>
    </row>
    <row r="30" spans="1:139" s="331" customFormat="1" x14ac:dyDescent="0.2">
      <c r="A30" s="331" t="s">
        <v>27</v>
      </c>
      <c r="B30" s="345">
        <f>INPUT!B686</f>
        <v>39</v>
      </c>
      <c r="C30" s="346"/>
      <c r="D30" s="345">
        <f>INPUT!D686</f>
        <v>52.8</v>
      </c>
      <c r="E30" s="346"/>
      <c r="F30" s="345">
        <f>INPUT!F686</f>
        <v>-51.5</v>
      </c>
      <c r="G30" s="346"/>
      <c r="H30" s="345">
        <f>INPUT!H686</f>
        <v>31.5</v>
      </c>
      <c r="I30" s="346"/>
      <c r="J30" s="345">
        <f>INPUT!J686</f>
        <v>60.3</v>
      </c>
      <c r="K30" s="345">
        <f>INPUT!K686</f>
        <v>54.615384615384599</v>
      </c>
      <c r="L30" s="345">
        <f>INPUT!L686</f>
        <v>132.6</v>
      </c>
      <c r="M30" s="345" t="str">
        <f>INPUT!M686</f>
        <v>NM</v>
      </c>
      <c r="N30" s="345">
        <f>INPUT!N686</f>
        <v>207.9</v>
      </c>
      <c r="O30" s="345" t="str">
        <f>INPUT!O686</f>
        <v>NM</v>
      </c>
      <c r="P30" s="345">
        <f>INPUT!P686</f>
        <v>54.7</v>
      </c>
      <c r="Q30" s="345">
        <f>INPUT!Q686</f>
        <v>73.650793650793659</v>
      </c>
      <c r="R30" s="345">
        <f>INPUT!R686</f>
        <v>41.8</v>
      </c>
      <c r="S30" s="345">
        <f>INPUT!S686</f>
        <v>-30.679933665008296</v>
      </c>
      <c r="T30" s="345">
        <f>INPUT!T686</f>
        <v>0.8</v>
      </c>
      <c r="U30" s="345" t="str">
        <f>INPUT!U686</f>
        <v>NM</v>
      </c>
      <c r="V30" s="345">
        <f>INPUT!V686</f>
        <v>64.099999999999994</v>
      </c>
      <c r="W30" s="345" t="str">
        <f>INPUT!W686</f>
        <v>NM</v>
      </c>
      <c r="X30" s="345">
        <f>INPUT!X686</f>
        <v>105.4</v>
      </c>
      <c r="Y30" s="345">
        <f>INPUT!Y686</f>
        <v>92.687385740402178</v>
      </c>
      <c r="Z30" s="345">
        <f>INPUT!Z686</f>
        <v>57.6</v>
      </c>
      <c r="AA30" s="345">
        <f>INPUT!AA686</f>
        <v>37.799043062200965</v>
      </c>
      <c r="AB30" s="345">
        <f>INPUT!AB686</f>
        <v>73</v>
      </c>
      <c r="AC30" s="345" t="str">
        <f>INPUT!AC686</f>
        <v>NM</v>
      </c>
      <c r="AD30" s="345">
        <f>INPUT!AD686</f>
        <v>43.4</v>
      </c>
      <c r="AE30" s="345">
        <f>INPUT!AE686</f>
        <v>-32.293291731669257</v>
      </c>
      <c r="AF30" s="345">
        <f>INPUT!AF686</f>
        <v>41.1</v>
      </c>
      <c r="AG30" s="345" t="str">
        <f>INPUT!AG686</f>
        <v>NM</v>
      </c>
      <c r="AH30" s="345">
        <f>INPUT!AH686</f>
        <v>50.4</v>
      </c>
      <c r="AI30" s="345">
        <f>INPUT!AI686</f>
        <v>-12.5</v>
      </c>
      <c r="AJ30" s="345">
        <f>INPUT!AJ686</f>
        <v>-9.4</v>
      </c>
      <c r="AK30" s="345" t="str">
        <f>INPUT!AK686</f>
        <v>NM</v>
      </c>
      <c r="AL30" s="345">
        <f>INPUT!AL686</f>
        <v>-64.599999999999994</v>
      </c>
      <c r="AM30" s="345" t="str">
        <f>INPUT!AM686</f>
        <v>NM</v>
      </c>
      <c r="AN30" s="345">
        <f>INPUT!AN686</f>
        <v>-59.7</v>
      </c>
      <c r="AO30" s="345" t="str">
        <f>INPUT!AO686</f>
        <v>NM</v>
      </c>
      <c r="AP30" s="345">
        <f>INPUT!AP686</f>
        <v>-60.4</v>
      </c>
      <c r="AQ30" s="345" t="str">
        <f>INPUT!AQ686</f>
        <v>NM</v>
      </c>
      <c r="AR30" s="345">
        <f>INPUT!AR686</f>
        <v>-24.7</v>
      </c>
      <c r="AS30" s="345" t="str">
        <f>INPUT!AS686</f>
        <v>NM</v>
      </c>
      <c r="AT30" s="345">
        <f>INPUT!AT686</f>
        <v>-65.599999999999994</v>
      </c>
      <c r="AU30" s="345">
        <f>INPUT!AU686</f>
        <v>1.5479876160990669</v>
      </c>
      <c r="AV30" s="345">
        <f>INPUT!AV686</f>
        <v>18</v>
      </c>
      <c r="AW30" s="345" t="str">
        <f>INPUT!AW686</f>
        <v>NM</v>
      </c>
      <c r="AX30" s="345">
        <f>INPUT!AX686</f>
        <v>-20</v>
      </c>
      <c r="AY30" s="345" t="str">
        <f>INPUT!AY686</f>
        <v>NM</v>
      </c>
      <c r="AZ30" s="345">
        <f>INPUT!AZ686</f>
        <v>2</v>
      </c>
      <c r="BA30" s="345" t="str">
        <f>INPUT!BA686</f>
        <v>NM</v>
      </c>
      <c r="BB30" s="345">
        <f>INPUT!BB686</f>
        <v>-12</v>
      </c>
      <c r="BC30" s="345" t="str">
        <f>INPUT!BC686</f>
        <v>NM</v>
      </c>
      <c r="BD30" s="345">
        <f>INPUT!BD686</f>
        <v>-54</v>
      </c>
      <c r="BE30" s="345" t="str">
        <f>INPUT!BE686</f>
        <v>NM</v>
      </c>
      <c r="BF30" s="347"/>
      <c r="BG30" s="345">
        <f>INPUT!BU686</f>
        <v>71.8</v>
      </c>
      <c r="BH30" s="345" t="str">
        <f>INPUT!BV686</f>
        <v>NA</v>
      </c>
      <c r="BI30" s="345">
        <f>INPUT!BW686</f>
        <v>455.49999999999994</v>
      </c>
      <c r="BJ30" s="345" t="str">
        <f>INPUT!BX686</f>
        <v>NM</v>
      </c>
      <c r="BK30" s="345">
        <f>INPUT!BY686</f>
        <v>212.1</v>
      </c>
      <c r="BL30" s="345" t="str">
        <f>INPUT!BZ686</f>
        <v>NM</v>
      </c>
      <c r="BM30" s="345">
        <f>INPUT!CA686</f>
        <v>215.1</v>
      </c>
      <c r="BN30" s="345">
        <f>INPUT!CB686</f>
        <v>1.4144271570014189</v>
      </c>
      <c r="BO30" s="345">
        <f>INPUT!CC686</f>
        <v>-83.3</v>
      </c>
      <c r="BP30" s="345" t="str">
        <f>INPUT!CD686</f>
        <v>NM</v>
      </c>
      <c r="BQ30" s="345">
        <f>INPUT!CE686</f>
        <v>-132.69999999999999</v>
      </c>
      <c r="BR30" s="345">
        <f>INPUT!CF686</f>
        <v>59.303721488595443</v>
      </c>
      <c r="BS30" s="345">
        <f>INPUT!CG686</f>
        <v>-84</v>
      </c>
      <c r="BT30" s="345">
        <f>INPUT!CH686</f>
        <v>-36.699321778447626</v>
      </c>
      <c r="BU30" s="345">
        <f>INPUT!CI686</f>
        <v>-16.068324397888347</v>
      </c>
      <c r="BV30" s="345" t="str">
        <f>INPUT!CJ686</f>
        <v>NM</v>
      </c>
      <c r="BW30" s="345">
        <f>INPUT!CK686</f>
        <v>-18.159560035267294</v>
      </c>
      <c r="BX30" s="345">
        <f>INPUT!CL686</f>
        <v>13.014646615261082</v>
      </c>
      <c r="BY30" s="345">
        <f>INPUT!CM686</f>
        <v>-19.015864674630532</v>
      </c>
      <c r="BZ30" s="345">
        <f>INPUT!CN686</f>
        <v>4.7154481589874786</v>
      </c>
      <c r="CA30" s="345">
        <f>INPUT!CO686</f>
        <v>-19.852219630473506</v>
      </c>
      <c r="CB30" s="345">
        <f>INPUT!CP686</f>
        <v>4.3981957704966934</v>
      </c>
      <c r="CC30" s="345">
        <f>INPUT!CQ686</f>
        <v>-20.680355382525757</v>
      </c>
      <c r="CD30" s="345">
        <f>INPUT!CR686</f>
        <v>4.1715020661017066</v>
      </c>
      <c r="CE30" s="345">
        <f>INPUT!CS686</f>
        <v>-24.446299140391837</v>
      </c>
    </row>
    <row r="31" spans="1:139" s="331" customFormat="1" x14ac:dyDescent="0.2">
      <c r="A31" s="331" t="s">
        <v>331</v>
      </c>
      <c r="B31" s="345">
        <f>INPUT!B687</f>
        <v>4.5999999999999996</v>
      </c>
      <c r="C31" s="346"/>
      <c r="D31" s="345">
        <f>INPUT!D687</f>
        <v>-15.1</v>
      </c>
      <c r="E31" s="346"/>
      <c r="F31" s="345">
        <f>INPUT!F687</f>
        <v>-167.7</v>
      </c>
      <c r="G31" s="346"/>
      <c r="H31" s="345">
        <f>INPUT!H687</f>
        <v>-90.9</v>
      </c>
      <c r="I31" s="346"/>
      <c r="J31" s="345">
        <f>INPUT!J687</f>
        <v>137.4</v>
      </c>
      <c r="K31" s="345" t="str">
        <f>INPUT!K687</f>
        <v>NM</v>
      </c>
      <c r="L31" s="345">
        <f>INPUT!L687</f>
        <v>-44.1</v>
      </c>
      <c r="M31" s="345" t="str">
        <f>INPUT!M687</f>
        <v>NM</v>
      </c>
      <c r="N31" s="345">
        <f>INPUT!N687</f>
        <v>20.6</v>
      </c>
      <c r="O31" s="345" t="str">
        <f>INPUT!O687</f>
        <v>NM</v>
      </c>
      <c r="P31" s="345">
        <f>INPUT!P687</f>
        <v>-16.7</v>
      </c>
      <c r="Q31" s="345" t="str">
        <f>INPUT!Q687</f>
        <v>NM</v>
      </c>
      <c r="R31" s="345">
        <f>INPUT!R687</f>
        <v>3.1</v>
      </c>
      <c r="S31" s="345" t="str">
        <f>INPUT!S687</f>
        <v>NM</v>
      </c>
      <c r="T31" s="345">
        <f>INPUT!T687</f>
        <v>32.4</v>
      </c>
      <c r="U31" s="345" t="str">
        <f>INPUT!U687</f>
        <v>NM</v>
      </c>
      <c r="V31" s="345">
        <f>INPUT!V687</f>
        <v>10.5</v>
      </c>
      <c r="W31" s="345">
        <f>INPUT!W687</f>
        <v>-49.029126213592235</v>
      </c>
      <c r="X31" s="345">
        <f>INPUT!X687</f>
        <v>-26.6</v>
      </c>
      <c r="Y31" s="345">
        <f>INPUT!Y687</f>
        <v>59.281437125748518</v>
      </c>
      <c r="Z31" s="345">
        <f>INPUT!Z687</f>
        <v>6.4</v>
      </c>
      <c r="AA31" s="345" t="str">
        <f>INPUT!AA687</f>
        <v>NM</v>
      </c>
      <c r="AB31" s="345">
        <f>INPUT!AB687</f>
        <v>-20.3</v>
      </c>
      <c r="AC31" s="345" t="str">
        <f>INPUT!AC687</f>
        <v>NM</v>
      </c>
      <c r="AD31" s="345">
        <f>INPUT!AD687</f>
        <v>33.4</v>
      </c>
      <c r="AE31" s="345" t="str">
        <f>INPUT!AE687</f>
        <v>NM</v>
      </c>
      <c r="AF31" s="345">
        <f>INPUT!AF687</f>
        <v>-32.299999999999997</v>
      </c>
      <c r="AG31" s="345">
        <f>INPUT!AG687</f>
        <v>21.42857142857142</v>
      </c>
      <c r="AH31" s="345">
        <f>INPUT!AH687</f>
        <v>-47.2</v>
      </c>
      <c r="AI31" s="345" t="str">
        <f>INPUT!AI687</f>
        <v>NM</v>
      </c>
      <c r="AJ31" s="345">
        <f>INPUT!AJ687</f>
        <v>24.6</v>
      </c>
      <c r="AK31" s="345" t="str">
        <f>INPUT!AK687</f>
        <v>NM</v>
      </c>
      <c r="AL31" s="345">
        <f>INPUT!AL687</f>
        <v>-31.7</v>
      </c>
      <c r="AM31" s="345" t="str">
        <f>INPUT!AM687</f>
        <v>NM</v>
      </c>
      <c r="AN31" s="345">
        <f>INPUT!AN687</f>
        <v>-39.6</v>
      </c>
      <c r="AO31" s="345">
        <f>INPUT!AO687</f>
        <v>22.600619195046455</v>
      </c>
      <c r="AP31" s="345">
        <f>INPUT!AP687</f>
        <v>93.5</v>
      </c>
      <c r="AQ31" s="345" t="str">
        <f>INPUT!AQ687</f>
        <v>NM</v>
      </c>
      <c r="AR31" s="345">
        <f>INPUT!AR687</f>
        <v>21.2</v>
      </c>
      <c r="AS31" s="345">
        <f>INPUT!AS687</f>
        <v>-13.821138211382122</v>
      </c>
      <c r="AT31" s="345">
        <f>INPUT!AT687</f>
        <v>-53.5</v>
      </c>
      <c r="AU31" s="345">
        <f>INPUT!AU687</f>
        <v>68.769716088328067</v>
      </c>
      <c r="AV31" s="345">
        <f>INPUT!AV687</f>
        <v>-4</v>
      </c>
      <c r="AW31" s="345" t="str">
        <f>INPUT!AW687</f>
        <v>NM</v>
      </c>
      <c r="AX31" s="345">
        <f>INPUT!AX687</f>
        <v>8</v>
      </c>
      <c r="AY31" s="345" t="str">
        <f>INPUT!AY687</f>
        <v>NM</v>
      </c>
      <c r="AZ31" s="345">
        <f>INPUT!AZ687</f>
        <v>-1</v>
      </c>
      <c r="BA31" s="345" t="str">
        <f>INPUT!BA687</f>
        <v>NM</v>
      </c>
      <c r="BB31" s="345">
        <f>INPUT!BB687</f>
        <v>5</v>
      </c>
      <c r="BC31" s="345" t="str">
        <f>INPUT!BC687</f>
        <v>NM</v>
      </c>
      <c r="BD31" s="345">
        <f>INPUT!BD687</f>
        <v>34</v>
      </c>
      <c r="BE31" s="345" t="str">
        <f>INPUT!BE687</f>
        <v>NM</v>
      </c>
      <c r="BF31" s="347"/>
      <c r="BG31" s="345">
        <f>INPUT!BU687</f>
        <v>-269.10000000000002</v>
      </c>
      <c r="BH31" s="345" t="str">
        <f>INPUT!BV687</f>
        <v>NA</v>
      </c>
      <c r="BI31" s="345">
        <f>INPUT!BW687</f>
        <v>97.2</v>
      </c>
      <c r="BJ31" s="345" t="str">
        <f>INPUT!BX687</f>
        <v>NM</v>
      </c>
      <c r="BK31" s="345">
        <f>INPUT!BY687</f>
        <v>19.399999999999999</v>
      </c>
      <c r="BL31" s="345" t="str">
        <f>INPUT!BZ687</f>
        <v>NM</v>
      </c>
      <c r="BM31" s="345">
        <f>INPUT!CA687</f>
        <v>-12.799999999999997</v>
      </c>
      <c r="BN31" s="345" t="str">
        <f>INPUT!CB687</f>
        <v>NM</v>
      </c>
      <c r="BO31" s="345">
        <f>INPUT!CC687</f>
        <v>-93.9</v>
      </c>
      <c r="BP31" s="345" t="str">
        <f>INPUT!CD687</f>
        <v>NM</v>
      </c>
      <c r="BQ31" s="345">
        <f>INPUT!CE687</f>
        <v>57.2</v>
      </c>
      <c r="BR31" s="345" t="str">
        <f>INPUT!CF687</f>
        <v>NM</v>
      </c>
      <c r="BS31" s="345">
        <f>INPUT!CG687</f>
        <v>46</v>
      </c>
      <c r="BT31" s="345">
        <f>INPUT!CH687</f>
        <v>-19.580419580419584</v>
      </c>
      <c r="BU31" s="345">
        <f>INPUT!CI687</f>
        <v>26</v>
      </c>
      <c r="BV31" s="345">
        <f>INPUT!CJ687</f>
        <v>-43.478260869565219</v>
      </c>
      <c r="BW31" s="345">
        <f>INPUT!CK687</f>
        <v>26</v>
      </c>
      <c r="BX31" s="345">
        <f>INPUT!CL687</f>
        <v>0</v>
      </c>
      <c r="BY31" s="345">
        <f>INPUT!CM687</f>
        <v>26</v>
      </c>
      <c r="BZ31" s="345">
        <f>INPUT!CN687</f>
        <v>0</v>
      </c>
      <c r="CA31" s="345">
        <f>INPUT!CO687</f>
        <v>26</v>
      </c>
      <c r="CB31" s="345">
        <f>INPUT!CP687</f>
        <v>0</v>
      </c>
      <c r="CC31" s="345">
        <f>INPUT!CQ687</f>
        <v>26</v>
      </c>
      <c r="CD31" s="345">
        <f>INPUT!CR687</f>
        <v>0</v>
      </c>
      <c r="CE31" s="345">
        <f>INPUT!CS687</f>
        <v>-10.783926968058989</v>
      </c>
    </row>
    <row r="32" spans="1:139" s="331" customFormat="1" x14ac:dyDescent="0.2">
      <c r="A32" s="331" t="s">
        <v>14</v>
      </c>
      <c r="B32" s="345">
        <f>INPUT!B688</f>
        <v>-66.7</v>
      </c>
      <c r="C32" s="346"/>
      <c r="D32" s="345">
        <f>INPUT!D688</f>
        <v>158.4</v>
      </c>
      <c r="E32" s="346"/>
      <c r="F32" s="345">
        <f>INPUT!F688</f>
        <v>-45.6</v>
      </c>
      <c r="G32" s="346"/>
      <c r="H32" s="345">
        <f>INPUT!H688</f>
        <v>-105.7</v>
      </c>
      <c r="I32" s="346"/>
      <c r="J32" s="345">
        <f>INPUT!J688</f>
        <v>-42.7</v>
      </c>
      <c r="K32" s="345">
        <f>INPUT!K688</f>
        <v>-35.982008995502248</v>
      </c>
      <c r="L32" s="345">
        <f>INPUT!L688</f>
        <v>183.9</v>
      </c>
      <c r="M32" s="345">
        <f>INPUT!M688</f>
        <v>16.098484848484841</v>
      </c>
      <c r="N32" s="345">
        <f>INPUT!N688</f>
        <v>-126</v>
      </c>
      <c r="O32" s="345" t="str">
        <f>INPUT!O688</f>
        <v>NM</v>
      </c>
      <c r="P32" s="345">
        <f>INPUT!P688</f>
        <v>-187.9</v>
      </c>
      <c r="Q32" s="345">
        <f>INPUT!Q688</f>
        <v>77.767265846736052</v>
      </c>
      <c r="R32" s="345">
        <f>INPUT!R688</f>
        <v>-38.799999999999997</v>
      </c>
      <c r="S32" s="345">
        <f>INPUT!S688</f>
        <v>-9.1334894613583231</v>
      </c>
      <c r="T32" s="345">
        <f>INPUT!T688</f>
        <v>-42</v>
      </c>
      <c r="U32" s="345" t="str">
        <f>INPUT!U688</f>
        <v>NM</v>
      </c>
      <c r="V32" s="345">
        <f>INPUT!V688</f>
        <v>77.8</v>
      </c>
      <c r="W32" s="345" t="str">
        <f>INPUT!W688</f>
        <v>NM</v>
      </c>
      <c r="X32" s="345">
        <f>INPUT!X688</f>
        <v>470.29999999999995</v>
      </c>
      <c r="Y32" s="345" t="str">
        <f>INPUT!Y688</f>
        <v>NM</v>
      </c>
      <c r="Z32" s="345">
        <f>INPUT!Z688</f>
        <v>-13</v>
      </c>
      <c r="AA32" s="345" t="str">
        <f>INPUT!AA688</f>
        <v>NM</v>
      </c>
      <c r="AB32" s="345">
        <f>INPUT!AB688</f>
        <v>122.1</v>
      </c>
      <c r="AC32" s="345" t="str">
        <f>INPUT!AC688</f>
        <v>NM</v>
      </c>
      <c r="AD32" s="345">
        <f>INPUT!AD688</f>
        <v>52.699999999999989</v>
      </c>
      <c r="AE32" s="345">
        <f>INPUT!AE688</f>
        <v>-32.262210796915184</v>
      </c>
      <c r="AF32" s="345">
        <f>INPUT!AF688</f>
        <v>-554.30000000000007</v>
      </c>
      <c r="AG32" s="345" t="str">
        <f>INPUT!AG688</f>
        <v>NM</v>
      </c>
      <c r="AH32" s="345">
        <f>INPUT!AH688</f>
        <v>-2.0999999999999996</v>
      </c>
      <c r="AI32" s="345" t="str">
        <f>INPUT!AI688</f>
        <v>NM</v>
      </c>
      <c r="AJ32" s="345">
        <f>INPUT!AJ688</f>
        <v>28.000000000000007</v>
      </c>
      <c r="AK32" s="345" t="str">
        <f>INPUT!AK688</f>
        <v>NM</v>
      </c>
      <c r="AL32" s="345">
        <f>INPUT!AL688</f>
        <v>46.7</v>
      </c>
      <c r="AM32" s="345">
        <f>INPUT!AM688</f>
        <v>-11.385199240986687</v>
      </c>
      <c r="AN32" s="345">
        <f>INPUT!AN688</f>
        <v>-115.10000000000001</v>
      </c>
      <c r="AO32" s="345" t="str">
        <f>INPUT!AO688</f>
        <v>NM</v>
      </c>
      <c r="AP32" s="345">
        <f>INPUT!AP688</f>
        <v>-7.6</v>
      </c>
      <c r="AQ32" s="345" t="str">
        <f>INPUT!AQ688</f>
        <v>NM</v>
      </c>
      <c r="AR32" s="345">
        <f>INPUT!AR688</f>
        <v>-135</v>
      </c>
      <c r="AS32" s="345" t="str">
        <f>INPUT!AS688</f>
        <v>NM</v>
      </c>
      <c r="AT32" s="345">
        <f>INPUT!AT688</f>
        <v>-17.199999999999996</v>
      </c>
      <c r="AU32" s="345" t="str">
        <f>INPUT!AU688</f>
        <v>NM</v>
      </c>
      <c r="AV32" s="345">
        <f>INPUT!AV688</f>
        <v>-54</v>
      </c>
      <c r="AW32" s="345" t="str">
        <f>INPUT!AW688</f>
        <v>NM</v>
      </c>
      <c r="AX32" s="345">
        <f>INPUT!AX688</f>
        <v>-19</v>
      </c>
      <c r="AY32" s="345" t="str">
        <f>INPUT!AY688</f>
        <v>NM</v>
      </c>
      <c r="AZ32" s="345">
        <f>INPUT!AZ688</f>
        <v>47</v>
      </c>
      <c r="BA32" s="345" t="str">
        <f>INPUT!BA688</f>
        <v>NM</v>
      </c>
      <c r="BB32" s="345">
        <f>INPUT!BB688</f>
        <v>4</v>
      </c>
      <c r="BC32" s="345" t="str">
        <f>INPUT!BC688</f>
        <v>NM</v>
      </c>
      <c r="BD32" s="345">
        <f>INPUT!BD688</f>
        <v>6</v>
      </c>
      <c r="BE32" s="345" t="str">
        <f>INPUT!BE688</f>
        <v>NM</v>
      </c>
      <c r="BF32" s="347"/>
      <c r="BG32" s="345">
        <f>INPUT!BU688</f>
        <v>-59.6</v>
      </c>
      <c r="BH32" s="345" t="str">
        <f>INPUT!BV688</f>
        <v>NA</v>
      </c>
      <c r="BI32" s="345">
        <f>INPUT!BW688</f>
        <v>-172.70000000000002</v>
      </c>
      <c r="BJ32" s="345" t="str">
        <f>INPUT!BX688</f>
        <v>NM</v>
      </c>
      <c r="BK32" s="345">
        <f>INPUT!BY688</f>
        <v>467.29999999999995</v>
      </c>
      <c r="BL32" s="345" t="str">
        <f>INPUT!BZ688</f>
        <v>NM</v>
      </c>
      <c r="BM32" s="345">
        <f>INPUT!CA688</f>
        <v>-392.50000000000011</v>
      </c>
      <c r="BN32" s="345" t="str">
        <f>INPUT!CB688</f>
        <v>NM</v>
      </c>
      <c r="BO32" s="345">
        <f>INPUT!CC688</f>
        <v>-42.5</v>
      </c>
      <c r="BP32" s="345" t="str">
        <f>INPUT!CD688</f>
        <v>NM</v>
      </c>
      <c r="BQ32" s="345">
        <f>INPUT!CE688</f>
        <v>-213.79999999999998</v>
      </c>
      <c r="BR32" s="345" t="str">
        <f>INPUT!CF688</f>
        <v>NM</v>
      </c>
      <c r="BS32" s="345">
        <f>INPUT!CG688</f>
        <v>38</v>
      </c>
      <c r="BT32" s="345" t="str">
        <f>INPUT!CH688</f>
        <v>NM</v>
      </c>
      <c r="BU32" s="345">
        <f>INPUT!CI688</f>
        <v>17</v>
      </c>
      <c r="BV32" s="345" t="str">
        <f>INPUT!CJ688</f>
        <v>NM</v>
      </c>
      <c r="BW32" s="345">
        <f>INPUT!CK688</f>
        <v>17</v>
      </c>
      <c r="BX32" s="345">
        <f>INPUT!CL688</f>
        <v>0</v>
      </c>
      <c r="BY32" s="345">
        <f>INPUT!CM688</f>
        <v>17</v>
      </c>
      <c r="BZ32" s="345">
        <f>INPUT!CN688</f>
        <v>0</v>
      </c>
      <c r="CA32" s="345">
        <f>INPUT!CO688</f>
        <v>17</v>
      </c>
      <c r="CB32" s="345">
        <f>INPUT!CP688</f>
        <v>0</v>
      </c>
      <c r="CC32" s="345">
        <f>INPUT!CQ688</f>
        <v>17</v>
      </c>
      <c r="CD32" s="345">
        <f>INPUT!CR688</f>
        <v>0</v>
      </c>
      <c r="CE32" s="345">
        <f>INPUT!CS688</f>
        <v>-14.860113878585924</v>
      </c>
    </row>
    <row r="33" spans="1:139" s="331" customFormat="1" x14ac:dyDescent="0.2">
      <c r="A33" s="331" t="s">
        <v>333</v>
      </c>
      <c r="B33" s="345">
        <f>INPUT!B689</f>
        <v>168.39304476000001</v>
      </c>
      <c r="C33" s="346"/>
      <c r="D33" s="345">
        <f>INPUT!D689</f>
        <v>-38.30586680000016</v>
      </c>
      <c r="E33" s="346"/>
      <c r="F33" s="345">
        <f>INPUT!F689</f>
        <v>284.95580898999992</v>
      </c>
      <c r="G33" s="346"/>
      <c r="H33" s="345">
        <f>INPUT!H689</f>
        <v>-218.68743746000007</v>
      </c>
      <c r="I33" s="346"/>
      <c r="J33" s="345">
        <f>INPUT!J689</f>
        <v>76.047999999999988</v>
      </c>
      <c r="K33" s="345" t="str">
        <f>INPUT!K689</f>
        <v>NM</v>
      </c>
      <c r="L33" s="345">
        <f>INPUT!L689</f>
        <v>68.600999999999999</v>
      </c>
      <c r="M33" s="345" t="str">
        <f>INPUT!M689</f>
        <v>NM</v>
      </c>
      <c r="N33" s="345">
        <f>INPUT!N689</f>
        <v>107.54300000000001</v>
      </c>
      <c r="O33" s="345" t="str">
        <f>INPUT!O689</f>
        <v>NM</v>
      </c>
      <c r="P33" s="345">
        <f>INPUT!P689</f>
        <v>74.265000000000001</v>
      </c>
      <c r="Q33" s="345" t="str">
        <f>INPUT!Q689</f>
        <v>NM</v>
      </c>
      <c r="R33" s="345">
        <f>INPUT!R689</f>
        <v>78.7</v>
      </c>
      <c r="S33" s="345">
        <f>INPUT!S689</f>
        <v>3.4872711971386749</v>
      </c>
      <c r="T33" s="345">
        <f>INPUT!T689</f>
        <v>85.10000000000008</v>
      </c>
      <c r="U33" s="345">
        <f>INPUT!U689</f>
        <v>24.050669815308922</v>
      </c>
      <c r="V33" s="345">
        <f>INPUT!V689</f>
        <v>180.02000000000007</v>
      </c>
      <c r="W33" s="345">
        <f>INPUT!W689</f>
        <v>67.393507713193827</v>
      </c>
      <c r="X33" s="345">
        <f>INPUT!X689</f>
        <v>132.81500000000003</v>
      </c>
      <c r="Y33" s="345">
        <f>INPUT!Y689</f>
        <v>78.839291725577354</v>
      </c>
      <c r="Z33" s="345">
        <f>INPUT!Z689</f>
        <v>50.185000000000045</v>
      </c>
      <c r="AA33" s="345">
        <f>INPUT!AA689</f>
        <v>-36.232528589580625</v>
      </c>
      <c r="AB33" s="345">
        <f>INPUT!AB689</f>
        <v>108.7700000000001</v>
      </c>
      <c r="AC33" s="345">
        <f>INPUT!AC689</f>
        <v>27.814336075205624</v>
      </c>
      <c r="AD33" s="345">
        <f>INPUT!AD689</f>
        <v>65.639999999999958</v>
      </c>
      <c r="AE33" s="345" t="str">
        <f>INPUT!AE689</f>
        <v>NM</v>
      </c>
      <c r="AF33" s="345">
        <f>INPUT!AF689</f>
        <v>1937.65</v>
      </c>
      <c r="AG33" s="345" t="str">
        <f>INPUT!AG689</f>
        <v>NM</v>
      </c>
      <c r="AH33" s="345">
        <f>INPUT!AH689</f>
        <v>47.104000000000006</v>
      </c>
      <c r="AI33" s="345">
        <f>INPUT!AI689</f>
        <v>-6.1392846468068862</v>
      </c>
      <c r="AJ33" s="345">
        <f>INPUT!AJ689</f>
        <v>-35.100000000000065</v>
      </c>
      <c r="AK33" s="345" t="str">
        <f>INPUT!AK689</f>
        <v>NM</v>
      </c>
      <c r="AL33" s="345">
        <f>INPUT!AL689</f>
        <v>79.772000000000105</v>
      </c>
      <c r="AM33" s="345">
        <f>INPUT!AM689</f>
        <v>21.529555149299441</v>
      </c>
      <c r="AN33" s="345">
        <f>INPUT!AN689</f>
        <v>175.15600000000006</v>
      </c>
      <c r="AO33" s="345" t="str">
        <f>INPUT!AO689</f>
        <v>NM</v>
      </c>
      <c r="AP33" s="345">
        <f>INPUT!AP689</f>
        <v>-21.095999999999986</v>
      </c>
      <c r="AQ33" s="345" t="str">
        <f>INPUT!AQ689</f>
        <v>NM</v>
      </c>
      <c r="AR33" s="345">
        <f>INPUT!AR689</f>
        <v>24.659999999999926</v>
      </c>
      <c r="AS33" s="345" t="str">
        <f>INPUT!AS689</f>
        <v>NM</v>
      </c>
      <c r="AT33" s="345">
        <f>INPUT!AT689</f>
        <v>107.59199999999998</v>
      </c>
      <c r="AU33" s="345">
        <f>INPUT!AU689</f>
        <v>34.874392017248958</v>
      </c>
      <c r="AV33" s="345">
        <f>INPUT!AV689</f>
        <v>47.872000000000043</v>
      </c>
      <c r="AW33" s="345" t="str">
        <f>INPUT!AW689</f>
        <v>NM</v>
      </c>
      <c r="AX33" s="345">
        <f>INPUT!AX689</f>
        <v>46.528000000000027</v>
      </c>
      <c r="AY33" s="345" t="str">
        <f>INPUT!AY689</f>
        <v>NM</v>
      </c>
      <c r="AZ33" s="345">
        <f>INPUT!AZ689</f>
        <v>34.239999999999924</v>
      </c>
      <c r="BA33" s="345">
        <f>INPUT!BA689</f>
        <v>38.848337388483479</v>
      </c>
      <c r="BB33" s="345">
        <f>INPUT!BB689</f>
        <v>13.504000000000014</v>
      </c>
      <c r="BC33" s="345" t="str">
        <f>INPUT!BC689</f>
        <v>NM</v>
      </c>
      <c r="BD33" s="345">
        <f>INPUT!BD689</f>
        <v>74.72</v>
      </c>
      <c r="BE33" s="345">
        <f>INPUT!BE689</f>
        <v>56.08288770053462</v>
      </c>
      <c r="BF33" s="347"/>
      <c r="BG33" s="345">
        <f>INPUT!BU689</f>
        <v>196.3555494899997</v>
      </c>
      <c r="BH33" s="345" t="str">
        <f>INPUT!BV689</f>
        <v>NA</v>
      </c>
      <c r="BI33" s="345">
        <f>INPUT!BW689</f>
        <v>326.45699999999999</v>
      </c>
      <c r="BJ33" s="345">
        <f>INPUT!BX689</f>
        <v>66.258097032610877</v>
      </c>
      <c r="BK33" s="345">
        <f>INPUT!BY689</f>
        <v>476.63500000000022</v>
      </c>
      <c r="BL33" s="345">
        <f>INPUT!BZ689</f>
        <v>46.002383162254205</v>
      </c>
      <c r="BM33" s="345">
        <f>INPUT!CA689</f>
        <v>2162.2450000000003</v>
      </c>
      <c r="BN33" s="345" t="str">
        <f>INPUT!CB689</f>
        <v>NM</v>
      </c>
      <c r="BO33" s="345">
        <f>INPUT!CC689</f>
        <v>266.93200000000013</v>
      </c>
      <c r="BP33" s="345" t="str">
        <f>INPUT!CD689</f>
        <v>NM</v>
      </c>
      <c r="BQ33" s="345">
        <f>INPUT!CE689</f>
        <v>159.02799999999996</v>
      </c>
      <c r="BR33" s="345">
        <f>INPUT!CF689</f>
        <v>-40.423778340551195</v>
      </c>
      <c r="BS33" s="345">
        <f>INPUT!CG689</f>
        <v>168.99199999999996</v>
      </c>
      <c r="BT33" s="345">
        <f>INPUT!CH689</f>
        <v>6.2655632970294528</v>
      </c>
      <c r="BU33" s="345">
        <f>INPUT!CI689</f>
        <v>8.7396667383756004</v>
      </c>
      <c r="BV33" s="345" t="str">
        <f>INPUT!CJ689</f>
        <v>NM</v>
      </c>
      <c r="BW33" s="345">
        <f>INPUT!CK689</f>
        <v>0</v>
      </c>
      <c r="BX33" s="345" t="str">
        <f>INPUT!CL689</f>
        <v>NM</v>
      </c>
      <c r="BY33" s="345">
        <f>INPUT!CM689</f>
        <v>0</v>
      </c>
      <c r="BZ33" s="345" t="str">
        <f>INPUT!CN689</f>
        <v>NA</v>
      </c>
      <c r="CA33" s="345">
        <f>INPUT!CO689</f>
        <v>0</v>
      </c>
      <c r="CB33" s="345" t="str">
        <f>INPUT!CP689</f>
        <v>NA</v>
      </c>
      <c r="CC33" s="345">
        <f>INPUT!CQ689</f>
        <v>0</v>
      </c>
      <c r="CD33" s="345" t="str">
        <f>INPUT!CR689</f>
        <v>NA</v>
      </c>
      <c r="CE33" s="345" t="str">
        <f>INPUT!CS689</f>
        <v>NM</v>
      </c>
    </row>
    <row r="34" spans="1:139" s="331" customFormat="1" x14ac:dyDescent="0.2">
      <c r="A34" s="331" t="s">
        <v>332</v>
      </c>
      <c r="B34" s="345">
        <f>INPUT!B690</f>
        <v>51.3</v>
      </c>
      <c r="C34" s="346"/>
      <c r="D34" s="345">
        <f>INPUT!D690</f>
        <v>-183.1</v>
      </c>
      <c r="E34" s="346"/>
      <c r="F34" s="345">
        <f>INPUT!F690</f>
        <v>8.6999999999999993</v>
      </c>
      <c r="G34" s="346"/>
      <c r="H34" s="345">
        <f>INPUT!H690</f>
        <v>-67.8</v>
      </c>
      <c r="I34" s="346"/>
      <c r="J34" s="345">
        <f>INPUT!J690</f>
        <v>15.6</v>
      </c>
      <c r="K34" s="345" t="str">
        <f>INPUT!K690</f>
        <v>NM</v>
      </c>
      <c r="L34" s="345">
        <f>INPUT!L690</f>
        <v>-217.7</v>
      </c>
      <c r="M34" s="345">
        <f>INPUT!M690</f>
        <v>18.89677771709448</v>
      </c>
      <c r="N34" s="345">
        <f>INPUT!N690</f>
        <v>-20.3</v>
      </c>
      <c r="O34" s="345" t="str">
        <f>INPUT!O690</f>
        <v>NM</v>
      </c>
      <c r="P34" s="345">
        <f>INPUT!P690</f>
        <v>84.2</v>
      </c>
      <c r="Q34" s="345" t="str">
        <f>INPUT!Q690</f>
        <v>NM</v>
      </c>
      <c r="R34" s="345">
        <f>INPUT!R690</f>
        <v>13.5</v>
      </c>
      <c r="S34" s="345">
        <f>INPUT!S690</f>
        <v>-13.461538461538458</v>
      </c>
      <c r="T34" s="345">
        <f>INPUT!T690</f>
        <v>3.1</v>
      </c>
      <c r="U34" s="345" t="str">
        <f>INPUT!U690</f>
        <v>NM</v>
      </c>
      <c r="V34" s="345">
        <f>INPUT!V690</f>
        <v>-101.1</v>
      </c>
      <c r="W34" s="345" t="str">
        <f>INPUT!W690</f>
        <v>NM</v>
      </c>
      <c r="X34" s="345">
        <f>INPUT!X690</f>
        <v>-105.6</v>
      </c>
      <c r="Y34" s="345" t="str">
        <f>INPUT!Y690</f>
        <v>NM</v>
      </c>
      <c r="Z34" s="345">
        <f>INPUT!Z690</f>
        <v>-13.5</v>
      </c>
      <c r="AA34" s="345" t="str">
        <f>INPUT!AA690</f>
        <v>NM</v>
      </c>
      <c r="AB34" s="345">
        <f>INPUT!AB690</f>
        <v>-166.6</v>
      </c>
      <c r="AC34" s="345" t="str">
        <f>INPUT!AC690</f>
        <v>NM</v>
      </c>
      <c r="AD34" s="345">
        <f>INPUT!AD690</f>
        <v>-116.6</v>
      </c>
      <c r="AE34" s="345">
        <f>INPUT!AE690</f>
        <v>15.331355093966369</v>
      </c>
      <c r="AF34" s="345">
        <f>INPUT!AF690</f>
        <v>59</v>
      </c>
      <c r="AG34" s="345" t="str">
        <f>INPUT!AG690</f>
        <v>NM</v>
      </c>
      <c r="AH34" s="345">
        <f>INPUT!AH690</f>
        <v>-26.1</v>
      </c>
      <c r="AI34" s="345">
        <f>INPUT!AI690</f>
        <v>93.333333333333329</v>
      </c>
      <c r="AJ34" s="345">
        <f>INPUT!AJ690</f>
        <v>-81.900000000000006</v>
      </c>
      <c r="AK34" s="345" t="str">
        <f>INPUT!AK690</f>
        <v>NM</v>
      </c>
      <c r="AL34" s="345">
        <f>INPUT!AL690</f>
        <v>-75.900000000000006</v>
      </c>
      <c r="AM34" s="345">
        <f>INPUT!AM690</f>
        <v>-34.90566037735848</v>
      </c>
      <c r="AN34" s="345">
        <f>INPUT!AN690</f>
        <v>53.6</v>
      </c>
      <c r="AO34" s="345">
        <f>INPUT!AO690</f>
        <v>-9.1525423728813564</v>
      </c>
      <c r="AP34" s="345">
        <f>INPUT!AP690</f>
        <v>-0.7</v>
      </c>
      <c r="AQ34" s="345" t="str">
        <f>INPUT!AQ690</f>
        <v>NM</v>
      </c>
      <c r="AR34" s="345">
        <f>INPUT!AR690</f>
        <v>25.5</v>
      </c>
      <c r="AS34" s="345" t="str">
        <f>INPUT!AS690</f>
        <v>NM</v>
      </c>
      <c r="AT34" s="345">
        <f>INPUT!AT690</f>
        <v>-11.6</v>
      </c>
      <c r="AU34" s="345" t="str">
        <f>INPUT!AU690</f>
        <v>NM</v>
      </c>
      <c r="AV34" s="345">
        <f>INPUT!AV690</f>
        <v>-42.5</v>
      </c>
      <c r="AW34" s="345" t="str">
        <f>INPUT!AW690</f>
        <v>NM</v>
      </c>
      <c r="AX34" s="345">
        <f>INPUT!AX690</f>
        <v>-1.1000000000000001</v>
      </c>
      <c r="AY34" s="345">
        <f>INPUT!AY690</f>
        <v>57.14285714285716</v>
      </c>
      <c r="AZ34" s="345">
        <f>INPUT!AZ690</f>
        <v>-52</v>
      </c>
      <c r="BA34" s="345" t="str">
        <f>INPUT!BA690</f>
        <v>NM</v>
      </c>
      <c r="BB34" s="345">
        <f>INPUT!BB690</f>
        <v>-65.400000000000006</v>
      </c>
      <c r="BC34" s="345" t="str">
        <f>INPUT!BC690</f>
        <v>NM</v>
      </c>
      <c r="BD34" s="345">
        <f>INPUT!BD690</f>
        <v>-82</v>
      </c>
      <c r="BE34" s="345">
        <f>INPUT!BE690</f>
        <v>92.941176470588232</v>
      </c>
      <c r="BF34" s="347"/>
      <c r="BG34" s="345">
        <f>INPUT!BU690</f>
        <v>-190.9</v>
      </c>
      <c r="BH34" s="345" t="str">
        <f>INPUT!BV690</f>
        <v>NA</v>
      </c>
      <c r="BI34" s="345">
        <f>INPUT!BW690</f>
        <v>-138.19999999999999</v>
      </c>
      <c r="BJ34" s="345">
        <f>INPUT!BX690</f>
        <v>-27.606076479832385</v>
      </c>
      <c r="BK34" s="345">
        <f>INPUT!BY690</f>
        <v>-190.1</v>
      </c>
      <c r="BL34" s="345">
        <f>INPUT!BZ690</f>
        <v>37.554269175108537</v>
      </c>
      <c r="BM34" s="345">
        <f>INPUT!CA690</f>
        <v>-237.7</v>
      </c>
      <c r="BN34" s="345">
        <f>INPUT!CB690</f>
        <v>25.039452919516037</v>
      </c>
      <c r="BO34" s="345">
        <f>INPUT!CC690</f>
        <v>-130.30000000000001</v>
      </c>
      <c r="BP34" s="345">
        <f>INPUT!CD690</f>
        <v>-45.183003786285227</v>
      </c>
      <c r="BQ34" s="345">
        <f>INPUT!CE690</f>
        <v>-29.299999999999997</v>
      </c>
      <c r="BR34" s="345" t="str">
        <f>INPUT!CF690</f>
        <v>NM</v>
      </c>
      <c r="BS34" s="345">
        <f>INPUT!CG690</f>
        <v>-200.5</v>
      </c>
      <c r="BT34" s="345" t="str">
        <f>INPUT!CH690</f>
        <v>NM</v>
      </c>
      <c r="BU34" s="345">
        <f>INPUT!CI690</f>
        <v>0</v>
      </c>
      <c r="BV34" s="345" t="str">
        <f>INPUT!CJ690</f>
        <v>NM</v>
      </c>
      <c r="BW34" s="345">
        <f>INPUT!CK690</f>
        <v>0</v>
      </c>
      <c r="BX34" s="345" t="str">
        <f>INPUT!CL690</f>
        <v>NA</v>
      </c>
      <c r="BY34" s="345">
        <f>INPUT!CM690</f>
        <v>0</v>
      </c>
      <c r="BZ34" s="345" t="str">
        <f>INPUT!CN690</f>
        <v>NA</v>
      </c>
      <c r="CA34" s="345">
        <f>INPUT!CO690</f>
        <v>0</v>
      </c>
      <c r="CB34" s="345" t="str">
        <f>INPUT!CP690</f>
        <v>NA</v>
      </c>
      <c r="CC34" s="345">
        <f>INPUT!CQ690</f>
        <v>0</v>
      </c>
      <c r="CD34" s="345" t="str">
        <f>INPUT!CR690</f>
        <v>NA</v>
      </c>
      <c r="CE34" s="345" t="str">
        <f>INPUT!CS690</f>
        <v>NM</v>
      </c>
    </row>
    <row r="35" spans="1:139" s="342" customFormat="1" x14ac:dyDescent="0.2">
      <c r="A35" s="342" t="s">
        <v>250</v>
      </c>
      <c r="B35" s="349">
        <f>INPUT!B694</f>
        <v>294.7</v>
      </c>
      <c r="C35" s="346"/>
      <c r="D35" s="349">
        <f>INPUT!D694</f>
        <v>366.4</v>
      </c>
      <c r="E35" s="346"/>
      <c r="F35" s="349">
        <f>INPUT!F694</f>
        <v>1041.3</v>
      </c>
      <c r="G35" s="346"/>
      <c r="H35" s="349">
        <f>INPUT!H694</f>
        <v>-1790.4</v>
      </c>
      <c r="I35" s="346"/>
      <c r="J35" s="349">
        <f>INPUT!J694</f>
        <v>-505.14600000000024</v>
      </c>
      <c r="K35" s="346" t="str">
        <f>INPUT!K694</f>
        <v>NM</v>
      </c>
      <c r="L35" s="349">
        <f>INPUT!L694</f>
        <v>634.68000000000006</v>
      </c>
      <c r="M35" s="346">
        <f>INPUT!M694</f>
        <v>73.220524017467284</v>
      </c>
      <c r="N35" s="349">
        <f>INPUT!N694</f>
        <v>366.08699999999999</v>
      </c>
      <c r="O35" s="346" t="str">
        <f>INPUT!O694</f>
        <v>NM</v>
      </c>
      <c r="P35" s="349">
        <f>INPUT!P694</f>
        <v>-23.180999999999926</v>
      </c>
      <c r="Q35" s="346" t="str">
        <f>INPUT!Q694</f>
        <v>NM</v>
      </c>
      <c r="R35" s="349">
        <f>INPUT!R694</f>
        <v>-212.1</v>
      </c>
      <c r="S35" s="346" t="str">
        <f>INPUT!S694</f>
        <v>NM</v>
      </c>
      <c r="T35" s="349">
        <f>INPUT!T694</f>
        <v>-82.200000000000017</v>
      </c>
      <c r="U35" s="346" t="str">
        <f>INPUT!U694</f>
        <v>NM</v>
      </c>
      <c r="V35" s="349">
        <f>INPUT!V694</f>
        <v>346.79999999999995</v>
      </c>
      <c r="W35" s="346">
        <f>INPUT!W694</f>
        <v>-5.2684198018503885</v>
      </c>
      <c r="X35" s="349">
        <f>INPUT!X694</f>
        <v>548.1</v>
      </c>
      <c r="Y35" s="346" t="str">
        <f>INPUT!Y694</f>
        <v>NM</v>
      </c>
      <c r="Z35" s="349">
        <f>INPUT!Z694</f>
        <v>258.10000000000019</v>
      </c>
      <c r="AA35" s="346" t="str">
        <f>INPUT!AA694</f>
        <v>NM</v>
      </c>
      <c r="AB35" s="349">
        <f>INPUT!AB694</f>
        <v>248.20000000000013</v>
      </c>
      <c r="AC35" s="346" t="str">
        <f>INPUT!AC694</f>
        <v>NM</v>
      </c>
      <c r="AD35" s="349">
        <f>INPUT!AD694</f>
        <v>405.9</v>
      </c>
      <c r="AE35" s="346">
        <f>INPUT!AE694</f>
        <v>17.041522491349493</v>
      </c>
      <c r="AF35" s="349">
        <f>INPUT!AF694</f>
        <v>1378.8999999999999</v>
      </c>
      <c r="AG35" s="346" t="str">
        <f>INPUT!AG694</f>
        <v>NM</v>
      </c>
      <c r="AH35" s="349">
        <f>INPUT!AH694</f>
        <v>189.7</v>
      </c>
      <c r="AI35" s="346">
        <f>INPUT!AI694</f>
        <v>-26.501356063541326</v>
      </c>
      <c r="AJ35" s="349">
        <f>INPUT!AJ694</f>
        <v>285.20000000000005</v>
      </c>
      <c r="AK35" s="346">
        <f>INPUT!AK694</f>
        <v>14.907332796132099</v>
      </c>
      <c r="AL35" s="349">
        <f>INPUT!AL694</f>
        <v>40.399999999999878</v>
      </c>
      <c r="AM35" s="346" t="str">
        <f>INPUT!AM694</f>
        <v>NM</v>
      </c>
      <c r="AN35" s="349">
        <f>INPUT!AN694</f>
        <v>-106.89999999999995</v>
      </c>
      <c r="AO35" s="346" t="str">
        <f>INPUT!AO694</f>
        <v>NM</v>
      </c>
      <c r="AP35" s="349">
        <f>INPUT!AP694</f>
        <v>151.9999999999998</v>
      </c>
      <c r="AQ35" s="346">
        <f>INPUT!AQ694</f>
        <v>-19.873484449130309</v>
      </c>
      <c r="AR35" s="349">
        <f>INPUT!AR694</f>
        <v>115.10000000000001</v>
      </c>
      <c r="AS35" s="346" t="str">
        <f>INPUT!AS694</f>
        <v>NM</v>
      </c>
      <c r="AT35" s="349">
        <f>INPUT!AT694</f>
        <v>-341.50000000000011</v>
      </c>
      <c r="AU35" s="346" t="str">
        <f>INPUT!AU694</f>
        <v>NM</v>
      </c>
      <c r="AV35" s="349">
        <f>INPUT!AV694</f>
        <v>-596.10000000000014</v>
      </c>
      <c r="AW35" s="346" t="str">
        <f>INPUT!AW694</f>
        <v>NM</v>
      </c>
      <c r="AX35" s="349">
        <f>INPUT!AX694</f>
        <v>-218.8000000000001</v>
      </c>
      <c r="AY35" s="346" t="str">
        <f>INPUT!AY694</f>
        <v>NM</v>
      </c>
      <c r="AZ35" s="349">
        <f>INPUT!AZ694</f>
        <v>129.79999999999987</v>
      </c>
      <c r="BA35" s="346">
        <f>INPUT!BA694</f>
        <v>12.771503040833942</v>
      </c>
      <c r="BB35" s="349">
        <f>INPUT!BB694</f>
        <v>172.00000000000006</v>
      </c>
      <c r="BC35" s="346" t="str">
        <f>INPUT!BC694</f>
        <v>NM</v>
      </c>
      <c r="BD35" s="349">
        <f>INPUT!BD694</f>
        <v>137.49999999999994</v>
      </c>
      <c r="BE35" s="346" t="str">
        <f>INPUT!BE694</f>
        <v>NM</v>
      </c>
      <c r="BF35" s="350"/>
      <c r="BG35" s="349">
        <f>INPUT!BU694</f>
        <v>-88.000000000001137</v>
      </c>
      <c r="BH35" s="346" t="str">
        <f>INPUT!BV694</f>
        <v>NA</v>
      </c>
      <c r="BI35" s="349">
        <f>INPUT!BW694</f>
        <v>472.44000000000068</v>
      </c>
      <c r="BJ35" s="346" t="str">
        <f>INPUT!BX694</f>
        <v>NM</v>
      </c>
      <c r="BK35" s="349">
        <f>INPUT!BY694</f>
        <v>600.6</v>
      </c>
      <c r="BL35" s="346">
        <f>INPUT!BZ694</f>
        <v>27.127254254508326</v>
      </c>
      <c r="BM35" s="349">
        <f>INPUT!CA694</f>
        <v>2291.1000000000004</v>
      </c>
      <c r="BN35" s="346" t="str">
        <f>INPUT!CB694</f>
        <v>NM</v>
      </c>
      <c r="BO35" s="349">
        <f>INPUT!CC694</f>
        <v>408.39999999999981</v>
      </c>
      <c r="BP35" s="346" t="str">
        <f>INPUT!CD694</f>
        <v>NM</v>
      </c>
      <c r="BQ35" s="349">
        <f>INPUT!CE694</f>
        <v>-670.49999999999955</v>
      </c>
      <c r="BR35" s="346" t="str">
        <f>INPUT!CF694</f>
        <v>NM</v>
      </c>
      <c r="BS35" s="349">
        <f>INPUT!CG694</f>
        <v>220.50000000000028</v>
      </c>
      <c r="BT35" s="346" t="str">
        <f>INPUT!CH694</f>
        <v>NM</v>
      </c>
      <c r="BU35" s="349">
        <f>INPUT!CI694</f>
        <v>833.69414224867614</v>
      </c>
      <c r="BV35" s="346" t="str">
        <f>INPUT!CJ694</f>
        <v>NM</v>
      </c>
      <c r="BW35" s="349">
        <f>INPUT!CK694</f>
        <v>814.38652845461502</v>
      </c>
      <c r="BX35" s="346">
        <f>INPUT!CL694</f>
        <v>-2.3159109337129058</v>
      </c>
      <c r="BY35" s="349">
        <f>INPUT!CM694</f>
        <v>850.7608603093056</v>
      </c>
      <c r="BZ35" s="346">
        <f>INPUT!CN694</f>
        <v>4.466470230507702</v>
      </c>
      <c r="CA35" s="349">
        <f>INPUT!CO694</f>
        <v>886.28776430315702</v>
      </c>
      <c r="CB35" s="346">
        <f>INPUT!CP694</f>
        <v>4.1758977935274499</v>
      </c>
      <c r="CC35" s="349">
        <f>INPUT!CQ694</f>
        <v>921.46553081424622</v>
      </c>
      <c r="CD35" s="346">
        <f>INPUT!CR694</f>
        <v>3.9691134107834314</v>
      </c>
      <c r="CE35" s="346">
        <f>INPUT!CS694</f>
        <v>33.111047197798712</v>
      </c>
    </row>
    <row r="36" spans="1:139" s="360" customFormat="1" ht="12" hidden="1" customHeight="1" outlineLevel="1" x14ac:dyDescent="0.2">
      <c r="A36" s="353" t="s">
        <v>249</v>
      </c>
      <c r="B36" s="354">
        <f>(B20+B29+B30+B31+B32+B33+B34)-B35</f>
        <v>0</v>
      </c>
      <c r="C36" s="354"/>
      <c r="D36" s="354">
        <f>(D20+D29+D30+D31+D32+D33+D34)-D35</f>
        <v>0</v>
      </c>
      <c r="E36" s="354"/>
      <c r="F36" s="354">
        <f>(F20+F29+F30+F31+F32+F33+F34)-F35</f>
        <v>0</v>
      </c>
      <c r="G36" s="354"/>
      <c r="H36" s="354">
        <f>(H20+H29+H30+H31+H32+H33+H34)-H35</f>
        <v>0</v>
      </c>
      <c r="I36" s="354"/>
      <c r="J36" s="354">
        <f>(J20+J29+J30+J31+J32+J33+J34)-J35</f>
        <v>0</v>
      </c>
      <c r="K36" s="354"/>
      <c r="L36" s="354">
        <f>(L20+L29+L30+L31+L32+L33+L34)-L35</f>
        <v>0</v>
      </c>
      <c r="M36" s="354"/>
      <c r="N36" s="354">
        <f>(N20+N29+N30+N31+N32+N33+N34)-N35</f>
        <v>0</v>
      </c>
      <c r="O36" s="354"/>
      <c r="P36" s="354">
        <f>(P20+P29+P30+P31+P32+P33+P34)-P35</f>
        <v>5.6843418860808015E-14</v>
      </c>
      <c r="Q36" s="354"/>
      <c r="R36" s="354">
        <f>(R20+R29+R30+R31+R32+R33+R34)-R35</f>
        <v>0</v>
      </c>
      <c r="S36" s="354"/>
      <c r="T36" s="354">
        <f>(T20+T29+T30+T31+T32+T33+T34)-T35</f>
        <v>0</v>
      </c>
      <c r="U36" s="354"/>
      <c r="V36" s="354">
        <f>(V20+V29+V30+V31+V32+V33+V34)-V35</f>
        <v>0</v>
      </c>
      <c r="W36" s="354"/>
      <c r="X36" s="354">
        <f>(X20+X29+X30+X31+X32+X33+X34)-X35</f>
        <v>0</v>
      </c>
      <c r="Y36" s="354"/>
      <c r="Z36" s="354">
        <f>(Z20+Z29+Z30+Z31+Z32+Z33+Z34)-Z35</f>
        <v>0</v>
      </c>
      <c r="AA36" s="354"/>
      <c r="AB36" s="354">
        <f>(AB20+AB29+AB30+AB31+AB32+AB33+AB34)-AB35</f>
        <v>0</v>
      </c>
      <c r="AC36" s="354"/>
      <c r="AD36" s="354">
        <f>(AD20+AD29+AD30+AD31+AD32+AD33+AD34)-AD35</f>
        <v>0</v>
      </c>
      <c r="AE36" s="354"/>
      <c r="AF36" s="354">
        <f>(AF20+AF29+AF30+AF31+AF32+AF33+AF34)-AF35</f>
        <v>0</v>
      </c>
      <c r="AG36" s="354"/>
      <c r="AH36" s="354">
        <f>(AH20+AH29+AH30+AH31+AH32+AH33+AH34)-AH35</f>
        <v>0</v>
      </c>
      <c r="AI36" s="354"/>
      <c r="AJ36" s="354">
        <f>(AJ20+AJ29+AJ30+AJ31+AJ32+AJ33+AJ34)-AJ35</f>
        <v>0</v>
      </c>
      <c r="AK36" s="354"/>
      <c r="AL36" s="354">
        <f>(AL20+AL29+AL30+AL31+AL32+AL33+AL34)-AL35</f>
        <v>0</v>
      </c>
      <c r="AM36" s="354"/>
      <c r="AN36" s="354">
        <f>(AN20+AN29+AN30+AN31+AN32+AN33+AN34)-AN35</f>
        <v>0</v>
      </c>
      <c r="AO36" s="354"/>
      <c r="AP36" s="354">
        <f>(AP20+AP29+AP30+AP31+AP32+AP33+AP34)-AP35</f>
        <v>0</v>
      </c>
      <c r="AQ36" s="354"/>
      <c r="AR36" s="354">
        <f>(AR20+AR29+AR30+AR31+AR32+AR33+AR34)-AR35</f>
        <v>0</v>
      </c>
      <c r="AS36" s="354"/>
      <c r="AT36" s="354">
        <f>(AT20+AT29+AT30+AT31+AT32+AT33+AT34)-AT35</f>
        <v>0</v>
      </c>
      <c r="AU36" s="354"/>
      <c r="AV36" s="354">
        <f>(AV20+AV29+AV30+AV31+AV32+AV33+AV34)-AV35</f>
        <v>0</v>
      </c>
      <c r="AW36" s="354"/>
      <c r="AX36" s="354">
        <f t="shared" ref="AX36" si="8">(AX20+AX29+AX30+AX31+AX32+AX33+AX34)-AX35</f>
        <v>0</v>
      </c>
      <c r="AY36" s="354"/>
      <c r="AZ36" s="354">
        <f t="shared" ref="AZ36" si="9">(AZ20+AZ29+AZ30+AZ31+AZ32+AZ33+AZ34)-AZ35</f>
        <v>0</v>
      </c>
      <c r="BA36" s="354"/>
      <c r="BB36" s="354">
        <f t="shared" ref="BB36" si="10">(BB20+BB29+BB30+BB31+BB32+BB33+BB34)-BB35</f>
        <v>0</v>
      </c>
      <c r="BC36" s="354"/>
      <c r="BD36" s="354">
        <f t="shared" ref="BD36" si="11">(BD20+BD29+BD30+BD31+BD32+BD33+BD34)-BD35</f>
        <v>0</v>
      </c>
      <c r="BE36" s="354"/>
      <c r="BF36" s="354"/>
      <c r="BG36" s="354">
        <f>(BG20+BG29+BG30+BG31+BG32+BG33+BG34)-BG35</f>
        <v>-1.7053025658242404E-13</v>
      </c>
      <c r="BH36" s="354"/>
      <c r="BI36" s="354">
        <f>(BI20+BI29+BI30+BI31+BI32+BI33+BI34)-BI35</f>
        <v>0</v>
      </c>
      <c r="BJ36" s="354"/>
      <c r="BK36" s="354">
        <f>(BK20+BK29+BK30+BK31+BK32+BK33+BK34)-BK35</f>
        <v>0</v>
      </c>
      <c r="BL36" s="354"/>
      <c r="BM36" s="354">
        <f>(BM20+BM29+BM30+BM31+BM32+BM33+BM34)-BM35</f>
        <v>0</v>
      </c>
      <c r="BN36" s="354"/>
      <c r="BO36" s="354">
        <f>(BO20+BO29+BO30+BO31+BO32+BO33+BO34)-BO35</f>
        <v>0</v>
      </c>
      <c r="BP36" s="354"/>
      <c r="BQ36" s="354">
        <f>(BQ20+BQ29+BQ30+BQ31+BQ32+BQ33+BQ34)-BQ35</f>
        <v>0</v>
      </c>
      <c r="BR36" s="354"/>
      <c r="BS36" s="354">
        <f>(BS20+BS29+BS30+BS31+BS32+BS33+BS34)-BS35</f>
        <v>0</v>
      </c>
      <c r="BT36" s="354"/>
      <c r="BU36" s="354">
        <f>(BU20+BU29+BU30+BU31+BU32+BU33+BU34)-BU35</f>
        <v>0</v>
      </c>
      <c r="BV36" s="354"/>
      <c r="BW36" s="354">
        <f>(BW20+BW29+BW30+BW31+BW32+BW33+BW34)-BW35</f>
        <v>0</v>
      </c>
      <c r="BX36" s="354"/>
      <c r="BY36" s="354">
        <f>(BY20+BY29+BY30+BY31+BY32+BY33+BY34)-BY35</f>
        <v>0</v>
      </c>
      <c r="BZ36" s="354"/>
      <c r="CA36" s="354">
        <f>(CA20+CA29+CA30+CA31+CA32+CA33+CA34)-CA35</f>
        <v>0</v>
      </c>
      <c r="CB36" s="354"/>
      <c r="CC36" s="589">
        <f>(CC20+CC29+CC30+CC31+CC32+CC33+CC34)-CC35</f>
        <v>0</v>
      </c>
      <c r="CD36" s="589"/>
      <c r="CE36" s="354"/>
      <c r="CF36" s="354"/>
      <c r="CG36" s="354"/>
      <c r="CH36" s="354"/>
      <c r="CI36" s="354"/>
      <c r="CJ36" s="354"/>
      <c r="CK36" s="354"/>
      <c r="CL36" s="354"/>
      <c r="CM36" s="357"/>
      <c r="CN36" s="358"/>
      <c r="CO36" s="357"/>
      <c r="CP36" s="358"/>
      <c r="CQ36" s="357"/>
      <c r="CR36" s="358"/>
      <c r="CS36" s="357"/>
      <c r="CT36" s="358"/>
      <c r="CU36" s="357"/>
      <c r="CV36" s="358"/>
      <c r="CW36" s="357"/>
      <c r="CX36" s="358"/>
      <c r="CY36" s="357"/>
      <c r="CZ36" s="358"/>
      <c r="DA36" s="357"/>
      <c r="DB36" s="358"/>
      <c r="DC36" s="357"/>
      <c r="DD36" s="358"/>
      <c r="DE36" s="357"/>
      <c r="DF36" s="358"/>
      <c r="DG36" s="357"/>
      <c r="DH36" s="357"/>
      <c r="DI36" s="358"/>
      <c r="DJ36" s="357"/>
      <c r="DK36" s="358"/>
      <c r="DL36" s="357"/>
      <c r="DM36" s="358"/>
      <c r="DN36" s="357"/>
      <c r="DO36" s="358"/>
      <c r="DP36" s="357"/>
      <c r="DQ36" s="358"/>
      <c r="DR36" s="357"/>
      <c r="DS36" s="358"/>
      <c r="DT36" s="357"/>
      <c r="DU36" s="358"/>
      <c r="DV36" s="357"/>
      <c r="DW36" s="358"/>
      <c r="DX36" s="357"/>
      <c r="DY36" s="358"/>
      <c r="DZ36" s="357"/>
      <c r="EA36" s="358"/>
      <c r="EB36" s="357"/>
      <c r="EC36" s="358"/>
      <c r="ED36" s="357"/>
      <c r="EE36" s="358"/>
      <c r="EF36" s="357"/>
      <c r="EG36" s="358"/>
      <c r="EH36" s="357"/>
      <c r="EI36" s="359"/>
    </row>
    <row r="37" spans="1:139" s="331" customFormat="1" collapsed="1" x14ac:dyDescent="0.2">
      <c r="B37" s="355"/>
      <c r="C37" s="332"/>
      <c r="D37" s="355"/>
      <c r="E37" s="332"/>
      <c r="F37" s="355"/>
      <c r="G37" s="332"/>
      <c r="H37" s="355"/>
      <c r="I37" s="332"/>
      <c r="J37" s="355"/>
      <c r="K37" s="332"/>
      <c r="L37" s="355"/>
      <c r="M37" s="332"/>
      <c r="N37" s="355"/>
      <c r="O37" s="332"/>
      <c r="P37" s="355"/>
      <c r="Q37" s="332"/>
      <c r="R37" s="355"/>
      <c r="S37" s="332"/>
      <c r="T37" s="355"/>
      <c r="U37" s="332"/>
      <c r="V37" s="355"/>
      <c r="W37" s="332"/>
      <c r="X37" s="355"/>
      <c r="Y37" s="332"/>
      <c r="Z37" s="355"/>
      <c r="AA37" s="332"/>
      <c r="AB37" s="355"/>
      <c r="AC37" s="332"/>
      <c r="AD37" s="355"/>
      <c r="AE37" s="332"/>
      <c r="AF37" s="355"/>
      <c r="AG37" s="332"/>
      <c r="AH37" s="355"/>
      <c r="AI37" s="332"/>
      <c r="AJ37" s="355"/>
      <c r="AK37" s="332"/>
      <c r="AL37" s="355"/>
      <c r="AM37" s="332"/>
      <c r="AN37" s="355"/>
      <c r="AO37" s="332"/>
      <c r="AP37" s="355"/>
      <c r="AQ37" s="332"/>
      <c r="AR37" s="355"/>
      <c r="AS37" s="332"/>
      <c r="AT37" s="355"/>
      <c r="AU37" s="332"/>
      <c r="AV37" s="355"/>
      <c r="AW37" s="332"/>
      <c r="AX37" s="355"/>
      <c r="AY37" s="332"/>
      <c r="AZ37" s="355"/>
      <c r="BA37" s="332"/>
      <c r="BB37" s="355"/>
      <c r="BC37" s="332"/>
      <c r="BD37" s="355"/>
      <c r="BE37" s="332"/>
      <c r="BF37" s="356"/>
      <c r="BG37" s="355"/>
      <c r="BH37" s="332"/>
      <c r="BI37" s="355"/>
      <c r="BJ37" s="332"/>
      <c r="BK37" s="355"/>
      <c r="BL37" s="332"/>
      <c r="BM37" s="355"/>
      <c r="BN37" s="332"/>
      <c r="BO37" s="355"/>
      <c r="BP37" s="332"/>
      <c r="BQ37" s="355"/>
      <c r="BR37" s="332"/>
      <c r="BS37" s="355"/>
      <c r="BT37" s="332"/>
      <c r="BU37" s="355"/>
      <c r="BV37" s="332"/>
      <c r="BW37" s="355"/>
      <c r="BX37" s="332"/>
      <c r="BY37" s="355"/>
      <c r="BZ37" s="332"/>
      <c r="CA37" s="355"/>
      <c r="CB37" s="332"/>
      <c r="CC37" s="355"/>
      <c r="CD37" s="332"/>
      <c r="CE37" s="332"/>
    </row>
    <row r="38" spans="1:139" s="330" customFormat="1" ht="12" customHeight="1" x14ac:dyDescent="0.2">
      <c r="A38" s="324" t="s">
        <v>251</v>
      </c>
      <c r="B38" s="325">
        <f>INPUT!B759</f>
        <v>1.28</v>
      </c>
      <c r="C38" s="326"/>
      <c r="D38" s="327">
        <f>INPUT!D759</f>
        <v>1.59</v>
      </c>
      <c r="E38" s="326"/>
      <c r="F38" s="325">
        <f>INPUT!F759</f>
        <v>4.53</v>
      </c>
      <c r="G38" s="326"/>
      <c r="H38" s="327">
        <f>INPUT!H759</f>
        <v>-7.78</v>
      </c>
      <c r="I38" s="326"/>
      <c r="J38" s="325">
        <f>INPUT!J759</f>
        <v>-2.2000000000000002</v>
      </c>
      <c r="K38" s="326" t="str">
        <f>INPUT!K759</f>
        <v>NM</v>
      </c>
      <c r="L38" s="325">
        <f>INPUT!L759</f>
        <v>2.76</v>
      </c>
      <c r="M38" s="326">
        <f>INPUT!M759</f>
        <v>73.584905660377345</v>
      </c>
      <c r="N38" s="325">
        <f>INPUT!N759</f>
        <v>1.59</v>
      </c>
      <c r="O38" s="326" t="str">
        <f>INPUT!O759</f>
        <v>NM</v>
      </c>
      <c r="P38" s="325">
        <f>INPUT!P759</f>
        <v>-0.1</v>
      </c>
      <c r="Q38" s="326" t="str">
        <f>INPUT!Q759</f>
        <v>NM</v>
      </c>
      <c r="R38" s="325">
        <f>INPUT!R759</f>
        <v>-0.92</v>
      </c>
      <c r="S38" s="326" t="str">
        <f>INPUT!S759</f>
        <v>NM</v>
      </c>
      <c r="T38" s="325">
        <f>INPUT!T759</f>
        <v>-0.33</v>
      </c>
      <c r="U38" s="326" t="str">
        <f>INPUT!U759</f>
        <v>NM</v>
      </c>
      <c r="V38" s="325">
        <f>INPUT!V759</f>
        <v>1.32</v>
      </c>
      <c r="W38" s="326">
        <f>INPUT!W759</f>
        <v>-16.981132075471695</v>
      </c>
      <c r="X38" s="325">
        <f>INPUT!X759</f>
        <v>2.08</v>
      </c>
      <c r="Y38" s="326" t="str">
        <f>INPUT!Y759</f>
        <v>NM</v>
      </c>
      <c r="Z38" s="325">
        <f>INPUT!Z759</f>
        <v>0.98</v>
      </c>
      <c r="AA38" s="326" t="str">
        <f>INPUT!AA759</f>
        <v>NM</v>
      </c>
      <c r="AB38" s="325">
        <f>INPUT!AB759</f>
        <v>0.97</v>
      </c>
      <c r="AC38" s="326" t="str">
        <f>INPUT!AC759</f>
        <v>NM</v>
      </c>
      <c r="AD38" s="325">
        <f>INPUT!AD759</f>
        <v>1.6</v>
      </c>
      <c r="AE38" s="326">
        <f>INPUT!AE759</f>
        <v>21.212121212121215</v>
      </c>
      <c r="AF38" s="325">
        <f>INPUT!AF759</f>
        <v>5.6</v>
      </c>
      <c r="AG38" s="326" t="str">
        <f>INPUT!AG759</f>
        <v>NM</v>
      </c>
      <c r="AH38" s="325">
        <f>INPUT!AH759</f>
        <v>0.79</v>
      </c>
      <c r="AI38" s="326">
        <f>INPUT!AI759</f>
        <v>-19.387755102040817</v>
      </c>
      <c r="AJ38" s="325">
        <f>INPUT!AJ759</f>
        <v>1.24</v>
      </c>
      <c r="AK38" s="326">
        <f>INPUT!AK759</f>
        <v>27.835051546391764</v>
      </c>
      <c r="AL38" s="325">
        <f>INPUT!AL759</f>
        <v>0.18</v>
      </c>
      <c r="AM38" s="326" t="str">
        <f>INPUT!AM759</f>
        <v>NM</v>
      </c>
      <c r="AN38" s="325">
        <f>INPUT!AN759</f>
        <v>-0.49</v>
      </c>
      <c r="AO38" s="326" t="str">
        <f>INPUT!AO759</f>
        <v>NM</v>
      </c>
      <c r="AP38" s="325">
        <f>INPUT!AP759</f>
        <v>0.73</v>
      </c>
      <c r="AQ38" s="326">
        <f>INPUT!AQ759</f>
        <v>-7.5949367088607662</v>
      </c>
      <c r="AR38" s="325">
        <f>INPUT!AR759</f>
        <v>0.56999999999999995</v>
      </c>
      <c r="AS38" s="326" t="str">
        <f>INPUT!AS759</f>
        <v>NM</v>
      </c>
      <c r="AT38" s="325">
        <f>INPUT!AT759</f>
        <v>-1.69</v>
      </c>
      <c r="AU38" s="326" t="str">
        <f>INPUT!AU759</f>
        <v>NM</v>
      </c>
      <c r="AV38" s="325">
        <f>INPUT!AV759</f>
        <v>-3.06</v>
      </c>
      <c r="AW38" s="326" t="str">
        <f>INPUT!AW759</f>
        <v>NM</v>
      </c>
      <c r="AX38" s="325">
        <f>INPUT!AX759</f>
        <v>-1.1399999999999999</v>
      </c>
      <c r="AY38" s="326" t="str">
        <f>INPUT!AY759</f>
        <v>NM</v>
      </c>
      <c r="AZ38" s="325">
        <f>INPUT!AZ759</f>
        <v>0.7</v>
      </c>
      <c r="BA38" s="326">
        <f>INPUT!BA759</f>
        <v>22.807017543859654</v>
      </c>
      <c r="BB38" s="325">
        <f>INPUT!BB759</f>
        <v>0.94298245614035114</v>
      </c>
      <c r="BC38" s="326" t="str">
        <f>INPUT!BC759</f>
        <v>NM</v>
      </c>
      <c r="BD38" s="325">
        <f>INPUT!BD759</f>
        <v>0.75136612021857896</v>
      </c>
      <c r="BE38" s="326" t="str">
        <f>INPUT!BE759</f>
        <v>NM</v>
      </c>
      <c r="BF38" s="325"/>
      <c r="BG38" s="325">
        <f>INPUT!BU759</f>
        <v>-0.38</v>
      </c>
      <c r="BH38" s="326" t="str">
        <f>INPUT!BV759</f>
        <v>NA</v>
      </c>
      <c r="BI38" s="325">
        <f>INPUT!BW759</f>
        <v>2.0499999999999998</v>
      </c>
      <c r="BJ38" s="326" t="str">
        <f>INPUT!BX759</f>
        <v>NM</v>
      </c>
      <c r="BK38" s="325">
        <f>INPUT!BY759</f>
        <v>2.39</v>
      </c>
      <c r="BL38" s="326">
        <f>INPUT!BZ759</f>
        <v>16.585365853658551</v>
      </c>
      <c r="BM38" s="325">
        <f>INPUT!CA759</f>
        <v>8.98</v>
      </c>
      <c r="BN38" s="326" t="str">
        <f>INPUT!CB759</f>
        <v>NM</v>
      </c>
      <c r="BO38" s="325">
        <f>INPUT!CC759</f>
        <v>1.79</v>
      </c>
      <c r="BP38" s="326" t="str">
        <f>INPUT!CD759</f>
        <v>NM</v>
      </c>
      <c r="BQ38" s="325">
        <f>INPUT!CE759</f>
        <v>-3.31</v>
      </c>
      <c r="BR38" s="326" t="str">
        <f>INPUT!CF759</f>
        <v>NM</v>
      </c>
      <c r="BS38" s="325">
        <f>INPUT!CG759</f>
        <v>1.18</v>
      </c>
      <c r="BT38" s="326" t="str">
        <f>INPUT!CH759</f>
        <v>NM</v>
      </c>
      <c r="BU38" s="325">
        <f>INPUT!CI759</f>
        <v>5.07</v>
      </c>
      <c r="BV38" s="326" t="str">
        <f>INPUT!CJ759</f>
        <v>NM</v>
      </c>
      <c r="BW38" s="325">
        <f>INPUT!CK759</f>
        <v>5.41</v>
      </c>
      <c r="BX38" s="328">
        <f>INPUT!CL759</f>
        <v>6.7061143984220806</v>
      </c>
      <c r="BY38" s="325">
        <f>INPUT!CM759</f>
        <v>5.97</v>
      </c>
      <c r="BZ38" s="328">
        <f>INPUT!CN759</f>
        <v>10.351201478743066</v>
      </c>
      <c r="CA38" s="325">
        <f>INPUT!CO759</f>
        <v>6.57</v>
      </c>
      <c r="CB38" s="328">
        <f>INPUT!CP759</f>
        <v>10.050251256281406</v>
      </c>
      <c r="CC38" s="325">
        <f>INPUT!CQ759</f>
        <v>7.27</v>
      </c>
      <c r="CD38" s="328">
        <f>INPUT!CR759</f>
        <v>10.654490106544889</v>
      </c>
      <c r="CE38" s="326">
        <f>INPUT!CS759</f>
        <v>43.856828233055786</v>
      </c>
      <c r="CF38" s="325"/>
      <c r="CG38" s="326"/>
      <c r="CH38" s="325"/>
      <c r="CI38" s="326"/>
      <c r="CJ38" s="325"/>
      <c r="CK38" s="326"/>
      <c r="CL38" s="325"/>
      <c r="CM38" s="326"/>
      <c r="CN38" s="325"/>
      <c r="CO38" s="326"/>
      <c r="CP38" s="325"/>
      <c r="CQ38" s="326"/>
      <c r="CR38" s="325"/>
      <c r="CS38" s="326"/>
      <c r="CT38" s="325"/>
      <c r="CU38" s="326"/>
      <c r="CV38" s="325"/>
      <c r="CW38" s="326"/>
      <c r="CX38" s="325"/>
      <c r="CY38" s="326"/>
      <c r="CZ38" s="325"/>
      <c r="DA38" s="326"/>
      <c r="DB38" s="325"/>
      <c r="DC38" s="326"/>
      <c r="DD38" s="325"/>
      <c r="DE38" s="326"/>
      <c r="DF38" s="325"/>
      <c r="DG38" s="326"/>
      <c r="DH38" s="329"/>
      <c r="DI38" s="325"/>
      <c r="DJ38" s="326"/>
      <c r="DK38" s="325"/>
      <c r="DL38" s="326"/>
      <c r="DM38" s="325"/>
      <c r="DN38" s="326"/>
      <c r="DO38" s="325"/>
      <c r="DP38" s="326"/>
      <c r="DQ38" s="325"/>
      <c r="DR38" s="326"/>
      <c r="DS38" s="325"/>
      <c r="DT38" s="326"/>
      <c r="DU38" s="325"/>
      <c r="DV38" s="326"/>
      <c r="DW38" s="325"/>
      <c r="DX38" s="326"/>
      <c r="DY38" s="325"/>
      <c r="DZ38" s="326"/>
      <c r="EA38" s="325"/>
      <c r="EB38" s="326"/>
      <c r="EC38" s="325"/>
      <c r="ED38" s="326"/>
      <c r="EE38" s="325"/>
      <c r="EF38" s="326"/>
      <c r="EG38" s="325"/>
      <c r="EH38" s="326"/>
      <c r="EI38" s="326"/>
    </row>
    <row r="39" spans="1:139" s="311" customFormat="1" ht="12" hidden="1" customHeight="1" outlineLevel="1" x14ac:dyDescent="0.2">
      <c r="A39" s="302" t="s">
        <v>249</v>
      </c>
      <c r="B39" s="309">
        <f>(B35/B65)-B38</f>
        <v>1.3043478260867936E-3</v>
      </c>
      <c r="C39" s="308"/>
      <c r="D39" s="309">
        <f>(D35/D65)-D38</f>
        <v>3.043478260869481E-3</v>
      </c>
      <c r="E39" s="308"/>
      <c r="F39" s="309">
        <f>(F35/F65)-F38</f>
        <v>-2.6086956521744753E-3</v>
      </c>
      <c r="G39" s="308"/>
      <c r="H39" s="309">
        <f>(H35/H65)-H38</f>
        <v>-4.3478260869562746E-3</v>
      </c>
      <c r="I39" s="308"/>
      <c r="J39" s="309">
        <f>(J35/J65)-J38</f>
        <v>3.7130434782599586E-3</v>
      </c>
      <c r="K39" s="308"/>
      <c r="L39" s="309">
        <f>(L35/L65)-L38</f>
        <v>-5.2173913043418452E-4</v>
      </c>
      <c r="M39" s="308"/>
      <c r="N39" s="309">
        <f>(N35/N65)-N38</f>
        <v>1.6826086956520658E-3</v>
      </c>
      <c r="O39" s="308"/>
      <c r="P39" s="309">
        <f>(P35/P65)-P38</f>
        <v>-7.8695652173881026E-4</v>
      </c>
      <c r="Q39" s="308"/>
      <c r="R39" s="309">
        <f>(R35/R65)-R38</f>
        <v>-2.1739130434782483E-3</v>
      </c>
      <c r="S39" s="308"/>
      <c r="T39" s="309">
        <f>(T35/T65)-T38</f>
        <v>1.5940870954853636E-3</v>
      </c>
      <c r="U39" s="308"/>
      <c r="V39" s="309">
        <f>(V35/V65)-V38</f>
        <v>2.1502096835681606E-3</v>
      </c>
      <c r="W39" s="308"/>
      <c r="X39" s="309">
        <f>(X35/X65)-X38</f>
        <v>1.6559058108622793E-3</v>
      </c>
      <c r="Y39" s="308"/>
      <c r="Z39" s="309">
        <f>(Z35/Z65)-Z38</f>
        <v>-4.9335863377530931E-4</v>
      </c>
      <c r="AA39" s="308"/>
      <c r="AB39" s="309">
        <f>(AB35/AB65)-AB38</f>
        <v>-1.2256049960962523E-3</v>
      </c>
      <c r="AC39" s="308"/>
      <c r="AD39" s="309">
        <f>(AD35/AD65)-AD38</f>
        <v>-4.4811320754718498E-3</v>
      </c>
      <c r="AE39" s="308"/>
      <c r="AF39" s="309">
        <f>(AF35/AF65)-AF38</f>
        <v>-3.8149350649350211E-3</v>
      </c>
      <c r="AG39" s="308"/>
      <c r="AH39" s="309">
        <f>(AH35/AH65)-AH38</f>
        <v>-1.8820108018280379E-3</v>
      </c>
      <c r="AI39" s="308"/>
      <c r="AJ39" s="309">
        <f>(AJ35/AJ65)-AJ38</f>
        <v>1.0791993037424508E-3</v>
      </c>
      <c r="AK39" s="308"/>
      <c r="AL39" s="309">
        <f>(AL35/AL65)-AL38</f>
        <v>6.7978533094759097E-4</v>
      </c>
      <c r="AM39" s="308"/>
      <c r="AN39" s="309">
        <f>(AN35/AN65)-AN38</f>
        <v>-4.9074074074071938E-3</v>
      </c>
      <c r="AO39" s="308"/>
      <c r="AP39" s="309">
        <f>(AP35/AP65)-AP38</f>
        <v>-3.0750836920142577E-3</v>
      </c>
      <c r="AQ39" s="308"/>
      <c r="AR39" s="309">
        <f>(AR35/AR65)-AR38</f>
        <v>-4.3980343980343228E-3</v>
      </c>
      <c r="AS39" s="308"/>
      <c r="AT39" s="309">
        <f>(AT35/AT65)-AT38</f>
        <v>-4.7890818858566941E-3</v>
      </c>
      <c r="AU39" s="308"/>
      <c r="AV39" s="309">
        <f>(AV35/AV65)-AV38</f>
        <v>3.5646879756467964E-2</v>
      </c>
      <c r="AW39" s="308"/>
      <c r="AX39" s="309">
        <f t="shared" ref="AX39" si="12">(AX35/AX65)-AX38</f>
        <v>1.4485596707818349E-2</v>
      </c>
      <c r="AY39" s="308"/>
      <c r="AZ39" s="309">
        <f t="shared" ref="AZ39" si="13">(AZ35/AZ65)-AZ38</f>
        <v>-8.4709643047422567E-3</v>
      </c>
      <c r="BA39" s="308"/>
      <c r="BB39" s="309">
        <f t="shared" ref="BB39" si="14">(BB35/BB65)-BB38</f>
        <v>0</v>
      </c>
      <c r="BC39" s="308"/>
      <c r="BD39" s="309">
        <f t="shared" ref="BD39" si="15">(BD35/BD65)-BD38</f>
        <v>0</v>
      </c>
      <c r="BE39" s="308"/>
      <c r="BF39" s="309"/>
      <c r="BG39" s="309">
        <f>(BG35/BG65)-BG38</f>
        <v>-2.6086956521788607E-3</v>
      </c>
      <c r="BH39" s="309"/>
      <c r="BI39" s="309">
        <f>(BI35/BI65)-BI38</f>
        <v>4.086956521742291E-3</v>
      </c>
      <c r="BJ39" s="309"/>
      <c r="BK39" s="309">
        <f>(BK35/BK65)-BK38</f>
        <v>-4.7736298649723174E-3</v>
      </c>
      <c r="BL39" s="309"/>
      <c r="BM39" s="309">
        <f>(BM35/BM65)-BM38</f>
        <v>3.0377266046244245E-4</v>
      </c>
      <c r="BN39" s="309"/>
      <c r="BO39" s="309">
        <f>(BO35/BO65)-BO38</f>
        <v>4.9675859795617061E-3</v>
      </c>
      <c r="BP39" s="309"/>
      <c r="BQ39" s="309">
        <f>(BQ35/BQ65)-BQ38</f>
        <v>3.7869822485232518E-3</v>
      </c>
      <c r="BR39" s="309"/>
      <c r="BS39" s="309">
        <f>(BS35/BS65)-BS38</f>
        <v>-6.6889632105437968E-5</v>
      </c>
      <c r="BT39" s="309"/>
      <c r="BU39" s="309">
        <f>(BU35/BU65)-BU38</f>
        <v>6.0619588946497771E-4</v>
      </c>
      <c r="BV39" s="309"/>
      <c r="BW39" s="309">
        <f>(BW35/BW65)-BW38</f>
        <v>2.6506087789384125E-3</v>
      </c>
      <c r="BX39" s="309"/>
      <c r="BY39" s="309">
        <f>(BY35/BY65)-BY38</f>
        <v>-4.9362327249449223E-3</v>
      </c>
      <c r="BZ39" s="309"/>
      <c r="CA39" s="309">
        <f>(CA35/CA65)-CA38</f>
        <v>3.3085828853947064E-3</v>
      </c>
      <c r="CB39" s="309"/>
      <c r="CC39" s="588">
        <f>(CC35/CC65)-CC38</f>
        <v>1.722470210961724E-3</v>
      </c>
      <c r="CD39" s="588"/>
      <c r="CE39" s="308"/>
      <c r="CF39" s="309"/>
      <c r="CG39" s="308"/>
      <c r="CH39" s="309"/>
      <c r="CI39" s="308"/>
      <c r="CJ39" s="309"/>
      <c r="CK39" s="308"/>
      <c r="CL39" s="309"/>
      <c r="CM39" s="308"/>
      <c r="CN39" s="309"/>
      <c r="CO39" s="308"/>
      <c r="CP39" s="309"/>
      <c r="CQ39" s="308"/>
      <c r="CR39" s="309"/>
      <c r="CS39" s="308"/>
      <c r="CT39" s="309"/>
      <c r="CU39" s="308"/>
      <c r="CV39" s="309"/>
      <c r="CW39" s="308"/>
      <c r="CX39" s="309"/>
      <c r="CY39" s="308"/>
      <c r="CZ39" s="309"/>
      <c r="DA39" s="308"/>
      <c r="DB39" s="309"/>
      <c r="DC39" s="308"/>
      <c r="DD39" s="309"/>
      <c r="DE39" s="308"/>
      <c r="DF39" s="309"/>
      <c r="DG39" s="308"/>
      <c r="DH39" s="308"/>
      <c r="DI39" s="309"/>
      <c r="DJ39" s="308"/>
      <c r="DK39" s="309"/>
      <c r="DL39" s="308"/>
      <c r="DM39" s="309"/>
      <c r="DN39" s="308"/>
      <c r="DO39" s="309"/>
      <c r="DP39" s="308"/>
      <c r="DQ39" s="309"/>
      <c r="DR39" s="308"/>
      <c r="DS39" s="309"/>
      <c r="DT39" s="308"/>
      <c r="DU39" s="309"/>
      <c r="DV39" s="308"/>
      <c r="DW39" s="309"/>
      <c r="DX39" s="308"/>
      <c r="DY39" s="309"/>
      <c r="DZ39" s="308"/>
      <c r="EA39" s="309"/>
      <c r="EB39" s="308"/>
      <c r="EC39" s="309"/>
      <c r="ED39" s="308"/>
      <c r="EE39" s="309"/>
      <c r="EF39" s="308"/>
      <c r="EG39" s="309"/>
      <c r="EH39" s="308"/>
      <c r="EI39" s="310"/>
    </row>
    <row r="40" spans="1:139" s="331" customFormat="1" collapsed="1" x14ac:dyDescent="0.2">
      <c r="C40" s="332"/>
      <c r="E40" s="332"/>
      <c r="G40" s="332"/>
      <c r="I40" s="332"/>
      <c r="K40" s="332"/>
      <c r="M40" s="332"/>
      <c r="O40" s="332"/>
      <c r="Q40" s="332"/>
      <c r="S40" s="332"/>
      <c r="U40" s="332"/>
      <c r="W40" s="332"/>
      <c r="Y40" s="332"/>
      <c r="AA40" s="332"/>
      <c r="AC40" s="332"/>
      <c r="AE40" s="332"/>
      <c r="AG40" s="332"/>
      <c r="AI40" s="332"/>
      <c r="AK40" s="332"/>
      <c r="AM40" s="332"/>
      <c r="AO40" s="332"/>
      <c r="AQ40" s="332"/>
      <c r="AS40" s="332"/>
      <c r="AU40" s="332"/>
      <c r="AW40" s="332"/>
      <c r="AY40" s="332"/>
      <c r="BA40" s="332"/>
      <c r="BC40" s="332"/>
      <c r="BE40" s="332"/>
      <c r="BF40" s="361"/>
      <c r="BH40" s="332"/>
      <c r="BJ40" s="332"/>
      <c r="BL40" s="332"/>
      <c r="BN40" s="332"/>
      <c r="BP40" s="332"/>
      <c r="BR40" s="332"/>
      <c r="BT40" s="332"/>
      <c r="BV40" s="332"/>
      <c r="BX40" s="332"/>
      <c r="BZ40" s="332"/>
      <c r="CB40" s="332"/>
      <c r="CD40" s="332"/>
      <c r="CE40" s="332"/>
    </row>
    <row r="41" spans="1:139" s="331" customFormat="1" x14ac:dyDescent="0.2">
      <c r="A41" s="342" t="s">
        <v>69</v>
      </c>
      <c r="C41" s="332"/>
      <c r="E41" s="332"/>
      <c r="G41" s="332"/>
      <c r="I41" s="332"/>
      <c r="K41" s="332"/>
      <c r="M41" s="332"/>
      <c r="O41" s="332"/>
      <c r="Q41" s="332"/>
      <c r="S41" s="332"/>
      <c r="U41" s="332"/>
      <c r="W41" s="332"/>
      <c r="Y41" s="332"/>
      <c r="AA41" s="332"/>
      <c r="AC41" s="332"/>
      <c r="AE41" s="332"/>
      <c r="AG41" s="332"/>
      <c r="AI41" s="332"/>
      <c r="AK41" s="332"/>
      <c r="AM41" s="332"/>
      <c r="AO41" s="332"/>
      <c r="AQ41" s="332"/>
      <c r="AS41" s="332"/>
      <c r="AU41" s="332"/>
      <c r="AW41" s="332"/>
      <c r="AY41" s="332"/>
      <c r="BA41" s="332"/>
      <c r="BC41" s="332"/>
      <c r="BE41" s="332"/>
      <c r="BF41" s="361"/>
      <c r="BH41" s="332"/>
      <c r="BJ41" s="332"/>
      <c r="BL41" s="332"/>
      <c r="BN41" s="332"/>
      <c r="BP41" s="332"/>
      <c r="BR41" s="332"/>
      <c r="BT41" s="332"/>
      <c r="BV41" s="332"/>
      <c r="BX41" s="332"/>
      <c r="BZ41" s="332"/>
      <c r="CB41" s="332"/>
      <c r="CD41" s="332"/>
      <c r="CE41" s="332"/>
    </row>
    <row r="42" spans="1:139" s="331" customFormat="1" x14ac:dyDescent="0.2">
      <c r="A42" s="362" t="s">
        <v>387</v>
      </c>
      <c r="B42" s="363">
        <f>INPUT!B830</f>
        <v>17.640801304583377</v>
      </c>
      <c r="C42" s="363"/>
      <c r="D42" s="363">
        <f>INPUT!D830</f>
        <v>15.020099872210007</v>
      </c>
      <c r="E42" s="363"/>
      <c r="F42" s="363">
        <f>INPUT!F830</f>
        <v>11.074695486145812</v>
      </c>
      <c r="G42" s="363"/>
      <c r="H42" s="363">
        <f>INPUT!H830</f>
        <v>9.3320968603918342</v>
      </c>
      <c r="I42" s="363"/>
      <c r="J42" s="363">
        <f>INPUT!J830</f>
        <v>9.3853720164237568</v>
      </c>
      <c r="K42" s="346">
        <f>INPUT!K830</f>
        <v>-46.797359970347387</v>
      </c>
      <c r="L42" s="363">
        <f>INPUT!L830</f>
        <v>7.7477094436792626</v>
      </c>
      <c r="M42" s="346">
        <f>INPUT!M830</f>
        <v>-48.417723519841751</v>
      </c>
      <c r="N42" s="363">
        <f>INPUT!N830</f>
        <v>9.8032990583094257</v>
      </c>
      <c r="O42" s="346">
        <f>INPUT!O830</f>
        <v>-11.480193107132141</v>
      </c>
      <c r="P42" s="363">
        <f>INPUT!P830</f>
        <v>7.2980510390869027</v>
      </c>
      <c r="Q42" s="346">
        <f>INPUT!Q830</f>
        <v>-21.796235634223006</v>
      </c>
      <c r="R42" s="363">
        <f>INPUT!R830</f>
        <v>10.999216462534536</v>
      </c>
      <c r="S42" s="346">
        <f>INPUT!S830</f>
        <v>17.1953167470257</v>
      </c>
      <c r="T42" s="363">
        <f>INPUT!T830</f>
        <v>11.452538845839298</v>
      </c>
      <c r="U42" s="346">
        <f>INPUT!U830</f>
        <v>47.818383344028348</v>
      </c>
      <c r="V42" s="363">
        <f>INPUT!V830</f>
        <v>16.426456071075997</v>
      </c>
      <c r="W42" s="346">
        <f>INPUT!W830</f>
        <v>67.560491354720867</v>
      </c>
      <c r="X42" s="363">
        <f>INPUT!X830</f>
        <v>10.111415105771005</v>
      </c>
      <c r="Y42" s="346">
        <f>INPUT!Y830</f>
        <v>38.549525779092079</v>
      </c>
      <c r="Z42" s="363">
        <f>INPUT!Z830</f>
        <v>7.2444704336241106</v>
      </c>
      <c r="AA42" s="346">
        <f>INPUT!AA830</f>
        <v>-34.136486373368669</v>
      </c>
      <c r="AB42" s="363">
        <f>INPUT!AB830</f>
        <v>10.216097788738967</v>
      </c>
      <c r="AC42" s="346">
        <f>INPUT!AC830</f>
        <v>-10.796217971786481</v>
      </c>
      <c r="AD42" s="363">
        <f>INPUT!AD830</f>
        <v>9.1306966951563542</v>
      </c>
      <c r="AE42" s="346">
        <f>INPUT!AE830</f>
        <v>-44.414688989222384</v>
      </c>
      <c r="AF42" s="363">
        <f>INPUT!AF830</f>
        <v>10.424665255724417</v>
      </c>
      <c r="AG42" s="346">
        <f>INPUT!AG830</f>
        <v>3.0979852639481331</v>
      </c>
      <c r="AH42" s="363">
        <f>INPUT!AH830</f>
        <v>7.7035443867101412</v>
      </c>
      <c r="AI42" s="346">
        <f>INPUT!AI830</f>
        <v>6.3368876620064407</v>
      </c>
      <c r="AJ42" s="363">
        <f>INPUT!AJ830</f>
        <v>7.106669719017809</v>
      </c>
      <c r="AK42" s="346">
        <f>INPUT!AK830</f>
        <v>-30.436553506257823</v>
      </c>
      <c r="AL42" s="363">
        <f>INPUT!AL830</f>
        <v>3.788408594503978</v>
      </c>
      <c r="AM42" s="346" t="str">
        <f>INPUT!AM830</f>
        <v>NM</v>
      </c>
      <c r="AN42" s="363">
        <f>INPUT!AN830</f>
        <v>8.357724097136737</v>
      </c>
      <c r="AO42" s="346">
        <f>INPUT!AO830</f>
        <v>-19.827410356919383</v>
      </c>
      <c r="AP42" s="363">
        <f>INPUT!AP830</f>
        <v>2.6606539906893194</v>
      </c>
      <c r="AQ42" s="346" t="str">
        <f>INPUT!AQ830</f>
        <v>NM</v>
      </c>
      <c r="AR42" s="363">
        <f>INPUT!AR830</f>
        <v>4.1080242805807448</v>
      </c>
      <c r="AS42" s="346">
        <f>INPUT!AS830</f>
        <v>-42.194805119654518</v>
      </c>
      <c r="AT42" s="363">
        <f>INPUT!AT830</f>
        <v>-1.1512666249906829</v>
      </c>
      <c r="AU42" s="346" t="str">
        <f>INPUT!AU830</f>
        <v>NM</v>
      </c>
      <c r="AV42" s="363">
        <f>INPUT!AV830</f>
        <v>4.6144564650382112</v>
      </c>
      <c r="AW42" s="346">
        <f>INPUT!AW830</f>
        <v>-44.788121605748245</v>
      </c>
      <c r="AX42" s="363">
        <f>INPUT!AX830</f>
        <v>4.4501856644536879</v>
      </c>
      <c r="AY42" s="346">
        <f>INPUT!AY830</f>
        <v>67.259090435157958</v>
      </c>
      <c r="AZ42" s="363">
        <f>INPUT!AZ830</f>
        <v>3.2589440680812918</v>
      </c>
      <c r="BA42" s="346">
        <f>INPUT!BA830</f>
        <v>-20.668821664788695</v>
      </c>
      <c r="BB42" s="363">
        <f>INPUT!BB830</f>
        <v>1.2750873412167243</v>
      </c>
      <c r="BC42" s="346" t="str">
        <f>INPUT!BC830</f>
        <v>NM</v>
      </c>
      <c r="BD42" s="363">
        <f>INPUT!BD830</f>
        <v>8.7388205509232453</v>
      </c>
      <c r="BE42" s="346">
        <f>INPUT!BE830</f>
        <v>89.37919594937344</v>
      </c>
      <c r="BF42" s="347"/>
      <c r="BG42" s="363"/>
      <c r="BH42" s="364"/>
      <c r="BI42" s="363">
        <f>INPUT!BW830</f>
        <v>8.279254082489544</v>
      </c>
      <c r="BJ42" s="364">
        <f>INPUT!BX830</f>
        <v>-21.444582780617637</v>
      </c>
      <c r="BK42" s="363">
        <f>INPUT!BY830</f>
        <v>12.231293399961062</v>
      </c>
      <c r="BL42" s="364">
        <f>INPUT!BZ830</f>
        <v>47.734243666105172</v>
      </c>
      <c r="BM42" s="363">
        <f>INPUT!CA830</f>
        <v>9.2929955913872355</v>
      </c>
      <c r="BN42" s="364">
        <f>INPUT!CB830</f>
        <v>-24.022789025592182</v>
      </c>
      <c r="BO42" s="363">
        <f>INPUT!CC830</f>
        <v>6.731504054235363</v>
      </c>
      <c r="BP42" s="364">
        <f>INPUT!CD830</f>
        <v>-27.563679676399154</v>
      </c>
      <c r="BQ42" s="363">
        <f>INPUT!CE830</f>
        <v>2.5609921519232617</v>
      </c>
      <c r="BR42" s="364" t="str">
        <f>INPUT!CF830</f>
        <v>NM</v>
      </c>
      <c r="BS42" s="363">
        <f>INPUT!CG830</f>
        <v>4.2139738055319658</v>
      </c>
      <c r="BT42" s="364">
        <f>INPUT!CH830</f>
        <v>64.544580988557215</v>
      </c>
      <c r="BU42" s="363">
        <f>INPUT!CI830</f>
        <v>13.226664697244642</v>
      </c>
      <c r="BV42" s="364" t="str">
        <f>INPUT!CJ830</f>
        <v>NM</v>
      </c>
      <c r="BW42" s="363">
        <f>INPUT!CK830</f>
        <v>14.779638021147946</v>
      </c>
      <c r="BX42" s="364">
        <f>INPUT!CL830</f>
        <v>11.741231515658047</v>
      </c>
      <c r="BY42" s="363">
        <f>INPUT!CM830</f>
        <v>14.526046831713677</v>
      </c>
      <c r="BZ42" s="364">
        <f>INPUT!CN830</f>
        <v>-1.7158146165109689</v>
      </c>
      <c r="CA42" s="363">
        <f>INPUT!CO830</f>
        <v>14.223853756185974</v>
      </c>
      <c r="CB42" s="364">
        <f>INPUT!CP830</f>
        <v>-2.080353168543736</v>
      </c>
      <c r="CC42" s="363">
        <f>INPUT!CQ830</f>
        <v>13.893146400577077</v>
      </c>
      <c r="CD42" s="364">
        <f>INPUT!CR830</f>
        <v>-2.3250193743384884</v>
      </c>
      <c r="CE42" s="346">
        <f>INPUT!CS830</f>
        <v>0</v>
      </c>
    </row>
    <row r="43" spans="1:139" s="331" customFormat="1" x14ac:dyDescent="0.2">
      <c r="A43" s="362" t="s">
        <v>374</v>
      </c>
      <c r="B43" s="363">
        <f>INPUT!B886</f>
        <v>10.673066424544379</v>
      </c>
      <c r="C43" s="363"/>
      <c r="D43" s="363">
        <f>INPUT!D886</f>
        <v>10.2658112150883</v>
      </c>
      <c r="E43" s="363"/>
      <c r="F43" s="363">
        <f>INPUT!F886</f>
        <v>8.2984185324956261</v>
      </c>
      <c r="G43" s="363"/>
      <c r="H43" s="363">
        <f>INPUT!H886</f>
        <v>6.8595140970795585</v>
      </c>
      <c r="I43" s="363"/>
      <c r="J43" s="363">
        <f>INPUT!J886</f>
        <v>6.5680514477575711</v>
      </c>
      <c r="K43" s="346">
        <f>INPUT!K886</f>
        <v>-38.46143941676111</v>
      </c>
      <c r="L43" s="363">
        <f>INPUT!L886</f>
        <v>5.429476688069161</v>
      </c>
      <c r="M43" s="346">
        <f>INPUT!M886</f>
        <v>-47.111079930155718</v>
      </c>
      <c r="N43" s="363">
        <f>INPUT!N886</f>
        <v>7.0114881698311997</v>
      </c>
      <c r="O43" s="346">
        <f>INPUT!O886</f>
        <v>-15.508139986251102</v>
      </c>
      <c r="P43" s="363">
        <f>INPUT!P886</f>
        <v>5.3228358824337905</v>
      </c>
      <c r="Q43" s="346">
        <f>INPUT!Q886</f>
        <v>-22.40214383843907</v>
      </c>
      <c r="R43" s="363">
        <f>INPUT!R886</f>
        <v>6.6340007461758486</v>
      </c>
      <c r="S43" s="346">
        <f>INPUT!S886</f>
        <v>1.0040922934730245</v>
      </c>
      <c r="T43" s="363">
        <f>INPUT!T886</f>
        <v>6.9599106391563828</v>
      </c>
      <c r="U43" s="346">
        <f>INPUT!U886</f>
        <v>28.187503861103735</v>
      </c>
      <c r="V43" s="363">
        <f>INPUT!V886</f>
        <v>10.672803931370787</v>
      </c>
      <c r="W43" s="346">
        <f>INPUT!W886</f>
        <v>52.218811083407026</v>
      </c>
      <c r="X43" s="363">
        <f>INPUT!X886</f>
        <v>7.1279632784998466</v>
      </c>
      <c r="Y43" s="346">
        <f>INPUT!Y886</f>
        <v>33.912888466527114</v>
      </c>
      <c r="Z43" s="363">
        <f>INPUT!Z886</f>
        <v>5.2598360404602813</v>
      </c>
      <c r="AA43" s="346">
        <f>INPUT!AA886</f>
        <v>-20.713966704144561</v>
      </c>
      <c r="AB43" s="363">
        <f>INPUT!AB886</f>
        <v>7.3757908930608851</v>
      </c>
      <c r="AC43" s="346">
        <f>INPUT!AC886</f>
        <v>5.9753677233262747</v>
      </c>
      <c r="AD43" s="363">
        <f>INPUT!AD886</f>
        <v>6.5051650214802024</v>
      </c>
      <c r="AE43" s="346">
        <f>INPUT!AE886</f>
        <v>-39.049147128436978</v>
      </c>
      <c r="AF43" s="363">
        <f>INPUT!AF886</f>
        <v>7.8853161929738445</v>
      </c>
      <c r="AG43" s="346">
        <f>INPUT!AG886</f>
        <v>10.625095625259595</v>
      </c>
      <c r="AH43" s="363">
        <f>INPUT!AH886</f>
        <v>6.142759698624479</v>
      </c>
      <c r="AI43" s="346">
        <f>INPUT!AI886</f>
        <v>16.786144118799086</v>
      </c>
      <c r="AJ43" s="363">
        <f>INPUT!AJ886</f>
        <v>5.6309592346942834</v>
      </c>
      <c r="AK43" s="346">
        <f>INPUT!AK886</f>
        <v>-23.656197466337236</v>
      </c>
      <c r="AL43" s="363">
        <f>INPUT!AL886</f>
        <v>2.9848481210229254</v>
      </c>
      <c r="AM43" s="346" t="str">
        <f>INPUT!AM886</f>
        <v>NM</v>
      </c>
      <c r="AN43" s="363">
        <f>INPUT!AN886</f>
        <v>6.4670842387830758</v>
      </c>
      <c r="AO43" s="346">
        <f>INPUT!AO886</f>
        <v>-17.985733475779632</v>
      </c>
      <c r="AP43" s="363">
        <f>INPUT!AP886</f>
        <v>1.9768628104684056</v>
      </c>
      <c r="AQ43" s="346" t="str">
        <f>INPUT!AQ886</f>
        <v>NM</v>
      </c>
      <c r="AR43" s="363">
        <f>INPUT!AR886</f>
        <v>2.9723291032184336</v>
      </c>
      <c r="AS43" s="346">
        <f>INPUT!AS886</f>
        <v>-47.214515692017656</v>
      </c>
      <c r="AT43" s="363">
        <f>INPUT!AT886</f>
        <v>-0.85100537983135749</v>
      </c>
      <c r="AU43" s="346" t="str">
        <f>INPUT!AU886</f>
        <v>NM</v>
      </c>
      <c r="AV43" s="363">
        <f>INPUT!AV886</f>
        <v>3.5752996169120967</v>
      </c>
      <c r="AW43" s="346">
        <f>INPUT!AW886</f>
        <v>-44.715431485010804</v>
      </c>
      <c r="AX43" s="363">
        <f>INPUT!AX886</f>
        <v>3.619696137653297</v>
      </c>
      <c r="AY43" s="346">
        <f>INPUT!AY886</f>
        <v>83.103051890365222</v>
      </c>
      <c r="AZ43" s="363">
        <f>INPUT!AZ886</f>
        <v>2.7042044134727035</v>
      </c>
      <c r="BA43" s="346">
        <f>INPUT!BA886</f>
        <v>-9.0206932151424617</v>
      </c>
      <c r="BB43" s="363">
        <f>INPUT!BB886</f>
        <v>1.0594745270697492</v>
      </c>
      <c r="BC43" s="346" t="str">
        <f>INPUT!BC886</f>
        <v>NM</v>
      </c>
      <c r="BD43" s="363">
        <f>INPUT!BD886</f>
        <v>6.9794940548143876</v>
      </c>
      <c r="BE43" s="346">
        <f>INPUT!BE886</f>
        <v>95.214242235799375</v>
      </c>
      <c r="BF43" s="347"/>
      <c r="BG43" s="363"/>
      <c r="BH43" s="364"/>
      <c r="BI43" s="363">
        <f>INPUT!BW886</f>
        <v>5.9878532959228288</v>
      </c>
      <c r="BJ43" s="364">
        <f>INPUT!BX886</f>
        <v>-19.726207832696975</v>
      </c>
      <c r="BK43" s="363">
        <f>INPUT!BY886</f>
        <v>7.639352767599469</v>
      </c>
      <c r="BL43" s="364">
        <f>INPUT!BZ886</f>
        <v>27.580827219016157</v>
      </c>
      <c r="BM43" s="363">
        <f>INPUT!CA886</f>
        <v>6.5394267869988916</v>
      </c>
      <c r="BN43" s="364">
        <f>INPUT!CB886</f>
        <v>-14.398156677168473</v>
      </c>
      <c r="BO43" s="363">
        <f>INPUT!CC886</f>
        <v>5.3068086567092694</v>
      </c>
      <c r="BP43" s="364">
        <f>INPUT!CD886</f>
        <v>-18.84902408786354</v>
      </c>
      <c r="BQ43" s="363">
        <f>INPUT!CE886</f>
        <v>1.9465266586959156</v>
      </c>
      <c r="BR43" s="364" t="str">
        <f>INPUT!CF886</f>
        <v>NM</v>
      </c>
      <c r="BS43" s="363">
        <f>INPUT!CG886</f>
        <v>3.9136637332098214</v>
      </c>
      <c r="BT43" s="364" t="str">
        <f>INPUT!CH886</f>
        <v>NM</v>
      </c>
      <c r="BU43" s="363">
        <f>INPUT!CI886</f>
        <v>9.7818125881965035</v>
      </c>
      <c r="BV43" s="364" t="str">
        <f>INPUT!CJ886</f>
        <v>NM</v>
      </c>
      <c r="BW43" s="363">
        <f>INPUT!CK886</f>
        <v>11.104726033648831</v>
      </c>
      <c r="BX43" s="364">
        <f>INPUT!CL886</f>
        <v>13.524215819148466</v>
      </c>
      <c r="BY43" s="363">
        <f>INPUT!CM886</f>
        <v>11.270417611600768</v>
      </c>
      <c r="BZ43" s="364">
        <f>INPUT!CN886</f>
        <v>1.4920816366821521</v>
      </c>
      <c r="CA43" s="363">
        <f>INPUT!CO886</f>
        <v>11.361146794077866</v>
      </c>
      <c r="CB43" s="364">
        <f>INPUT!CP886</f>
        <v>0.80502059110665325</v>
      </c>
      <c r="CC43" s="363">
        <f>INPUT!CQ886</f>
        <v>11.390427360301475</v>
      </c>
      <c r="CD43" s="364">
        <f>INPUT!CR886</f>
        <v>0.25772544580509038</v>
      </c>
      <c r="CE43" s="346">
        <f>INPUT!CS886</f>
        <v>23.820143271238472</v>
      </c>
    </row>
    <row r="44" spans="1:139" s="331" customFormat="1" x14ac:dyDescent="0.2">
      <c r="A44" s="362" t="s">
        <v>391</v>
      </c>
      <c r="B44" s="365">
        <f>INPUT!B823</f>
        <v>14.154907975460123</v>
      </c>
      <c r="C44" s="365"/>
      <c r="D44" s="365">
        <f>INPUT!D823</f>
        <v>25.751917177914105</v>
      </c>
      <c r="E44" s="365"/>
      <c r="F44" s="365">
        <f>INPUT!F823</f>
        <v>29.490414110429455</v>
      </c>
      <c r="G44" s="365"/>
      <c r="H44" s="365">
        <f>INPUT!H823</f>
        <v>26.483512269938647</v>
      </c>
      <c r="I44" s="365"/>
      <c r="J44" s="365">
        <f>INPUT!J823</f>
        <v>24.504984662576693</v>
      </c>
      <c r="K44" s="346">
        <f>INPUT!K823</f>
        <v>73.120056344132649</v>
      </c>
      <c r="L44" s="365">
        <f>INPUT!L823</f>
        <v>26.718941717791406</v>
      </c>
      <c r="M44" s="346">
        <f>INPUT!M823</f>
        <v>3.7551555218058086</v>
      </c>
      <c r="N44" s="365">
        <f>INPUT!N823</f>
        <v>28.209355828220858</v>
      </c>
      <c r="O44" s="346">
        <f>INPUT!O823</f>
        <v>-4.3439820051748406</v>
      </c>
      <c r="P44" s="365">
        <f>INPUT!P823</f>
        <v>28.766104294478531</v>
      </c>
      <c r="Q44" s="346">
        <f>INPUT!Q823</f>
        <v>8.6189173145695186</v>
      </c>
      <c r="R44" s="365">
        <f>INPUT!R823</f>
        <v>22.811733128834366</v>
      </c>
      <c r="S44" s="346">
        <f>INPUT!S823</f>
        <v>-6.9098249072900302</v>
      </c>
      <c r="T44" s="365">
        <f>INPUT!T823</f>
        <v>24.54294478527607</v>
      </c>
      <c r="U44" s="346">
        <f>INPUT!U823</f>
        <v>-8.1440236499576653</v>
      </c>
      <c r="V44" s="365">
        <f>INPUT!V823</f>
        <v>28.282208588957054</v>
      </c>
      <c r="W44" s="346">
        <f>INPUT!W823</f>
        <v>0.25825744189207356</v>
      </c>
      <c r="X44" s="365">
        <f>INPUT!X823</f>
        <v>31.731371799770727</v>
      </c>
      <c r="Y44" s="346">
        <f>INPUT!Y823</f>
        <v>10.308199799794782</v>
      </c>
      <c r="Z44" s="365">
        <f>INPUT!Z823</f>
        <v>32.524538672948566</v>
      </c>
      <c r="AA44" s="346">
        <f>INPUT!AA823</f>
        <v>42.57811315457252</v>
      </c>
      <c r="AB44" s="365">
        <f>INPUT!AB823</f>
        <v>33.076983503534962</v>
      </c>
      <c r="AC44" s="346">
        <f>INPUT!AC823</f>
        <v>34.771861294243209</v>
      </c>
      <c r="AD44" s="365">
        <f>INPUT!AD823</f>
        <v>33.867288961038966</v>
      </c>
      <c r="AE44" s="346">
        <f>INPUT!AE823</f>
        <v>19.747681142068373</v>
      </c>
      <c r="AF44" s="365">
        <f>INPUT!AF823</f>
        <v>43.243075651095481</v>
      </c>
      <c r="AG44" s="346">
        <f>INPUT!AG823</f>
        <v>36.278620174271616</v>
      </c>
      <c r="AH44" s="365">
        <f>INPUT!AH823</f>
        <v>43.655895196506556</v>
      </c>
      <c r="AI44" s="346">
        <f>INPUT!AI823</f>
        <v>34.224487041890626</v>
      </c>
      <c r="AJ44" s="365">
        <f>INPUT!AJ823</f>
        <v>44.615996464869632</v>
      </c>
      <c r="AK44" s="346">
        <f>INPUT!AK823</f>
        <v>34.885324292348145</v>
      </c>
      <c r="AL44" s="365">
        <f>INPUT!AL823</f>
        <v>44.544356711565264</v>
      </c>
      <c r="AM44" s="346">
        <f>INPUT!AM823</f>
        <v>31.526195565311511</v>
      </c>
      <c r="AN44" s="365">
        <f>INPUT!AN823</f>
        <v>43.878048780487795</v>
      </c>
      <c r="AO44" s="346">
        <f>INPUT!AO823</f>
        <v>1.4683810525309537</v>
      </c>
      <c r="AP44" s="365">
        <f>INPUT!AP823</f>
        <v>42.422058823529404</v>
      </c>
      <c r="AQ44" s="346">
        <f>INPUT!AQ823</f>
        <v>-2.8262766515801174</v>
      </c>
      <c r="AR44" s="365">
        <f>INPUT!AR823</f>
        <v>43.092907092907097</v>
      </c>
      <c r="AS44" s="346">
        <f>INPUT!AS823</f>
        <v>-3.4137741900750918</v>
      </c>
      <c r="AT44" s="365">
        <f>INPUT!AT823</f>
        <v>45.266700924974295</v>
      </c>
      <c r="AU44" s="346">
        <f>INPUT!AU823</f>
        <v>1.6216290159634994</v>
      </c>
      <c r="AV44" s="365">
        <f>INPUT!AV823</f>
        <v>45.3622816032888</v>
      </c>
      <c r="AW44" s="346">
        <f>INPUT!AW823</f>
        <v>3.3826317807026829</v>
      </c>
      <c r="AX44" s="365">
        <f>INPUT!AX823</f>
        <v>47.111637704054765</v>
      </c>
      <c r="AY44" s="346">
        <f>INPUT!AY823</f>
        <v>11.054576346785616</v>
      </c>
      <c r="AZ44" s="365">
        <f>INPUT!AZ823</f>
        <v>49.6076794657763</v>
      </c>
      <c r="BA44" s="346">
        <f>INPUT!BA823</f>
        <v>15.117969086707328</v>
      </c>
      <c r="BB44" s="365">
        <f>INPUT!BB823</f>
        <v>50.582081246521994</v>
      </c>
      <c r="BC44" s="346">
        <f>INPUT!BC823</f>
        <v>11.742362957613128</v>
      </c>
      <c r="BD44" s="365">
        <f>INPUT!BD823</f>
        <v>31.662790697674417</v>
      </c>
      <c r="BE44" s="346">
        <f>INPUT!BE823</f>
        <v>-30.200180461428026</v>
      </c>
      <c r="BF44" s="347"/>
      <c r="BG44" s="365"/>
      <c r="BH44" s="364"/>
      <c r="BI44" s="365">
        <f>INPUT!BW823</f>
        <v>28.766104294478531</v>
      </c>
      <c r="BJ44" s="364">
        <f>INPUT!BX823</f>
        <v>8.6189173145695186</v>
      </c>
      <c r="BK44" s="365">
        <f>INPUT!BY823</f>
        <v>31.731371799770727</v>
      </c>
      <c r="BL44" s="364">
        <f>INPUT!BZ823</f>
        <v>10.308199799794782</v>
      </c>
      <c r="BM44" s="365">
        <f>INPUT!CA823</f>
        <v>43.243075651095481</v>
      </c>
      <c r="BN44" s="364">
        <f>INPUT!CB823</f>
        <v>36.278620174271616</v>
      </c>
      <c r="BO44" s="365">
        <f>INPUT!CC823</f>
        <v>43.878048780487795</v>
      </c>
      <c r="BP44" s="364">
        <f>INPUT!CD823</f>
        <v>1.4683810525309537</v>
      </c>
      <c r="BQ44" s="365">
        <f>INPUT!CE823</f>
        <v>45.3622816032888</v>
      </c>
      <c r="BR44" s="364">
        <f>INPUT!CF823</f>
        <v>3.3826317807026829</v>
      </c>
      <c r="BS44" s="365">
        <f>INPUT!CG823</f>
        <v>31.662790697674417</v>
      </c>
      <c r="BT44" s="364">
        <f>INPUT!CH823</f>
        <v>-30.200180461428026</v>
      </c>
      <c r="BU44" s="365">
        <f>INPUT!CI823</f>
        <v>34.177152664078733</v>
      </c>
      <c r="BV44" s="364">
        <f>INPUT!CJ823</f>
        <v>7.9410623984859097</v>
      </c>
      <c r="BW44" s="365">
        <f>INPUT!CK823</f>
        <v>39.077326686234699</v>
      </c>
      <c r="BX44" s="364">
        <f>INPUT!CL823</f>
        <v>14.337572442967739</v>
      </c>
      <c r="BY44" s="365">
        <f>INPUT!CM823</f>
        <v>44.703571814686789</v>
      </c>
      <c r="BZ44" s="364">
        <f>INPUT!CN823</f>
        <v>14.397722683609215</v>
      </c>
      <c r="CA44" s="365">
        <f>INPUT!CO823</f>
        <v>51.143684927072655</v>
      </c>
      <c r="CB44" s="364">
        <f>INPUT!CP823</f>
        <v>14.40626073254856</v>
      </c>
      <c r="CC44" s="365">
        <f>INPUT!CQ823</f>
        <v>58.497802093602722</v>
      </c>
      <c r="CD44" s="364">
        <f>INPUT!CR823</f>
        <v>14.379325965691624</v>
      </c>
      <c r="CE44" s="346">
        <f>INPUT!CS823</f>
        <v>0</v>
      </c>
    </row>
    <row r="45" spans="1:139" s="331" customFormat="1" x14ac:dyDescent="0.2">
      <c r="A45" s="362" t="s">
        <v>375</v>
      </c>
      <c r="B45" s="363"/>
      <c r="C45" s="363"/>
      <c r="D45" s="363"/>
      <c r="E45" s="363"/>
      <c r="F45" s="363"/>
      <c r="G45" s="363"/>
      <c r="H45" s="363"/>
      <c r="I45" s="363"/>
      <c r="J45" s="363"/>
      <c r="K45" s="346"/>
      <c r="L45" s="363"/>
      <c r="M45" s="346"/>
      <c r="N45" s="363"/>
      <c r="O45" s="346"/>
      <c r="P45" s="363"/>
      <c r="Q45" s="346"/>
      <c r="R45" s="363">
        <f>INPUT!R815</f>
        <v>9.0417640031855573</v>
      </c>
      <c r="S45" s="346" t="str">
        <f>INPUT!S815</f>
        <v>NA</v>
      </c>
      <c r="T45" s="363">
        <f>INPUT!T815</f>
        <v>10.357540380178003</v>
      </c>
      <c r="U45" s="346" t="str">
        <f>INPUT!U815</f>
        <v>NA</v>
      </c>
      <c r="V45" s="363">
        <f>INPUT!V815</f>
        <v>13.137743833628884</v>
      </c>
      <c r="W45" s="346" t="str">
        <f>INPUT!W815</f>
        <v>NA</v>
      </c>
      <c r="X45" s="363">
        <f>INPUT!X815</f>
        <v>11.05654011269117</v>
      </c>
      <c r="Y45" s="346" t="str">
        <f>INPUT!Y815</f>
        <v>NA</v>
      </c>
      <c r="Z45" s="363">
        <f>INPUT!Z815</f>
        <v>9.6701396840976503</v>
      </c>
      <c r="AA45" s="346">
        <f>INPUT!AA815</f>
        <v>6.9497023002448088</v>
      </c>
      <c r="AB45" s="363">
        <f>INPUT!AB815</f>
        <v>11.987995344404123</v>
      </c>
      <c r="AC45" s="346">
        <f>INPUT!AC815</f>
        <v>15.74171960117523</v>
      </c>
      <c r="AD45" s="363">
        <f>INPUT!AD815</f>
        <v>12.328455642351562</v>
      </c>
      <c r="AE45" s="346">
        <f>INPUT!AE815</f>
        <v>-6.1600241375218019</v>
      </c>
      <c r="AF45" s="363">
        <f>INPUT!AF815</f>
        <v>14.401704199634816</v>
      </c>
      <c r="AG45" s="346">
        <f>INPUT!AG815</f>
        <v>30.255071232490916</v>
      </c>
      <c r="AH45" s="363">
        <f>INPUT!AH815</f>
        <v>11.851155830168359</v>
      </c>
      <c r="AI45" s="346">
        <f>INPUT!AI815</f>
        <v>22.554132797661097</v>
      </c>
      <c r="AJ45" s="363">
        <f>INPUT!AJ815</f>
        <v>11.801351783865197</v>
      </c>
      <c r="AK45" s="346">
        <f>INPUT!AK815</f>
        <v>-1.5569205290528298</v>
      </c>
      <c r="AL45" s="363">
        <f>INPUT!AL815</f>
        <v>11.321650270723707</v>
      </c>
      <c r="AM45" s="346">
        <f>INPUT!AM815</f>
        <v>-8.1665165600240179</v>
      </c>
      <c r="AN45" s="363">
        <f>INPUT!AN815</f>
        <v>13.536605953779867</v>
      </c>
      <c r="AO45" s="346">
        <f>INPUT!AO815</f>
        <v>-6.0069158056786476</v>
      </c>
      <c r="AP45" s="363">
        <f>INPUT!AP815</f>
        <v>7.5918527696502789</v>
      </c>
      <c r="AQ45" s="346">
        <f>INPUT!AQ815</f>
        <v>-35.939980214213186</v>
      </c>
      <c r="AR45" s="363">
        <f>INPUT!AR815</f>
        <v>12.24091683708248</v>
      </c>
      <c r="AS45" s="346">
        <f>INPUT!AS815</f>
        <v>3.7247008755239008</v>
      </c>
      <c r="AT45" s="363">
        <f>INPUT!AT815</f>
        <v>13.444428827507537</v>
      </c>
      <c r="AU45" s="346">
        <f>INPUT!AU815</f>
        <v>18.749727345606626</v>
      </c>
      <c r="AV45" s="363">
        <f>INPUT!AV815</f>
        <v>11.544544184494763</v>
      </c>
      <c r="AW45" s="346">
        <f>INPUT!AW815</f>
        <v>-14.716109607437122</v>
      </c>
      <c r="AX45" s="363">
        <f>INPUT!AX815</f>
        <v>9.4544000257499601</v>
      </c>
      <c r="AY45" s="346">
        <f>INPUT!AY815</f>
        <v>24.53350074892824</v>
      </c>
      <c r="AZ45" s="363">
        <f>INPUT!AZ815</f>
        <v>12.190430163706019</v>
      </c>
      <c r="BA45" s="346">
        <f>INPUT!BA815</f>
        <v>-0.41244192774447797</v>
      </c>
      <c r="BB45" s="363">
        <f>INPUT!BB815</f>
        <v>12.270959595959596</v>
      </c>
      <c r="BC45" s="346">
        <f>INPUT!BC815</f>
        <v>-8.7282936791409309</v>
      </c>
      <c r="BD45" s="363">
        <f>INPUT!BD815</f>
        <v>13.170994427028903</v>
      </c>
      <c r="BE45" s="346">
        <f>INPUT!BE815</f>
        <v>14.08847518396259</v>
      </c>
      <c r="BF45" s="347"/>
      <c r="BG45" s="363"/>
      <c r="BH45" s="364"/>
      <c r="BI45" s="363">
        <f>INPUT!BW815</f>
        <v>7.4517841557569682</v>
      </c>
      <c r="BJ45" s="364" t="str">
        <f>INPUT!BX815</f>
        <v>NA</v>
      </c>
      <c r="BK45" s="363">
        <f>INPUT!BY815</f>
        <v>10.895767087142067</v>
      </c>
      <c r="BL45" s="364">
        <f>INPUT!BZ815</f>
        <v>46.216890604975561</v>
      </c>
      <c r="BM45" s="363">
        <f>INPUT!CA815</f>
        <v>12.070826891570716</v>
      </c>
      <c r="BN45" s="364">
        <f>INPUT!CB815</f>
        <v>10.784553258442164</v>
      </c>
      <c r="BO45" s="363">
        <f>INPUT!CC815</f>
        <v>12.116677738010022</v>
      </c>
      <c r="BP45" s="364">
        <f>INPUT!CD815</f>
        <v>0.379848430030294</v>
      </c>
      <c r="BQ45" s="363">
        <f>INPUT!CE815</f>
        <v>11.186555061901208</v>
      </c>
      <c r="BR45" s="364">
        <f>INPUT!CF815</f>
        <v>-7.6763837102889916</v>
      </c>
      <c r="BS45" s="363">
        <f>INPUT!CG815</f>
        <v>11.763327097228995</v>
      </c>
      <c r="BT45" s="364">
        <f>INPUT!CH815</f>
        <v>5.1559397163487564</v>
      </c>
      <c r="BU45" s="363">
        <f>INPUT!CI815</f>
        <v>12.461753828480884</v>
      </c>
      <c r="BV45" s="364">
        <f>INPUT!CJ815</f>
        <v>5.9373230505203933</v>
      </c>
      <c r="BW45" s="363">
        <f>INPUT!CK815</f>
        <v>13.033362601541537</v>
      </c>
      <c r="BX45" s="364">
        <f>INPUT!CL815</f>
        <v>4.5869047080216108</v>
      </c>
      <c r="BY45" s="363">
        <f>INPUT!CM815</f>
        <v>13.578141398949867</v>
      </c>
      <c r="BZ45" s="364">
        <f>INPUT!CN815</f>
        <v>4.1798790846492295</v>
      </c>
      <c r="CA45" s="363">
        <f>INPUT!CO815</f>
        <v>14.110354443843317</v>
      </c>
      <c r="CB45" s="364">
        <f>INPUT!CP815</f>
        <v>3.91963103974311</v>
      </c>
      <c r="CC45" s="363">
        <f>INPUT!CQ815</f>
        <v>14.637413102213264</v>
      </c>
      <c r="CD45" s="364">
        <f>INPUT!CR815</f>
        <v>3.7352616510630376</v>
      </c>
      <c r="CE45" s="346">
        <f>INPUT!CS815</f>
        <v>0</v>
      </c>
    </row>
    <row r="46" spans="1:139" s="331" customFormat="1" x14ac:dyDescent="0.2">
      <c r="A46" s="362" t="s">
        <v>392</v>
      </c>
      <c r="B46" s="365"/>
      <c r="C46" s="365"/>
      <c r="D46" s="365"/>
      <c r="E46" s="365"/>
      <c r="F46" s="365"/>
      <c r="G46" s="365"/>
      <c r="H46" s="365"/>
      <c r="I46" s="365"/>
      <c r="J46" s="365"/>
      <c r="K46" s="346"/>
      <c r="L46" s="365"/>
      <c r="M46" s="346"/>
      <c r="N46" s="365"/>
      <c r="O46" s="346"/>
      <c r="P46" s="365"/>
      <c r="Q46" s="346"/>
      <c r="R46" s="365">
        <f>INPUT!R812</f>
        <v>25.916411042944784</v>
      </c>
      <c r="S46" s="346" t="str">
        <f>INPUT!S812</f>
        <v>NA</v>
      </c>
      <c r="T46" s="365">
        <f>INPUT!T812</f>
        <v>26.428297546012267</v>
      </c>
      <c r="U46" s="346" t="str">
        <f>INPUT!U812</f>
        <v>NA</v>
      </c>
      <c r="V46" s="365">
        <f>INPUT!V812</f>
        <v>27.086848159509202</v>
      </c>
      <c r="W46" s="346" t="str">
        <f>INPUT!W812</f>
        <v>NA</v>
      </c>
      <c r="X46" s="365">
        <f>INPUT!X812</f>
        <v>26.411922048146735</v>
      </c>
      <c r="Y46" s="346">
        <f>INPUT!Y812</f>
        <v>-6.5020289774791351</v>
      </c>
      <c r="Z46" s="365">
        <f>INPUT!Z812</f>
        <v>26.863957597173147</v>
      </c>
      <c r="AA46" s="346">
        <f>INPUT!AA812</f>
        <v>3.6561642453433629</v>
      </c>
      <c r="AB46" s="365">
        <f>INPUT!AB812</f>
        <v>26.697761194029852</v>
      </c>
      <c r="AC46" s="346">
        <f>INPUT!AC812</f>
        <v>1.0196027479577152</v>
      </c>
      <c r="AD46" s="365">
        <f>INPUT!AD812</f>
        <v>27.744521103896105</v>
      </c>
      <c r="AE46" s="346">
        <f>INPUT!AE812</f>
        <v>2.4280157680730996</v>
      </c>
      <c r="AF46" s="365">
        <f>INPUT!AF812</f>
        <v>27.212691194708558</v>
      </c>
      <c r="AG46" s="346">
        <f>INPUT!AG812</f>
        <v>3.0318473040397809</v>
      </c>
      <c r="AH46" s="365">
        <f>INPUT!AH812</f>
        <v>29.030567685589521</v>
      </c>
      <c r="AI46" s="346">
        <f>INPUT!AI812</f>
        <v>8.0651187770053756</v>
      </c>
      <c r="AJ46" s="365">
        <f>INPUT!AJ812</f>
        <v>29.300707026071585</v>
      </c>
      <c r="AK46" s="346">
        <f>INPUT!AK812</f>
        <v>9.7496783086957972</v>
      </c>
      <c r="AL46" s="365">
        <f>INPUT!AL812</f>
        <v>30.107988852763583</v>
      </c>
      <c r="AM46" s="346">
        <f>INPUT!AM812</f>
        <v>8.5186828059381483</v>
      </c>
      <c r="AN46" s="365">
        <f>INPUT!AN812</f>
        <v>30.046628407460545</v>
      </c>
      <c r="AO46" s="346">
        <f>INPUT!AO812</f>
        <v>10.414027750783571</v>
      </c>
      <c r="AP46" s="365">
        <f>INPUT!AP812</f>
        <v>30.772058823529413</v>
      </c>
      <c r="AQ46" s="346">
        <f>INPUT!AQ812</f>
        <v>5.9988187513272395</v>
      </c>
      <c r="AR46" s="365">
        <f>INPUT!AR812</f>
        <v>30.929070929070932</v>
      </c>
      <c r="AS46" s="346">
        <f>INPUT!AS812</f>
        <v>5.5574218791049512</v>
      </c>
      <c r="AT46" s="365">
        <f>INPUT!AT812</f>
        <v>31.248715313463517</v>
      </c>
      <c r="AU46" s="346">
        <f>INPUT!AU812</f>
        <v>3.7887833235172419</v>
      </c>
      <c r="AV46" s="365">
        <f>INPUT!AV812</f>
        <v>30.3622816032888</v>
      </c>
      <c r="AW46" s="346">
        <f>INPUT!AW812</f>
        <v>1.0505444788936114</v>
      </c>
      <c r="AX46" s="365">
        <f>INPUT!AX812</f>
        <v>30.236966824644547</v>
      </c>
      <c r="AY46" s="346">
        <f>INPUT!AY812</f>
        <v>-1.7388891720033883</v>
      </c>
      <c r="AZ46" s="365">
        <f>INPUT!AZ812</f>
        <v>31.953255425709518</v>
      </c>
      <c r="BA46" s="346">
        <f>INPUT!BA812</f>
        <v>3.3113975488863856</v>
      </c>
      <c r="BB46" s="365">
        <f>INPUT!BB812</f>
        <v>31.953255425709518</v>
      </c>
      <c r="BC46" s="346">
        <f>INPUT!BC812</f>
        <v>2.2546210465889116</v>
      </c>
      <c r="BD46" s="365">
        <f>INPUT!BD812</f>
        <v>33.383720930232556</v>
      </c>
      <c r="BE46" s="346">
        <f>INPUT!BE812</f>
        <v>9.9512920880638909</v>
      </c>
      <c r="BF46" s="347"/>
      <c r="BG46" s="365"/>
      <c r="BH46" s="364"/>
      <c r="BI46" s="365">
        <f>INPUT!BW812</f>
        <v>28.248657975460123</v>
      </c>
      <c r="BJ46" s="364" t="str">
        <f>INPUT!BX812</f>
        <v>NA</v>
      </c>
      <c r="BK46" s="365">
        <f>INPUT!BY812</f>
        <v>26.411922048146735</v>
      </c>
      <c r="BL46" s="364">
        <f>INPUT!BZ812</f>
        <v>-6.5020289774791351</v>
      </c>
      <c r="BM46" s="365">
        <f>INPUT!CA812</f>
        <v>27.212691194708558</v>
      </c>
      <c r="BN46" s="364">
        <f>INPUT!CB812</f>
        <v>3.0318473040397809</v>
      </c>
      <c r="BO46" s="365">
        <f>INPUT!CC812</f>
        <v>30.046628407460545</v>
      </c>
      <c r="BP46" s="364">
        <f>INPUT!CD812</f>
        <v>10.414027750783571</v>
      </c>
      <c r="BQ46" s="365">
        <f>INPUT!CE812</f>
        <v>30.3622816032888</v>
      </c>
      <c r="BR46" s="364">
        <f>INPUT!CF812</f>
        <v>1.0505444788936114</v>
      </c>
      <c r="BS46" s="365">
        <f>INPUT!CG812</f>
        <v>33.383720930232556</v>
      </c>
      <c r="BT46" s="364">
        <f>INPUT!CH812</f>
        <v>9.9512920880638909</v>
      </c>
      <c r="BU46" s="365">
        <f>INPUT!CI812</f>
        <v>37.928248075880958</v>
      </c>
      <c r="BV46" s="364">
        <f>INPUT!CJ812</f>
        <v>13.613003640744093</v>
      </c>
      <c r="BW46" s="365">
        <f>INPUT!CK812</f>
        <v>40.721773191159784</v>
      </c>
      <c r="BX46" s="364">
        <f>INPUT!CL812</f>
        <v>7.3652890839829288</v>
      </c>
      <c r="BY46" s="365">
        <f>INPUT!CM812</f>
        <v>43.70461598892738</v>
      </c>
      <c r="BZ46" s="364">
        <f>INPUT!CN812</f>
        <v>7.3249334791126719</v>
      </c>
      <c r="CA46" s="365">
        <f>INPUT!CO812</f>
        <v>46.887183306255103</v>
      </c>
      <c r="CB46" s="364">
        <f>INPUT!CP812</f>
        <v>7.2819935499125021</v>
      </c>
      <c r="CC46" s="365">
        <f>INPUT!CQ812</f>
        <v>50.28009695907312</v>
      </c>
      <c r="CD46" s="364">
        <f>INPUT!CR812</f>
        <v>7.2363349929902343</v>
      </c>
      <c r="CE46" s="346">
        <f>INPUT!CS812</f>
        <v>0</v>
      </c>
    </row>
    <row r="47" spans="1:139" s="331" customFormat="1" x14ac:dyDescent="0.2">
      <c r="A47" s="362" t="s">
        <v>393</v>
      </c>
      <c r="B47" s="365"/>
      <c r="C47" s="365"/>
      <c r="D47" s="365"/>
      <c r="E47" s="365"/>
      <c r="F47" s="365"/>
      <c r="G47" s="365"/>
      <c r="H47" s="365"/>
      <c r="I47" s="365"/>
      <c r="J47" s="365"/>
      <c r="K47" s="346"/>
      <c r="L47" s="365"/>
      <c r="M47" s="346"/>
      <c r="N47" s="365"/>
      <c r="O47" s="346"/>
      <c r="P47" s="365"/>
      <c r="Q47" s="346"/>
      <c r="R47" s="365">
        <f>INPUT!R813</f>
        <v>27.210697852760745</v>
      </c>
      <c r="S47" s="346" t="str">
        <f>INPUT!S813</f>
        <v>NA</v>
      </c>
      <c r="T47" s="365">
        <f>INPUT!T813</f>
        <v>28.361004601226991</v>
      </c>
      <c r="U47" s="346" t="str">
        <f>INPUT!U813</f>
        <v>NA</v>
      </c>
      <c r="V47" s="365">
        <f>INPUT!V813</f>
        <v>31.583588957055213</v>
      </c>
      <c r="W47" s="346" t="str">
        <f>INPUT!W813</f>
        <v>NA</v>
      </c>
      <c r="X47" s="365">
        <f>INPUT!X813</f>
        <v>34.710928544134504</v>
      </c>
      <c r="Y47" s="346">
        <f>INPUT!Y813</f>
        <v>8.8354973647796662</v>
      </c>
      <c r="Z47" s="365">
        <f>INPUT!Z813</f>
        <v>35.606595995288579</v>
      </c>
      <c r="AA47" s="346">
        <f>INPUT!AA813</f>
        <v>30.855137152155045</v>
      </c>
      <c r="AB47" s="365">
        <f>INPUT!AB813</f>
        <v>36.310487038491758</v>
      </c>
      <c r="AC47" s="346">
        <f>INPUT!AC813</f>
        <v>28.029622183837756</v>
      </c>
      <c r="AD47" s="365">
        <f>INPUT!AD813</f>
        <v>37.39204545454546</v>
      </c>
      <c r="AE47" s="346">
        <f>INPUT!AE813</f>
        <v>18.390742437118579</v>
      </c>
      <c r="AF47" s="365">
        <f>INPUT!AF813</f>
        <v>45.911533691608085</v>
      </c>
      <c r="AG47" s="346">
        <f>INPUT!AG813</f>
        <v>32.268238325091623</v>
      </c>
      <c r="AH47" s="365">
        <f>INPUT!AH813</f>
        <v>46.511790393013101</v>
      </c>
      <c r="AI47" s="346">
        <f>INPUT!AI813</f>
        <v>30.626893958544876</v>
      </c>
      <c r="AJ47" s="365">
        <f>INPUT!AJ813</f>
        <v>47.543526292532029</v>
      </c>
      <c r="AK47" s="346">
        <f>INPUT!AK813</f>
        <v>30.936074314102235</v>
      </c>
      <c r="AL47" s="365">
        <f>INPUT!AL813</f>
        <v>47.62145843009754</v>
      </c>
      <c r="AM47" s="346">
        <f>INPUT!AM813</f>
        <v>27.35719014887048</v>
      </c>
      <c r="AN47" s="365">
        <f>INPUT!AN813</f>
        <v>47.268770923003338</v>
      </c>
      <c r="AO47" s="346">
        <f>INPUT!AO813</f>
        <v>2.9562010289439167</v>
      </c>
      <c r="AP47" s="365">
        <f>INPUT!AP813</f>
        <v>46.504166666666663</v>
      </c>
      <c r="AQ47" s="346">
        <f>INPUT!AQ813</f>
        <v>-1.639095438386029E-2</v>
      </c>
      <c r="AR47" s="365">
        <f>INPUT!AR813</f>
        <v>47.178821178821188</v>
      </c>
      <c r="AS47" s="346">
        <f>INPUT!AS813</f>
        <v>-0.76709731513567858</v>
      </c>
      <c r="AT47" s="365">
        <f>INPUT!AT813</f>
        <v>48.966598150051375</v>
      </c>
      <c r="AU47" s="346">
        <f>INPUT!AU813</f>
        <v>2.8246504082363177</v>
      </c>
      <c r="AV47" s="365">
        <f>INPUT!AV813</f>
        <v>48.247687564234326</v>
      </c>
      <c r="AW47" s="346">
        <f>INPUT!AW813</f>
        <v>2.0709585252926432</v>
      </c>
      <c r="AX47" s="365">
        <f>INPUT!AX813</f>
        <v>49.523433385992625</v>
      </c>
      <c r="AY47" s="346">
        <f>INPUT!AY813</f>
        <v>6.4924649461359341</v>
      </c>
      <c r="AZ47" s="365">
        <f>INPUT!AZ813</f>
        <v>52.156371730662215</v>
      </c>
      <c r="BA47" s="346">
        <f>INPUT!BA813</f>
        <v>10.550391950181815</v>
      </c>
      <c r="BB47" s="365">
        <f>INPUT!BB813</f>
        <v>53.130773511407916</v>
      </c>
      <c r="BC47" s="346">
        <f>INPUT!BC813</f>
        <v>8.5041140668910664</v>
      </c>
      <c r="BD47" s="365">
        <f>INPUT!BD813</f>
        <v>34.325581395348834</v>
      </c>
      <c r="BE47" s="346">
        <f>INPUT!BE813</f>
        <v>-28.855488981415668</v>
      </c>
      <c r="BF47" s="347"/>
      <c r="BG47" s="365"/>
      <c r="BH47" s="364"/>
      <c r="BI47" s="365">
        <f>INPUT!BW813</f>
        <v>31.89302147239264</v>
      </c>
      <c r="BJ47" s="364" t="str">
        <f>INPUT!BX813</f>
        <v>NA</v>
      </c>
      <c r="BK47" s="365">
        <f>INPUT!BY813</f>
        <v>34.710928544134504</v>
      </c>
      <c r="BL47" s="364">
        <f>INPUT!BZ813</f>
        <v>8.8354973647796662</v>
      </c>
      <c r="BM47" s="365">
        <f>INPUT!CA813</f>
        <v>45.911533691608085</v>
      </c>
      <c r="BN47" s="364">
        <f>INPUT!CB813</f>
        <v>32.268238325091623</v>
      </c>
      <c r="BO47" s="365">
        <f>INPUT!CC813</f>
        <v>47.268770923003338</v>
      </c>
      <c r="BP47" s="364">
        <f>INPUT!CD813</f>
        <v>2.9562010289439167</v>
      </c>
      <c r="BQ47" s="365">
        <f>INPUT!CE813</f>
        <v>48.247687564234326</v>
      </c>
      <c r="BR47" s="364">
        <f>INPUT!CF813</f>
        <v>2.0709585252926432</v>
      </c>
      <c r="BS47" s="365">
        <f>INPUT!CG813</f>
        <v>34.325581395348834</v>
      </c>
      <c r="BT47" s="364">
        <f>INPUT!CH813</f>
        <v>-28.855488981415668</v>
      </c>
      <c r="BU47" s="365">
        <f>INPUT!CI813</f>
        <v>37.202429156372965</v>
      </c>
      <c r="BV47" s="364">
        <f>INPUT!CJ813</f>
        <v>8.3810605504090585</v>
      </c>
      <c r="BW47" s="365">
        <f>INPUT!CK813</f>
        <v>42.098056758168283</v>
      </c>
      <c r="BX47" s="364">
        <f>INPUT!CL813</f>
        <v>13.159429942645762</v>
      </c>
      <c r="BY47" s="365">
        <f>INPUT!CM813</f>
        <v>47.718628597153007</v>
      </c>
      <c r="BZ47" s="364">
        <f>INPUT!CN813</f>
        <v>13.351143192361636</v>
      </c>
      <c r="CA47" s="365">
        <f>INPUT!CO813</f>
        <v>54.151875038361851</v>
      </c>
      <c r="CB47" s="364">
        <f>INPUT!CP813</f>
        <v>13.48162474558765</v>
      </c>
      <c r="CC47" s="365">
        <f>INPUT!CQ813</f>
        <v>61.497863820823049</v>
      </c>
      <c r="CD47" s="364">
        <f>INPUT!CR813</f>
        <v>13.565529868092675</v>
      </c>
      <c r="CE47" s="346">
        <f>INPUT!CS813</f>
        <v>0</v>
      </c>
    </row>
    <row r="48" spans="1:139" s="331" customFormat="1" x14ac:dyDescent="0.2">
      <c r="B48" s="345"/>
      <c r="C48" s="346"/>
      <c r="D48" s="345"/>
      <c r="E48" s="346"/>
      <c r="F48" s="345"/>
      <c r="G48" s="346"/>
      <c r="H48" s="345"/>
      <c r="I48" s="346"/>
      <c r="J48" s="345"/>
      <c r="K48" s="346"/>
      <c r="L48" s="345"/>
      <c r="M48" s="346"/>
      <c r="N48" s="345"/>
      <c r="O48" s="346"/>
      <c r="P48" s="345"/>
      <c r="Q48" s="346"/>
      <c r="R48" s="345"/>
      <c r="S48" s="346"/>
      <c r="T48" s="345"/>
      <c r="U48" s="346"/>
      <c r="V48" s="345"/>
      <c r="W48" s="346"/>
      <c r="X48" s="345"/>
      <c r="Y48" s="346"/>
      <c r="Z48" s="345"/>
      <c r="AA48" s="346"/>
      <c r="AB48" s="345"/>
      <c r="AC48" s="346"/>
      <c r="AD48" s="345"/>
      <c r="AE48" s="346"/>
      <c r="AF48" s="345"/>
      <c r="AG48" s="346"/>
      <c r="AH48" s="345"/>
      <c r="AI48" s="346"/>
      <c r="AJ48" s="345"/>
      <c r="AK48" s="346"/>
      <c r="AL48" s="345"/>
      <c r="AM48" s="346"/>
      <c r="AN48" s="345"/>
      <c r="AO48" s="346"/>
      <c r="AP48" s="345"/>
      <c r="AQ48" s="346"/>
      <c r="AR48" s="345"/>
      <c r="AS48" s="346"/>
      <c r="AT48" s="345"/>
      <c r="AU48" s="346"/>
      <c r="AV48" s="345"/>
      <c r="AW48" s="346"/>
      <c r="AX48" s="345"/>
      <c r="AY48" s="346"/>
      <c r="AZ48" s="345"/>
      <c r="BA48" s="346"/>
      <c r="BB48" s="345"/>
      <c r="BC48" s="346"/>
      <c r="BD48" s="345"/>
      <c r="BE48" s="346"/>
      <c r="BF48" s="347"/>
      <c r="BG48" s="345"/>
      <c r="BH48" s="346"/>
      <c r="BI48" s="345"/>
      <c r="BJ48" s="346"/>
      <c r="BK48" s="345"/>
      <c r="BL48" s="346"/>
      <c r="BM48" s="345"/>
      <c r="BN48" s="346"/>
      <c r="BO48" s="345"/>
      <c r="BP48" s="346"/>
      <c r="BQ48" s="345"/>
      <c r="BR48" s="346"/>
      <c r="BS48" s="345"/>
      <c r="BT48" s="346"/>
      <c r="BU48" s="345"/>
      <c r="BV48" s="346"/>
      <c r="BW48" s="345"/>
      <c r="BX48" s="346"/>
      <c r="BY48" s="345"/>
      <c r="BZ48" s="346"/>
      <c r="CA48" s="345"/>
      <c r="CB48" s="346"/>
      <c r="CC48" s="345"/>
      <c r="CD48" s="346"/>
      <c r="CE48" s="346"/>
    </row>
    <row r="49" spans="1:154" s="331" customFormat="1" x14ac:dyDescent="0.2">
      <c r="A49" s="366" t="s">
        <v>252</v>
      </c>
      <c r="C49" s="332"/>
      <c r="E49" s="332"/>
      <c r="G49" s="332"/>
      <c r="I49" s="332"/>
      <c r="K49" s="332"/>
      <c r="M49" s="332"/>
      <c r="O49" s="332"/>
      <c r="Q49" s="332"/>
      <c r="S49" s="332"/>
      <c r="U49" s="332"/>
      <c r="W49" s="332"/>
      <c r="Y49" s="332"/>
      <c r="AA49" s="332"/>
      <c r="AC49" s="332"/>
      <c r="AE49" s="332"/>
      <c r="AG49" s="332"/>
      <c r="AI49" s="332"/>
      <c r="AK49" s="332"/>
      <c r="AM49" s="332"/>
      <c r="AO49" s="332"/>
      <c r="AQ49" s="332"/>
      <c r="AS49" s="332"/>
      <c r="AU49" s="332"/>
      <c r="AW49" s="332"/>
      <c r="AY49" s="332"/>
      <c r="BA49" s="332"/>
      <c r="BC49" s="332"/>
      <c r="BE49" s="332"/>
      <c r="BF49" s="367"/>
      <c r="BH49" s="332"/>
      <c r="BJ49" s="332"/>
      <c r="BL49" s="332"/>
      <c r="BN49" s="332"/>
      <c r="BP49" s="332"/>
      <c r="BR49" s="332"/>
      <c r="BT49" s="332"/>
      <c r="BV49" s="332"/>
      <c r="BX49" s="332"/>
      <c r="BZ49" s="332"/>
      <c r="CB49" s="332"/>
      <c r="CD49" s="332"/>
      <c r="CE49" s="332"/>
    </row>
    <row r="50" spans="1:154" s="331" customFormat="1" x14ac:dyDescent="0.2">
      <c r="A50" s="331" t="s">
        <v>29</v>
      </c>
      <c r="B50" s="365">
        <f>INPUT!B732</f>
        <v>0</v>
      </c>
      <c r="C50" s="368"/>
      <c r="D50" s="365">
        <f>INPUT!D732</f>
        <v>0</v>
      </c>
      <c r="E50" s="368"/>
      <c r="F50" s="365">
        <f>INPUT!F732</f>
        <v>0</v>
      </c>
      <c r="G50" s="368"/>
      <c r="H50" s="365">
        <f>INPUT!H732</f>
        <v>0</v>
      </c>
      <c r="I50" s="368"/>
      <c r="J50" s="365">
        <f>INPUT!J732</f>
        <v>0</v>
      </c>
      <c r="K50" s="368" t="str">
        <f>INPUT!K732</f>
        <v>NA</v>
      </c>
      <c r="L50" s="365">
        <f>INPUT!L732</f>
        <v>0</v>
      </c>
      <c r="M50" s="368" t="str">
        <f>INPUT!M732</f>
        <v>NA</v>
      </c>
      <c r="N50" s="365">
        <f>INPUT!N732</f>
        <v>0</v>
      </c>
      <c r="O50" s="368" t="str">
        <f>INPUT!O732</f>
        <v>NA</v>
      </c>
      <c r="P50" s="365">
        <f>INPUT!P732</f>
        <v>0</v>
      </c>
      <c r="Q50" s="346" t="str">
        <f>INPUT!Q732</f>
        <v>NA</v>
      </c>
      <c r="R50" s="365">
        <f>INPUT!R732</f>
        <v>0</v>
      </c>
      <c r="S50" s="346" t="str">
        <f>INPUT!S732</f>
        <v>NA</v>
      </c>
      <c r="T50" s="365">
        <f>INPUT!T732</f>
        <v>0</v>
      </c>
      <c r="U50" s="346" t="str">
        <f>INPUT!U732</f>
        <v>NA</v>
      </c>
      <c r="V50" s="365">
        <f>INPUT!V732</f>
        <v>0</v>
      </c>
      <c r="W50" s="346" t="str">
        <f>INPUT!W732</f>
        <v>NA</v>
      </c>
      <c r="X50" s="365">
        <f>INPUT!X732</f>
        <v>0.01</v>
      </c>
      <c r="Y50" s="346" t="str">
        <f>INPUT!Y732</f>
        <v>NA</v>
      </c>
      <c r="Z50" s="365">
        <f>INPUT!Z732</f>
        <v>0.01</v>
      </c>
      <c r="AA50" s="346" t="str">
        <f>INPUT!AA732</f>
        <v>NA</v>
      </c>
      <c r="AB50" s="365">
        <f>INPUT!AB732</f>
        <v>0.01</v>
      </c>
      <c r="AC50" s="346" t="str">
        <f>INPUT!AC732</f>
        <v>NA</v>
      </c>
      <c r="AD50" s="365">
        <f>INPUT!AD732</f>
        <v>0.01</v>
      </c>
      <c r="AE50" s="346" t="str">
        <f>INPUT!AE732</f>
        <v>NA</v>
      </c>
      <c r="AF50" s="365">
        <f>INPUT!AF732</f>
        <v>0.01</v>
      </c>
      <c r="AG50" s="346">
        <f>INPUT!AG732</f>
        <v>0</v>
      </c>
      <c r="AH50" s="365">
        <f>INPUT!AH732</f>
        <v>0.01</v>
      </c>
      <c r="AI50" s="346">
        <f>INPUT!AI732</f>
        <v>0</v>
      </c>
      <c r="AJ50" s="365">
        <f>INPUT!AJ732</f>
        <v>0.01</v>
      </c>
      <c r="AK50" s="346">
        <f>INPUT!AK732</f>
        <v>0</v>
      </c>
      <c r="AL50" s="365">
        <f>INPUT!AL732</f>
        <v>0.01</v>
      </c>
      <c r="AM50" s="346">
        <f>INPUT!AM732</f>
        <v>0</v>
      </c>
      <c r="AN50" s="365">
        <f>INPUT!AN732</f>
        <v>0.01</v>
      </c>
      <c r="AO50" s="346">
        <f>INPUT!AO732</f>
        <v>0</v>
      </c>
      <c r="AP50" s="365">
        <f>INPUT!AP732</f>
        <v>0.01</v>
      </c>
      <c r="AQ50" s="346">
        <f>INPUT!AQ732</f>
        <v>0</v>
      </c>
      <c r="AR50" s="365">
        <f>INPUT!AR732</f>
        <v>0.01</v>
      </c>
      <c r="AS50" s="346">
        <f>INPUT!AS732</f>
        <v>0</v>
      </c>
      <c r="AT50" s="365">
        <f>INPUT!AT732</f>
        <v>0.01</v>
      </c>
      <c r="AU50" s="346">
        <f>INPUT!AU732</f>
        <v>0</v>
      </c>
      <c r="AV50" s="365">
        <f>INPUT!AV732</f>
        <v>0.01</v>
      </c>
      <c r="AW50" s="346">
        <f>INPUT!AW732</f>
        <v>0</v>
      </c>
      <c r="AX50" s="365">
        <f>INPUT!AX732</f>
        <v>0.01</v>
      </c>
      <c r="AY50" s="346">
        <f>INPUT!AY732</f>
        <v>0</v>
      </c>
      <c r="AZ50" s="365">
        <f>INPUT!AZ732</f>
        <v>0.01</v>
      </c>
      <c r="BA50" s="346">
        <f>INPUT!BA732</f>
        <v>0</v>
      </c>
      <c r="BB50" s="365">
        <f>INPUT!BB732</f>
        <v>0.01</v>
      </c>
      <c r="BC50" s="346">
        <f>INPUT!BC732</f>
        <v>0</v>
      </c>
      <c r="BD50" s="365">
        <f>INPUT!BD732</f>
        <v>0.01</v>
      </c>
      <c r="BE50" s="346">
        <f>INPUT!BE732</f>
        <v>0</v>
      </c>
      <c r="BF50" s="347"/>
      <c r="BG50" s="365">
        <f>INPUT!BU732</f>
        <v>0</v>
      </c>
      <c r="BH50" s="346" t="str">
        <f>INPUT!BV732</f>
        <v>NA</v>
      </c>
      <c r="BI50" s="365">
        <f>INPUT!BW732</f>
        <v>0</v>
      </c>
      <c r="BJ50" s="346" t="str">
        <f>INPUT!BX732</f>
        <v>NA</v>
      </c>
      <c r="BK50" s="365">
        <f>INPUT!BY732</f>
        <v>0.01</v>
      </c>
      <c r="BL50" s="346" t="str">
        <f>INPUT!BZ732</f>
        <v>NA</v>
      </c>
      <c r="BM50" s="365">
        <f>INPUT!CA732</f>
        <v>0.04</v>
      </c>
      <c r="BN50" s="346" t="str">
        <f>INPUT!CB732</f>
        <v>NM</v>
      </c>
      <c r="BO50" s="365">
        <f>INPUT!CC732</f>
        <v>0.04</v>
      </c>
      <c r="BP50" s="346">
        <f>INPUT!CD732</f>
        <v>0</v>
      </c>
      <c r="BQ50" s="365">
        <f>INPUT!CE732</f>
        <v>0.04</v>
      </c>
      <c r="BR50" s="346">
        <f>INPUT!CF732</f>
        <v>0</v>
      </c>
      <c r="BS50" s="365">
        <f>INPUT!CG732</f>
        <v>0.04</v>
      </c>
      <c r="BT50" s="346">
        <f>INPUT!CH732</f>
        <v>0</v>
      </c>
      <c r="BU50" s="365">
        <f>INPUT!CI732</f>
        <v>0.04</v>
      </c>
      <c r="BV50" s="346">
        <f>INPUT!CJ732</f>
        <v>0</v>
      </c>
      <c r="BW50" s="365">
        <f>INPUT!CK732</f>
        <v>4.4000000000000004E-2</v>
      </c>
      <c r="BX50" s="346">
        <f>INPUT!CL732</f>
        <v>10.000000000000009</v>
      </c>
      <c r="BY50" s="365">
        <f>INPUT!CM732</f>
        <v>4.8400000000000006E-2</v>
      </c>
      <c r="BZ50" s="346">
        <f>INPUT!CN732</f>
        <v>10.000000000000009</v>
      </c>
      <c r="CA50" s="365">
        <f>INPUT!CO732</f>
        <v>5.324000000000001E-2</v>
      </c>
      <c r="CB50" s="346">
        <f>INPUT!CP732</f>
        <v>10.000000000000009</v>
      </c>
      <c r="CC50" s="365">
        <f>INPUT!CQ732</f>
        <v>5.8564000000000012E-2</v>
      </c>
      <c r="CD50" s="346">
        <f>INPUT!CR732</f>
        <v>10.000000000000009</v>
      </c>
      <c r="CE50" s="346">
        <f>INPUT!CS732</f>
        <v>7.9230345298890725</v>
      </c>
    </row>
    <row r="51" spans="1:154" s="331" customFormat="1" x14ac:dyDescent="0.2">
      <c r="A51" s="331" t="s">
        <v>30</v>
      </c>
      <c r="B51" s="363">
        <f>INPUT!B733</f>
        <v>0</v>
      </c>
      <c r="C51" s="346"/>
      <c r="D51" s="363">
        <f>INPUT!D733</f>
        <v>0</v>
      </c>
      <c r="E51" s="346"/>
      <c r="F51" s="363">
        <f>INPUT!F733</f>
        <v>0</v>
      </c>
      <c r="G51" s="346"/>
      <c r="H51" s="363">
        <f>INPUT!H733</f>
        <v>0</v>
      </c>
      <c r="I51" s="346"/>
      <c r="J51" s="363">
        <f>INPUT!J733</f>
        <v>0</v>
      </c>
      <c r="K51" s="346" t="str">
        <f>INPUT!K733</f>
        <v>NA</v>
      </c>
      <c r="L51" s="363">
        <f>INPUT!L733</f>
        <v>0</v>
      </c>
      <c r="M51" s="346" t="str">
        <f>INPUT!M733</f>
        <v>NA</v>
      </c>
      <c r="N51" s="363">
        <f>INPUT!N733</f>
        <v>0</v>
      </c>
      <c r="O51" s="346" t="str">
        <f>INPUT!O733</f>
        <v>NA</v>
      </c>
      <c r="P51" s="363">
        <f>INPUT!P733</f>
        <v>0</v>
      </c>
      <c r="Q51" s="346" t="str">
        <f>INPUT!Q733</f>
        <v>NA</v>
      </c>
      <c r="R51" s="363">
        <f>INPUT!R733</f>
        <v>0</v>
      </c>
      <c r="S51" s="346" t="str">
        <f>INPUT!S733</f>
        <v>NA</v>
      </c>
      <c r="T51" s="363">
        <f>INPUT!T733</f>
        <v>0</v>
      </c>
      <c r="U51" s="346" t="str">
        <f>INPUT!U733</f>
        <v>NA</v>
      </c>
      <c r="V51" s="363">
        <f>INPUT!V733</f>
        <v>0</v>
      </c>
      <c r="W51" s="346" t="str">
        <f>INPUT!W733</f>
        <v>NA</v>
      </c>
      <c r="X51" s="363">
        <f>INPUT!X733</f>
        <v>1.3285566516133924</v>
      </c>
      <c r="Y51" s="346" t="str">
        <f>INPUT!Y733</f>
        <v>NA</v>
      </c>
      <c r="Z51" s="363">
        <f>INPUT!Z733</f>
        <v>1.7541523815863915</v>
      </c>
      <c r="AA51" s="346" t="str">
        <f>INPUT!AA733</f>
        <v>NA</v>
      </c>
      <c r="AB51" s="363">
        <f>INPUT!AB733</f>
        <v>1.2009562649416399</v>
      </c>
      <c r="AC51" s="346" t="str">
        <f>INPUT!AC733</f>
        <v>NA</v>
      </c>
      <c r="AD51" s="363">
        <f>INPUT!AD733</f>
        <v>1.3294314381270902</v>
      </c>
      <c r="AE51" s="346" t="str">
        <f>INPUT!AE733</f>
        <v>NA</v>
      </c>
      <c r="AF51" s="363">
        <f>INPUT!AF733</f>
        <v>1.0055090797796373</v>
      </c>
      <c r="AG51" s="346">
        <f>INPUT!AG733</f>
        <v>-24.315679082367147</v>
      </c>
      <c r="AH51" s="363">
        <f>INPUT!AH733</f>
        <v>1.2218522203496516</v>
      </c>
      <c r="AI51" s="346">
        <f>INPUT!AI733</f>
        <v>-30.34514941942199</v>
      </c>
      <c r="AJ51" s="363">
        <f>INPUT!AJ733</f>
        <v>1.2873949579831929</v>
      </c>
      <c r="AK51" s="346">
        <f>INPUT!AK733</f>
        <v>7.1974888315981644</v>
      </c>
      <c r="AL51" s="363">
        <f>INPUT!AL733</f>
        <v>2.3984210752134612</v>
      </c>
      <c r="AM51" s="346">
        <f>INPUT!AM733</f>
        <v>80.409534965742125</v>
      </c>
      <c r="AN51" s="363">
        <f>INPUT!AN733</f>
        <v>1.1017934749341984</v>
      </c>
      <c r="AO51" s="346">
        <f>INPUT!AO733</f>
        <v>9.5756862957082625</v>
      </c>
      <c r="AP51" s="363">
        <f>INPUT!AP733</f>
        <v>3.5263761467890009</v>
      </c>
      <c r="AQ51" s="346" t="str">
        <f>INPUT!AQ733</f>
        <v>NM</v>
      </c>
      <c r="AR51" s="363">
        <f>INPUT!AR733</f>
        <v>2.2932161370295234</v>
      </c>
      <c r="AS51" s="346">
        <f>INPUT!AS733</f>
        <v>78.12840751077897</v>
      </c>
      <c r="AT51" s="363">
        <f>INPUT!AT733</f>
        <v>-8.0304479515383225</v>
      </c>
      <c r="AU51" s="346" t="str">
        <f>INPUT!AU733</f>
        <v>NM</v>
      </c>
      <c r="AV51" s="363">
        <f>INPUT!AV733</f>
        <v>1.9375196602705278</v>
      </c>
      <c r="AW51" s="346">
        <f>INPUT!AW733</f>
        <v>75.851437165775621</v>
      </c>
      <c r="AX51" s="363">
        <f>INPUT!AX733</f>
        <v>1.9661784934056192</v>
      </c>
      <c r="AY51" s="346">
        <f>INPUT!AY733</f>
        <v>-44.243653780497716</v>
      </c>
      <c r="AZ51" s="363">
        <f>INPUT!AZ733</f>
        <v>2.579714128642113</v>
      </c>
      <c r="BA51" s="346">
        <f>INPUT!BA733</f>
        <v>12.493283427863</v>
      </c>
      <c r="BB51" s="363">
        <f>INPUT!BB733</f>
        <v>6.3562865904655625</v>
      </c>
      <c r="BC51" s="346" t="str">
        <f>INPUT!BC733</f>
        <v>NM</v>
      </c>
      <c r="BD51" s="363">
        <f>INPUT!BD733</f>
        <v>1.1525381030356472</v>
      </c>
      <c r="BE51" s="346">
        <f>INPUT!BE733</f>
        <v>-40.514766034698035</v>
      </c>
      <c r="BF51" s="347"/>
      <c r="BG51" s="363">
        <f>INPUT!BU733</f>
        <v>0</v>
      </c>
      <c r="BH51" s="346" t="str">
        <f>INPUT!BV733</f>
        <v>NA</v>
      </c>
      <c r="BI51" s="363">
        <f>INPUT!BW733</f>
        <v>0</v>
      </c>
      <c r="BJ51" s="346" t="str">
        <f>INPUT!BX733</f>
        <v>NA</v>
      </c>
      <c r="BK51" s="363">
        <f>INPUT!BY733</f>
        <v>0.30537313613844874</v>
      </c>
      <c r="BL51" s="346" t="str">
        <f>INPUT!BZ733</f>
        <v>NA</v>
      </c>
      <c r="BM51" s="363">
        <f>INPUT!CA733</f>
        <v>1.2756967579426339</v>
      </c>
      <c r="BN51" s="346" t="str">
        <f>INPUT!CB733</f>
        <v>NM</v>
      </c>
      <c r="BO51" s="363">
        <f>INPUT!CC733</f>
        <v>1.3690490516992402</v>
      </c>
      <c r="BP51" s="346">
        <f>INPUT!CD733</f>
        <v>7.31774954944302</v>
      </c>
      <c r="BQ51" s="363">
        <f>INPUT!CE733</f>
        <v>3.6105967810853179</v>
      </c>
      <c r="BR51" s="346" t="str">
        <f>INPUT!CF733</f>
        <v>NM</v>
      </c>
      <c r="BS51" s="363">
        <f>INPUT!CG733</f>
        <v>2.0815464985463974</v>
      </c>
      <c r="BT51" s="346">
        <f>INPUT!CH733</f>
        <v>-42.348962657616383</v>
      </c>
      <c r="BU51" s="363">
        <f>INPUT!CI733</f>
        <v>0.94137812794173747</v>
      </c>
      <c r="BV51" s="346" t="str">
        <f>INPUT!CJ733</f>
        <v>NM</v>
      </c>
      <c r="BW51" s="363">
        <f>INPUT!CK733</f>
        <v>0.83848592570901981</v>
      </c>
      <c r="BX51" s="346">
        <f>INPUT!CL733</f>
        <v>-10.929954624894977</v>
      </c>
      <c r="BY51" s="363">
        <f>INPUT!CM733</f>
        <v>0.83492897066341654</v>
      </c>
      <c r="BZ51" s="346">
        <f>INPUT!CN733</f>
        <v>-0.42421165776820313</v>
      </c>
      <c r="CA51" s="363">
        <f>INPUT!CO733</f>
        <v>0.831663314184789</v>
      </c>
      <c r="CB51" s="346">
        <f>INPUT!CP733</f>
        <v>-0.39112985575679993</v>
      </c>
      <c r="CC51" s="363">
        <f>INPUT!CQ733</f>
        <v>0.82535800762195743</v>
      </c>
      <c r="CD51" s="346">
        <f>INPUT!CR733</f>
        <v>-0.75815614988525848</v>
      </c>
      <c r="CE51" s="346">
        <f>INPUT!CS733</f>
        <v>-16.890388827420523</v>
      </c>
    </row>
    <row r="52" spans="1:154" s="331" customFormat="1" x14ac:dyDescent="0.2">
      <c r="C52" s="332"/>
      <c r="E52" s="332"/>
      <c r="G52" s="332"/>
      <c r="I52" s="332"/>
      <c r="K52" s="332"/>
      <c r="M52" s="332"/>
      <c r="O52" s="332"/>
      <c r="Q52" s="332"/>
      <c r="S52" s="332"/>
      <c r="U52" s="332"/>
      <c r="W52" s="332"/>
      <c r="Y52" s="332"/>
      <c r="AA52" s="332"/>
      <c r="AC52" s="332"/>
      <c r="AE52" s="332"/>
      <c r="AG52" s="332"/>
      <c r="AI52" s="332"/>
      <c r="AK52" s="332"/>
      <c r="AM52" s="332"/>
      <c r="AO52" s="332"/>
      <c r="AQ52" s="332"/>
      <c r="AS52" s="332"/>
      <c r="AU52" s="332"/>
      <c r="AW52" s="332"/>
      <c r="AY52" s="332"/>
      <c r="BA52" s="332"/>
      <c r="BC52" s="332"/>
      <c r="BE52" s="332"/>
      <c r="BF52" s="369"/>
      <c r="BH52" s="332"/>
      <c r="BJ52" s="332"/>
      <c r="BL52" s="332"/>
      <c r="BN52" s="332"/>
      <c r="BP52" s="332"/>
      <c r="BR52" s="332"/>
      <c r="BT52" s="332"/>
      <c r="BV52" s="332"/>
      <c r="BX52" s="332"/>
      <c r="BZ52" s="332"/>
      <c r="CB52" s="332"/>
      <c r="CD52" s="332"/>
      <c r="CE52" s="332"/>
    </row>
    <row r="53" spans="1:154" s="360" customFormat="1" ht="12" customHeight="1" x14ac:dyDescent="0.2">
      <c r="A53" s="295" t="s">
        <v>253</v>
      </c>
      <c r="B53" s="370"/>
      <c r="C53" s="339"/>
      <c r="D53" s="339"/>
      <c r="E53" s="339"/>
      <c r="F53" s="370"/>
      <c r="G53" s="339"/>
      <c r="H53" s="339"/>
      <c r="I53" s="339"/>
      <c r="J53" s="370"/>
      <c r="K53" s="339"/>
      <c r="L53" s="370"/>
      <c r="M53" s="339"/>
      <c r="N53" s="370"/>
      <c r="O53" s="339"/>
      <c r="P53" s="370"/>
      <c r="Q53" s="339"/>
      <c r="R53" s="370"/>
      <c r="S53" s="339"/>
      <c r="T53" s="370"/>
      <c r="U53" s="339"/>
      <c r="V53" s="370"/>
      <c r="W53" s="339"/>
      <c r="X53" s="370"/>
      <c r="Y53" s="339"/>
      <c r="Z53" s="370"/>
      <c r="AA53" s="339"/>
      <c r="AB53" s="370"/>
      <c r="AC53" s="339"/>
      <c r="AD53" s="370"/>
      <c r="AE53" s="339"/>
      <c r="AF53" s="370"/>
      <c r="AG53" s="339"/>
      <c r="AH53" s="370"/>
      <c r="AI53" s="339"/>
      <c r="AJ53" s="370"/>
      <c r="AK53" s="339"/>
      <c r="AL53" s="370"/>
      <c r="AM53" s="339"/>
      <c r="AN53" s="370"/>
      <c r="AO53" s="339"/>
      <c r="AP53" s="370"/>
      <c r="AQ53" s="339"/>
      <c r="AR53" s="370"/>
      <c r="AS53" s="339"/>
      <c r="AT53" s="370"/>
      <c r="AU53" s="339"/>
      <c r="AV53" s="370"/>
      <c r="AW53" s="339"/>
      <c r="AX53" s="370"/>
      <c r="AY53" s="339"/>
      <c r="AZ53" s="370"/>
      <c r="BA53" s="339"/>
      <c r="BB53" s="370"/>
      <c r="BC53" s="339"/>
      <c r="BD53" s="370"/>
      <c r="BE53" s="339"/>
      <c r="BF53" s="370"/>
      <c r="BG53" s="339"/>
      <c r="BH53" s="370"/>
      <c r="BI53" s="339"/>
      <c r="BJ53" s="370"/>
      <c r="BK53" s="339"/>
      <c r="BL53" s="370"/>
      <c r="BM53" s="339"/>
      <c r="BN53" s="370"/>
      <c r="BO53" s="339"/>
      <c r="BP53" s="370"/>
      <c r="BQ53" s="339"/>
      <c r="BR53" s="370"/>
      <c r="BS53" s="339"/>
      <c r="BT53" s="370"/>
      <c r="BU53" s="339"/>
      <c r="BV53" s="370"/>
      <c r="BW53" s="339"/>
      <c r="BX53" s="370"/>
      <c r="BY53" s="339"/>
      <c r="BZ53" s="370"/>
      <c r="CA53" s="339"/>
      <c r="CB53" s="370"/>
      <c r="CC53" s="339"/>
      <c r="CD53" s="370"/>
      <c r="CE53" s="339"/>
      <c r="CF53" s="370"/>
      <c r="CG53" s="339"/>
      <c r="CH53" s="370"/>
      <c r="CI53" s="339"/>
      <c r="CJ53" s="370"/>
      <c r="CK53" s="339"/>
      <c r="CL53" s="370"/>
      <c r="CM53" s="339"/>
      <c r="CN53" s="370"/>
      <c r="CO53" s="339"/>
      <c r="CP53" s="370"/>
      <c r="CQ53" s="339"/>
      <c r="CR53" s="370"/>
      <c r="CS53" s="339"/>
      <c r="CT53" s="370"/>
      <c r="CU53" s="339"/>
      <c r="CV53" s="370"/>
      <c r="CW53" s="339"/>
      <c r="CX53" s="370"/>
      <c r="CY53" s="339"/>
      <c r="CZ53" s="370"/>
      <c r="DA53" s="339"/>
      <c r="DB53" s="370"/>
      <c r="DC53" s="339"/>
      <c r="DD53" s="370"/>
      <c r="DE53" s="339"/>
      <c r="DF53" s="370"/>
      <c r="DG53" s="339"/>
      <c r="DH53" s="369"/>
      <c r="DI53" s="370"/>
      <c r="DJ53" s="339"/>
      <c r="DK53" s="370"/>
      <c r="DL53" s="339"/>
      <c r="DM53" s="370"/>
      <c r="DN53" s="339"/>
      <c r="DO53" s="370"/>
      <c r="DP53" s="339"/>
      <c r="DQ53" s="370"/>
      <c r="DR53" s="339"/>
      <c r="DS53" s="370"/>
      <c r="DT53" s="339"/>
      <c r="DU53" s="370"/>
      <c r="DV53" s="339"/>
      <c r="DW53" s="370"/>
      <c r="DX53" s="339"/>
      <c r="DY53" s="370"/>
      <c r="DZ53" s="339"/>
      <c r="EA53" s="370"/>
      <c r="EB53" s="339"/>
      <c r="EC53" s="370"/>
      <c r="ED53" s="339"/>
      <c r="EE53" s="370"/>
      <c r="EF53" s="339"/>
      <c r="EG53" s="370"/>
      <c r="EH53" s="339"/>
      <c r="EI53" s="339"/>
    </row>
    <row r="54" spans="1:154" s="360" customFormat="1" ht="12" customHeight="1" x14ac:dyDescent="0.2">
      <c r="A54" s="295" t="s">
        <v>254</v>
      </c>
      <c r="B54" s="370"/>
      <c r="C54" s="339"/>
      <c r="D54" s="339"/>
      <c r="E54" s="339"/>
      <c r="F54" s="370"/>
      <c r="G54" s="339"/>
      <c r="H54" s="339"/>
      <c r="I54" s="339"/>
      <c r="J54" s="370"/>
      <c r="K54" s="339"/>
      <c r="L54" s="370"/>
      <c r="M54" s="339"/>
      <c r="N54" s="370"/>
      <c r="O54" s="339"/>
      <c r="P54" s="370"/>
      <c r="Q54" s="339"/>
      <c r="R54" s="370"/>
      <c r="S54" s="339"/>
      <c r="T54" s="370"/>
      <c r="U54" s="339"/>
      <c r="V54" s="370"/>
      <c r="W54" s="339"/>
      <c r="X54" s="370"/>
      <c r="Y54" s="339"/>
      <c r="Z54" s="370"/>
      <c r="AA54" s="339"/>
      <c r="AB54" s="370"/>
      <c r="AC54" s="339"/>
      <c r="AD54" s="370"/>
      <c r="AE54" s="339"/>
      <c r="AF54" s="370"/>
      <c r="AG54" s="339"/>
      <c r="AH54" s="370"/>
      <c r="AI54" s="339"/>
      <c r="AJ54" s="370"/>
      <c r="AK54" s="339"/>
      <c r="AL54" s="370"/>
      <c r="AM54" s="339"/>
      <c r="AN54" s="370"/>
      <c r="AO54" s="339"/>
      <c r="AP54" s="370"/>
      <c r="AQ54" s="339"/>
      <c r="AR54" s="370"/>
      <c r="AS54" s="339"/>
      <c r="AT54" s="370"/>
      <c r="AU54" s="339"/>
      <c r="AV54" s="370"/>
      <c r="AW54" s="339"/>
      <c r="AX54" s="370"/>
      <c r="AY54" s="339"/>
      <c r="AZ54" s="370"/>
      <c r="BA54" s="339"/>
      <c r="BB54" s="370"/>
      <c r="BC54" s="339"/>
      <c r="BD54" s="370"/>
      <c r="BE54" s="339"/>
      <c r="BF54" s="370"/>
      <c r="BG54" s="339"/>
      <c r="BH54" s="370"/>
      <c r="BI54" s="339"/>
      <c r="BJ54" s="370"/>
      <c r="BK54" s="339"/>
      <c r="BL54" s="370"/>
      <c r="BM54" s="339"/>
      <c r="BN54" s="370"/>
      <c r="BO54" s="339"/>
      <c r="BP54" s="370"/>
      <c r="BQ54" s="339"/>
      <c r="BR54" s="370"/>
      <c r="BS54" s="339"/>
      <c r="BT54" s="370"/>
      <c r="BU54" s="339"/>
      <c r="BV54" s="370"/>
      <c r="BW54" s="339"/>
      <c r="BX54" s="370"/>
      <c r="BY54" s="339"/>
      <c r="BZ54" s="370"/>
      <c r="CA54" s="339"/>
      <c r="CB54" s="370"/>
      <c r="CC54" s="339"/>
      <c r="CD54" s="370"/>
      <c r="CE54" s="339"/>
      <c r="CF54" s="370"/>
      <c r="CG54" s="339"/>
      <c r="CH54" s="370"/>
      <c r="CI54" s="339"/>
      <c r="CJ54" s="370"/>
      <c r="CK54" s="339"/>
      <c r="CL54" s="370"/>
      <c r="CM54" s="339"/>
      <c r="CN54" s="370"/>
      <c r="CO54" s="339"/>
      <c r="CP54" s="370"/>
      <c r="CQ54" s="339"/>
      <c r="CR54" s="370"/>
      <c r="CS54" s="339"/>
      <c r="CT54" s="370"/>
      <c r="CU54" s="339"/>
      <c r="CV54" s="370"/>
      <c r="CW54" s="339"/>
      <c r="CX54" s="370"/>
      <c r="CY54" s="339"/>
      <c r="CZ54" s="370"/>
      <c r="DA54" s="339"/>
      <c r="DB54" s="370"/>
      <c r="DC54" s="339"/>
      <c r="DD54" s="370"/>
      <c r="DE54" s="339"/>
      <c r="DF54" s="370"/>
      <c r="DG54" s="339"/>
      <c r="DH54" s="369"/>
      <c r="DI54" s="370"/>
      <c r="DJ54" s="339"/>
      <c r="DK54" s="370"/>
      <c r="DL54" s="339"/>
      <c r="DM54" s="370"/>
      <c r="DN54" s="339"/>
      <c r="DO54" s="370"/>
      <c r="DP54" s="339"/>
      <c r="DQ54" s="370"/>
      <c r="DR54" s="339"/>
      <c r="DS54" s="370"/>
      <c r="DT54" s="339"/>
      <c r="DU54" s="370"/>
      <c r="DV54" s="339"/>
      <c r="DW54" s="370"/>
      <c r="DX54" s="339"/>
      <c r="DY54" s="370"/>
      <c r="DZ54" s="339"/>
      <c r="EA54" s="370"/>
      <c r="EB54" s="339"/>
      <c r="EC54" s="370"/>
      <c r="ED54" s="339"/>
      <c r="EE54" s="370"/>
      <c r="EF54" s="339"/>
      <c r="EG54" s="370"/>
      <c r="EH54" s="339"/>
      <c r="EI54" s="339"/>
    </row>
    <row r="55" spans="1:154" s="331" customFormat="1" x14ac:dyDescent="0.2">
      <c r="C55" s="332"/>
      <c r="E55" s="332"/>
      <c r="G55" s="332"/>
      <c r="I55" s="332"/>
      <c r="K55" s="332"/>
      <c r="M55" s="332"/>
      <c r="O55" s="332"/>
      <c r="Q55" s="332"/>
      <c r="S55" s="332"/>
      <c r="U55" s="332"/>
      <c r="W55" s="332"/>
      <c r="Y55" s="332"/>
      <c r="AA55" s="332"/>
      <c r="AC55" s="332"/>
      <c r="AE55" s="332"/>
      <c r="AG55" s="332"/>
      <c r="AI55" s="332"/>
      <c r="AK55" s="332"/>
      <c r="AM55" s="332"/>
      <c r="AO55" s="332"/>
      <c r="AQ55" s="332"/>
      <c r="AS55" s="332"/>
      <c r="AU55" s="332"/>
      <c r="AW55" s="332"/>
      <c r="AY55" s="332"/>
      <c r="BA55" s="332"/>
      <c r="BC55" s="332"/>
      <c r="BE55" s="332"/>
      <c r="BF55" s="333"/>
      <c r="BH55" s="332"/>
      <c r="BJ55" s="332"/>
      <c r="BL55" s="332"/>
      <c r="BN55" s="332"/>
      <c r="BP55" s="332"/>
      <c r="BR55" s="332"/>
      <c r="BT55" s="332"/>
      <c r="BV55" s="332"/>
      <c r="BX55" s="332"/>
      <c r="BZ55" s="332"/>
      <c r="CB55" s="332"/>
      <c r="CD55" s="332"/>
      <c r="CE55" s="332"/>
    </row>
    <row r="56" spans="1:154" s="331" customFormat="1" ht="15.75" x14ac:dyDescent="0.25">
      <c r="A56" s="293" t="str">
        <f>A1</f>
        <v>VOYA Financial</v>
      </c>
      <c r="C56" s="332"/>
      <c r="E56" s="332"/>
      <c r="G56" s="332"/>
      <c r="I56" s="332"/>
      <c r="K56" s="332"/>
      <c r="M56" s="332"/>
      <c r="O56" s="332"/>
      <c r="Q56" s="332"/>
      <c r="S56" s="332"/>
      <c r="U56" s="332"/>
      <c r="W56" s="332"/>
      <c r="Y56" s="332"/>
      <c r="AA56" s="332"/>
      <c r="AC56" s="332"/>
      <c r="AE56" s="332"/>
      <c r="AG56" s="332"/>
      <c r="AI56" s="332"/>
      <c r="AK56" s="332"/>
      <c r="AM56" s="332"/>
      <c r="AO56" s="332"/>
      <c r="AQ56" s="332"/>
      <c r="AS56" s="332"/>
      <c r="AU56" s="332"/>
      <c r="AW56" s="332"/>
      <c r="AY56" s="332"/>
      <c r="BA56" s="332"/>
      <c r="BC56" s="332"/>
      <c r="BE56" s="332"/>
      <c r="BF56" s="333"/>
      <c r="BH56" s="332"/>
      <c r="BJ56" s="332"/>
      <c r="BL56" s="332"/>
      <c r="BN56" s="332"/>
      <c r="BP56" s="332"/>
      <c r="BR56" s="332"/>
      <c r="BT56" s="332"/>
      <c r="BV56" s="332"/>
      <c r="BX56" s="332"/>
      <c r="BZ56" s="332"/>
      <c r="CB56" s="332"/>
      <c r="CD56" s="332"/>
      <c r="CE56" s="332"/>
    </row>
    <row r="57" spans="1:154" s="331" customFormat="1" x14ac:dyDescent="0.2">
      <c r="A57" s="294" t="s">
        <v>243</v>
      </c>
      <c r="C57" s="332"/>
      <c r="E57" s="332"/>
      <c r="G57" s="332"/>
      <c r="I57" s="332"/>
      <c r="K57" s="332"/>
      <c r="M57" s="332"/>
      <c r="O57" s="332"/>
      <c r="Q57" s="332"/>
      <c r="S57" s="332"/>
      <c r="U57" s="332"/>
      <c r="W57" s="332"/>
      <c r="Y57" s="332"/>
      <c r="AA57" s="332"/>
      <c r="AC57" s="332"/>
      <c r="AE57" s="332"/>
      <c r="AG57" s="332"/>
      <c r="AI57" s="332"/>
      <c r="AK57" s="332"/>
      <c r="AM57" s="332"/>
      <c r="AO57" s="332"/>
      <c r="AQ57" s="332"/>
      <c r="AS57" s="332"/>
      <c r="AU57" s="332"/>
      <c r="AW57" s="332"/>
      <c r="AY57" s="332"/>
      <c r="BA57" s="332"/>
      <c r="BC57" s="332"/>
      <c r="BE57" s="332"/>
      <c r="BF57" s="333"/>
      <c r="BH57" s="332"/>
      <c r="BJ57" s="332"/>
      <c r="BL57" s="332"/>
      <c r="BN57" s="332"/>
      <c r="BP57" s="332"/>
      <c r="BR57" s="332"/>
      <c r="BT57" s="332"/>
      <c r="BV57" s="332"/>
      <c r="BX57" s="332"/>
      <c r="BZ57" s="332"/>
      <c r="CB57" s="332"/>
      <c r="CD57" s="332"/>
      <c r="CE57" s="332"/>
    </row>
    <row r="58" spans="1:154" s="351" customFormat="1" ht="12" customHeight="1" x14ac:dyDescent="0.2">
      <c r="A58" s="371" t="s">
        <v>242</v>
      </c>
      <c r="B58" s="372"/>
      <c r="C58" s="373"/>
      <c r="D58" s="373"/>
      <c r="E58" s="373"/>
      <c r="F58" s="372"/>
      <c r="G58" s="373"/>
      <c r="H58" s="373"/>
      <c r="I58" s="373"/>
      <c r="J58" s="372"/>
      <c r="K58" s="373" t="str">
        <f>K$3</f>
        <v>1Q12/</v>
      </c>
      <c r="L58" s="373"/>
      <c r="M58" s="373" t="str">
        <f>M$3</f>
        <v>2Q12/</v>
      </c>
      <c r="N58" s="372"/>
      <c r="O58" s="373" t="str">
        <f>O$3</f>
        <v>3Q12/</v>
      </c>
      <c r="P58" s="373"/>
      <c r="Q58" s="373" t="str">
        <f>Q$3</f>
        <v>4Q12/</v>
      </c>
      <c r="R58" s="372"/>
      <c r="S58" s="373" t="str">
        <f>S$3</f>
        <v>1Q13/</v>
      </c>
      <c r="T58" s="373"/>
      <c r="U58" s="373" t="str">
        <f>U$3</f>
        <v>2Q13/</v>
      </c>
      <c r="V58" s="372"/>
      <c r="W58" s="373" t="str">
        <f>W$3</f>
        <v>3Q13/</v>
      </c>
      <c r="X58" s="373"/>
      <c r="Y58" s="373" t="str">
        <f>Y$3</f>
        <v>4Q13/</v>
      </c>
      <c r="Z58" s="373"/>
      <c r="AA58" s="373" t="str">
        <f>AA$3</f>
        <v>1Q14/</v>
      </c>
      <c r="AB58" s="373"/>
      <c r="AC58" s="373" t="str">
        <f>AC$3</f>
        <v>2Q14/</v>
      </c>
      <c r="AD58" s="373"/>
      <c r="AE58" s="373" t="str">
        <f>AE$3</f>
        <v>3Q14/</v>
      </c>
      <c r="AF58" s="373"/>
      <c r="AG58" s="373" t="str">
        <f>AG$3</f>
        <v>4Q14/</v>
      </c>
      <c r="AH58" s="373"/>
      <c r="AI58" s="373" t="str">
        <f>AI$3</f>
        <v>1Q15/</v>
      </c>
      <c r="AJ58" s="373"/>
      <c r="AK58" s="373" t="str">
        <f>AK$3</f>
        <v>2Q15/</v>
      </c>
      <c r="AL58" s="373"/>
      <c r="AM58" s="373" t="str">
        <f>AM$3</f>
        <v>3Q15/</v>
      </c>
      <c r="AN58" s="373"/>
      <c r="AO58" s="373" t="str">
        <f>AO$3</f>
        <v>4Q15/</v>
      </c>
      <c r="AP58" s="373"/>
      <c r="AQ58" s="373" t="str">
        <f>AQ$3</f>
        <v>1Q16/</v>
      </c>
      <c r="AR58" s="373"/>
      <c r="AS58" s="373" t="str">
        <f>AS$3</f>
        <v>2Q16/</v>
      </c>
      <c r="AT58" s="373"/>
      <c r="AU58" s="373" t="str">
        <f>AU$3</f>
        <v>3Q16/</v>
      </c>
      <c r="AV58" s="373"/>
      <c r="AW58" s="373" t="str">
        <f>AW$3</f>
        <v>4Q16/</v>
      </c>
      <c r="AX58" s="373"/>
      <c r="AY58" s="373" t="str">
        <f t="shared" ref="AY58" si="16">AY$3</f>
        <v>1Q17/</v>
      </c>
      <c r="AZ58" s="373"/>
      <c r="BA58" s="373" t="str">
        <f t="shared" ref="BA58" si="17">BA$3</f>
        <v>2Q17/</v>
      </c>
      <c r="BB58" s="373"/>
      <c r="BC58" s="373" t="str">
        <f t="shared" ref="BC58" si="18">BC$3</f>
        <v>3Q17/</v>
      </c>
      <c r="BD58" s="373"/>
      <c r="BE58" s="373" t="str">
        <f t="shared" ref="BE58" si="19">BE$3</f>
        <v>4Q17/</v>
      </c>
      <c r="BF58" s="333"/>
      <c r="BG58" s="373"/>
      <c r="BH58" s="373" t="str">
        <f>BH$3</f>
        <v>2011/</v>
      </c>
      <c r="BI58" s="373"/>
      <c r="BJ58" s="373" t="str">
        <f>BJ$3</f>
        <v>2012/</v>
      </c>
      <c r="BK58" s="373"/>
      <c r="BL58" s="373" t="str">
        <f>BL$3</f>
        <v>2013/</v>
      </c>
      <c r="BM58" s="373"/>
      <c r="BN58" s="373" t="str">
        <f>BN$3</f>
        <v>2014/</v>
      </c>
      <c r="BO58" s="373"/>
      <c r="BP58" s="373" t="str">
        <f>BP$3</f>
        <v>2015/</v>
      </c>
      <c r="BQ58" s="373"/>
      <c r="BR58" s="373" t="str">
        <f>BR$3</f>
        <v>2016/</v>
      </c>
      <c r="BS58" s="373"/>
      <c r="BT58" s="373" t="str">
        <f>BT$3</f>
        <v>2017/</v>
      </c>
      <c r="BU58" s="373"/>
      <c r="BV58" s="373" t="str">
        <f>BV$3</f>
        <v>2018E/</v>
      </c>
      <c r="BW58" s="373"/>
      <c r="BX58" s="373" t="str">
        <f>BX$3</f>
        <v>2019E/</v>
      </c>
      <c r="BY58" s="373"/>
      <c r="BZ58" s="373" t="str">
        <f>BZ$3</f>
        <v>2020E/</v>
      </c>
      <c r="CA58" s="373"/>
      <c r="CB58" s="373" t="str">
        <f>CB$3</f>
        <v>2021E/</v>
      </c>
      <c r="CC58" s="373"/>
      <c r="CD58" s="373" t="str">
        <f>CD$3</f>
        <v>2022E/</v>
      </c>
      <c r="CE58" s="373">
        <f>INPUT!CS76</f>
        <v>3.0237342992675886</v>
      </c>
      <c r="CF58" s="373"/>
      <c r="CG58" s="372"/>
      <c r="CH58" s="373"/>
      <c r="CI58" s="372"/>
      <c r="CJ58" s="373"/>
      <c r="CK58" s="372"/>
      <c r="CL58" s="373"/>
      <c r="CM58" s="372"/>
      <c r="CN58" s="373"/>
      <c r="CO58" s="372"/>
      <c r="CP58" s="373"/>
      <c r="CQ58" s="372"/>
      <c r="CR58" s="373"/>
      <c r="CS58" s="372"/>
      <c r="CT58" s="373"/>
      <c r="CU58" s="372"/>
      <c r="CV58" s="373"/>
      <c r="CW58" s="372"/>
      <c r="CX58" s="373"/>
      <c r="CY58" s="372"/>
      <c r="CZ58" s="373"/>
      <c r="DA58" s="372"/>
      <c r="DB58" s="373"/>
      <c r="DC58" s="372"/>
      <c r="DD58" s="373"/>
      <c r="DE58" s="372"/>
      <c r="DF58" s="373"/>
      <c r="DG58" s="372"/>
      <c r="DH58" s="373"/>
      <c r="DI58" s="372"/>
      <c r="DJ58" s="373"/>
      <c r="DK58" s="372"/>
      <c r="DL58" s="373"/>
      <c r="DM58" s="372"/>
      <c r="DN58" s="373"/>
      <c r="DO58" s="372"/>
      <c r="DP58" s="373"/>
      <c r="DQ58" s="372"/>
      <c r="DR58" s="373"/>
      <c r="DS58" s="372"/>
      <c r="DT58" s="373"/>
      <c r="DU58" s="372"/>
      <c r="DV58" s="373"/>
      <c r="DW58" s="374"/>
      <c r="DX58" s="372"/>
      <c r="DY58" s="373"/>
      <c r="DZ58" s="372"/>
      <c r="EA58" s="373"/>
      <c r="EB58" s="372"/>
      <c r="EC58" s="373"/>
      <c r="ED58" s="372"/>
      <c r="EE58" s="373"/>
      <c r="EF58" s="372"/>
      <c r="EG58" s="373"/>
      <c r="EH58" s="372"/>
      <c r="EI58" s="373"/>
      <c r="EJ58" s="372"/>
      <c r="EK58" s="373"/>
      <c r="EL58" s="372"/>
      <c r="EM58" s="373"/>
      <c r="EN58" s="372"/>
      <c r="EO58" s="373"/>
      <c r="EP58" s="372"/>
      <c r="EQ58" s="373"/>
      <c r="ER58" s="372"/>
      <c r="ES58" s="373"/>
      <c r="ET58" s="372"/>
      <c r="EU58" s="373"/>
      <c r="EV58" s="372"/>
      <c r="EW58" s="373"/>
      <c r="EX58" s="373"/>
    </row>
    <row r="59" spans="1:154" s="331" customFormat="1" x14ac:dyDescent="0.2">
      <c r="C59" s="339"/>
      <c r="E59" s="339"/>
      <c r="G59" s="339"/>
      <c r="I59" s="339"/>
      <c r="K59" s="339" t="str">
        <f>K$4</f>
        <v>1Q11</v>
      </c>
      <c r="M59" s="339" t="str">
        <f>M$4</f>
        <v>2Q11</v>
      </c>
      <c r="O59" s="339" t="str">
        <f>O$4</f>
        <v>3Q11</v>
      </c>
      <c r="Q59" s="339" t="str">
        <f>Q$4</f>
        <v>4Q11</v>
      </c>
      <c r="S59" s="339" t="str">
        <f>S$4</f>
        <v>1Q12</v>
      </c>
      <c r="U59" s="339" t="str">
        <f>U$4</f>
        <v>2Q12</v>
      </c>
      <c r="W59" s="339" t="str">
        <f>W$4</f>
        <v>3Q12</v>
      </c>
      <c r="Y59" s="339" t="str">
        <f>Y$4</f>
        <v>4Q12</v>
      </c>
      <c r="AA59" s="339" t="str">
        <f>AA$4</f>
        <v>1Q13</v>
      </c>
      <c r="AC59" s="339" t="str">
        <f>AC$4</f>
        <v>2Q13</v>
      </c>
      <c r="AE59" s="339" t="str">
        <f>AE$4</f>
        <v>3Q13</v>
      </c>
      <c r="AG59" s="339" t="str">
        <f>AG$4</f>
        <v>4Q13</v>
      </c>
      <c r="AI59" s="339" t="str">
        <f>AI$4</f>
        <v>1Q14</v>
      </c>
      <c r="AK59" s="339" t="str">
        <f>AK$4</f>
        <v>2Q14</v>
      </c>
      <c r="AM59" s="339" t="str">
        <f>AM$4</f>
        <v>3Q14</v>
      </c>
      <c r="AO59" s="339" t="str">
        <f>AO$4</f>
        <v>4Q14</v>
      </c>
      <c r="AQ59" s="339" t="str">
        <f>AQ$4</f>
        <v>1Q15</v>
      </c>
      <c r="AS59" s="339" t="str">
        <f>AS$4</f>
        <v>2Q15</v>
      </c>
      <c r="AU59" s="339" t="str">
        <f>AU$4</f>
        <v>3Q15</v>
      </c>
      <c r="AW59" s="339" t="str">
        <f>AW$4</f>
        <v>4Q15</v>
      </c>
      <c r="AY59" s="339" t="str">
        <f t="shared" ref="AY59" si="20">AY$4</f>
        <v>1Q16</v>
      </c>
      <c r="BA59" s="339" t="str">
        <f t="shared" ref="BA59" si="21">BA$4</f>
        <v>2Q16</v>
      </c>
      <c r="BC59" s="339" t="str">
        <f t="shared" ref="BC59" si="22">BC$4</f>
        <v>3Q16</v>
      </c>
      <c r="BE59" s="339" t="str">
        <f t="shared" ref="BE59" si="23">BE$4</f>
        <v>4Q16</v>
      </c>
      <c r="BF59" s="333"/>
      <c r="BH59" s="339" t="str">
        <f>BH$4</f>
        <v>2010</v>
      </c>
      <c r="BJ59" s="339" t="str">
        <f>BJ$4</f>
        <v>2011</v>
      </c>
      <c r="BL59" s="339" t="str">
        <f>BL$4</f>
        <v>2012</v>
      </c>
      <c r="BN59" s="339" t="str">
        <f>BN$4</f>
        <v>2013</v>
      </c>
      <c r="BP59" s="339" t="str">
        <f>BP$4</f>
        <v>2014</v>
      </c>
      <c r="BR59" s="339" t="str">
        <f>BR$4</f>
        <v>2015</v>
      </c>
      <c r="BT59" s="339">
        <f>BT$4</f>
        <v>2016</v>
      </c>
      <c r="BV59" s="339">
        <f>BV$4</f>
        <v>2017</v>
      </c>
      <c r="BX59" s="339" t="str">
        <f>BX$4</f>
        <v>2018E</v>
      </c>
      <c r="BZ59" s="339" t="str">
        <f>BZ$4</f>
        <v>2019E</v>
      </c>
      <c r="CB59" s="339" t="str">
        <f>CB$4</f>
        <v>2020E</v>
      </c>
      <c r="CD59" s="339" t="str">
        <f>CD$4</f>
        <v>2021E</v>
      </c>
      <c r="CE59" s="340">
        <f>INPUT!CS77</f>
        <v>0</v>
      </c>
    </row>
    <row r="60" spans="1:154" s="335" customFormat="1" x14ac:dyDescent="0.2">
      <c r="B60" s="375" t="str">
        <f t="shared" ref="B60:CE60" si="24">B$5</f>
        <v>1Q11</v>
      </c>
      <c r="C60" s="375"/>
      <c r="D60" s="375" t="str">
        <f t="shared" si="24"/>
        <v>2Q11</v>
      </c>
      <c r="E60" s="375"/>
      <c r="F60" s="375" t="str">
        <f t="shared" si="24"/>
        <v>3Q11</v>
      </c>
      <c r="G60" s="375"/>
      <c r="H60" s="375" t="str">
        <f t="shared" si="24"/>
        <v>4Q11</v>
      </c>
      <c r="I60" s="375"/>
      <c r="J60" s="375" t="str">
        <f t="shared" si="24"/>
        <v>1Q12</v>
      </c>
      <c r="K60" s="375" t="str">
        <f t="shared" si="24"/>
        <v>% Chg</v>
      </c>
      <c r="L60" s="375" t="str">
        <f t="shared" si="24"/>
        <v>2Q12</v>
      </c>
      <c r="M60" s="375" t="str">
        <f t="shared" si="24"/>
        <v>% Chg</v>
      </c>
      <c r="N60" s="375" t="str">
        <f t="shared" si="24"/>
        <v>3Q12</v>
      </c>
      <c r="O60" s="375" t="str">
        <f t="shared" si="24"/>
        <v>% Chg</v>
      </c>
      <c r="P60" s="375" t="str">
        <f t="shared" si="24"/>
        <v>4Q12</v>
      </c>
      <c r="Q60" s="375" t="str">
        <f t="shared" si="24"/>
        <v>% Chg</v>
      </c>
      <c r="R60" s="375" t="str">
        <f t="shared" si="24"/>
        <v>1Q13</v>
      </c>
      <c r="S60" s="375" t="str">
        <f t="shared" si="24"/>
        <v>% Chg</v>
      </c>
      <c r="T60" s="375" t="str">
        <f t="shared" si="24"/>
        <v>2Q13</v>
      </c>
      <c r="U60" s="375" t="str">
        <f t="shared" si="24"/>
        <v>% Chg</v>
      </c>
      <c r="V60" s="375" t="str">
        <f t="shared" si="24"/>
        <v>3Q13</v>
      </c>
      <c r="W60" s="375" t="str">
        <f t="shared" si="24"/>
        <v>% Chg</v>
      </c>
      <c r="X60" s="375" t="str">
        <f t="shared" si="24"/>
        <v>4Q13</v>
      </c>
      <c r="Y60" s="375" t="str">
        <f t="shared" si="24"/>
        <v>% Chg</v>
      </c>
      <c r="Z60" s="375" t="str">
        <f t="shared" si="24"/>
        <v>1Q14</v>
      </c>
      <c r="AA60" s="375" t="str">
        <f t="shared" si="24"/>
        <v>% Chg</v>
      </c>
      <c r="AB60" s="375" t="str">
        <f t="shared" si="24"/>
        <v>2Q14</v>
      </c>
      <c r="AC60" s="375" t="str">
        <f t="shared" si="24"/>
        <v>% Chg</v>
      </c>
      <c r="AD60" s="375" t="str">
        <f t="shared" si="24"/>
        <v>3Q14</v>
      </c>
      <c r="AE60" s="375" t="str">
        <f t="shared" si="24"/>
        <v>% Chg</v>
      </c>
      <c r="AF60" s="375" t="str">
        <f t="shared" si="24"/>
        <v>4Q14</v>
      </c>
      <c r="AG60" s="375" t="str">
        <f t="shared" si="24"/>
        <v>% Chg</v>
      </c>
      <c r="AH60" s="375" t="str">
        <f t="shared" si="24"/>
        <v>1Q15</v>
      </c>
      <c r="AI60" s="375" t="str">
        <f t="shared" si="24"/>
        <v>% Chg</v>
      </c>
      <c r="AJ60" s="375" t="str">
        <f t="shared" si="24"/>
        <v>2Q15</v>
      </c>
      <c r="AK60" s="375" t="str">
        <f t="shared" si="24"/>
        <v>% Chg</v>
      </c>
      <c r="AL60" s="375" t="str">
        <f t="shared" si="24"/>
        <v>3Q15</v>
      </c>
      <c r="AM60" s="375" t="str">
        <f t="shared" si="24"/>
        <v>% Chg</v>
      </c>
      <c r="AN60" s="375" t="str">
        <f t="shared" si="24"/>
        <v>4Q15</v>
      </c>
      <c r="AO60" s="375" t="str">
        <f t="shared" si="24"/>
        <v>% Chg</v>
      </c>
      <c r="AP60" s="375" t="str">
        <f t="shared" si="24"/>
        <v>1Q16</v>
      </c>
      <c r="AQ60" s="375" t="str">
        <f t="shared" si="24"/>
        <v>% Chg</v>
      </c>
      <c r="AR60" s="375" t="str">
        <f t="shared" si="24"/>
        <v>2Q16</v>
      </c>
      <c r="AS60" s="375" t="str">
        <f t="shared" si="24"/>
        <v>% Chg</v>
      </c>
      <c r="AT60" s="375" t="str">
        <f t="shared" si="24"/>
        <v>3Q16</v>
      </c>
      <c r="AU60" s="375" t="str">
        <f t="shared" si="24"/>
        <v>% Chg</v>
      </c>
      <c r="AV60" s="375" t="str">
        <f t="shared" si="24"/>
        <v>4Q16</v>
      </c>
      <c r="AW60" s="375" t="str">
        <f t="shared" si="24"/>
        <v>% Chg</v>
      </c>
      <c r="AX60" s="375" t="str">
        <f t="shared" si="24"/>
        <v>1Q17</v>
      </c>
      <c r="AY60" s="375" t="str">
        <f t="shared" si="24"/>
        <v>% Chg</v>
      </c>
      <c r="AZ60" s="375" t="str">
        <f t="shared" si="24"/>
        <v>2Q17</v>
      </c>
      <c r="BA60" s="375" t="str">
        <f t="shared" si="24"/>
        <v>% Chg</v>
      </c>
      <c r="BB60" s="375" t="str">
        <f t="shared" si="24"/>
        <v>3Q17</v>
      </c>
      <c r="BC60" s="375" t="str">
        <f t="shared" si="24"/>
        <v>% Chg</v>
      </c>
      <c r="BD60" s="375" t="str">
        <f t="shared" si="24"/>
        <v>4Q17</v>
      </c>
      <c r="BE60" s="375" t="str">
        <f t="shared" si="24"/>
        <v>% Chg</v>
      </c>
      <c r="BF60" s="375"/>
      <c r="BG60" s="375" t="str">
        <f t="shared" si="24"/>
        <v>2011</v>
      </c>
      <c r="BH60" s="375" t="str">
        <f t="shared" si="24"/>
        <v>% Chg</v>
      </c>
      <c r="BI60" s="375" t="str">
        <f t="shared" si="24"/>
        <v>2012</v>
      </c>
      <c r="BJ60" s="375" t="str">
        <f t="shared" si="24"/>
        <v>% Chg</v>
      </c>
      <c r="BK60" s="375" t="str">
        <f t="shared" si="24"/>
        <v>2013</v>
      </c>
      <c r="BL60" s="375" t="str">
        <f t="shared" si="24"/>
        <v>% Chg</v>
      </c>
      <c r="BM60" s="375" t="str">
        <f t="shared" si="24"/>
        <v>2014</v>
      </c>
      <c r="BN60" s="375" t="str">
        <f t="shared" si="24"/>
        <v>% Chg</v>
      </c>
      <c r="BO60" s="375" t="str">
        <f t="shared" si="24"/>
        <v>2015</v>
      </c>
      <c r="BP60" s="375" t="str">
        <f t="shared" si="24"/>
        <v>% Chg</v>
      </c>
      <c r="BQ60" s="375">
        <f t="shared" si="24"/>
        <v>2016</v>
      </c>
      <c r="BR60" s="375" t="str">
        <f t="shared" si="24"/>
        <v>% Chg</v>
      </c>
      <c r="BS60" s="375">
        <f t="shared" si="24"/>
        <v>2017</v>
      </c>
      <c r="BT60" s="375" t="str">
        <f t="shared" si="24"/>
        <v>% Chg</v>
      </c>
      <c r="BU60" s="375" t="str">
        <f t="shared" si="24"/>
        <v>2018E</v>
      </c>
      <c r="BV60" s="375" t="str">
        <f t="shared" si="24"/>
        <v>% Chg</v>
      </c>
      <c r="BW60" s="375" t="str">
        <f t="shared" si="24"/>
        <v>2019E</v>
      </c>
      <c r="BX60" s="375" t="str">
        <f t="shared" si="24"/>
        <v>% Chg</v>
      </c>
      <c r="BY60" s="375" t="str">
        <f t="shared" si="24"/>
        <v>2020E</v>
      </c>
      <c r="BZ60" s="375" t="str">
        <f t="shared" si="24"/>
        <v>% Chg</v>
      </c>
      <c r="CA60" s="375" t="str">
        <f t="shared" si="24"/>
        <v>2021E</v>
      </c>
      <c r="CB60" s="375" t="str">
        <f t="shared" si="24"/>
        <v>% Chg</v>
      </c>
      <c r="CC60" s="375" t="str">
        <f t="shared" si="24"/>
        <v>2022E</v>
      </c>
      <c r="CD60" s="375" t="str">
        <f t="shared" si="24"/>
        <v>% Chg</v>
      </c>
      <c r="CE60" s="375" t="str">
        <f t="shared" si="24"/>
        <v>(%)</v>
      </c>
    </row>
    <row r="61" spans="1:154" s="331" customFormat="1" x14ac:dyDescent="0.2">
      <c r="C61" s="332"/>
      <c r="E61" s="332"/>
      <c r="G61" s="332"/>
      <c r="I61" s="332"/>
      <c r="K61" s="332"/>
      <c r="M61" s="332"/>
      <c r="O61" s="332"/>
      <c r="Q61" s="332"/>
      <c r="S61" s="332"/>
      <c r="U61" s="332"/>
      <c r="W61" s="332"/>
      <c r="Y61" s="332"/>
      <c r="AA61" s="332"/>
      <c r="AC61" s="332"/>
      <c r="AE61" s="332"/>
      <c r="AG61" s="332"/>
      <c r="AI61" s="332"/>
      <c r="AK61" s="332"/>
      <c r="AM61" s="332"/>
      <c r="AO61" s="332"/>
      <c r="AQ61" s="332"/>
      <c r="AS61" s="332"/>
      <c r="AU61" s="332"/>
      <c r="AW61" s="332"/>
      <c r="AY61" s="332"/>
      <c r="BA61" s="332"/>
      <c r="BC61" s="332"/>
      <c r="BE61" s="332"/>
      <c r="BF61" s="361"/>
      <c r="BH61" s="332"/>
      <c r="BJ61" s="332"/>
      <c r="BL61" s="332"/>
      <c r="BN61" s="332"/>
      <c r="BP61" s="332"/>
      <c r="BR61" s="332"/>
      <c r="BT61" s="332"/>
      <c r="BV61" s="332"/>
      <c r="BX61" s="332"/>
      <c r="BZ61" s="332"/>
      <c r="CB61" s="332"/>
      <c r="CD61" s="332"/>
      <c r="CE61" s="332"/>
    </row>
    <row r="62" spans="1:154" s="331" customFormat="1" x14ac:dyDescent="0.2">
      <c r="A62" s="366" t="s">
        <v>8</v>
      </c>
      <c r="C62" s="332"/>
      <c r="E62" s="332"/>
      <c r="G62" s="332"/>
      <c r="I62" s="332"/>
      <c r="K62" s="332"/>
      <c r="M62" s="332"/>
      <c r="O62" s="332"/>
      <c r="Q62" s="332"/>
      <c r="S62" s="332"/>
      <c r="U62" s="332"/>
      <c r="W62" s="332"/>
      <c r="Y62" s="332"/>
      <c r="AA62" s="332"/>
      <c r="AC62" s="332"/>
      <c r="AE62" s="332"/>
      <c r="AG62" s="332"/>
      <c r="AI62" s="332"/>
      <c r="AK62" s="332"/>
      <c r="AM62" s="332"/>
      <c r="AO62" s="332"/>
      <c r="AQ62" s="332"/>
      <c r="AS62" s="332"/>
      <c r="AU62" s="332"/>
      <c r="AW62" s="332"/>
      <c r="AY62" s="332"/>
      <c r="BA62" s="332"/>
      <c r="BC62" s="332"/>
      <c r="BE62" s="332"/>
      <c r="BF62" s="361"/>
      <c r="BH62" s="332"/>
      <c r="BJ62" s="332"/>
      <c r="BL62" s="332"/>
      <c r="BN62" s="332"/>
      <c r="BP62" s="332"/>
      <c r="BR62" s="332"/>
      <c r="BT62" s="332"/>
      <c r="BV62" s="332"/>
      <c r="BX62" s="332"/>
      <c r="BZ62" s="332"/>
      <c r="CB62" s="332"/>
      <c r="CD62" s="332"/>
      <c r="CE62" s="332"/>
    </row>
    <row r="63" spans="1:154" s="331" customFormat="1" x14ac:dyDescent="0.2">
      <c r="A63" s="331" t="s">
        <v>41</v>
      </c>
      <c r="B63" s="345">
        <f>INPUT!B753</f>
        <v>230</v>
      </c>
      <c r="C63" s="346"/>
      <c r="D63" s="345">
        <f>INPUT!D753</f>
        <v>230</v>
      </c>
      <c r="E63" s="346"/>
      <c r="F63" s="345">
        <f>INPUT!F753</f>
        <v>230</v>
      </c>
      <c r="G63" s="346"/>
      <c r="H63" s="345">
        <f>INPUT!H753</f>
        <v>230</v>
      </c>
      <c r="I63" s="346"/>
      <c r="J63" s="345">
        <f>INPUT!J753</f>
        <v>230</v>
      </c>
      <c r="K63" s="346">
        <f>INPUT!K753</f>
        <v>0</v>
      </c>
      <c r="L63" s="345">
        <f>INPUT!L753</f>
        <v>230</v>
      </c>
      <c r="M63" s="346">
        <f>INPUT!M753</f>
        <v>0</v>
      </c>
      <c r="N63" s="345">
        <f>INPUT!N753</f>
        <v>230</v>
      </c>
      <c r="O63" s="346">
        <f>INPUT!O753</f>
        <v>0</v>
      </c>
      <c r="P63" s="345">
        <f>INPUT!P753</f>
        <v>230</v>
      </c>
      <c r="Q63" s="346">
        <f>INPUT!Q753</f>
        <v>0</v>
      </c>
      <c r="R63" s="345">
        <f>INPUT!R753</f>
        <v>230.07911999999999</v>
      </c>
      <c r="S63" s="346">
        <f>INPUT!S753</f>
        <v>3.4399999999989994E-2</v>
      </c>
      <c r="T63" s="345">
        <f>INPUT!T753</f>
        <v>260.8</v>
      </c>
      <c r="U63" s="346">
        <f>INPUT!U753</f>
        <v>13.391304347826093</v>
      </c>
      <c r="V63" s="345">
        <f>INPUT!V753</f>
        <v>260.8</v>
      </c>
      <c r="W63" s="346">
        <f>INPUT!W753</f>
        <v>13.391304347826093</v>
      </c>
      <c r="X63" s="345">
        <f>INPUT!X753</f>
        <v>261.7</v>
      </c>
      <c r="Y63" s="346">
        <f>INPUT!Y753</f>
        <v>13.782608695652176</v>
      </c>
      <c r="Z63" s="345">
        <f>INPUT!Z753</f>
        <v>254.7</v>
      </c>
      <c r="AA63" s="346">
        <f>INPUT!AA753</f>
        <v>10.701049273832419</v>
      </c>
      <c r="AB63" s="345">
        <f>INPUT!AB753</f>
        <v>254.6</v>
      </c>
      <c r="AC63" s="346">
        <f>INPUT!AC753</f>
        <v>-2.3773006134969354</v>
      </c>
      <c r="AD63" s="345">
        <f>INPUT!AD753</f>
        <v>246.4</v>
      </c>
      <c r="AE63" s="346">
        <f>INPUT!AE753</f>
        <v>-5.5214723926380387</v>
      </c>
      <c r="AF63" s="345">
        <f>INPUT!AF753</f>
        <v>241.9</v>
      </c>
      <c r="AG63" s="346">
        <f>INPUT!AG753</f>
        <v>-7.5659151700420253</v>
      </c>
      <c r="AH63" s="345">
        <f>INPUT!AH753</f>
        <v>229</v>
      </c>
      <c r="AI63" s="346">
        <f>INPUT!AI753</f>
        <v>-10.090302316450728</v>
      </c>
      <c r="AJ63" s="345">
        <f>INPUT!AJ753</f>
        <v>226.3</v>
      </c>
      <c r="AK63" s="346">
        <f>INPUT!AK753</f>
        <v>-11.115475255302432</v>
      </c>
      <c r="AL63" s="345">
        <f>INPUT!AL753</f>
        <v>215.3</v>
      </c>
      <c r="AM63" s="346">
        <f>INPUT!AM753</f>
        <v>-12.621753246753242</v>
      </c>
      <c r="AN63" s="345">
        <f>INPUT!AN753</f>
        <v>209.1</v>
      </c>
      <c r="AO63" s="346">
        <f>INPUT!AO753</f>
        <v>-13.559322033898313</v>
      </c>
      <c r="AP63" s="345">
        <f>INPUT!AP753</f>
        <v>204</v>
      </c>
      <c r="AQ63" s="346">
        <f>INPUT!AQ753</f>
        <v>-10.917030567685593</v>
      </c>
      <c r="AR63" s="345">
        <f>INPUT!AR753</f>
        <v>200.2</v>
      </c>
      <c r="AS63" s="346">
        <f>INPUT!AS753</f>
        <v>-11.533362792752989</v>
      </c>
      <c r="AT63" s="345">
        <f>INPUT!AT753</f>
        <v>194.6</v>
      </c>
      <c r="AU63" s="346">
        <f>INPUT!AU753</f>
        <v>-9.6144914073386101</v>
      </c>
      <c r="AV63" s="345">
        <f>INPUT!AV753</f>
        <v>194.6</v>
      </c>
      <c r="AW63" s="346">
        <f>INPUT!AW753</f>
        <v>-6.9344811095169767</v>
      </c>
      <c r="AX63" s="345">
        <f>INPUT!AX753</f>
        <v>189.9</v>
      </c>
      <c r="AY63" s="346">
        <f>INPUT!AY753</f>
        <v>-6.9117647058823506</v>
      </c>
      <c r="AZ63" s="345">
        <f>INPUT!AZ753</f>
        <v>179.7</v>
      </c>
      <c r="BA63" s="346">
        <f>INPUT!BA753</f>
        <v>-10.239760239760242</v>
      </c>
      <c r="BB63" s="345">
        <f>INPUT!BB753</f>
        <v>179.7</v>
      </c>
      <c r="BC63" s="346">
        <f>INPUT!BC753</f>
        <v>-7.6567317574511851</v>
      </c>
      <c r="BD63" s="345">
        <f>INPUT!BD753</f>
        <v>172</v>
      </c>
      <c r="BE63" s="346">
        <f>INPUT!BE753</f>
        <v>-11.613566289825282</v>
      </c>
      <c r="BF63" s="347"/>
      <c r="BG63" s="345">
        <f>INPUT!BU753</f>
        <v>230</v>
      </c>
      <c r="BH63" s="346" t="str">
        <f>INPUT!BV753</f>
        <v>NA</v>
      </c>
      <c r="BI63" s="345">
        <f>INPUT!BW753</f>
        <v>230</v>
      </c>
      <c r="BJ63" s="346">
        <f>INPUT!BX753</f>
        <v>0</v>
      </c>
      <c r="BK63" s="345">
        <f>INPUT!BY753</f>
        <v>261.7</v>
      </c>
      <c r="BL63" s="346">
        <f>INPUT!BZ753</f>
        <v>13.782608695652176</v>
      </c>
      <c r="BM63" s="345">
        <f>INPUT!CA753</f>
        <v>241.9</v>
      </c>
      <c r="BN63" s="346">
        <f>INPUT!CB753</f>
        <v>-7.5659151700420253</v>
      </c>
      <c r="BO63" s="345">
        <f>INPUT!CC753</f>
        <v>209.1</v>
      </c>
      <c r="BP63" s="346">
        <f>INPUT!CD753</f>
        <v>-13.559322033898313</v>
      </c>
      <c r="BQ63" s="345">
        <f>INPUT!CE753</f>
        <v>194.6</v>
      </c>
      <c r="BR63" s="346">
        <f>INPUT!CF753</f>
        <v>-6.9344811095169767</v>
      </c>
      <c r="BS63" s="345">
        <f>INPUT!CG753</f>
        <v>172</v>
      </c>
      <c r="BT63" s="346">
        <f>INPUT!CH753</f>
        <v>-11.613566289825282</v>
      </c>
      <c r="BU63" s="345">
        <f>INPUT!CI753</f>
        <v>151.39112116415967</v>
      </c>
      <c r="BV63" s="346">
        <f>INPUT!CJ753</f>
        <v>-11.981906299907163</v>
      </c>
      <c r="BW63" s="345">
        <f>INPUT!CK753</f>
        <v>141.00564759411117</v>
      </c>
      <c r="BX63" s="346">
        <f>INPUT!CL753</f>
        <v>-6.8600281774696015</v>
      </c>
      <c r="BY63" s="345">
        <f>INPUT!CM753</f>
        <v>131.38200325235081</v>
      </c>
      <c r="BZ63" s="346">
        <f>INPUT!CN753</f>
        <v>-6.825006307167425</v>
      </c>
      <c r="CA63" s="345">
        <f>INPUT!CO753</f>
        <v>122.464170272177</v>
      </c>
      <c r="CB63" s="346">
        <f>INPUT!CP753</f>
        <v>-6.7877127455919233</v>
      </c>
      <c r="CC63" s="345">
        <f>INPUT!CQ753</f>
        <v>114.20025710518937</v>
      </c>
      <c r="CD63" s="346">
        <f>INPUT!CR753</f>
        <v>-6.74802527843128</v>
      </c>
      <c r="CE63" s="346">
        <f>INPUT!CS753</f>
        <v>-7.8643451431631757</v>
      </c>
    </row>
    <row r="64" spans="1:154" s="331" customFormat="1" x14ac:dyDescent="0.2">
      <c r="A64" s="331" t="s">
        <v>255</v>
      </c>
      <c r="B64" s="345">
        <f>INPUT!B754</f>
        <v>230</v>
      </c>
      <c r="C64" s="346"/>
      <c r="D64" s="345">
        <f>INPUT!D754</f>
        <v>230</v>
      </c>
      <c r="E64" s="346"/>
      <c r="F64" s="345">
        <f>INPUT!F754</f>
        <v>230</v>
      </c>
      <c r="G64" s="346"/>
      <c r="H64" s="345">
        <f>INPUT!H754</f>
        <v>230</v>
      </c>
      <c r="I64" s="346"/>
      <c r="J64" s="345">
        <f>INPUT!J754</f>
        <v>230</v>
      </c>
      <c r="K64" s="346">
        <f>INPUT!K754</f>
        <v>0</v>
      </c>
      <c r="L64" s="345">
        <f>INPUT!L754</f>
        <v>230</v>
      </c>
      <c r="M64" s="346">
        <f>INPUT!M754</f>
        <v>0</v>
      </c>
      <c r="N64" s="345">
        <f>INPUT!N754</f>
        <v>230</v>
      </c>
      <c r="O64" s="346">
        <f>INPUT!O754</f>
        <v>0</v>
      </c>
      <c r="P64" s="345">
        <f>INPUT!P754</f>
        <v>230</v>
      </c>
      <c r="Q64" s="346">
        <f>INPUT!Q754</f>
        <v>0</v>
      </c>
      <c r="R64" s="345">
        <f>INPUT!R754</f>
        <v>230</v>
      </c>
      <c r="S64" s="346">
        <f>INPUT!S754</f>
        <v>0</v>
      </c>
      <c r="T64" s="345">
        <f>INPUT!T754</f>
        <v>250.3</v>
      </c>
      <c r="U64" s="346">
        <f>INPUT!U754</f>
        <v>8.8260869565217384</v>
      </c>
      <c r="V64" s="345">
        <f>INPUT!V754</f>
        <v>260.8</v>
      </c>
      <c r="W64" s="346">
        <f>INPUT!W754</f>
        <v>13.391304347826093</v>
      </c>
      <c r="X64" s="345">
        <f>INPUT!X754</f>
        <v>261.10000000000002</v>
      </c>
      <c r="Y64" s="346">
        <f>INPUT!Y754</f>
        <v>13.521739130434796</v>
      </c>
      <c r="Z64" s="345">
        <f>INPUT!Z754</f>
        <v>261.10000000000002</v>
      </c>
      <c r="AA64" s="346">
        <f>INPUT!AA754</f>
        <v>13.521739130434796</v>
      </c>
      <c r="AB64" s="345">
        <f>INPUT!AB754</f>
        <v>254.5</v>
      </c>
      <c r="AC64" s="346">
        <f>INPUT!AC754</f>
        <v>1.6779864163004365</v>
      </c>
      <c r="AD64" s="345">
        <f>INPUT!AD754</f>
        <v>252.6</v>
      </c>
      <c r="AE64" s="346">
        <f>INPUT!AE754</f>
        <v>-3.1441717791411139</v>
      </c>
      <c r="AF64" s="345">
        <f>INPUT!AF754</f>
        <v>244.2</v>
      </c>
      <c r="AG64" s="346">
        <f>INPUT!AG754</f>
        <v>-6.4726158559938796</v>
      </c>
      <c r="AH64" s="345">
        <f>INPUT!AH754</f>
        <v>238.5</v>
      </c>
      <c r="AI64" s="346">
        <f>INPUT!AI754</f>
        <v>-8.6556874760628233</v>
      </c>
      <c r="AJ64" s="345">
        <f>INPUT!AJ754</f>
        <v>228.3</v>
      </c>
      <c r="AK64" s="346">
        <f>INPUT!AK754</f>
        <v>-10.294695481335946</v>
      </c>
      <c r="AL64" s="345">
        <f>INPUT!AL754</f>
        <v>221.8</v>
      </c>
      <c r="AM64" s="346">
        <f>INPUT!AM754</f>
        <v>-12.193190815518594</v>
      </c>
      <c r="AN64" s="345">
        <f>INPUT!AN754</f>
        <v>213.4</v>
      </c>
      <c r="AO64" s="346">
        <f>INPUT!AO754</f>
        <v>-12.612612612612606</v>
      </c>
      <c r="AP64" s="345">
        <f>INPUT!AP754</f>
        <v>206.9</v>
      </c>
      <c r="AQ64" s="346">
        <f>INPUT!AQ754</f>
        <v>-13.249475890985318</v>
      </c>
      <c r="AR64" s="345">
        <f>INPUT!AR754</f>
        <v>202.4</v>
      </c>
      <c r="AS64" s="346">
        <f>INPUT!AS754</f>
        <v>-11.344721857205432</v>
      </c>
      <c r="AT64" s="345">
        <f>INPUT!AT754</f>
        <v>199.6</v>
      </c>
      <c r="AU64" s="346">
        <f>INPUT!AU754</f>
        <v>-10.009017132551856</v>
      </c>
      <c r="AV64" s="345">
        <f>INPUT!AV754</f>
        <v>194.6</v>
      </c>
      <c r="AW64" s="346">
        <f>INPUT!AW754</f>
        <v>-8.8097469540768572</v>
      </c>
      <c r="AX64" s="345">
        <f>INPUT!AX754</f>
        <v>191.7</v>
      </c>
      <c r="AY64" s="346">
        <f>INPUT!AY754</f>
        <v>-7.3465442242629404</v>
      </c>
      <c r="AZ64" s="345">
        <f>INPUT!AZ754</f>
        <v>185.8</v>
      </c>
      <c r="BA64" s="346">
        <f>INPUT!BA754</f>
        <v>-8.2015810276679808</v>
      </c>
      <c r="BB64" s="345">
        <f>INPUT!BB754</f>
        <v>179.8</v>
      </c>
      <c r="BC64" s="346">
        <f>INPUT!BC754</f>
        <v>-9.9198396793587111</v>
      </c>
      <c r="BD64" s="345">
        <f>INPUT!BD754</f>
        <v>179</v>
      </c>
      <c r="BE64" s="346">
        <f>INPUT!BE754</f>
        <v>-8.0164439876670102</v>
      </c>
      <c r="BF64" s="347"/>
      <c r="BG64" s="345">
        <f>INPUT!BU754</f>
        <v>230</v>
      </c>
      <c r="BH64" s="346" t="str">
        <f>INPUT!BV754</f>
        <v>NA</v>
      </c>
      <c r="BI64" s="345">
        <f>INPUT!BW754</f>
        <v>230</v>
      </c>
      <c r="BJ64" s="346">
        <f>INPUT!BX754</f>
        <v>0</v>
      </c>
      <c r="BK64" s="345">
        <f>INPUT!BY754</f>
        <v>250.55</v>
      </c>
      <c r="BL64" s="346">
        <f>INPUT!BZ754</f>
        <v>8.9347826086956452</v>
      </c>
      <c r="BM64" s="345">
        <f>INPUT!CA754</f>
        <v>253.1</v>
      </c>
      <c r="BN64" s="346">
        <f>INPUT!CB754</f>
        <v>1.017760925962885</v>
      </c>
      <c r="BO64" s="345">
        <f>INPUT!CC754</f>
        <v>225.5</v>
      </c>
      <c r="BP64" s="346">
        <f>INPUT!CD754</f>
        <v>-10.904780719083362</v>
      </c>
      <c r="BQ64" s="345">
        <f>INPUT!CE754</f>
        <v>200.875</v>
      </c>
      <c r="BR64" s="346">
        <f>INPUT!CF754</f>
        <v>-10.920177383592023</v>
      </c>
      <c r="BS64" s="345">
        <f>INPUT!CG754</f>
        <v>184.07499999999999</v>
      </c>
      <c r="BT64" s="346">
        <f>INPUT!CH754</f>
        <v>-8.3634100808960827</v>
      </c>
      <c r="BU64" s="345">
        <f>INPUT!CI754</f>
        <v>160.84205587874644</v>
      </c>
      <c r="BV64" s="346">
        <f>INPUT!CJ754</f>
        <v>-12.621455450905096</v>
      </c>
      <c r="BW64" s="345">
        <f>INPUT!CK754</f>
        <v>145.15983702213057</v>
      </c>
      <c r="BX64" s="346">
        <f>INPUT!CL754</f>
        <v>-9.7500736178342429</v>
      </c>
      <c r="BY64" s="345">
        <f>INPUT!CM754</f>
        <v>135.42393387589016</v>
      </c>
      <c r="BZ64" s="346">
        <f>INPUT!CN754</f>
        <v>-6.7070226489411855</v>
      </c>
      <c r="CA64" s="345">
        <f>INPUT!CO754</f>
        <v>126.03130346424652</v>
      </c>
      <c r="CB64" s="346">
        <f>INPUT!CP754</f>
        <v>-6.9357240945692507</v>
      </c>
      <c r="CC64" s="345">
        <f>INPUT!CQ754</f>
        <v>117.9190180303338</v>
      </c>
      <c r="CD64" s="346">
        <f>INPUT!CR754</f>
        <v>-6.4367226323371884</v>
      </c>
      <c r="CE64" s="346">
        <f>INPUT!CS754</f>
        <v>-8.5217581940041143</v>
      </c>
    </row>
    <row r="65" spans="1:83" s="331" customFormat="1" x14ac:dyDescent="0.2">
      <c r="A65" s="331" t="s">
        <v>256</v>
      </c>
      <c r="B65" s="345">
        <f>INPUT!B756</f>
        <v>230</v>
      </c>
      <c r="C65" s="346"/>
      <c r="D65" s="345">
        <f>INPUT!D756</f>
        <v>230</v>
      </c>
      <c r="E65" s="346"/>
      <c r="F65" s="345">
        <f>INPUT!F756</f>
        <v>230</v>
      </c>
      <c r="G65" s="346"/>
      <c r="H65" s="345">
        <f>INPUT!H756</f>
        <v>230</v>
      </c>
      <c r="I65" s="346"/>
      <c r="J65" s="345">
        <f>INPUT!J756</f>
        <v>230</v>
      </c>
      <c r="K65" s="346" t="str">
        <f>INPUT!K755</f>
        <v>NA</v>
      </c>
      <c r="L65" s="345">
        <f>INPUT!L756</f>
        <v>230</v>
      </c>
      <c r="M65" s="346" t="str">
        <f>INPUT!M755</f>
        <v>NA</v>
      </c>
      <c r="N65" s="345">
        <f>INPUT!N756</f>
        <v>230</v>
      </c>
      <c r="O65" s="346" t="str">
        <f>INPUT!O755</f>
        <v>NA</v>
      </c>
      <c r="P65" s="345">
        <f>INPUT!P756</f>
        <v>230</v>
      </c>
      <c r="Q65" s="346" t="str">
        <f>INPUT!Q755</f>
        <v>NA</v>
      </c>
      <c r="R65" s="345">
        <f>INPUT!R756</f>
        <v>230</v>
      </c>
      <c r="S65" s="346" t="str">
        <f>INPUT!S755</f>
        <v>NA</v>
      </c>
      <c r="T65" s="345">
        <f>INPUT!T756</f>
        <v>250.3</v>
      </c>
      <c r="U65" s="346" t="str">
        <f>INPUT!U755</f>
        <v>NA</v>
      </c>
      <c r="V65" s="345">
        <f>INPUT!V756</f>
        <v>262.3</v>
      </c>
      <c r="W65" s="346" t="str">
        <f>INPUT!W755</f>
        <v>NA</v>
      </c>
      <c r="X65" s="345">
        <f>INPUT!X756</f>
        <v>263.3</v>
      </c>
      <c r="Y65" s="346" t="str">
        <f>INPUT!Y755</f>
        <v>NA</v>
      </c>
      <c r="Z65" s="345">
        <f>INPUT!Z756</f>
        <v>263.5</v>
      </c>
      <c r="AA65" s="346" t="str">
        <f>INPUT!AA755</f>
        <v>NA</v>
      </c>
      <c r="AB65" s="345">
        <f>INPUT!AB756</f>
        <v>256.2</v>
      </c>
      <c r="AC65" s="346" t="str">
        <f>INPUT!AC755</f>
        <v>NA</v>
      </c>
      <c r="AD65" s="345">
        <f>INPUT!AD756</f>
        <v>254.4</v>
      </c>
      <c r="AE65" s="346">
        <f>INPUT!AE755</f>
        <v>20.00000000000075</v>
      </c>
      <c r="AF65" s="345">
        <f>INPUT!AF756</f>
        <v>246.4</v>
      </c>
      <c r="AG65" s="346">
        <f>INPUT!AG755</f>
        <v>1.2878587085651816E-12</v>
      </c>
      <c r="AH65" s="345">
        <f>INPUT!AH756</f>
        <v>240.7</v>
      </c>
      <c r="AI65" s="346">
        <f>INPUT!AI755</f>
        <v>-8.3333333333329378</v>
      </c>
      <c r="AJ65" s="345">
        <f>INPUT!AJ756</f>
        <v>229.8</v>
      </c>
      <c r="AK65" s="346">
        <f>INPUT!AK755</f>
        <v>-11.764705882352356</v>
      </c>
      <c r="AL65" s="345">
        <f>INPUT!AL756</f>
        <v>223.6</v>
      </c>
      <c r="AM65" s="346">
        <f>INPUT!AM755</f>
        <v>-1.5765166949677223E-12</v>
      </c>
      <c r="AN65" s="345">
        <f>INPUT!AN756</f>
        <v>216</v>
      </c>
      <c r="AO65" s="346">
        <f>INPUT!AO755</f>
        <v>18.181818181817011</v>
      </c>
      <c r="AP65" s="345">
        <f>INPUT!AP756</f>
        <v>209.1</v>
      </c>
      <c r="AQ65" s="346">
        <f>INPUT!AQ755</f>
        <v>0</v>
      </c>
      <c r="AR65" s="345">
        <f>INPUT!AR756</f>
        <v>203.5</v>
      </c>
      <c r="AS65" s="346">
        <f>INPUT!AS755</f>
        <v>-26.666666666667048</v>
      </c>
      <c r="AT65" s="345">
        <f>INPUT!AT756</f>
        <v>201.5</v>
      </c>
      <c r="AU65" s="346">
        <f>INPUT!AU755</f>
        <v>5.5555555555568681</v>
      </c>
      <c r="AV65" s="345">
        <f>INPUT!AV756</f>
        <v>197.1</v>
      </c>
      <c r="AW65" s="346">
        <f>INPUT!AW755</f>
        <v>-3.8461538461536326</v>
      </c>
      <c r="AX65" s="345">
        <f>INPUT!AX756</f>
        <v>194.4</v>
      </c>
      <c r="AY65" s="346">
        <f>INPUT!AY755</f>
        <v>22.727272727274126</v>
      </c>
      <c r="AZ65" s="345">
        <f>INPUT!AZ756</f>
        <v>187.7</v>
      </c>
      <c r="BA65" s="346">
        <f>INPUT!BA755</f>
        <v>72.727272727271554</v>
      </c>
      <c r="BB65" s="345">
        <f>INPUT!BB756</f>
        <v>182.4</v>
      </c>
      <c r="BC65" s="346">
        <f>INPUT!BC755</f>
        <v>36.842105263157187</v>
      </c>
      <c r="BD65" s="345">
        <f>INPUT!BD756</f>
        <v>183</v>
      </c>
      <c r="BE65" s="346">
        <f>INPUT!BE755</f>
        <v>60.000000000000007</v>
      </c>
      <c r="BF65" s="345"/>
      <c r="BG65" s="345">
        <f>INPUT!BU756</f>
        <v>230</v>
      </c>
      <c r="BH65" s="346" t="str">
        <f>INPUT!BV755</f>
        <v>NA</v>
      </c>
      <c r="BI65" s="345">
        <f>INPUT!BW756</f>
        <v>230</v>
      </c>
      <c r="BJ65" s="346" t="str">
        <f>INPUT!BX755</f>
        <v>NA</v>
      </c>
      <c r="BK65" s="345">
        <f>INPUT!BY756</f>
        <v>251.8</v>
      </c>
      <c r="BL65" s="346" t="str">
        <f>INPUT!BZ755</f>
        <v>NA</v>
      </c>
      <c r="BM65" s="345">
        <f>INPUT!CA756</f>
        <v>255.125</v>
      </c>
      <c r="BN65" s="346">
        <f>INPUT!CB755</f>
        <v>1.2878587085651816E-12</v>
      </c>
      <c r="BO65" s="345">
        <f>INPUT!CC756</f>
        <v>227.52500000000001</v>
      </c>
      <c r="BP65" s="346">
        <f>INPUT!CD755</f>
        <v>18.181818181817011</v>
      </c>
      <c r="BQ65" s="345">
        <f>INPUT!CE756</f>
        <v>202.8</v>
      </c>
      <c r="BR65" s="346">
        <f>INPUT!CF755</f>
        <v>-3.8461538461536326</v>
      </c>
      <c r="BS65" s="345">
        <f>INPUT!CG756</f>
        <v>186.875</v>
      </c>
      <c r="BT65" s="346">
        <f>INPUT!CH755</f>
        <v>60.000000000000007</v>
      </c>
      <c r="BU65" s="345">
        <f>INPUT!CI756</f>
        <v>164.41705587874645</v>
      </c>
      <c r="BV65" s="346">
        <f>INPUT!CJ755</f>
        <v>32.499999999999993</v>
      </c>
      <c r="BW65" s="345">
        <f>INPUT!CK756</f>
        <v>150.45983702213059</v>
      </c>
      <c r="BX65" s="346">
        <f>INPUT!CL755</f>
        <v>0</v>
      </c>
      <c r="BY65" s="345">
        <f>INPUT!CM756</f>
        <v>142.62393387589015</v>
      </c>
      <c r="BZ65" s="346">
        <f>INPUT!CN755</f>
        <v>35.849056603773597</v>
      </c>
      <c r="CA65" s="345">
        <f>INPUT!CO756</f>
        <v>134.83130346424653</v>
      </c>
      <c r="CB65" s="346">
        <f>INPUT!CP755</f>
        <v>22.222222222222232</v>
      </c>
      <c r="CC65" s="345">
        <f>INPUT!CQ756</f>
        <v>126.7190180303338</v>
      </c>
      <c r="CD65" s="346">
        <f>INPUT!CR755</f>
        <v>0</v>
      </c>
      <c r="CE65" s="346">
        <f>INPUT!CS755</f>
        <v>17.080491296489232</v>
      </c>
    </row>
    <row r="66" spans="1:83" s="331" customFormat="1" x14ac:dyDescent="0.2">
      <c r="C66" s="332"/>
      <c r="E66" s="332"/>
      <c r="G66" s="332"/>
      <c r="I66" s="332"/>
      <c r="K66" s="332"/>
      <c r="M66" s="332"/>
      <c r="O66" s="332"/>
      <c r="Q66" s="332"/>
      <c r="S66" s="332"/>
      <c r="U66" s="332"/>
      <c r="W66" s="332"/>
      <c r="Y66" s="332"/>
      <c r="AA66" s="332"/>
      <c r="AC66" s="332"/>
      <c r="AE66" s="332"/>
      <c r="AG66" s="332"/>
      <c r="AI66" s="332"/>
      <c r="AK66" s="332"/>
      <c r="AM66" s="332"/>
      <c r="AO66" s="332"/>
      <c r="AQ66" s="332"/>
      <c r="AS66" s="332"/>
      <c r="AU66" s="332"/>
      <c r="AW66" s="332"/>
      <c r="AY66" s="332"/>
      <c r="BA66" s="332"/>
      <c r="BC66" s="332"/>
      <c r="BE66" s="332"/>
      <c r="BF66" s="361"/>
      <c r="BH66" s="332"/>
      <c r="BJ66" s="332"/>
      <c r="BL66" s="332"/>
      <c r="BN66" s="332"/>
      <c r="BP66" s="332"/>
      <c r="BR66" s="332"/>
      <c r="BT66" s="332"/>
      <c r="BV66" s="332"/>
      <c r="BX66" s="332"/>
      <c r="BZ66" s="332"/>
      <c r="CB66" s="332"/>
      <c r="CD66" s="332"/>
      <c r="CE66" s="332"/>
    </row>
    <row r="67" spans="1:83" s="331" customFormat="1" x14ac:dyDescent="0.2">
      <c r="A67" s="376" t="s">
        <v>262</v>
      </c>
      <c r="B67" s="345"/>
      <c r="C67" s="346"/>
      <c r="D67" s="345"/>
      <c r="E67" s="346"/>
      <c r="F67" s="345"/>
      <c r="G67" s="346"/>
      <c r="H67" s="345"/>
      <c r="I67" s="346"/>
      <c r="J67" s="345"/>
      <c r="K67" s="346"/>
      <c r="L67" s="345"/>
      <c r="M67" s="346"/>
      <c r="N67" s="345"/>
      <c r="O67" s="346"/>
      <c r="P67" s="345"/>
      <c r="Q67" s="346"/>
      <c r="R67" s="345"/>
      <c r="S67" s="346"/>
      <c r="T67" s="345"/>
      <c r="U67" s="346"/>
      <c r="V67" s="345"/>
      <c r="W67" s="346"/>
      <c r="X67" s="345"/>
      <c r="Y67" s="346"/>
      <c r="Z67" s="345"/>
      <c r="AA67" s="346"/>
      <c r="AB67" s="345"/>
      <c r="AC67" s="346"/>
      <c r="AD67" s="345"/>
      <c r="AE67" s="346"/>
      <c r="AF67" s="345"/>
      <c r="AG67" s="346"/>
      <c r="AH67" s="345"/>
      <c r="AI67" s="346"/>
      <c r="AJ67" s="345"/>
      <c r="AK67" s="346"/>
      <c r="AL67" s="345"/>
      <c r="AM67" s="346"/>
      <c r="AN67" s="345"/>
      <c r="AO67" s="346"/>
      <c r="AP67" s="345"/>
      <c r="AQ67" s="346"/>
      <c r="AR67" s="345"/>
      <c r="AS67" s="346"/>
      <c r="AT67" s="345"/>
      <c r="AU67" s="346"/>
      <c r="AV67" s="345"/>
      <c r="AW67" s="346"/>
      <c r="AX67" s="345"/>
      <c r="AY67" s="346"/>
      <c r="AZ67" s="345"/>
      <c r="BA67" s="346"/>
      <c r="BB67" s="345"/>
      <c r="BC67" s="346"/>
      <c r="BD67" s="345"/>
      <c r="BE67" s="346"/>
      <c r="BF67" s="347"/>
      <c r="BG67" s="345"/>
      <c r="BH67" s="364"/>
      <c r="BI67" s="345"/>
      <c r="BJ67" s="364"/>
      <c r="BK67" s="345"/>
      <c r="BL67" s="364"/>
      <c r="BM67" s="345"/>
      <c r="BN67" s="364"/>
      <c r="BO67" s="345"/>
      <c r="BP67" s="364"/>
      <c r="BQ67" s="345"/>
      <c r="BR67" s="364"/>
      <c r="BS67" s="345"/>
      <c r="BT67" s="364"/>
      <c r="BU67" s="345"/>
      <c r="BV67" s="364"/>
      <c r="BW67" s="345"/>
      <c r="BX67" s="364"/>
      <c r="BY67" s="345"/>
      <c r="BZ67" s="364"/>
      <c r="CA67" s="345"/>
      <c r="CB67" s="364"/>
      <c r="CC67" s="345"/>
      <c r="CD67" s="364"/>
      <c r="CE67" s="346"/>
    </row>
    <row r="68" spans="1:83" s="331" customFormat="1" x14ac:dyDescent="0.2">
      <c r="A68" s="377" t="str">
        <f>INPUT!A709</f>
        <v>Retirement</v>
      </c>
      <c r="B68" s="363">
        <f>INPUT!B709</f>
        <v>50.098436901919619</v>
      </c>
      <c r="C68" s="346"/>
      <c r="D68" s="363">
        <f>INPUT!D709</f>
        <v>49.493368050411213</v>
      </c>
      <c r="E68" s="346"/>
      <c r="F68" s="363">
        <f>INPUT!F709</f>
        <v>31.824056620877215</v>
      </c>
      <c r="G68" s="346"/>
      <c r="H68" s="363">
        <f>INPUT!H709</f>
        <v>26.711620376423422</v>
      </c>
      <c r="I68" s="346"/>
      <c r="J68" s="363">
        <f>INPUT!J709</f>
        <v>51.711994799003158</v>
      </c>
      <c r="K68" s="346">
        <f>INPUT!K709</f>
        <v>3.2207749320452672</v>
      </c>
      <c r="L68" s="363">
        <f>INPUT!L709</f>
        <v>35.737260026133228</v>
      </c>
      <c r="M68" s="346">
        <f>INPUT!M709</f>
        <v>-27.793841005661147</v>
      </c>
      <c r="N68" s="363">
        <f>INPUT!N709</f>
        <v>53.776088412840025</v>
      </c>
      <c r="O68" s="346">
        <f>INPUT!O709</f>
        <v>68.979363798522897</v>
      </c>
      <c r="P68" s="363">
        <f>INPUT!P709</f>
        <v>51.673145782503028</v>
      </c>
      <c r="Q68" s="346">
        <f>INPUT!Q709</f>
        <v>93.44818866964539</v>
      </c>
      <c r="R68" s="363">
        <f>INPUT!R709</f>
        <v>53.702260327357777</v>
      </c>
      <c r="S68" s="346">
        <f>INPUT!S709</f>
        <v>3.8487502485457847</v>
      </c>
      <c r="T68" s="363">
        <f>INPUT!T709</f>
        <v>48.60294117647063</v>
      </c>
      <c r="U68" s="346">
        <f>INPUT!U709</f>
        <v>36.000748633021232</v>
      </c>
      <c r="V68" s="363">
        <f>INPUT!V709</f>
        <v>43.037683823529413</v>
      </c>
      <c r="W68" s="346">
        <f>INPUT!W709</f>
        <v>-19.968735001459535</v>
      </c>
      <c r="X68" s="363">
        <f>INPUT!X709</f>
        <v>45.457527058051802</v>
      </c>
      <c r="Y68" s="346">
        <f>INPUT!Y709</f>
        <v>-12.028721360633487</v>
      </c>
      <c r="Z68" s="363">
        <f>INPUT!Z709</f>
        <v>49.718736477715254</v>
      </c>
      <c r="AA68" s="346">
        <f>INPUT!AA709</f>
        <v>-7.417795499406898</v>
      </c>
      <c r="AB68" s="363">
        <f>INPUT!AB709</f>
        <v>41.346739792809288</v>
      </c>
      <c r="AC68" s="346">
        <f>INPUT!AC709</f>
        <v>-14.929552014794877</v>
      </c>
      <c r="AD68" s="363">
        <f>INPUT!AD709</f>
        <v>39.843750000000007</v>
      </c>
      <c r="AE68" s="346">
        <f>INPUT!AE709</f>
        <v>-7.421249332621449</v>
      </c>
      <c r="AF68" s="363">
        <f>INPUT!AF709</f>
        <v>39.78779840848803</v>
      </c>
      <c r="AG68" s="346">
        <f>INPUT!AG709</f>
        <v>-12.472584886378035</v>
      </c>
      <c r="AH68" s="363">
        <f>INPUT!AH709</f>
        <v>43.01001035554021</v>
      </c>
      <c r="AI68" s="346">
        <f>INPUT!AI709</f>
        <v>-13.493356021189328</v>
      </c>
      <c r="AJ68" s="363">
        <f>INPUT!AJ709</f>
        <v>48.914285714285725</v>
      </c>
      <c r="AK68" s="346">
        <f>INPUT!AK709</f>
        <v>18.302642383408731</v>
      </c>
      <c r="AL68" s="363">
        <f>INPUT!AL709</f>
        <v>58.71626549963527</v>
      </c>
      <c r="AM68" s="346">
        <f>INPUT!AM709</f>
        <v>47.366313410849273</v>
      </c>
      <c r="AN68" s="363">
        <f>INPUT!AN709</f>
        <v>47.554630593132153</v>
      </c>
      <c r="AO68" s="346">
        <f>INPUT!AO709</f>
        <v>19.52063822407224</v>
      </c>
      <c r="AP68" s="363">
        <f>INPUT!AP709</f>
        <v>118.92201834862392</v>
      </c>
      <c r="AQ68" s="346" t="str">
        <f>INPUT!AQ709</f>
        <v>NM</v>
      </c>
      <c r="AR68" s="363">
        <f>INPUT!AR709</f>
        <v>107.66283524904212</v>
      </c>
      <c r="AS68" s="346" t="str">
        <f>INPUT!AS709</f>
        <v>NM</v>
      </c>
      <c r="AT68" s="363">
        <f>INPUT!AT709</f>
        <v>-170.46070460704564</v>
      </c>
      <c r="AU68" s="346" t="str">
        <f>INPUT!AU709</f>
        <v>NM</v>
      </c>
      <c r="AV68" s="363">
        <f>INPUT!AV709</f>
        <v>95.387700534759418</v>
      </c>
      <c r="AW68" s="346" t="str">
        <f>INPUT!AW709</f>
        <v>NM</v>
      </c>
      <c r="AX68" s="363">
        <f>INPUT!AX709</f>
        <v>102.33837689133425</v>
      </c>
      <c r="AY68" s="346">
        <f>INPUT!AY709</f>
        <v>-13.94497140863702</v>
      </c>
      <c r="AZ68" s="363">
        <f>INPUT!AZ709</f>
        <v>31.308411214953207</v>
      </c>
      <c r="BA68" s="346" t="str">
        <f>INPUT!BA709</f>
        <v>NM</v>
      </c>
      <c r="BB68" s="363">
        <f>INPUT!BB709</f>
        <v>253.08056872037903</v>
      </c>
      <c r="BC68" s="346" t="str">
        <f>INPUT!BC709</f>
        <v>NM</v>
      </c>
      <c r="BD68" s="363">
        <f>INPUT!BD709</f>
        <v>72.034261241970015</v>
      </c>
      <c r="BE68" s="346">
        <f>INPUT!BE709</f>
        <v>-24.482652545208783</v>
      </c>
      <c r="BF68" s="347"/>
      <c r="BG68" s="363">
        <f>INPUT!BU709</f>
        <v>39.455199106583841</v>
      </c>
      <c r="BH68" s="364" t="str">
        <f>INPUT!BV709</f>
        <v>NA</v>
      </c>
      <c r="BI68" s="363">
        <f>INPUT!BW709</f>
        <v>48.847277006559636</v>
      </c>
      <c r="BJ68" s="364">
        <f>INPUT!BX709</f>
        <v>23.804411364403812</v>
      </c>
      <c r="BK68" s="363">
        <f>INPUT!BY709</f>
        <v>46.969338693150462</v>
      </c>
      <c r="BL68" s="364">
        <f>INPUT!BZ709</f>
        <v>-3.8445097219175328</v>
      </c>
      <c r="BM68" s="363">
        <f>INPUT!CA709</f>
        <v>42.081742097993008</v>
      </c>
      <c r="BN68" s="364">
        <f>INPUT!CB709</f>
        <v>-10.405930190092738</v>
      </c>
      <c r="BO68" s="363">
        <f>INPUT!CC709</f>
        <v>48.138297872340424</v>
      </c>
      <c r="BP68" s="364">
        <f>INPUT!CD709</f>
        <v>14.392359898608543</v>
      </c>
      <c r="BQ68" s="363">
        <f>INPUT!CE709</f>
        <v>136.13801452784517</v>
      </c>
      <c r="BR68" s="364" t="str">
        <f>INPUT!CF709</f>
        <v>NM</v>
      </c>
      <c r="BS68" s="363">
        <f>INPUT!CG709</f>
        <v>86.593448210566194</v>
      </c>
      <c r="BT68" s="364">
        <f>INPUT!CH709</f>
        <v>-36.392896201042589</v>
      </c>
      <c r="BU68" s="363">
        <f>INPUT!CI709</f>
        <v>68.941894071172271</v>
      </c>
      <c r="BV68" s="364">
        <f>INPUT!CJ709</f>
        <v>-20.384399171252852</v>
      </c>
      <c r="BW68" s="378">
        <f>INPUT!CK709</f>
        <v>63.708131459494055</v>
      </c>
      <c r="BX68" s="364">
        <f>INPUT!CL709</f>
        <v>-7.5915561679740566</v>
      </c>
      <c r="BY68" s="378">
        <f>INPUT!CM709</f>
        <v>63.768348329723693</v>
      </c>
      <c r="BZ68" s="364">
        <f>INPUT!CN709</f>
        <v>9.4519912686386043E-2</v>
      </c>
      <c r="CA68" s="378">
        <f>INPUT!CO709</f>
        <v>63.984657090843776</v>
      </c>
      <c r="CB68" s="364">
        <f>INPUT!CP709</f>
        <v>0.33921023013114837</v>
      </c>
      <c r="CC68" s="590">
        <f>INPUT!CQ709</f>
        <v>64.105220769596372</v>
      </c>
      <c r="CD68" s="364">
        <f>INPUT!CR709</f>
        <v>0.18842591995362756</v>
      </c>
      <c r="CE68" s="346">
        <f>INPUT!CS709</f>
        <v>-5.8366993306786297</v>
      </c>
    </row>
    <row r="69" spans="1:83" s="331" customFormat="1" x14ac:dyDescent="0.2">
      <c r="A69" s="377" t="str">
        <f>INPUT!A710</f>
        <v>Annuities</v>
      </c>
      <c r="B69" s="363">
        <f>INPUT!B710</f>
        <v>15.732502402547569</v>
      </c>
      <c r="C69" s="346"/>
      <c r="D69" s="363">
        <f>INPUT!D710</f>
        <v>21.264497730227518</v>
      </c>
      <c r="E69" s="346"/>
      <c r="F69" s="363">
        <f>INPUT!F710</f>
        <v>27.532843088605773</v>
      </c>
      <c r="G69" s="346"/>
      <c r="H69" s="363">
        <f>INPUT!H710</f>
        <v>76.273128590670041</v>
      </c>
      <c r="I69" s="346"/>
      <c r="J69" s="363">
        <f>INPUT!J710</f>
        <v>15.169574168382255</v>
      </c>
      <c r="K69" s="346">
        <f>INPUT!K710</f>
        <v>-3.5781226645429154</v>
      </c>
      <c r="L69" s="363">
        <f>INPUT!L710</f>
        <v>13.619459242134898</v>
      </c>
      <c r="M69" s="346">
        <f>INPUT!M710</f>
        <v>-35.952123511599268</v>
      </c>
      <c r="N69" s="363">
        <f>INPUT!N710</f>
        <v>12.065717447545596</v>
      </c>
      <c r="O69" s="346" t="str">
        <f>INPUT!O710</f>
        <v>NM</v>
      </c>
      <c r="P69" s="363">
        <f>INPUT!P710</f>
        <v>3.0198591691073235</v>
      </c>
      <c r="Q69" s="346" t="str">
        <f>INPUT!Q710</f>
        <v>NM</v>
      </c>
      <c r="R69" s="363">
        <f>INPUT!R710</f>
        <v>21.161340607950095</v>
      </c>
      <c r="S69" s="346">
        <f>INPUT!S710</f>
        <v>39.498580336265476</v>
      </c>
      <c r="T69" s="363">
        <f>INPUT!T710</f>
        <v>21.874999999999989</v>
      </c>
      <c r="U69" s="346">
        <f>INPUT!U710</f>
        <v>60.615774907748879</v>
      </c>
      <c r="V69" s="363">
        <f>INPUT!V710</f>
        <v>22.265625000000007</v>
      </c>
      <c r="W69" s="346">
        <f>INPUT!W710</f>
        <v>84.536270609662509</v>
      </c>
      <c r="X69" s="363">
        <f>INPUT!X710</f>
        <v>27.287635290259121</v>
      </c>
      <c r="Y69" s="346" t="str">
        <f>INPUT!Y710</f>
        <v>NM</v>
      </c>
      <c r="Z69" s="363">
        <f>INPUT!Z710</f>
        <v>23.712678494158386</v>
      </c>
      <c r="AA69" s="346">
        <f>INPUT!AA710</f>
        <v>12.056598556188725</v>
      </c>
      <c r="AB69" s="363">
        <f>INPUT!AB710</f>
        <v>19.561243144424143</v>
      </c>
      <c r="AC69" s="346">
        <f>INPUT!AC710</f>
        <v>-10.577174196918159</v>
      </c>
      <c r="AD69" s="363">
        <f>INPUT!AD710</f>
        <v>26.596467391304333</v>
      </c>
      <c r="AE69" s="346">
        <f>INPUT!AE710</f>
        <v>19.450800915331712</v>
      </c>
      <c r="AF69" s="363">
        <f>INPUT!AF710</f>
        <v>17.161803713527863</v>
      </c>
      <c r="AG69" s="346">
        <f>INPUT!AG710</f>
        <v>-37.107764996939409</v>
      </c>
      <c r="AH69" s="363">
        <f>INPUT!AH710</f>
        <v>23.679668622713159</v>
      </c>
      <c r="AI69" s="346">
        <f>INPUT!AI710</f>
        <v>-0.13920768779182024</v>
      </c>
      <c r="AJ69" s="363">
        <f>INPUT!AJ710</f>
        <v>23.238095238095216</v>
      </c>
      <c r="AK69" s="346">
        <f>INPUT!AK710</f>
        <v>18.79661771250538</v>
      </c>
      <c r="AL69" s="363">
        <f>INPUT!AL710</f>
        <v>36.907366885485054</v>
      </c>
      <c r="AM69" s="346">
        <f>INPUT!AM710</f>
        <v>38.767928621798276</v>
      </c>
      <c r="AN69" s="363">
        <f>INPUT!AN710</f>
        <v>21.817551161984049</v>
      </c>
      <c r="AO69" s="346">
        <f>INPUT!AO710</f>
        <v>27.128543865038335</v>
      </c>
      <c r="AP69" s="363">
        <f>INPUT!AP710</f>
        <v>0</v>
      </c>
      <c r="AQ69" s="346" t="str">
        <f>INPUT!AQ710</f>
        <v>NM</v>
      </c>
      <c r="AR69" s="363">
        <f>INPUT!AR710</f>
        <v>0</v>
      </c>
      <c r="AS69" s="346" t="str">
        <f>INPUT!AS710</f>
        <v>NM</v>
      </c>
      <c r="AT69" s="363">
        <f>INPUT!AT710</f>
        <v>0</v>
      </c>
      <c r="AU69" s="346" t="str">
        <f>INPUT!AU710</f>
        <v>NM</v>
      </c>
      <c r="AV69" s="363">
        <f>INPUT!AV710</f>
        <v>0</v>
      </c>
      <c r="AW69" s="346" t="str">
        <f>INPUT!AW710</f>
        <v>NM</v>
      </c>
      <c r="AX69" s="363">
        <f>INPUT!AX710</f>
        <v>0</v>
      </c>
      <c r="AY69" s="346" t="str">
        <f>INPUT!AY710</f>
        <v>NA</v>
      </c>
      <c r="AZ69" s="363">
        <f>INPUT!AZ710</f>
        <v>0</v>
      </c>
      <c r="BA69" s="346" t="str">
        <f>INPUT!BA710</f>
        <v>NA</v>
      </c>
      <c r="BB69" s="363">
        <f>INPUT!BB710</f>
        <v>0</v>
      </c>
      <c r="BC69" s="346" t="str">
        <f>INPUT!BC710</f>
        <v>NA</v>
      </c>
      <c r="BD69" s="363">
        <f>INPUT!BD710</f>
        <v>0</v>
      </c>
      <c r="BE69" s="346" t="str">
        <f>INPUT!BE710</f>
        <v>NA</v>
      </c>
      <c r="BF69" s="347"/>
      <c r="BG69" s="363">
        <f>INPUT!BU710</f>
        <v>34.618282964723967</v>
      </c>
      <c r="BH69" s="364" t="str">
        <f>INPUT!BV710</f>
        <v>NA</v>
      </c>
      <c r="BI69" s="363">
        <f>INPUT!BW710</f>
        <v>11.157844269618851</v>
      </c>
      <c r="BJ69" s="364" t="str">
        <f>INPUT!BX710</f>
        <v>NM</v>
      </c>
      <c r="BK69" s="363">
        <f>INPUT!BY710</f>
        <v>23.165444943643092</v>
      </c>
      <c r="BL69" s="364" t="str">
        <f>INPUT!BZ710</f>
        <v>NM</v>
      </c>
      <c r="BM69" s="363">
        <f>INPUT!CA710</f>
        <v>21.288697489233773</v>
      </c>
      <c r="BN69" s="364">
        <f>INPUT!CB710</f>
        <v>-8.1014953909802738</v>
      </c>
      <c r="BO69" s="363">
        <f>INPUT!CC710</f>
        <v>24.867021276595764</v>
      </c>
      <c r="BP69" s="364">
        <f>INPUT!CD710</f>
        <v>16.808561393535882</v>
      </c>
      <c r="BQ69" s="363">
        <f>INPUT!CE710</f>
        <v>0</v>
      </c>
      <c r="BR69" s="364" t="str">
        <f>INPUT!CF710</f>
        <v>NM</v>
      </c>
      <c r="BS69" s="363">
        <f>INPUT!CG710</f>
        <v>0</v>
      </c>
      <c r="BT69" s="364" t="str">
        <f>INPUT!CH710</f>
        <v>NA</v>
      </c>
      <c r="BU69" s="363">
        <f>INPUT!CI710</f>
        <v>0</v>
      </c>
      <c r="BV69" s="364" t="str">
        <f>INPUT!CJ710</f>
        <v>NA</v>
      </c>
      <c r="BW69" s="378">
        <f>INPUT!CK710</f>
        <v>0</v>
      </c>
      <c r="BX69" s="364" t="str">
        <f>INPUT!CL710</f>
        <v>NA</v>
      </c>
      <c r="BY69" s="378">
        <f>INPUT!CM710</f>
        <v>0</v>
      </c>
      <c r="BZ69" s="364" t="str">
        <f>INPUT!CN710</f>
        <v>NA</v>
      </c>
      <c r="CA69" s="378">
        <f>INPUT!CO710</f>
        <v>0</v>
      </c>
      <c r="CB69" s="364" t="str">
        <f>INPUT!CP710</f>
        <v>NA</v>
      </c>
      <c r="CC69" s="590">
        <f>INPUT!CQ710</f>
        <v>0</v>
      </c>
      <c r="CD69" s="364" t="str">
        <f>INPUT!CR710</f>
        <v>NA</v>
      </c>
      <c r="CE69" s="346" t="str">
        <f>INPUT!CS710</f>
        <v>NA</v>
      </c>
    </row>
    <row r="70" spans="1:83" s="331" customFormat="1" x14ac:dyDescent="0.2">
      <c r="A70" s="377" t="str">
        <f>INPUT!A711</f>
        <v>Investment Management</v>
      </c>
      <c r="B70" s="363">
        <f>INPUT!B711</f>
        <v>10.101544309128133</v>
      </c>
      <c r="C70" s="346"/>
      <c r="D70" s="363">
        <f>INPUT!D711</f>
        <v>8.7693590639586123</v>
      </c>
      <c r="E70" s="346"/>
      <c r="F70" s="363">
        <f>INPUT!F711</f>
        <v>7.4227893301955961</v>
      </c>
      <c r="G70" s="346"/>
      <c r="H70" s="363">
        <f>INPUT!H711</f>
        <v>4.9850346425067729</v>
      </c>
      <c r="I70" s="346"/>
      <c r="J70" s="363">
        <f>INPUT!J711</f>
        <v>13.750135442626515</v>
      </c>
      <c r="K70" s="346">
        <f>INPUT!K711</f>
        <v>36.119142002885418</v>
      </c>
      <c r="L70" s="363">
        <f>INPUT!L711</f>
        <v>15.727208764699974</v>
      </c>
      <c r="M70" s="346">
        <f>INPUT!M711</f>
        <v>79.342739303919998</v>
      </c>
      <c r="N70" s="363">
        <f>INPUT!N711</f>
        <v>14.419642691913376</v>
      </c>
      <c r="O70" s="346">
        <f>INPUT!O711</f>
        <v>94.261780180866424</v>
      </c>
      <c r="P70" s="363">
        <f>INPUT!P711</f>
        <v>14.964600539739903</v>
      </c>
      <c r="Q70" s="346" t="str">
        <f>INPUT!Q711</f>
        <v>NM</v>
      </c>
      <c r="R70" s="363">
        <f>INPUT!R711</f>
        <v>11.730319563522995</v>
      </c>
      <c r="S70" s="346">
        <f>INPUT!S711</f>
        <v>-14.689425333527485</v>
      </c>
      <c r="T70" s="363">
        <f>INPUT!T711</f>
        <v>15.073529411764705</v>
      </c>
      <c r="U70" s="346">
        <f>INPUT!U711</f>
        <v>-4.1563596103745049</v>
      </c>
      <c r="V70" s="363">
        <f>INPUT!V711</f>
        <v>12.408088235294128</v>
      </c>
      <c r="W70" s="346">
        <f>INPUT!W711</f>
        <v>-13.950099177889753</v>
      </c>
      <c r="X70" s="363">
        <f>INPUT!X711</f>
        <v>17.349950803542146</v>
      </c>
      <c r="Y70" s="346">
        <f>INPUT!Y711</f>
        <v>15.939952807077763</v>
      </c>
      <c r="Z70" s="363">
        <f>INPUT!Z711</f>
        <v>21.549112938122008</v>
      </c>
      <c r="AA70" s="346">
        <f>INPUT!AA711</f>
        <v>83.704398004056685</v>
      </c>
      <c r="AB70" s="363">
        <f>INPUT!AB711</f>
        <v>16.727605118829977</v>
      </c>
      <c r="AC70" s="346">
        <f>INPUT!AC711</f>
        <v>10.973380300530589</v>
      </c>
      <c r="AD70" s="363">
        <f>INPUT!AD711</f>
        <v>19.904891304347831</v>
      </c>
      <c r="AE70" s="346">
        <f>INPUT!AE711</f>
        <v>60.418679549114238</v>
      </c>
      <c r="AF70" s="363">
        <f>INPUT!AF711</f>
        <v>12.466843501326263</v>
      </c>
      <c r="AG70" s="346">
        <f>INPUT!AG711</f>
        <v>-28.144790481013658</v>
      </c>
      <c r="AH70" s="363">
        <f>INPUT!AH711</f>
        <v>16.189161201242662</v>
      </c>
      <c r="AI70" s="346">
        <f>INPUT!AI711</f>
        <v>-24.873189686602771</v>
      </c>
      <c r="AJ70" s="363">
        <f>INPUT!AJ711</f>
        <v>17.904761904761905</v>
      </c>
      <c r="AK70" s="346">
        <f>INPUT!AK711</f>
        <v>7.0372105126203843</v>
      </c>
      <c r="AL70" s="363">
        <f>INPUT!AL711</f>
        <v>33.260393873085363</v>
      </c>
      <c r="AM70" s="346">
        <f>INPUT!AM711</f>
        <v>67.096586283896386</v>
      </c>
      <c r="AN70" s="363">
        <f>INPUT!AN711</f>
        <v>14.706902532084632</v>
      </c>
      <c r="AO70" s="346">
        <f>INPUT!AO711</f>
        <v>17.968133076508618</v>
      </c>
      <c r="AP70" s="363">
        <f>INPUT!AP711</f>
        <v>26.032110091743181</v>
      </c>
      <c r="AQ70" s="346">
        <f>INPUT!AQ711</f>
        <v>60.799622464349689</v>
      </c>
      <c r="AR70" s="363">
        <f>INPUT!AR711</f>
        <v>24.29118773946362</v>
      </c>
      <c r="AS70" s="346">
        <f>INPUT!AS711</f>
        <v>35.668867693812764</v>
      </c>
      <c r="AT70" s="363">
        <f>INPUT!AT711</f>
        <v>-139.29539295392917</v>
      </c>
      <c r="AU70" s="346" t="str">
        <f>INPUT!AU711</f>
        <v>NM</v>
      </c>
      <c r="AV70" s="363">
        <f>INPUT!AV711</f>
        <v>43.382352941176485</v>
      </c>
      <c r="AW70" s="346" t="str">
        <f>INPUT!AW711</f>
        <v>NM</v>
      </c>
      <c r="AX70" s="363">
        <f>INPUT!AX711</f>
        <v>33.975240715268271</v>
      </c>
      <c r="AY70" s="346">
        <f>INPUT!AY711</f>
        <v>30.512818959091902</v>
      </c>
      <c r="AZ70" s="363">
        <f>INPUT!AZ711</f>
        <v>79.158878504673012</v>
      </c>
      <c r="BA70" s="346" t="str">
        <f>INPUT!BA711</f>
        <v>NM</v>
      </c>
      <c r="BB70" s="363">
        <f>INPUT!BB711</f>
        <v>127.01421800947853</v>
      </c>
      <c r="BC70" s="346" t="str">
        <f>INPUT!BC711</f>
        <v>NM</v>
      </c>
      <c r="BD70" s="363">
        <f>INPUT!BD711</f>
        <v>26.124197002141337</v>
      </c>
      <c r="BE70" s="346">
        <f>INPUT!BE711</f>
        <v>-39.781511995064058</v>
      </c>
      <c r="BF70" s="347"/>
      <c r="BG70" s="363">
        <f>INPUT!BU711</f>
        <v>7.8126419558459848</v>
      </c>
      <c r="BH70" s="364" t="str">
        <f>INPUT!BV711</f>
        <v>NA</v>
      </c>
      <c r="BI70" s="363">
        <f>INPUT!BW711</f>
        <v>14.651971146512075</v>
      </c>
      <c r="BJ70" s="364">
        <f>INPUT!BX711</f>
        <v>87.541822975112908</v>
      </c>
      <c r="BK70" s="363">
        <f>INPUT!BY711</f>
        <v>14.030109560967929</v>
      </c>
      <c r="BL70" s="364">
        <f>INPUT!BZ711</f>
        <v>-4.2442179234852055</v>
      </c>
      <c r="BM70" s="363">
        <f>INPUT!CA711</f>
        <v>17.087836190785723</v>
      </c>
      <c r="BN70" s="364">
        <f>INPUT!CB711</f>
        <v>21.794032445223777</v>
      </c>
      <c r="BO70" s="363">
        <f>INPUT!CC711</f>
        <v>18.606792144026183</v>
      </c>
      <c r="BP70" s="364">
        <f>INPUT!CD711</f>
        <v>8.889106474812337</v>
      </c>
      <c r="BQ70" s="363">
        <f>INPUT!CE711</f>
        <v>51.664648910411614</v>
      </c>
      <c r="BR70" s="364" t="str">
        <f>INPUT!CF711</f>
        <v>NM</v>
      </c>
      <c r="BS70" s="363">
        <f>INPUT!CG711</f>
        <v>47.093353531528095</v>
      </c>
      <c r="BT70" s="364">
        <f>INPUT!CH711</f>
        <v>-8.8480140198190718</v>
      </c>
      <c r="BU70" s="363">
        <f>INPUT!CI711</f>
        <v>25.371219197711277</v>
      </c>
      <c r="BV70" s="364">
        <f>INPUT!CJ711</f>
        <v>-46.125690155563603</v>
      </c>
      <c r="BW70" s="378">
        <f>INPUT!CK711</f>
        <v>23.620355118097038</v>
      </c>
      <c r="BX70" s="364">
        <f>INPUT!CL711</f>
        <v>-6.9009851910159075</v>
      </c>
      <c r="BY70" s="378">
        <f>INPUT!CM711</f>
        <v>23.5520631247783</v>
      </c>
      <c r="BZ70" s="364">
        <f>INPUT!CN711</f>
        <v>-0.28912348259495513</v>
      </c>
      <c r="CA70" s="378">
        <f>INPUT!CO711</f>
        <v>23.314397120551956</v>
      </c>
      <c r="CB70" s="364">
        <f>INPUT!CP711</f>
        <v>-1.0091090660176771</v>
      </c>
      <c r="CC70" s="590">
        <f>INPUT!CQ711</f>
        <v>23.16869069602097</v>
      </c>
      <c r="CD70" s="364">
        <f>INPUT!CR711</f>
        <v>-0.62496329533026085</v>
      </c>
      <c r="CE70" s="346">
        <f>INPUT!CS711</f>
        <v>-13.226248294927622</v>
      </c>
    </row>
    <row r="71" spans="1:83" s="331" customFormat="1" x14ac:dyDescent="0.2">
      <c r="A71" s="377" t="str">
        <f>INPUT!A712</f>
        <v>Individual Life</v>
      </c>
      <c r="B71" s="363">
        <f>INPUT!B712</f>
        <v>30.202411591976986</v>
      </c>
      <c r="C71" s="346"/>
      <c r="D71" s="363">
        <f>INPUT!D712</f>
        <v>26.931702680865619</v>
      </c>
      <c r="E71" s="346"/>
      <c r="F71" s="363">
        <f>INPUT!F712</f>
        <v>27.325287809937819</v>
      </c>
      <c r="G71" s="346"/>
      <c r="H71" s="363">
        <f>INPUT!H712</f>
        <v>14.885660658868478</v>
      </c>
      <c r="I71" s="346"/>
      <c r="J71" s="363">
        <f>INPUT!J712</f>
        <v>22.953982846712286</v>
      </c>
      <c r="K71" s="346">
        <f>INPUT!K712</f>
        <v>-23.999503229040762</v>
      </c>
      <c r="L71" s="363">
        <f>INPUT!L712</f>
        <v>16.771032264549245</v>
      </c>
      <c r="M71" s="346">
        <f>INPUT!M712</f>
        <v>-37.727545624270185</v>
      </c>
      <c r="N71" s="363">
        <f>INPUT!N712</f>
        <v>19.653425220310357</v>
      </c>
      <c r="O71" s="346">
        <f>INPUT!O712</f>
        <v>-28.0760541041303</v>
      </c>
      <c r="P71" s="363">
        <f>INPUT!P712</f>
        <v>26.114112329174237</v>
      </c>
      <c r="Q71" s="346">
        <f>INPUT!Q712</f>
        <v>75.431329032857846</v>
      </c>
      <c r="R71" s="363">
        <f>INPUT!R712</f>
        <v>19.758378799688224</v>
      </c>
      <c r="S71" s="346">
        <f>INPUT!S712</f>
        <v>-13.921784591216468</v>
      </c>
      <c r="T71" s="363">
        <f>INPUT!T712</f>
        <v>14.705882352941178</v>
      </c>
      <c r="U71" s="346">
        <f>INPUT!U712</f>
        <v>-12.313791298186217</v>
      </c>
      <c r="V71" s="363">
        <f>INPUT!V712</f>
        <v>26.907169117647058</v>
      </c>
      <c r="W71" s="346">
        <f>INPUT!W712</f>
        <v>36.908293674125026</v>
      </c>
      <c r="X71" s="363">
        <f>INPUT!X712</f>
        <v>15.414890127910793</v>
      </c>
      <c r="Y71" s="346">
        <f>INPUT!Y712</f>
        <v>-40.971035378868528</v>
      </c>
      <c r="Z71" s="363">
        <f>INPUT!Z712</f>
        <v>13.457377758546107</v>
      </c>
      <c r="AA71" s="346">
        <f>INPUT!AA712</f>
        <v>-31.890273513946109</v>
      </c>
      <c r="AB71" s="363">
        <f>INPUT!AB712</f>
        <v>19.317489335770844</v>
      </c>
      <c r="AC71" s="346">
        <f>INPUT!AC712</f>
        <v>31.35892748324174</v>
      </c>
      <c r="AD71" s="363">
        <f>INPUT!AD712</f>
        <v>13.519021739130441</v>
      </c>
      <c r="AE71" s="346">
        <f>INPUT!AE712</f>
        <v>-49.756803920840575</v>
      </c>
      <c r="AF71" s="363">
        <f>INPUT!AF712</f>
        <v>27.320954907161827</v>
      </c>
      <c r="AG71" s="346">
        <f>INPUT!AG712</f>
        <v>77.237428748800838</v>
      </c>
      <c r="AH71" s="363">
        <f>INPUT!AH712</f>
        <v>14.981014842940962</v>
      </c>
      <c r="AI71" s="346">
        <f>INPUT!AI712</f>
        <v>11.321946308799035</v>
      </c>
      <c r="AJ71" s="363">
        <f>INPUT!AJ712</f>
        <v>14.361904761904778</v>
      </c>
      <c r="AK71" s="346">
        <f>INPUT!AK712</f>
        <v>-25.65335736818367</v>
      </c>
      <c r="AL71" s="363">
        <f>INPUT!AL712</f>
        <v>-7.8774617067833441</v>
      </c>
      <c r="AM71" s="346" t="str">
        <f>INPUT!AM712</f>
        <v>NM</v>
      </c>
      <c r="AN71" s="363">
        <f>INPUT!AN712</f>
        <v>35.518557058619479</v>
      </c>
      <c r="AO71" s="346">
        <f>INPUT!AO712</f>
        <v>30.004815641743022</v>
      </c>
      <c r="AP71" s="363">
        <f>INPUT!AP712</f>
        <v>47.133027522935819</v>
      </c>
      <c r="AQ71" s="346" t="str">
        <f>INPUT!AQ712</f>
        <v>NM</v>
      </c>
      <c r="AR71" s="363">
        <f>INPUT!AR712</f>
        <v>38.544061302681989</v>
      </c>
      <c r="AS71" s="346" t="str">
        <f>INPUT!AS712</f>
        <v>NM</v>
      </c>
      <c r="AT71" s="363">
        <f>INPUT!AT712</f>
        <v>206.50406504065003</v>
      </c>
      <c r="AU71" s="346" t="str">
        <f>INPUT!AU712</f>
        <v>NM</v>
      </c>
      <c r="AV71" s="363">
        <f>INPUT!AV712</f>
        <v>29.01069518716578</v>
      </c>
      <c r="AW71" s="346">
        <f>INPUT!AW712</f>
        <v>-18.322427515040062</v>
      </c>
      <c r="AX71" s="363">
        <f>INPUT!AX712</f>
        <v>21.801925722145821</v>
      </c>
      <c r="AY71" s="346" t="str">
        <f>INPUT!AY712</f>
        <v>NM</v>
      </c>
      <c r="AZ71" s="363">
        <f>INPUT!AZ712</f>
        <v>58.224299065420595</v>
      </c>
      <c r="BA71" s="346">
        <f>INPUT!BA712</f>
        <v>51.059066163765166</v>
      </c>
      <c r="BB71" s="363">
        <f>INPUT!BB712</f>
        <v>-156.87203791469187</v>
      </c>
      <c r="BC71" s="346" t="str">
        <f>INPUT!BC712</f>
        <v>NM</v>
      </c>
      <c r="BD71" s="363">
        <f>INPUT!BD712</f>
        <v>26.980728051391868</v>
      </c>
      <c r="BE71" s="346">
        <f>INPUT!BE712</f>
        <v>-6.9973060716999385</v>
      </c>
      <c r="BF71" s="347"/>
      <c r="BG71" s="363">
        <f>INPUT!BU712</f>
        <v>24.951951160160721</v>
      </c>
      <c r="BH71" s="364" t="str">
        <f>INPUT!BV712</f>
        <v>NA</v>
      </c>
      <c r="BI71" s="363">
        <f>INPUT!BW712</f>
        <v>21.360080197005647</v>
      </c>
      <c r="BJ71" s="364">
        <f>INPUT!BX712</f>
        <v>-14.395150664169298</v>
      </c>
      <c r="BK71" s="363">
        <f>INPUT!BY712</f>
        <v>20.083550090643961</v>
      </c>
      <c r="BL71" s="364">
        <f>INPUT!BZ712</f>
        <v>-5.9762421048430214</v>
      </c>
      <c r="BM71" s="363">
        <f>INPUT!CA712</f>
        <v>19.281709596164795</v>
      </c>
      <c r="BN71" s="364">
        <f>INPUT!CB712</f>
        <v>-3.9925236866001468</v>
      </c>
      <c r="BO71" s="363">
        <f>INPUT!CC712</f>
        <v>17.66571194762685</v>
      </c>
      <c r="BP71" s="364">
        <f>INPUT!CD712</f>
        <v>-8.3809873832939257</v>
      </c>
      <c r="BQ71" s="363">
        <f>INPUT!CE712</f>
        <v>17.736077481840177</v>
      </c>
      <c r="BR71" s="364">
        <f>INPUT!CF712</f>
        <v>0.39831700200896325</v>
      </c>
      <c r="BS71" s="363">
        <f>INPUT!CG712</f>
        <v>17.193713311872738</v>
      </c>
      <c r="BT71" s="364">
        <f>INPUT!CH712</f>
        <v>-3.0579713610450865</v>
      </c>
      <c r="BU71" s="363">
        <f>INPUT!CI712</f>
        <v>26.237614359720279</v>
      </c>
      <c r="BV71" s="364">
        <f>INPUT!CJ712</f>
        <v>52.600045631809358</v>
      </c>
      <c r="BW71" s="378">
        <f>INPUT!CK712</f>
        <v>23.491340143831412</v>
      </c>
      <c r="BX71" s="364">
        <f>INPUT!CL712</f>
        <v>-10.466935668148702</v>
      </c>
      <c r="BY71" s="378">
        <f>INPUT!CM712</f>
        <v>22.802555933753855</v>
      </c>
      <c r="BZ71" s="364">
        <f>INPUT!CN712</f>
        <v>-2.9320771222940412</v>
      </c>
      <c r="CA71" s="378">
        <f>INPUT!CO712</f>
        <v>22.200104097779128</v>
      </c>
      <c r="CB71" s="364">
        <f>INPUT!CP712</f>
        <v>-2.6420364354108994</v>
      </c>
      <c r="CC71" s="590">
        <f>INPUT!CQ712</f>
        <v>21.65949970139734</v>
      </c>
      <c r="CD71" s="364">
        <f>INPUT!CR712</f>
        <v>-2.4351435200516414</v>
      </c>
      <c r="CE71" s="346">
        <f>INPUT!CS712</f>
        <v>4.7262970771498436</v>
      </c>
    </row>
    <row r="72" spans="1:83" s="331" customFormat="1" x14ac:dyDescent="0.2">
      <c r="A72" s="377" t="str">
        <f>INPUT!A713</f>
        <v>Employee Benefits</v>
      </c>
      <c r="B72" s="363">
        <f>INPUT!B713</f>
        <v>5.3250748186184405</v>
      </c>
      <c r="C72" s="346"/>
      <c r="D72" s="363">
        <f>INPUT!D713</f>
        <v>10.279792910068238</v>
      </c>
      <c r="E72" s="346"/>
      <c r="F72" s="363">
        <f>INPUT!F713</f>
        <v>5.862439904124888</v>
      </c>
      <c r="G72" s="346"/>
      <c r="H72" s="363">
        <f>INPUT!H713</f>
        <v>8.0506258458098134</v>
      </c>
      <c r="I72" s="346"/>
      <c r="J72" s="363">
        <f>INPUT!J713</f>
        <v>6.4579044316827483</v>
      </c>
      <c r="K72" s="346">
        <f>INPUT!K713</f>
        <v>21.273496648413559</v>
      </c>
      <c r="L72" s="363">
        <f>INPUT!L713</f>
        <v>14.576841893657649</v>
      </c>
      <c r="M72" s="346">
        <f>INPUT!M713</f>
        <v>41.800929466008931</v>
      </c>
      <c r="N72" s="363">
        <f>INPUT!N713</f>
        <v>13.335208577762803</v>
      </c>
      <c r="O72" s="346" t="str">
        <f>INPUT!O713</f>
        <v>NM</v>
      </c>
      <c r="P72" s="363">
        <f>INPUT!P713</f>
        <v>13.719268139527088</v>
      </c>
      <c r="Q72" s="346">
        <f>INPUT!Q713</f>
        <v>70.412442489395872</v>
      </c>
      <c r="R72" s="363">
        <f>INPUT!R713</f>
        <v>4.8324240062353825</v>
      </c>
      <c r="S72" s="346">
        <f>INPUT!S713</f>
        <v>-25.17040074908342</v>
      </c>
      <c r="T72" s="363">
        <f>INPUT!T713</f>
        <v>12.536764705882344</v>
      </c>
      <c r="U72" s="346">
        <f>INPUT!U713</f>
        <v>-13.995330419704544</v>
      </c>
      <c r="V72" s="363">
        <f>INPUT!V713</f>
        <v>6.6865808823529385</v>
      </c>
      <c r="W72" s="346">
        <f>INPUT!W713</f>
        <v>-49.85769556313366</v>
      </c>
      <c r="X72" s="363">
        <f>INPUT!X713</f>
        <v>10.003279763857002</v>
      </c>
      <c r="Y72" s="346">
        <f>INPUT!Y713</f>
        <v>-27.085908212288789</v>
      </c>
      <c r="Z72" s="363">
        <f>INPUT!Z713</f>
        <v>7.3128515794028477</v>
      </c>
      <c r="AA72" s="346">
        <f>INPUT!AA713</f>
        <v>51.328848006029993</v>
      </c>
      <c r="AB72" s="363">
        <f>INPUT!AB713</f>
        <v>11.517367458866547</v>
      </c>
      <c r="AC72" s="346">
        <f>INPUT!AC713</f>
        <v>-8.1312624981905284</v>
      </c>
      <c r="AD72" s="363">
        <f>INPUT!AD713</f>
        <v>12.567934782608697</v>
      </c>
      <c r="AE72" s="346">
        <f>INPUT!AE713</f>
        <v>87.957567607948704</v>
      </c>
      <c r="AF72" s="363">
        <f>INPUT!AF713</f>
        <v>15.172413793103454</v>
      </c>
      <c r="AG72" s="346">
        <f>INPUT!AG713</f>
        <v>51.674392312040766</v>
      </c>
      <c r="AH72" s="363">
        <f>INPUT!AH713</f>
        <v>14.014497756299615</v>
      </c>
      <c r="AI72" s="346">
        <f>INPUT!AI713</f>
        <v>91.642037365730459</v>
      </c>
      <c r="AJ72" s="363">
        <f>INPUT!AJ713</f>
        <v>14.361904761904757</v>
      </c>
      <c r="AK72" s="346">
        <f>INPUT!AK713</f>
        <v>24.69780801209367</v>
      </c>
      <c r="AL72" s="363">
        <f>INPUT!AL713</f>
        <v>32.239241429613443</v>
      </c>
      <c r="AM72" s="346" t="str">
        <f>INPUT!AM713</f>
        <v>NM</v>
      </c>
      <c r="AN72" s="363">
        <f>INPUT!AN713</f>
        <v>8.1859174471037086</v>
      </c>
      <c r="AO72" s="346">
        <f>INPUT!AO713</f>
        <v>-46.047362280452852</v>
      </c>
      <c r="AP72" s="363">
        <f>INPUT!AP713</f>
        <v>23.853211009174348</v>
      </c>
      <c r="AQ72" s="346">
        <f>INPUT!AQ713</f>
        <v>70.203823383197332</v>
      </c>
      <c r="AR72" s="363">
        <f>INPUT!AR713</f>
        <v>24.750957854406145</v>
      </c>
      <c r="AS72" s="346">
        <f>INPUT!AS713</f>
        <v>72.337571267416848</v>
      </c>
      <c r="AT72" s="363">
        <f>INPUT!AT713</f>
        <v>-111.92411924119219</v>
      </c>
      <c r="AU72" s="346" t="str">
        <f>INPUT!AU713</f>
        <v>NM</v>
      </c>
      <c r="AV72" s="363">
        <f>INPUT!AV713</f>
        <v>21.323529411764714</v>
      </c>
      <c r="AW72" s="346" t="str">
        <f>INPUT!AW713</f>
        <v>NM</v>
      </c>
      <c r="AX72" s="363">
        <f>INPUT!AX713</f>
        <v>7.2902338376891471</v>
      </c>
      <c r="AY72" s="346" t="str">
        <f>INPUT!AY713</f>
        <v>NM</v>
      </c>
      <c r="AZ72" s="363">
        <f>INPUT!AZ713</f>
        <v>25.233644859813118</v>
      </c>
      <c r="BA72" s="346">
        <f>INPUT!BA713</f>
        <v>1.9501750528052586</v>
      </c>
      <c r="BB72" s="363">
        <f>INPUT!BB713</f>
        <v>137.44075829383874</v>
      </c>
      <c r="BC72" s="346" t="str">
        <f>INPUT!BC713</f>
        <v>NM</v>
      </c>
      <c r="BD72" s="363">
        <f>INPUT!BD713</f>
        <v>12.847965738758033</v>
      </c>
      <c r="BE72" s="346">
        <f>INPUT!BE713</f>
        <v>-39.747471018238215</v>
      </c>
      <c r="BF72" s="347"/>
      <c r="BG72" s="363">
        <f>INPUT!BU713</f>
        <v>7.4396226358976749</v>
      </c>
      <c r="BH72" s="364" t="str">
        <f>INPUT!BV713</f>
        <v>NA</v>
      </c>
      <c r="BI72" s="363">
        <f>INPUT!BW713</f>
        <v>11.893564626146819</v>
      </c>
      <c r="BJ72" s="364">
        <f>INPUT!BX713</f>
        <v>59.86784825292051</v>
      </c>
      <c r="BK72" s="363">
        <f>INPUT!BY713</f>
        <v>8.3628911484196458</v>
      </c>
      <c r="BL72" s="364">
        <f>INPUT!BZ713</f>
        <v>-29.685578619258845</v>
      </c>
      <c r="BM72" s="363">
        <f>INPUT!CA713</f>
        <v>12.098805557812613</v>
      </c>
      <c r="BN72" s="364">
        <f>INPUT!CB713</f>
        <v>44.672522254447266</v>
      </c>
      <c r="BO72" s="363">
        <f>INPUT!CC713</f>
        <v>14.944762684124379</v>
      </c>
      <c r="BP72" s="364">
        <f>INPUT!CD713</f>
        <v>23.522628847225626</v>
      </c>
      <c r="BQ72" s="363">
        <f>INPUT!CE713</f>
        <v>38.226392251816002</v>
      </c>
      <c r="BR72" s="364" t="str">
        <f>INPUT!CF713</f>
        <v>NM</v>
      </c>
      <c r="BS72" s="363">
        <f>INPUT!CG713</f>
        <v>23.7833743609165</v>
      </c>
      <c r="BT72" s="364">
        <f>INPUT!CH713</f>
        <v>-37.782843318710945</v>
      </c>
      <c r="BU72" s="363">
        <f>INPUT!CI713</f>
        <v>13.945652253597482</v>
      </c>
      <c r="BV72" s="364">
        <f>INPUT!CJ713</f>
        <v>-41.363861822254556</v>
      </c>
      <c r="BW72" s="378">
        <f>INPUT!CK713</f>
        <v>13.170432081870546</v>
      </c>
      <c r="BX72" s="364">
        <f>INPUT!CL713</f>
        <v>-5.5588663594200565</v>
      </c>
      <c r="BY72" s="378">
        <f>INPUT!CM713</f>
        <v>12.818528697484254</v>
      </c>
      <c r="BZ72" s="364">
        <f>INPUT!CN713</f>
        <v>-2.6719198140104816</v>
      </c>
      <c r="CA72" s="378">
        <f>INPUT!CO713</f>
        <v>12.506351982954664</v>
      </c>
      <c r="CB72" s="364">
        <f>INPUT!CP713</f>
        <v>-2.4353552728001993</v>
      </c>
      <c r="CC72" s="590">
        <f>INPUT!CQ713</f>
        <v>12.220486437358613</v>
      </c>
      <c r="CD72" s="364">
        <f>INPUT!CR713</f>
        <v>-2.2857628346432901</v>
      </c>
      <c r="CE72" s="346">
        <f>INPUT!CS713</f>
        <v>-12.468775437658497</v>
      </c>
    </row>
    <row r="73" spans="1:83" s="331" customFormat="1" x14ac:dyDescent="0.2">
      <c r="A73" s="376" t="str">
        <f>INPUT!A756</f>
        <v>Average Shares Outstanding (FD)</v>
      </c>
      <c r="B73" s="363">
        <f>INPUT!B756</f>
        <v>230</v>
      </c>
      <c r="C73" s="346"/>
      <c r="D73" s="363">
        <f>INPUT!D756</f>
        <v>230</v>
      </c>
      <c r="E73" s="346"/>
      <c r="F73" s="363">
        <f>INPUT!F756</f>
        <v>230</v>
      </c>
      <c r="G73" s="346"/>
      <c r="H73" s="363">
        <f>INPUT!H756</f>
        <v>230</v>
      </c>
      <c r="I73" s="346"/>
      <c r="J73" s="363">
        <f>INPUT!J756</f>
        <v>230</v>
      </c>
      <c r="K73" s="346">
        <f>INPUT!K756</f>
        <v>0</v>
      </c>
      <c r="L73" s="363">
        <f>INPUT!L756</f>
        <v>230</v>
      </c>
      <c r="M73" s="346">
        <f>INPUT!M756</f>
        <v>0</v>
      </c>
      <c r="N73" s="363">
        <f>INPUT!N756</f>
        <v>230</v>
      </c>
      <c r="O73" s="346">
        <f>INPUT!O756</f>
        <v>0</v>
      </c>
      <c r="P73" s="363">
        <f>INPUT!P756</f>
        <v>230</v>
      </c>
      <c r="Q73" s="346">
        <f>INPUT!Q756</f>
        <v>0</v>
      </c>
      <c r="R73" s="363">
        <f>INPUT!R756</f>
        <v>230</v>
      </c>
      <c r="S73" s="346">
        <f>INPUT!S756</f>
        <v>0</v>
      </c>
      <c r="T73" s="363">
        <f>INPUT!T756</f>
        <v>250.3</v>
      </c>
      <c r="U73" s="346">
        <f>INPUT!U756</f>
        <v>8.8260869565217384</v>
      </c>
      <c r="V73" s="363">
        <f>INPUT!V756</f>
        <v>262.3</v>
      </c>
      <c r="W73" s="346">
        <f>INPUT!W756</f>
        <v>14.043478260869581</v>
      </c>
      <c r="X73" s="363">
        <f>INPUT!X756</f>
        <v>263.3</v>
      </c>
      <c r="Y73" s="346">
        <f>INPUT!Y756</f>
        <v>14.478260869565229</v>
      </c>
      <c r="Z73" s="363">
        <f>INPUT!Z756</f>
        <v>263.5</v>
      </c>
      <c r="AA73" s="346">
        <f>INPUT!AA756</f>
        <v>14.565217391304341</v>
      </c>
      <c r="AB73" s="363">
        <f>INPUT!AB756</f>
        <v>256.2</v>
      </c>
      <c r="AC73" s="346">
        <f>INPUT!AC756</f>
        <v>2.3571713943268069</v>
      </c>
      <c r="AD73" s="363">
        <f>INPUT!AD756</f>
        <v>254.4</v>
      </c>
      <c r="AE73" s="346">
        <f>INPUT!AE756</f>
        <v>-3.0118185284025989</v>
      </c>
      <c r="AF73" s="363">
        <f>INPUT!AF756</f>
        <v>246.4</v>
      </c>
      <c r="AG73" s="346">
        <f>INPUT!AG756</f>
        <v>-6.418533991644515</v>
      </c>
      <c r="AH73" s="363">
        <f>INPUT!AH756</f>
        <v>240.7</v>
      </c>
      <c r="AI73" s="346">
        <f>INPUT!AI756</f>
        <v>-8.6527514231499065</v>
      </c>
      <c r="AJ73" s="363">
        <f>INPUT!AJ756</f>
        <v>229.8</v>
      </c>
      <c r="AK73" s="346">
        <f>INPUT!AK756</f>
        <v>-10.304449648711934</v>
      </c>
      <c r="AL73" s="363">
        <f>INPUT!AL756</f>
        <v>223.6</v>
      </c>
      <c r="AM73" s="346">
        <f>INPUT!AM756</f>
        <v>-12.106918238993714</v>
      </c>
      <c r="AN73" s="363">
        <f>INPUT!AN756</f>
        <v>216</v>
      </c>
      <c r="AO73" s="346">
        <f>INPUT!AO756</f>
        <v>-12.337662337662337</v>
      </c>
      <c r="AP73" s="363">
        <f>INPUT!AP756</f>
        <v>209.1</v>
      </c>
      <c r="AQ73" s="346">
        <f>INPUT!AQ756</f>
        <v>-13.128375571250517</v>
      </c>
      <c r="AR73" s="363">
        <f>INPUT!AR756</f>
        <v>203.5</v>
      </c>
      <c r="AS73" s="346">
        <f>INPUT!AS756</f>
        <v>-11.444734551784164</v>
      </c>
      <c r="AT73" s="363">
        <f>INPUT!AT756</f>
        <v>201.5</v>
      </c>
      <c r="AU73" s="346">
        <f>INPUT!AU756</f>
        <v>-9.8837209302325526</v>
      </c>
      <c r="AV73" s="363">
        <f>INPUT!AV756</f>
        <v>197.1</v>
      </c>
      <c r="AW73" s="346">
        <f>INPUT!AW756</f>
        <v>-8.7500000000000018</v>
      </c>
      <c r="AX73" s="363">
        <f>INPUT!AX756</f>
        <v>194.4</v>
      </c>
      <c r="AY73" s="346">
        <f>INPUT!AY756</f>
        <v>-7.0301291248206503</v>
      </c>
      <c r="AZ73" s="363">
        <f>INPUT!AZ756</f>
        <v>187.7</v>
      </c>
      <c r="BA73" s="346">
        <f>INPUT!BA756</f>
        <v>-7.7641277641277711</v>
      </c>
      <c r="BB73" s="363">
        <f>INPUT!BB756</f>
        <v>182.4</v>
      </c>
      <c r="BC73" s="346">
        <f>INPUT!BC756</f>
        <v>-9.4789081885855992</v>
      </c>
      <c r="BD73" s="363">
        <f>INPUT!BD756</f>
        <v>183</v>
      </c>
      <c r="BE73" s="346">
        <f>INPUT!BE756</f>
        <v>-7.1537290715372848</v>
      </c>
      <c r="BF73" s="347"/>
      <c r="BG73" s="363">
        <f>INPUT!BU756</f>
        <v>230</v>
      </c>
      <c r="BH73" s="364" t="str">
        <f>INPUT!BV756</f>
        <v>NA</v>
      </c>
      <c r="BI73" s="363">
        <f>INPUT!BW756</f>
        <v>230</v>
      </c>
      <c r="BJ73" s="364">
        <f>INPUT!BX756</f>
        <v>0</v>
      </c>
      <c r="BK73" s="363">
        <f>INPUT!BY756</f>
        <v>251.8</v>
      </c>
      <c r="BL73" s="364">
        <f>INPUT!BZ756</f>
        <v>9.4782608695652257</v>
      </c>
      <c r="BM73" s="363">
        <f>INPUT!CA756</f>
        <v>255.125</v>
      </c>
      <c r="BN73" s="364">
        <f>INPUT!CB756</f>
        <v>1.3204924543288366</v>
      </c>
      <c r="BO73" s="363">
        <f>INPUT!CC756</f>
        <v>227.52500000000001</v>
      </c>
      <c r="BP73" s="364">
        <f>INPUT!CD756</f>
        <v>-10.818226359627637</v>
      </c>
      <c r="BQ73" s="363">
        <f>INPUT!CE756</f>
        <v>202.8</v>
      </c>
      <c r="BR73" s="364">
        <f>INPUT!CF756</f>
        <v>-10.866937699153933</v>
      </c>
      <c r="BS73" s="363">
        <f>INPUT!CG756</f>
        <v>186.875</v>
      </c>
      <c r="BT73" s="364">
        <f>INPUT!CH756</f>
        <v>-7.8525641025641075</v>
      </c>
      <c r="BU73" s="363">
        <f>INPUT!CI756</f>
        <v>164.41705587874645</v>
      </c>
      <c r="BV73" s="364">
        <f>INPUT!CJ756</f>
        <v>-12.017628961205906</v>
      </c>
      <c r="BW73" s="378">
        <f>INPUT!CK756</f>
        <v>150.45983702213059</v>
      </c>
      <c r="BX73" s="364">
        <f>INPUT!CL756</f>
        <v>-8.4889117993384939</v>
      </c>
      <c r="BY73" s="378">
        <f>INPUT!CM756</f>
        <v>142.62393387589015</v>
      </c>
      <c r="BZ73" s="364">
        <f>INPUT!CN756</f>
        <v>-5.2079699814428837</v>
      </c>
      <c r="CA73" s="378">
        <f>INPUT!CO756</f>
        <v>134.83130346424653</v>
      </c>
      <c r="CB73" s="364">
        <f>INPUT!CP756</f>
        <v>-5.4637606745756129</v>
      </c>
      <c r="CC73" s="590">
        <f>INPUT!CQ756</f>
        <v>126.7190180303338</v>
      </c>
      <c r="CD73" s="364">
        <f>INPUT!CR756</f>
        <v>-6.0166187120366139</v>
      </c>
      <c r="CE73" s="346">
        <f>INPUT!CS756</f>
        <v>-7.4752077490880753</v>
      </c>
    </row>
    <row r="74" spans="1:83" s="331" customFormat="1" x14ac:dyDescent="0.2">
      <c r="A74" s="377" t="str">
        <f>INPUT!A715</f>
        <v>Corporate</v>
      </c>
      <c r="B74" s="363">
        <f>INPUT!B715</f>
        <v>-17.689082650580144</v>
      </c>
      <c r="C74" s="346"/>
      <c r="D74" s="363">
        <f>INPUT!D715</f>
        <v>-22.994941989964328</v>
      </c>
      <c r="E74" s="346"/>
      <c r="F74" s="363">
        <f>INPUT!F715</f>
        <v>-6.7773152218106532</v>
      </c>
      <c r="G74" s="346"/>
      <c r="H74" s="363">
        <f>INPUT!H715</f>
        <v>-36.629416431737489</v>
      </c>
      <c r="I74" s="346"/>
      <c r="J74" s="363">
        <f>INPUT!J715</f>
        <v>-20.170532685431393</v>
      </c>
      <c r="K74" s="346">
        <f>INPUT!K715</f>
        <v>14.028144273325927</v>
      </c>
      <c r="L74" s="363">
        <f>INPUT!L715</f>
        <v>-16.433812443461655</v>
      </c>
      <c r="M74" s="346">
        <f>INPUT!M715</f>
        <v>-28.532924977006434</v>
      </c>
      <c r="N74" s="363">
        <f>INPUT!N715</f>
        <v>-21.318568250878094</v>
      </c>
      <c r="O74" s="346" t="str">
        <f>INPUT!O715</f>
        <v>NM</v>
      </c>
      <c r="P74" s="363">
        <f>INPUT!P715</f>
        <v>-20.899342821123664</v>
      </c>
      <c r="Q74" s="346">
        <f>INPUT!Q715</f>
        <v>-42.943828056688702</v>
      </c>
      <c r="R74" s="363">
        <f>INPUT!R715</f>
        <v>-19.524551831644583</v>
      </c>
      <c r="S74" s="346">
        <f>INPUT!S715</f>
        <v>-3.2025968964785156</v>
      </c>
      <c r="T74" s="363">
        <f>INPUT!T715</f>
        <v>-19.411764705882355</v>
      </c>
      <c r="U74" s="346">
        <f>INPUT!U715</f>
        <v>18.120885051268232</v>
      </c>
      <c r="V74" s="363">
        <f>INPUT!V715</f>
        <v>-14.636948529411766</v>
      </c>
      <c r="W74" s="346">
        <f>INPUT!W715</f>
        <v>-31.341784508399705</v>
      </c>
      <c r="X74" s="363">
        <f>INPUT!X715</f>
        <v>-14.430960970810105</v>
      </c>
      <c r="Y74" s="346">
        <f>INPUT!Y715</f>
        <v>-30.950168652077181</v>
      </c>
      <c r="Z74" s="363">
        <f>INPUT!Z715</f>
        <v>-16.140199048031143</v>
      </c>
      <c r="AA74" s="346">
        <f>INPUT!AA715</f>
        <v>-17.333830823856466</v>
      </c>
      <c r="AB74" s="363">
        <f>INPUT!AB715</f>
        <v>-11.669713589274833</v>
      </c>
      <c r="AC74" s="346">
        <f>INPUT!AC715</f>
        <v>-39.883293631008442</v>
      </c>
      <c r="AD74" s="363">
        <f>INPUT!AD715</f>
        <v>-15.998641304347828</v>
      </c>
      <c r="AE74" s="346">
        <f>INPUT!AE715</f>
        <v>9.3031192410074404</v>
      </c>
      <c r="AF74" s="363">
        <f>INPUT!AF715</f>
        <v>-12.652519893899209</v>
      </c>
      <c r="AG74" s="346">
        <f>INPUT!AG715</f>
        <v>-12.323788280684822</v>
      </c>
      <c r="AH74" s="363">
        <f>INPUT!AH715</f>
        <v>-16.637901277183293</v>
      </c>
      <c r="AI74" s="346">
        <f>INPUT!AI715</f>
        <v>3.0836189050150731</v>
      </c>
      <c r="AJ74" s="363">
        <f>INPUT!AJ715</f>
        <v>-20.3047619047619</v>
      </c>
      <c r="AK74" s="346">
        <f>INPUT!AK715</f>
        <v>73.995374860126773</v>
      </c>
      <c r="AL74" s="363">
        <f>INPUT!AL715</f>
        <v>-55.142231947483644</v>
      </c>
      <c r="AM74" s="346" t="str">
        <f>INPUT!AM715</f>
        <v>NM</v>
      </c>
      <c r="AN74" s="363">
        <f>INPUT!AN715</f>
        <v>-28.477280610475198</v>
      </c>
      <c r="AO74" s="346" t="str">
        <f>INPUT!AO715</f>
        <v>NM</v>
      </c>
      <c r="AP74" s="363">
        <f>INPUT!AP715</f>
        <v>-120.29816513761489</v>
      </c>
      <c r="AQ74" s="346" t="str">
        <f>INPUT!AQ715</f>
        <v>NM</v>
      </c>
      <c r="AR74" s="363">
        <f>INPUT!AR715</f>
        <v>-96.704980842911908</v>
      </c>
      <c r="AS74" s="346" t="str">
        <f>INPUT!AS715</f>
        <v>NM</v>
      </c>
      <c r="AT74" s="363">
        <f>INPUT!AT715</f>
        <v>296.476964769647</v>
      </c>
      <c r="AU74" s="346" t="str">
        <f>INPUT!AU715</f>
        <v>NM</v>
      </c>
      <c r="AV74" s="363">
        <f>INPUT!AV715</f>
        <v>-89.104278074866372</v>
      </c>
      <c r="AW74" s="346" t="str">
        <f>INPUT!AW715</f>
        <v>NM</v>
      </c>
      <c r="AX74" s="363">
        <f>INPUT!AX715</f>
        <v>-65.405777166437488</v>
      </c>
      <c r="AY74" s="346">
        <f>INPUT!AY715</f>
        <v>-45.630278656688859</v>
      </c>
      <c r="AZ74" s="363">
        <f>INPUT!AZ715</f>
        <v>-93.925233644859944</v>
      </c>
      <c r="BA74" s="346">
        <f>INPUT!BA715</f>
        <v>-2.8744612467969999</v>
      </c>
      <c r="BB74" s="363">
        <f>INPUT!BB715</f>
        <v>-260.66350710900446</v>
      </c>
      <c r="BC74" s="346" t="str">
        <f>INPUT!BC715</f>
        <v>NM</v>
      </c>
      <c r="BD74" s="363">
        <f>INPUT!BD715</f>
        <v>-37.987152034261243</v>
      </c>
      <c r="BE74" s="346" t="str">
        <f>INPUT!BE715</f>
        <v>NM</v>
      </c>
      <c r="BF74" s="347"/>
      <c r="BG74" s="363">
        <f>INPUT!BU715</f>
        <v>-20.554884545987758</v>
      </c>
      <c r="BH74" s="364" t="str">
        <f>INPUT!BV715</f>
        <v>NA</v>
      </c>
      <c r="BI74" s="363">
        <f>INPUT!BW715</f>
        <v>-19.864013772964011</v>
      </c>
      <c r="BJ74" s="364">
        <f>INPUT!BX715</f>
        <v>-3.3611026687016987</v>
      </c>
      <c r="BK74" s="363">
        <f>INPUT!BY715</f>
        <v>-16.599668952471031</v>
      </c>
      <c r="BL74" s="364">
        <f>INPUT!BZ715</f>
        <v>-16.433460315739048</v>
      </c>
      <c r="BM74" s="363">
        <f>INPUT!CA715</f>
        <v>-13.845778825058908</v>
      </c>
      <c r="BN74" s="364">
        <f>INPUT!CB715</f>
        <v>-16.590030411432867</v>
      </c>
      <c r="BO74" s="363">
        <f>INPUT!CC715</f>
        <v>-26.513911620294611</v>
      </c>
      <c r="BP74" s="364">
        <f>INPUT!CD715</f>
        <v>91.494548304557412</v>
      </c>
      <c r="BQ74" s="363">
        <f>INPUT!CE715</f>
        <v>-143.40193704600495</v>
      </c>
      <c r="BR74" s="364" t="str">
        <f>INPUT!CF715</f>
        <v>NM</v>
      </c>
      <c r="BS74" s="363">
        <f>INPUT!CG715</f>
        <v>-74.663889414883528</v>
      </c>
      <c r="BT74" s="364">
        <f>INPUT!CH715</f>
        <v>-47.933834819169483</v>
      </c>
      <c r="BU74" s="363">
        <f>INPUT!CI715</f>
        <v>-34.496379882201317</v>
      </c>
      <c r="BV74" s="364" t="str">
        <f>INPUT!CJ715</f>
        <v>NM</v>
      </c>
      <c r="BW74" s="378">
        <f>INPUT!CK715</f>
        <v>-23.990258803293056</v>
      </c>
      <c r="BX74" s="364">
        <f>INPUT!CL715</f>
        <v>-30.455720614118643</v>
      </c>
      <c r="BY74" s="378">
        <f>INPUT!CM715</f>
        <v>-22.941496085740106</v>
      </c>
      <c r="BZ74" s="364">
        <f>INPUT!CN715</f>
        <v>-4.3716190231719798</v>
      </c>
      <c r="CA74" s="378">
        <f>INPUT!CO715</f>
        <v>-22.0055102921295</v>
      </c>
      <c r="CB74" s="364">
        <f>INPUT!CP715</f>
        <v>-4.0798812340420598</v>
      </c>
      <c r="CC74" s="590">
        <f>INPUT!CQ715</f>
        <v>-21.153897604373292</v>
      </c>
      <c r="CD74" s="364">
        <f>INPUT!CR715</f>
        <v>-3.8699974526871017</v>
      </c>
      <c r="CE74" s="346">
        <f>INPUT!CS715</f>
        <v>-22.293748809618997</v>
      </c>
    </row>
    <row r="75" spans="1:83" s="331" customFormat="1" x14ac:dyDescent="0.2">
      <c r="A75" s="377" t="str">
        <f>INPUT!A716</f>
        <v>Closed Block</v>
      </c>
      <c r="B75" s="363">
        <f>INPUT!B716</f>
        <v>6.2291126263893961</v>
      </c>
      <c r="C75" s="346"/>
      <c r="D75" s="363">
        <f>INPUT!D716</f>
        <v>6.2562215544331323</v>
      </c>
      <c r="E75" s="346"/>
      <c r="F75" s="363">
        <f>INPUT!F716</f>
        <v>6.8098984680693571</v>
      </c>
      <c r="G75" s="346"/>
      <c r="H75" s="363">
        <f>INPUT!H716</f>
        <v>5.7233463174589829</v>
      </c>
      <c r="I75" s="346"/>
      <c r="J75" s="363">
        <f>INPUT!J716</f>
        <v>10.126940997024434</v>
      </c>
      <c r="K75" s="346">
        <f>INPUT!K716</f>
        <v>62.574376230123654</v>
      </c>
      <c r="L75" s="363">
        <f>INPUT!L716</f>
        <v>20.002010252286663</v>
      </c>
      <c r="M75" s="346" t="str">
        <f>INPUT!M716</f>
        <v>NM</v>
      </c>
      <c r="N75" s="363">
        <f>INPUT!N716</f>
        <v>8.0684859005059462</v>
      </c>
      <c r="O75" s="346">
        <f>INPUT!O716</f>
        <v>18.481735643165997</v>
      </c>
      <c r="P75" s="363">
        <f>INPUT!P716</f>
        <v>11.408356861072093</v>
      </c>
      <c r="Q75" s="346">
        <f>INPUT!Q716</f>
        <v>99.330186018467373</v>
      </c>
      <c r="R75" s="363">
        <f>INPUT!R716</f>
        <v>8.3398285268901002</v>
      </c>
      <c r="S75" s="346">
        <f>INPUT!S716</f>
        <v>-17.64711052093061</v>
      </c>
      <c r="T75" s="363">
        <f>INPUT!T716</f>
        <v>6.6176470588235299</v>
      </c>
      <c r="U75" s="346" t="str">
        <f>INPUT!U716</f>
        <v>NM</v>
      </c>
      <c r="V75" s="363">
        <f>INPUT!V716</f>
        <v>3.3318014705882346</v>
      </c>
      <c r="W75" s="346" t="str">
        <f>INPUT!W716</f>
        <v>NM</v>
      </c>
      <c r="X75" s="363">
        <f>INPUT!X716</f>
        <v>-1.0823220728107592</v>
      </c>
      <c r="Y75" s="346" t="str">
        <f>INPUT!Y716</f>
        <v>NM</v>
      </c>
      <c r="Z75" s="363">
        <f>INPUT!Z716</f>
        <v>0.38944180008654172</v>
      </c>
      <c r="AA75" s="346" t="str">
        <f>INPUT!AA716</f>
        <v>NM</v>
      </c>
      <c r="AB75" s="363">
        <f>INPUT!AB716</f>
        <v>3.1992687385740397</v>
      </c>
      <c r="AC75" s="346" t="str">
        <f>INPUT!AC716</f>
        <v>NM</v>
      </c>
      <c r="AD75" s="363">
        <f>INPUT!AD716</f>
        <v>3.5665760869565215</v>
      </c>
      <c r="AE75" s="346">
        <f>INPUT!AE716</f>
        <v>7.0464767616192026</v>
      </c>
      <c r="AF75" s="363">
        <f>INPUT!AF716</f>
        <v>0.74270557029177764</v>
      </c>
      <c r="AG75" s="346" t="str">
        <f>INPUT!AG716</f>
        <v>NM</v>
      </c>
      <c r="AH75" s="363">
        <f>INPUT!AH716</f>
        <v>4.7635484984466681</v>
      </c>
      <c r="AI75" s="346" t="str">
        <f>INPUT!AI716</f>
        <v>NM</v>
      </c>
      <c r="AJ75" s="363">
        <f>INPUT!AJ716</f>
        <v>1.5238095238095237</v>
      </c>
      <c r="AK75" s="346" t="str">
        <f>INPUT!AK716</f>
        <v>NM</v>
      </c>
      <c r="AL75" s="363">
        <f>INPUT!AL716</f>
        <v>1.8964259664478498</v>
      </c>
      <c r="AM75" s="346">
        <f>INPUT!AM716</f>
        <v>-46.827828140738383</v>
      </c>
      <c r="AN75" s="363">
        <f>INPUT!AN716</f>
        <v>0.6937218175511618</v>
      </c>
      <c r="AO75" s="346">
        <f>INPUT!AO716</f>
        <v>-6.5953124225757715</v>
      </c>
      <c r="AP75" s="363">
        <f>INPUT!AP716</f>
        <v>4.3577981651376207</v>
      </c>
      <c r="AQ75" s="346">
        <f>INPUT!AQ716</f>
        <v>-8.5178167796834074</v>
      </c>
      <c r="AR75" s="363">
        <f>INPUT!AR716</f>
        <v>1.4559386973180082</v>
      </c>
      <c r="AS75" s="346">
        <f>INPUT!AS716</f>
        <v>-4.454022988505713</v>
      </c>
      <c r="AT75" s="363">
        <f>INPUT!AT716</f>
        <v>18.699186991869876</v>
      </c>
      <c r="AU75" s="346" t="str">
        <f>INPUT!AU716</f>
        <v>NM</v>
      </c>
      <c r="AV75" s="363">
        <f>INPUT!AV716</f>
        <v>0</v>
      </c>
      <c r="AW75" s="346" t="str">
        <f>INPUT!AW716</f>
        <v>NM</v>
      </c>
      <c r="AX75" s="363">
        <f>INPUT!AX716</f>
        <v>0</v>
      </c>
      <c r="AY75" s="346" t="str">
        <f>INPUT!AY716</f>
        <v>NM</v>
      </c>
      <c r="AZ75" s="363">
        <f>INPUT!AZ716</f>
        <v>0</v>
      </c>
      <c r="BA75" s="346" t="str">
        <f>INPUT!BA716</f>
        <v>NM</v>
      </c>
      <c r="BB75" s="363">
        <f>INPUT!BB716</f>
        <v>0</v>
      </c>
      <c r="BC75" s="346" t="str">
        <f>INPUT!BC716</f>
        <v>NM</v>
      </c>
      <c r="BD75" s="363">
        <f>INPUT!BD716</f>
        <v>0</v>
      </c>
      <c r="BE75" s="346" t="str">
        <f>INPUT!BE716</f>
        <v>NA</v>
      </c>
      <c r="BF75" s="347"/>
      <c r="BG75" s="363">
        <f>INPUT!BU716</f>
        <v>6.2771867227755855</v>
      </c>
      <c r="BH75" s="364" t="str">
        <f>INPUT!BV716</f>
        <v>NA</v>
      </c>
      <c r="BI75" s="363">
        <f>INPUT!BW716</f>
        <v>11.953276527120964</v>
      </c>
      <c r="BJ75" s="364">
        <f>INPUT!BX716</f>
        <v>90.424103265094232</v>
      </c>
      <c r="BK75" s="363">
        <f>INPUT!BY716</f>
        <v>3.9883345156459367</v>
      </c>
      <c r="BL75" s="364" t="str">
        <f>INPUT!BZ716</f>
        <v>NM</v>
      </c>
      <c r="BM75" s="363">
        <f>INPUT!CA716</f>
        <v>2.006987893068986</v>
      </c>
      <c r="BN75" s="364">
        <f>INPUT!CB716</f>
        <v>-49.678546641568722</v>
      </c>
      <c r="BO75" s="363">
        <f>INPUT!CC716</f>
        <v>2.2913256955810142</v>
      </c>
      <c r="BP75" s="364">
        <f>INPUT!CD716</f>
        <v>14.167390022330073</v>
      </c>
      <c r="BQ75" s="363">
        <f>INPUT!CE716</f>
        <v>-0.36319612590798922</v>
      </c>
      <c r="BR75" s="364" t="str">
        <f>INPUT!CF716</f>
        <v>NM</v>
      </c>
      <c r="BS75" s="363">
        <f>INPUT!CG716</f>
        <v>0</v>
      </c>
      <c r="BT75" s="364" t="str">
        <f>INPUT!CH716</f>
        <v>NM</v>
      </c>
      <c r="BU75" s="363">
        <f>INPUT!CI716</f>
        <v>0</v>
      </c>
      <c r="BV75" s="364" t="str">
        <f>INPUT!CJ716</f>
        <v>NA</v>
      </c>
      <c r="BW75" s="378">
        <f>INPUT!CK716</f>
        <v>0</v>
      </c>
      <c r="BX75" s="364" t="str">
        <f>INPUT!CL716</f>
        <v>NA</v>
      </c>
      <c r="BY75" s="378">
        <f>INPUT!CM716</f>
        <v>0</v>
      </c>
      <c r="BZ75" s="364" t="str">
        <f>INPUT!CN716</f>
        <v>NA</v>
      </c>
      <c r="CA75" s="378">
        <f>INPUT!CO716</f>
        <v>0</v>
      </c>
      <c r="CB75" s="364" t="str">
        <f>INPUT!CP716</f>
        <v>NA</v>
      </c>
      <c r="CC75" s="590">
        <f>INPUT!CQ716</f>
        <v>0</v>
      </c>
      <c r="CD75" s="364" t="str">
        <f>INPUT!CR716</f>
        <v>NA</v>
      </c>
      <c r="CE75" s="346" t="str">
        <f>INPUT!CS716</f>
        <v>NA</v>
      </c>
    </row>
    <row r="76" spans="1:83" s="331" customFormat="1" x14ac:dyDescent="0.2">
      <c r="A76" s="376" t="str">
        <f>INPUT!A717</f>
        <v>Operating Earnings</v>
      </c>
      <c r="B76" s="345">
        <f>INPUT!B717</f>
        <v>100</v>
      </c>
      <c r="C76" s="346"/>
      <c r="D76" s="345">
        <f>INPUT!D717</f>
        <v>100</v>
      </c>
      <c r="E76" s="346"/>
      <c r="F76" s="345">
        <f>INPUT!F717</f>
        <v>100</v>
      </c>
      <c r="G76" s="346"/>
      <c r="H76" s="345">
        <f>INPUT!H717</f>
        <v>100</v>
      </c>
      <c r="I76" s="346"/>
      <c r="J76" s="345">
        <f>INPUT!J717</f>
        <v>100</v>
      </c>
      <c r="K76" s="346">
        <f>INPUT!K717</f>
        <v>0</v>
      </c>
      <c r="L76" s="345">
        <f>INPUT!L717</f>
        <v>99.999999999999986</v>
      </c>
      <c r="M76" s="346">
        <f>INPUT!M717</f>
        <v>-1.1102230246251565E-14</v>
      </c>
      <c r="N76" s="345">
        <f>INPUT!N717</f>
        <v>100</v>
      </c>
      <c r="O76" s="346">
        <f>INPUT!O717</f>
        <v>0</v>
      </c>
      <c r="P76" s="345">
        <f>INPUT!P717</f>
        <v>100</v>
      </c>
      <c r="Q76" s="346">
        <f>INPUT!Q717</f>
        <v>0</v>
      </c>
      <c r="R76" s="345">
        <f>INPUT!R717</f>
        <v>99.999999999999986</v>
      </c>
      <c r="S76" s="346">
        <f>INPUT!S717</f>
        <v>-1.1102230246251565E-14</v>
      </c>
      <c r="T76" s="345">
        <f>INPUT!T717</f>
        <v>100.00000000000003</v>
      </c>
      <c r="U76" s="346">
        <f>INPUT!U717</f>
        <v>4.4408920985006262E-14</v>
      </c>
      <c r="V76" s="345">
        <f>INPUT!V717</f>
        <v>100.00000000000001</v>
      </c>
      <c r="W76" s="346">
        <f>INPUT!W717</f>
        <v>2.2204460492503131E-14</v>
      </c>
      <c r="X76" s="345">
        <f>INPUT!X717</f>
        <v>100.00000000000001</v>
      </c>
      <c r="Y76" s="346">
        <f>INPUT!Y717</f>
        <v>2.2204460492503131E-14</v>
      </c>
      <c r="Z76" s="345">
        <f>INPUT!Z717</f>
        <v>99.999999999999986</v>
      </c>
      <c r="AA76" s="346">
        <f>INPUT!AA717</f>
        <v>0</v>
      </c>
      <c r="AB76" s="345">
        <f>INPUT!AB717</f>
        <v>99.999999999999986</v>
      </c>
      <c r="AC76" s="346">
        <f>INPUT!AC717</f>
        <v>-4.4408920985006262E-14</v>
      </c>
      <c r="AD76" s="345">
        <f>INPUT!AD717</f>
        <v>100</v>
      </c>
      <c r="AE76" s="346">
        <f>INPUT!AE717</f>
        <v>-1.1102230246251565E-14</v>
      </c>
      <c r="AF76" s="345">
        <f>INPUT!AF717</f>
        <v>100</v>
      </c>
      <c r="AG76" s="346">
        <f>INPUT!AG717</f>
        <v>-1.1102230246251565E-14</v>
      </c>
      <c r="AH76" s="345">
        <f>INPUT!AH717</f>
        <v>99.999999999999986</v>
      </c>
      <c r="AI76" s="346">
        <f>INPUT!AI717</f>
        <v>0</v>
      </c>
      <c r="AJ76" s="345">
        <f>INPUT!AJ717</f>
        <v>100</v>
      </c>
      <c r="AK76" s="346">
        <f>INPUT!AK717</f>
        <v>2.2204460492503131E-14</v>
      </c>
      <c r="AL76" s="345">
        <f>INPUT!AL717</f>
        <v>99.999999999999943</v>
      </c>
      <c r="AM76" s="346">
        <f>INPUT!AM717</f>
        <v>-5.5511151231257827E-14</v>
      </c>
      <c r="AN76" s="345">
        <f>INPUT!AN717</f>
        <v>99.999999999999972</v>
      </c>
      <c r="AO76" s="346">
        <f>INPUT!AO717</f>
        <v>-3.3306690738754696E-14</v>
      </c>
      <c r="AP76" s="345">
        <f>INPUT!AP717</f>
        <v>99.999999999999986</v>
      </c>
      <c r="AQ76" s="346">
        <f>INPUT!AQ717</f>
        <v>0</v>
      </c>
      <c r="AR76" s="345">
        <f>INPUT!AR717</f>
        <v>99.999999999999972</v>
      </c>
      <c r="AS76" s="346">
        <f>INPUT!AS717</f>
        <v>-3.3306690738754696E-14</v>
      </c>
      <c r="AT76" s="345">
        <f>INPUT!AT717</f>
        <v>99.999999999999915</v>
      </c>
      <c r="AU76" s="346">
        <f>INPUT!AU717</f>
        <v>-3.3306690738754696E-14</v>
      </c>
      <c r="AV76" s="345">
        <f>INPUT!AV717</f>
        <v>100.00000000000004</v>
      </c>
      <c r="AW76" s="346">
        <f>INPUT!AW717</f>
        <v>6.6613381477509392E-14</v>
      </c>
      <c r="AX76" s="345">
        <f>INPUT!AX717</f>
        <v>100.00000000000001</v>
      </c>
      <c r="AY76" s="346">
        <f>INPUT!AY717</f>
        <v>2.2204460492503131E-14</v>
      </c>
      <c r="AZ76" s="345">
        <f>INPUT!AZ717</f>
        <v>99.999999999999986</v>
      </c>
      <c r="BA76" s="346">
        <f>INPUT!BA717</f>
        <v>2.2204460492503131E-14</v>
      </c>
      <c r="BB76" s="345">
        <f>INPUT!BB717</f>
        <v>99.999999999999943</v>
      </c>
      <c r="BC76" s="346">
        <f>INPUT!BC717</f>
        <v>2.2204460492503131E-14</v>
      </c>
      <c r="BD76" s="345">
        <f>INPUT!BD717</f>
        <v>100</v>
      </c>
      <c r="BE76" s="346">
        <f>INPUT!BE717</f>
        <v>-4.4408920985006262E-14</v>
      </c>
      <c r="BF76" s="347"/>
      <c r="BG76" s="345">
        <f>INPUT!BU717</f>
        <v>100.00000000000001</v>
      </c>
      <c r="BH76" s="364" t="str">
        <f>INPUT!BV717</f>
        <v>NA</v>
      </c>
      <c r="BI76" s="345">
        <f>INPUT!BW717</f>
        <v>99.999999999999972</v>
      </c>
      <c r="BJ76" s="364">
        <f>INPUT!BX717</f>
        <v>-4.4408920985006262E-14</v>
      </c>
      <c r="BK76" s="345">
        <f>INPUT!BY717</f>
        <v>99.999999999999986</v>
      </c>
      <c r="BL76" s="364">
        <f>INPUT!BZ717</f>
        <v>2.2204460492503131E-14</v>
      </c>
      <c r="BM76" s="345">
        <f>INPUT!CA717</f>
        <v>100</v>
      </c>
      <c r="BN76" s="364">
        <f>INPUT!CB717</f>
        <v>2.2204460492503131E-14</v>
      </c>
      <c r="BO76" s="345">
        <f>INPUT!CC717</f>
        <v>100.00000000000001</v>
      </c>
      <c r="BP76" s="364">
        <f>INPUT!CD717</f>
        <v>2.2204460492503131E-14</v>
      </c>
      <c r="BQ76" s="345">
        <f>INPUT!CE717</f>
        <v>100.00000000000003</v>
      </c>
      <c r="BR76" s="364">
        <f>INPUT!CF717</f>
        <v>2.2204460492503131E-14</v>
      </c>
      <c r="BS76" s="345">
        <f>INPUT!CG717</f>
        <v>100</v>
      </c>
      <c r="BT76" s="364">
        <f>INPUT!CH717</f>
        <v>-3.3306690738754696E-14</v>
      </c>
      <c r="BU76" s="345">
        <f>INPUT!CI717</f>
        <v>99.999999999999972</v>
      </c>
      <c r="BV76" s="364">
        <f>INPUT!CJ717</f>
        <v>-3.3306690738754696E-14</v>
      </c>
      <c r="BW76" s="345">
        <f>INPUT!CK717</f>
        <v>99.999999999999986</v>
      </c>
      <c r="BX76" s="364">
        <f>INPUT!CL717</f>
        <v>2.2204460492503131E-14</v>
      </c>
      <c r="BY76" s="345">
        <f>INPUT!CM717</f>
        <v>100</v>
      </c>
      <c r="BZ76" s="364">
        <f>INPUT!CN717</f>
        <v>2.2204460492503131E-14</v>
      </c>
      <c r="CA76" s="345">
        <f>INPUT!CO717</f>
        <v>100.00000000000003</v>
      </c>
      <c r="CB76" s="364">
        <f>INPUT!CP717</f>
        <v>2.2204460492503131E-14</v>
      </c>
      <c r="CC76" s="345">
        <f>INPUT!CQ717</f>
        <v>100</v>
      </c>
      <c r="CD76" s="364">
        <f>INPUT!CR717</f>
        <v>-3.3306690738754696E-14</v>
      </c>
      <c r="CE76" s="346">
        <f>INPUT!CS717</f>
        <v>0</v>
      </c>
    </row>
    <row r="77" spans="1:83" s="331" customFormat="1" x14ac:dyDescent="0.2">
      <c r="C77" s="332"/>
      <c r="E77" s="332"/>
      <c r="G77" s="332"/>
      <c r="I77" s="332"/>
      <c r="K77" s="332"/>
      <c r="M77" s="332"/>
      <c r="O77" s="332"/>
      <c r="Q77" s="332"/>
      <c r="S77" s="332"/>
      <c r="U77" s="332"/>
      <c r="W77" s="332"/>
      <c r="Y77" s="332"/>
      <c r="AA77" s="332"/>
      <c r="AC77" s="332"/>
      <c r="AE77" s="332"/>
      <c r="AG77" s="332"/>
      <c r="AI77" s="332"/>
      <c r="AK77" s="332"/>
      <c r="AM77" s="332"/>
      <c r="AO77" s="332"/>
      <c r="AQ77" s="332"/>
      <c r="AS77" s="332"/>
      <c r="AU77" s="332"/>
      <c r="AW77" s="332"/>
      <c r="AY77" s="332"/>
      <c r="BA77" s="332"/>
      <c r="BC77" s="332"/>
      <c r="BE77" s="332"/>
      <c r="BF77" s="379"/>
      <c r="BH77" s="332"/>
      <c r="BJ77" s="332"/>
      <c r="BL77" s="332"/>
      <c r="BN77" s="332"/>
      <c r="BP77" s="332"/>
      <c r="BR77" s="332"/>
      <c r="BT77" s="332"/>
      <c r="BV77" s="332"/>
      <c r="BX77" s="332"/>
      <c r="BZ77" s="332"/>
      <c r="CB77" s="332"/>
      <c r="CD77" s="332"/>
      <c r="CE77" s="332"/>
    </row>
    <row r="78" spans="1:83" s="331" customFormat="1" x14ac:dyDescent="0.2">
      <c r="A78" s="376" t="str">
        <f>INPUT!A891</f>
        <v>Capital Structure Excl FAS 115</v>
      </c>
      <c r="B78" s="345"/>
      <c r="C78" s="346"/>
      <c r="D78" s="345"/>
      <c r="E78" s="346"/>
      <c r="F78" s="345"/>
      <c r="G78" s="346"/>
      <c r="H78" s="345"/>
      <c r="I78" s="346"/>
      <c r="J78" s="345"/>
      <c r="K78" s="346"/>
      <c r="L78" s="345"/>
      <c r="M78" s="346"/>
      <c r="N78" s="345"/>
      <c r="O78" s="346"/>
      <c r="P78" s="345"/>
      <c r="Q78" s="346"/>
      <c r="R78" s="345"/>
      <c r="S78" s="346"/>
      <c r="T78" s="345"/>
      <c r="U78" s="346"/>
      <c r="V78" s="345"/>
      <c r="W78" s="346"/>
      <c r="X78" s="345"/>
      <c r="Y78" s="346"/>
      <c r="Z78" s="345"/>
      <c r="AA78" s="346"/>
      <c r="AB78" s="345"/>
      <c r="AC78" s="346"/>
      <c r="AD78" s="345"/>
      <c r="AE78" s="346"/>
      <c r="AF78" s="345"/>
      <c r="AG78" s="346"/>
      <c r="AH78" s="345"/>
      <c r="AI78" s="346"/>
      <c r="AJ78" s="345"/>
      <c r="AK78" s="346"/>
      <c r="AL78" s="345"/>
      <c r="AM78" s="346"/>
      <c r="AN78" s="345"/>
      <c r="AO78" s="346"/>
      <c r="AP78" s="345"/>
      <c r="AQ78" s="346"/>
      <c r="AR78" s="345"/>
      <c r="AS78" s="346"/>
      <c r="AT78" s="345"/>
      <c r="AU78" s="346"/>
      <c r="AV78" s="345"/>
      <c r="AW78" s="346"/>
      <c r="AX78" s="345"/>
      <c r="AY78" s="346"/>
      <c r="AZ78" s="345"/>
      <c r="BA78" s="346"/>
      <c r="BB78" s="345"/>
      <c r="BC78" s="346"/>
      <c r="BD78" s="345"/>
      <c r="BE78" s="346"/>
      <c r="BF78" s="347"/>
      <c r="BG78" s="345"/>
      <c r="BH78" s="346"/>
      <c r="BI78" s="345"/>
      <c r="BJ78" s="346"/>
      <c r="BK78" s="345"/>
      <c r="BL78" s="346"/>
      <c r="BM78" s="345"/>
      <c r="BN78" s="346"/>
      <c r="BO78" s="345"/>
      <c r="BP78" s="346"/>
      <c r="BQ78" s="345"/>
      <c r="BR78" s="346"/>
      <c r="BS78" s="345"/>
      <c r="BT78" s="346"/>
      <c r="BU78" s="345"/>
      <c r="BV78" s="346"/>
      <c r="BW78" s="345"/>
      <c r="BX78" s="346"/>
      <c r="BY78" s="345"/>
      <c r="BZ78" s="346"/>
      <c r="CA78" s="345"/>
      <c r="CB78" s="346"/>
      <c r="CC78" s="345"/>
      <c r="CD78" s="346"/>
      <c r="CE78" s="346"/>
    </row>
    <row r="79" spans="1:83" s="331" customFormat="1" x14ac:dyDescent="0.2">
      <c r="A79" s="377" t="str">
        <f>INPUT!A892</f>
        <v>Total Capital</v>
      </c>
      <c r="B79" s="345">
        <f>INPUT!B892</f>
        <v>13786.8</v>
      </c>
      <c r="C79" s="346"/>
      <c r="D79" s="345">
        <f>INPUT!D892</f>
        <v>14176.399999999998</v>
      </c>
      <c r="E79" s="346"/>
      <c r="F79" s="345">
        <f>INPUT!F892</f>
        <v>15235.400000000001</v>
      </c>
      <c r="G79" s="346"/>
      <c r="H79" s="345">
        <f>INPUT!H892</f>
        <v>13800.2</v>
      </c>
      <c r="I79" s="346"/>
      <c r="J79" s="345">
        <f>INPUT!J892</f>
        <v>13286.100000000002</v>
      </c>
      <c r="K79" s="346">
        <f>INPUT!K892</f>
        <v>-3.6317347027591373</v>
      </c>
      <c r="L79" s="345">
        <f>INPUT!L892</f>
        <v>13754.099999999999</v>
      </c>
      <c r="M79" s="346">
        <f>INPUT!M892</f>
        <v>-2.9788945007194978</v>
      </c>
      <c r="N79" s="345">
        <f>INPUT!N892</f>
        <v>14102.2</v>
      </c>
      <c r="O79" s="346">
        <f>INPUT!O892</f>
        <v>-7.4379405857411101</v>
      </c>
      <c r="P79" s="345">
        <f>INPUT!P892</f>
        <v>13972.5</v>
      </c>
      <c r="Q79" s="346">
        <f>INPUT!Q892</f>
        <v>1.2485326299618738</v>
      </c>
      <c r="R79" s="345">
        <f>INPUT!R892</f>
        <v>13645.600000000002</v>
      </c>
      <c r="S79" s="346">
        <f>INPUT!S892</f>
        <v>2.7058354219823721</v>
      </c>
      <c r="T79" s="345">
        <f>INPUT!T892</f>
        <v>14067.099999999999</v>
      </c>
      <c r="U79" s="346">
        <f>INPUT!U892</f>
        <v>2.2756850684523267</v>
      </c>
      <c r="V79" s="345">
        <f>INPUT!V892</f>
        <v>14334.5</v>
      </c>
      <c r="W79" s="346">
        <f>INPUT!W892</f>
        <v>1.6472607110947113</v>
      </c>
      <c r="X79" s="345">
        <f>INPUT!X892</f>
        <v>14937.8</v>
      </c>
      <c r="Y79" s="346">
        <f>INPUT!Y892</f>
        <v>6.9085704061549347</v>
      </c>
      <c r="Z79" s="345">
        <f>INPUT!Z892</f>
        <v>14939</v>
      </c>
      <c r="AA79" s="346">
        <f>INPUT!AA892</f>
        <v>9.4785132203787157</v>
      </c>
      <c r="AB79" s="345">
        <f>INPUT!AB892</f>
        <v>15229.600000000002</v>
      </c>
      <c r="AC79" s="346">
        <f>INPUT!AC892</f>
        <v>8.2639634324061397</v>
      </c>
      <c r="AD79" s="345">
        <f>INPUT!AD892</f>
        <v>15334.400000000001</v>
      </c>
      <c r="AE79" s="346">
        <f>INPUT!AE892</f>
        <v>6.9754787401025586</v>
      </c>
      <c r="AF79" s="345">
        <f>INPUT!AF892</f>
        <v>16558.199999999997</v>
      </c>
      <c r="AG79" s="346">
        <f>INPUT!AG892</f>
        <v>10.847648248068653</v>
      </c>
      <c r="AH79" s="345">
        <f>INPUT!AH892</f>
        <v>16129.2</v>
      </c>
      <c r="AI79" s="346">
        <f>INPUT!AI892</f>
        <v>7.967066068679296</v>
      </c>
      <c r="AJ79" s="345">
        <f>INPUT!AJ892</f>
        <v>16232.599999999999</v>
      </c>
      <c r="AK79" s="346">
        <f>INPUT!AK892</f>
        <v>6.5858591164573932</v>
      </c>
      <c r="AL79" s="345">
        <f>INPUT!AL892</f>
        <v>15726.000000000002</v>
      </c>
      <c r="AM79" s="346">
        <f>INPUT!AM892</f>
        <v>2.553735392320533</v>
      </c>
      <c r="AN79" s="345">
        <f>INPUT!AN892</f>
        <v>15496.799999999997</v>
      </c>
      <c r="AO79" s="346">
        <f>INPUT!AO892</f>
        <v>-6.41011704170743</v>
      </c>
      <c r="AP79" s="345">
        <f>INPUT!AP892</f>
        <v>15440.999999999998</v>
      </c>
      <c r="AQ79" s="346">
        <f>INPUT!AQ892</f>
        <v>-4.2667956253255142</v>
      </c>
      <c r="AR79" s="345">
        <f>INPUT!AR892</f>
        <v>15446.7</v>
      </c>
      <c r="AS79" s="346">
        <f>INPUT!AS892</f>
        <v>-4.8414918127718138</v>
      </c>
      <c r="AT79" s="345">
        <f>INPUT!AT892</f>
        <v>15237.399999999998</v>
      </c>
      <c r="AU79" s="346">
        <f>INPUT!AU892</f>
        <v>-3.1069566323286502</v>
      </c>
      <c r="AV79" s="345">
        <f>INPUT!AV892</f>
        <v>14623</v>
      </c>
      <c r="AW79" s="346">
        <f>INPUT!AW892</f>
        <v>-5.6385834494863341</v>
      </c>
      <c r="AX79" s="345">
        <f>INPUT!AX892</f>
        <v>13504.2</v>
      </c>
      <c r="AY79" s="346">
        <f>INPUT!AY892</f>
        <v>-12.543229065475014</v>
      </c>
      <c r="AZ79" s="345">
        <f>INPUT!AZ892</f>
        <v>13472.7</v>
      </c>
      <c r="BA79" s="346">
        <f>INPUT!BA892</f>
        <v>-12.779428615820853</v>
      </c>
      <c r="BB79" s="345">
        <f>INPUT!BB892</f>
        <v>14043.800000000003</v>
      </c>
      <c r="BC79" s="346">
        <f>INPUT!BC892</f>
        <v>-7.8333573969312065</v>
      </c>
      <c r="BD79" s="345">
        <f>INPUT!BD892</f>
        <v>10401</v>
      </c>
      <c r="BE79" s="346">
        <f>INPUT!BE892</f>
        <v>-28.872324420433561</v>
      </c>
      <c r="BF79" s="347"/>
      <c r="BG79" s="345">
        <f>INPUT!BU892</f>
        <v>13800.2</v>
      </c>
      <c r="BH79" s="364" t="str">
        <f>INPUT!BV892</f>
        <v>NA</v>
      </c>
      <c r="BI79" s="345">
        <f>INPUT!BW892</f>
        <v>13972.5</v>
      </c>
      <c r="BJ79" s="364">
        <f>INPUT!BX892</f>
        <v>1.2485326299618738</v>
      </c>
      <c r="BK79" s="345">
        <f>INPUT!BY892</f>
        <v>14937.8</v>
      </c>
      <c r="BL79" s="364">
        <f>INPUT!BZ892</f>
        <v>6.9085704061549347</v>
      </c>
      <c r="BM79" s="345">
        <f>INPUT!CA892</f>
        <v>16558.199999999997</v>
      </c>
      <c r="BN79" s="364">
        <f>INPUT!CB892</f>
        <v>10.847648248068653</v>
      </c>
      <c r="BO79" s="345">
        <f>INPUT!CC892</f>
        <v>15496.799999999997</v>
      </c>
      <c r="BP79" s="364">
        <f>INPUT!CD892</f>
        <v>-6.41011704170743</v>
      </c>
      <c r="BQ79" s="345">
        <f>INPUT!CE892</f>
        <v>14623</v>
      </c>
      <c r="BR79" s="364">
        <f>INPUT!CF892</f>
        <v>-5.6385834494863341</v>
      </c>
      <c r="BS79" s="345">
        <f>INPUT!CG892</f>
        <v>10401</v>
      </c>
      <c r="BT79" s="364">
        <f>INPUT!CH892</f>
        <v>-28.872324420433561</v>
      </c>
      <c r="BU79" s="345">
        <f>INPUT!CI892</f>
        <v>10129.117460013525</v>
      </c>
      <c r="BV79" s="364">
        <f>INPUT!CJ892</f>
        <v>-2.6140038456540227</v>
      </c>
      <c r="BW79" s="345">
        <f>INPUT!CK892</f>
        <v>10336.883755639166</v>
      </c>
      <c r="BX79" s="364">
        <f>INPUT!CL892</f>
        <v>2.0511786584155534</v>
      </c>
      <c r="BY79" s="345">
        <f>INPUT!CM892</f>
        <v>10580.741617548878</v>
      </c>
      <c r="BZ79" s="364">
        <f>INPUT!CN892</f>
        <v>2.3591042298088949</v>
      </c>
      <c r="CA79" s="345">
        <f>INPUT!CO892</f>
        <v>10859.850963255598</v>
      </c>
      <c r="CB79" s="364">
        <f>INPUT!CP892</f>
        <v>2.6378996463140014</v>
      </c>
      <c r="CC79" s="345">
        <f>INPUT!CQ892</f>
        <v>11173.895321497916</v>
      </c>
      <c r="CD79" s="364">
        <f>INPUT!CR892</f>
        <v>2.8917925237177622</v>
      </c>
      <c r="CE79" s="346">
        <f>INPUT!CS892</f>
        <v>1.4438913957297128</v>
      </c>
    </row>
    <row r="80" spans="1:83" s="331" customFormat="1" x14ac:dyDescent="0.2">
      <c r="A80" s="377" t="str">
        <f>INPUT!A893</f>
        <v>LT Debt to LT Capital (%)</v>
      </c>
      <c r="B80" s="363">
        <f>INPUT!B893</f>
        <v>55.74317463080628</v>
      </c>
      <c r="C80" s="346"/>
      <c r="D80" s="363">
        <f>INPUT!D893</f>
        <v>35.624700205976133</v>
      </c>
      <c r="E80" s="346"/>
      <c r="F80" s="363">
        <f>INPUT!F893</f>
        <v>33.699804402903759</v>
      </c>
      <c r="G80" s="346"/>
      <c r="H80" s="363">
        <f>INPUT!H893</f>
        <v>29.284358197707277</v>
      </c>
      <c r="I80" s="346"/>
      <c r="J80" s="363">
        <f>INPUT!J893</f>
        <v>30.431804668036509</v>
      </c>
      <c r="K80" s="346">
        <f>INPUT!K893</f>
        <v>-45.40711958084556</v>
      </c>
      <c r="L80" s="363">
        <f>INPUT!L893</f>
        <v>28.600926269257897</v>
      </c>
      <c r="M80" s="346">
        <f>INPUT!M893</f>
        <v>-19.716022580142244</v>
      </c>
      <c r="N80" s="363">
        <f>INPUT!N893</f>
        <v>27.60704003630639</v>
      </c>
      <c r="O80" s="346">
        <f>INPUT!O893</f>
        <v>-18.079524420243764</v>
      </c>
      <c r="P80" s="363">
        <f>INPUT!P893</f>
        <v>27.25568080157452</v>
      </c>
      <c r="Q80" s="346">
        <f>INPUT!Q893</f>
        <v>-6.9275118902608739</v>
      </c>
      <c r="R80" s="363">
        <f>INPUT!R893</f>
        <v>27.168464560004686</v>
      </c>
      <c r="S80" s="346">
        <f>INPUT!S893</f>
        <v>-10.723452465700834</v>
      </c>
      <c r="T80" s="363">
        <f>INPUT!T893</f>
        <v>26.183790546736716</v>
      </c>
      <c r="U80" s="346">
        <f>INPUT!U893</f>
        <v>-8.4512497943791125</v>
      </c>
      <c r="V80" s="363">
        <f>INPUT!V893</f>
        <v>24.517771809271338</v>
      </c>
      <c r="W80" s="346">
        <f>INPUT!W893</f>
        <v>-11.190146509630573</v>
      </c>
      <c r="X80" s="363">
        <f>INPUT!X893</f>
        <v>23.528899837994885</v>
      </c>
      <c r="Y80" s="346">
        <f>INPUT!Y893</f>
        <v>-13.673409924012415</v>
      </c>
      <c r="Z80" s="363">
        <f>INPUT!Z893</f>
        <v>23.529018006560008</v>
      </c>
      <c r="AA80" s="346">
        <f>INPUT!AA893</f>
        <v>-13.395849240602242</v>
      </c>
      <c r="AB80" s="363">
        <f>INPUT!AB893</f>
        <v>23.081367862583384</v>
      </c>
      <c r="AC80" s="346">
        <f>INPUT!AC893</f>
        <v>-11.848638487294904</v>
      </c>
      <c r="AD80" s="363">
        <f>INPUT!AD893</f>
        <v>22.925579090150247</v>
      </c>
      <c r="AE80" s="346">
        <f>INPUT!AE893</f>
        <v>-6.4940351493075195</v>
      </c>
      <c r="AF80" s="363">
        <f>INPUT!AF893</f>
        <v>21.232380331195422</v>
      </c>
      <c r="AG80" s="346">
        <f>INPUT!AG893</f>
        <v>-9.7604202602409877</v>
      </c>
      <c r="AH80" s="363">
        <f>INPUT!AH893</f>
        <v>21.798973290677775</v>
      </c>
      <c r="AI80" s="346">
        <f>INPUT!AI893</f>
        <v>-7.3528130897765775</v>
      </c>
      <c r="AJ80" s="363">
        <f>INPUT!AJ893</f>
        <v>21.475302785752131</v>
      </c>
      <c r="AK80" s="346">
        <f>INPUT!AK893</f>
        <v>-6.9582751178053233</v>
      </c>
      <c r="AL80" s="363">
        <f>INPUT!AL893</f>
        <v>22.164568230955105</v>
      </c>
      <c r="AM80" s="346">
        <f>INPUT!AM893</f>
        <v>-3.3194836920045545</v>
      </c>
      <c r="AN80" s="363">
        <f>INPUT!AN893</f>
        <v>22.494321408290748</v>
      </c>
      <c r="AO80" s="346">
        <f>INPUT!AO893</f>
        <v>5.9434743415990532</v>
      </c>
      <c r="AP80" s="363">
        <f>INPUT!AP893</f>
        <v>22.381322453208995</v>
      </c>
      <c r="AQ80" s="346">
        <f>INPUT!AQ893</f>
        <v>2.6714522503693328</v>
      </c>
      <c r="AR80" s="363">
        <f>INPUT!AR893</f>
        <v>22.966070422808755</v>
      </c>
      <c r="AS80" s="346">
        <f>INPUT!AS893</f>
        <v>6.9417770353658481</v>
      </c>
      <c r="AT80" s="363">
        <f>INPUT!AT893</f>
        <v>23.288093769278227</v>
      </c>
      <c r="AU80" s="346">
        <f>INPUT!AU893</f>
        <v>5.0690161279749235</v>
      </c>
      <c r="AV80" s="363">
        <f>INPUT!AV893</f>
        <v>24.273404910073175</v>
      </c>
      <c r="AW80" s="346">
        <f>INPUT!AW893</f>
        <v>7.909033882332217</v>
      </c>
      <c r="AX80" s="363">
        <f>INPUT!AX893</f>
        <v>20.184090875431345</v>
      </c>
      <c r="AY80" s="346">
        <f>INPUT!AY893</f>
        <v>-9.8172553582177358</v>
      </c>
      <c r="AZ80" s="363">
        <f>INPUT!AZ893</f>
        <v>20.234993728057475</v>
      </c>
      <c r="BA80" s="346">
        <f>INPUT!BA893</f>
        <v>-11.891789254634133</v>
      </c>
      <c r="BB80" s="363">
        <f>INPUT!BB893</f>
        <v>22.231874563864476</v>
      </c>
      <c r="BC80" s="346">
        <f>INPUT!BC893</f>
        <v>-4.5354472370216943</v>
      </c>
      <c r="BD80" s="363">
        <f>INPUT!BD893</f>
        <v>30.025959042399769</v>
      </c>
      <c r="BE80" s="346">
        <f>INPUT!BE893</f>
        <v>23.698999599101779</v>
      </c>
      <c r="BF80" s="347"/>
      <c r="BG80" s="363">
        <f>INPUT!BU893</f>
        <v>29.284358197707277</v>
      </c>
      <c r="BH80" s="364">
        <f>INPUT!BV893</f>
        <v>-47.892601071695239</v>
      </c>
      <c r="BI80" s="363">
        <f>INPUT!BW893</f>
        <v>27.25568080157452</v>
      </c>
      <c r="BJ80" s="364">
        <f>INPUT!BX893</f>
        <v>-6.9275118902608739</v>
      </c>
      <c r="BK80" s="363">
        <f>INPUT!BY893</f>
        <v>23.528899837994885</v>
      </c>
      <c r="BL80" s="364">
        <f>INPUT!BZ893</f>
        <v>-13.673409924012415</v>
      </c>
      <c r="BM80" s="363">
        <f>INPUT!CA893</f>
        <v>21.232380331195422</v>
      </c>
      <c r="BN80" s="364">
        <f>INPUT!CB893</f>
        <v>-9.7604202602409877</v>
      </c>
      <c r="BO80" s="363">
        <f>INPUT!CC893</f>
        <v>22.494321408290748</v>
      </c>
      <c r="BP80" s="364">
        <f>INPUT!CD893</f>
        <v>5.9434743415990532</v>
      </c>
      <c r="BQ80" s="363">
        <f>INPUT!CE893</f>
        <v>24.273404910073175</v>
      </c>
      <c r="BR80" s="364">
        <f>INPUT!CF893</f>
        <v>7.909033882332217</v>
      </c>
      <c r="BS80" s="363">
        <f>INPUT!CG893</f>
        <v>30.025959042399769</v>
      </c>
      <c r="BT80" s="364">
        <f>INPUT!CH893</f>
        <v>23.698999599101779</v>
      </c>
      <c r="BU80" s="363">
        <f>INPUT!CI893</f>
        <v>30.831906257663537</v>
      </c>
      <c r="BV80" s="364">
        <f>INPUT!CJ893</f>
        <v>2.6841681030926878</v>
      </c>
      <c r="BW80" s="363">
        <f>INPUT!CK893</f>
        <v>30.212200057839322</v>
      </c>
      <c r="BX80" s="364">
        <f>INPUT!CL893</f>
        <v>-2.0099509730125198</v>
      </c>
      <c r="BY80" s="363">
        <f>INPUT!CM893</f>
        <v>29.515889461096872</v>
      </c>
      <c r="BZ80" s="364">
        <f>INPUT!CN893</f>
        <v>-2.3047331720609798</v>
      </c>
      <c r="CA80" s="363">
        <f>INPUT!CO893</f>
        <v>28.757300726931689</v>
      </c>
      <c r="CB80" s="364">
        <f>INPUT!CP893</f>
        <v>-2.5701029107221496</v>
      </c>
      <c r="CC80" s="363">
        <f>INPUT!CQ893</f>
        <v>27.949071564967433</v>
      </c>
      <c r="CD80" s="364">
        <f>INPUT!CR893</f>
        <v>-2.8105181694168424</v>
      </c>
      <c r="CE80" s="346">
        <f>INPUT!CS893</f>
        <v>-1.4233399131911573</v>
      </c>
    </row>
    <row r="81" spans="1:83" s="331" customFormat="1" x14ac:dyDescent="0.2">
      <c r="A81" s="377" t="str">
        <f>INPUT!A895</f>
        <v>LT Debt to Common Equity (%)</v>
      </c>
      <c r="B81" s="363">
        <f>INPUT!B895</f>
        <v>125.95384817097153</v>
      </c>
      <c r="C81" s="346"/>
      <c r="D81" s="363">
        <f>INPUT!D895</f>
        <v>55.33908241198322</v>
      </c>
      <c r="E81" s="346"/>
      <c r="F81" s="363">
        <f>INPUT!F895</f>
        <v>50.829117620853168</v>
      </c>
      <c r="G81" s="346"/>
      <c r="H81" s="363">
        <f>INPUT!H895</f>
        <v>41.411429566856924</v>
      </c>
      <c r="I81" s="346"/>
      <c r="J81" s="363">
        <f>INPUT!J895</f>
        <v>43.743846628222741</v>
      </c>
      <c r="K81" s="346" t="str">
        <f>INPUT!K895</f>
        <v>NM</v>
      </c>
      <c r="L81" s="363">
        <f>INPUT!L895</f>
        <v>40.057839373542564</v>
      </c>
      <c r="M81" s="346">
        <f>INPUT!M895</f>
        <v>-27.613835236147011</v>
      </c>
      <c r="N81" s="363">
        <f>INPUT!N895</f>
        <v>38.134978940150845</v>
      </c>
      <c r="O81" s="346">
        <f>INPUT!O895</f>
        <v>-24.974147250383162</v>
      </c>
      <c r="P81" s="363">
        <f>INPUT!P895</f>
        <v>37.467779067708229</v>
      </c>
      <c r="Q81" s="346">
        <f>INPUT!Q895</f>
        <v>-9.5230967401930595</v>
      </c>
      <c r="R81" s="363">
        <f>INPUT!R895</f>
        <v>37.303160500286758</v>
      </c>
      <c r="S81" s="346">
        <f>INPUT!S895</f>
        <v>-14.723639150153222</v>
      </c>
      <c r="T81" s="363">
        <f>INPUT!T895</f>
        <v>35.471599992295694</v>
      </c>
      <c r="U81" s="346">
        <f>INPUT!U895</f>
        <v>-11.449043315790997</v>
      </c>
      <c r="V81" s="363">
        <f>INPUT!V895</f>
        <v>32.481515711645102</v>
      </c>
      <c r="W81" s="346">
        <f>INPUT!W895</f>
        <v>-14.824875706312323</v>
      </c>
      <c r="X81" s="363">
        <f>INPUT!X895</f>
        <v>30.768355350123873</v>
      </c>
      <c r="Y81" s="346">
        <f>INPUT!Y895</f>
        <v>-17.880493277911647</v>
      </c>
      <c r="Z81" s="363">
        <f>INPUT!Z895</f>
        <v>30.768557422969188</v>
      </c>
      <c r="AA81" s="346">
        <f>INPUT!AA895</f>
        <v>-17.517558806491309</v>
      </c>
      <c r="AB81" s="363">
        <f>INPUT!AB895</f>
        <v>30.007512121832953</v>
      </c>
      <c r="AC81" s="346">
        <f>INPUT!AC895</f>
        <v>-15.404120117642062</v>
      </c>
      <c r="AD81" s="363">
        <f>INPUT!AD895</f>
        <v>29.744730897122402</v>
      </c>
      <c r="AE81" s="346">
        <f>INPUT!AE895</f>
        <v>-8.4256684288335766</v>
      </c>
      <c r="AF81" s="363">
        <f>INPUT!AF895</f>
        <v>26.955721679125936</v>
      </c>
      <c r="AG81" s="346">
        <f>INPUT!AG895</f>
        <v>-12.391411980304589</v>
      </c>
      <c r="AH81" s="363">
        <f>INPUT!AH895</f>
        <v>27.875558938255157</v>
      </c>
      <c r="AI81" s="346">
        <f>INPUT!AI895</f>
        <v>-9.4024508362370085</v>
      </c>
      <c r="AJ81" s="363">
        <f>INPUT!AJ895</f>
        <v>27.348469395760439</v>
      </c>
      <c r="AK81" s="346">
        <f>INPUT!AK895</f>
        <v>-8.8612568588711476</v>
      </c>
      <c r="AL81" s="363">
        <f>INPUT!AL895</f>
        <v>28.476193588444822</v>
      </c>
      <c r="AM81" s="346">
        <f>INPUT!AM895</f>
        <v>-4.2647462942766223</v>
      </c>
      <c r="AN81" s="363">
        <f>INPUT!AN895</f>
        <v>29.022804286106791</v>
      </c>
      <c r="AO81" s="346">
        <f>INPUT!AO895</f>
        <v>7.6684372675563273</v>
      </c>
      <c r="AP81" s="363">
        <f>INPUT!AP895</f>
        <v>28.834970087859098</v>
      </c>
      <c r="AQ81" s="346">
        <f>INPUT!AQ895</f>
        <v>3.4417647076747437</v>
      </c>
      <c r="AR81" s="363">
        <f>INPUT!AR895</f>
        <v>29.812928600242035</v>
      </c>
      <c r="AS81" s="346">
        <f>INPUT!AS895</f>
        <v>9.0113240665074876</v>
      </c>
      <c r="AT81" s="363">
        <f>INPUT!AT895</f>
        <v>30.357860876558107</v>
      </c>
      <c r="AU81" s="346">
        <f>INPUT!AU895</f>
        <v>6.6078609919158371</v>
      </c>
      <c r="AV81" s="363">
        <f>INPUT!AV895</f>
        <v>32.05400279947623</v>
      </c>
      <c r="AW81" s="346">
        <f>INPUT!AW895</f>
        <v>10.444195824386536</v>
      </c>
      <c r="AX81" s="363">
        <f>INPUT!AX895</f>
        <v>25.28830542283249</v>
      </c>
      <c r="AY81" s="346">
        <f>INPUT!AY895</f>
        <v>-12.29987287734321</v>
      </c>
      <c r="AZ81" s="363">
        <f>INPUT!AZ895</f>
        <v>25.368259433303862</v>
      </c>
      <c r="BA81" s="346">
        <f>INPUT!BA895</f>
        <v>-14.908529204011478</v>
      </c>
      <c r="BB81" s="363">
        <f>INPUT!BB895</f>
        <v>28.58738646352182</v>
      </c>
      <c r="BC81" s="346">
        <f>INPUT!BC895</f>
        <v>-5.8320130665182042</v>
      </c>
      <c r="BD81" s="363">
        <f>INPUT!BD895</f>
        <v>42.910140148392415</v>
      </c>
      <c r="BE81" s="346">
        <f>INPUT!BE895</f>
        <v>33.868273540843319</v>
      </c>
      <c r="BF81" s="347"/>
      <c r="BG81" s="363">
        <f>INPUT!BU895</f>
        <v>41.411429566856924</v>
      </c>
      <c r="BH81" s="364" t="str">
        <f>INPUT!BV895</f>
        <v>NA</v>
      </c>
      <c r="BI81" s="363">
        <f>INPUT!BW895</f>
        <v>37.467779067708229</v>
      </c>
      <c r="BJ81" s="364">
        <f>INPUT!BX895</f>
        <v>-9.5230967401930595</v>
      </c>
      <c r="BK81" s="363">
        <f>INPUT!BY895</f>
        <v>30.768355350123873</v>
      </c>
      <c r="BL81" s="364">
        <f>INPUT!BZ895</f>
        <v>-17.880493277911647</v>
      </c>
      <c r="BM81" s="363">
        <f>INPUT!CA895</f>
        <v>26.955721679125936</v>
      </c>
      <c r="BN81" s="364">
        <f>INPUT!CB895</f>
        <v>-12.391411980304589</v>
      </c>
      <c r="BO81" s="363">
        <f>INPUT!CC895</f>
        <v>29.022804286106791</v>
      </c>
      <c r="BP81" s="364">
        <f>INPUT!CD895</f>
        <v>7.6684372675563273</v>
      </c>
      <c r="BQ81" s="363">
        <f>INPUT!CE895</f>
        <v>32.05400279947623</v>
      </c>
      <c r="BR81" s="364">
        <f>INPUT!CF895</f>
        <v>10.444195824386536</v>
      </c>
      <c r="BS81" s="363">
        <f>INPUT!CG895</f>
        <v>42.910140148392415</v>
      </c>
      <c r="BT81" s="364">
        <f>INPUT!CH895</f>
        <v>33.868273540843319</v>
      </c>
      <c r="BU81" s="363">
        <f>INPUT!CI895</f>
        <v>44.575330314173335</v>
      </c>
      <c r="BV81" s="364">
        <f>INPUT!CJ895</f>
        <v>3.8806449012339206</v>
      </c>
      <c r="BW81" s="363">
        <f>INPUT!CK895</f>
        <v>43.291520986302544</v>
      </c>
      <c r="BX81" s="364">
        <f>INPUT!CL895</f>
        <v>-2.8800893203086098</v>
      </c>
      <c r="BY81" s="363">
        <f>INPUT!CM895</f>
        <v>41.875947976680244</v>
      </c>
      <c r="BZ81" s="364">
        <f>INPUT!CN895</f>
        <v>-3.2698620361945374</v>
      </c>
      <c r="CA81" s="363">
        <f>INPUT!CO895</f>
        <v>40.365259907835544</v>
      </c>
      <c r="CB81" s="364">
        <f>INPUT!CP895</f>
        <v>-3.6075316305339999</v>
      </c>
      <c r="CC81" s="363">
        <f>INPUT!CQ895</f>
        <v>38.790716749984369</v>
      </c>
      <c r="CD81" s="364">
        <f>INPUT!CR895</f>
        <v>-3.900738311722185</v>
      </c>
      <c r="CE81" s="346">
        <f>INPUT!CS895</f>
        <v>-1.9983079081853705</v>
      </c>
    </row>
    <row r="82" spans="1:83" s="331" customFormat="1" x14ac:dyDescent="0.2">
      <c r="A82" s="377" t="str">
        <f>INPUT!A896</f>
        <v>Equity to Assets (Excl SAA)(%)</v>
      </c>
      <c r="B82" s="363">
        <f>INPUT!B896</f>
        <v>5.6543258613867264</v>
      </c>
      <c r="C82" s="346"/>
      <c r="D82" s="363">
        <f>INPUT!D896</f>
        <v>8.431231615201547</v>
      </c>
      <c r="E82" s="346"/>
      <c r="F82" s="363">
        <f>INPUT!F896</f>
        <v>9.0173739624453901</v>
      </c>
      <c r="G82" s="346"/>
      <c r="H82" s="363">
        <f>INPUT!H896</f>
        <v>8.6928675711474703</v>
      </c>
      <c r="I82" s="346"/>
      <c r="J82" s="363">
        <f>INPUT!J896</f>
        <v>8.3844117014743418</v>
      </c>
      <c r="K82" s="346">
        <f>INPUT!K896</f>
        <v>48.28313590363291</v>
      </c>
      <c r="L82" s="363">
        <f>INPUT!L896</f>
        <v>8.5262238490817648</v>
      </c>
      <c r="M82" s="346">
        <f>INPUT!M896</f>
        <v>1.1266709090157923</v>
      </c>
      <c r="N82" s="363">
        <f>INPUT!N896</f>
        <v>8.9398223594510924</v>
      </c>
      <c r="O82" s="346">
        <f>INPUT!O896</f>
        <v>-0.86002425226320289</v>
      </c>
      <c r="P82" s="363">
        <f>INPUT!P896</f>
        <v>8.8371975749482043</v>
      </c>
      <c r="Q82" s="346">
        <f>INPUT!Q896</f>
        <v>1.660326729004602</v>
      </c>
      <c r="R82" s="363">
        <f>INPUT!R896</f>
        <v>8.6950093133004813</v>
      </c>
      <c r="S82" s="346">
        <f>INPUT!S896</f>
        <v>3.7044651775809623</v>
      </c>
      <c r="T82" s="363">
        <f>INPUT!T896</f>
        <v>9.2049415460770074</v>
      </c>
      <c r="U82" s="346">
        <f>INPUT!U896</f>
        <v>7.9603551233098147</v>
      </c>
      <c r="V82" s="363">
        <f>INPUT!V896</f>
        <v>9.6732722659595574</v>
      </c>
      <c r="W82" s="346">
        <f>INPUT!W896</f>
        <v>8.2043006786714159</v>
      </c>
      <c r="X82" s="363">
        <f>INPUT!X896</f>
        <v>10.167694731501504</v>
      </c>
      <c r="Y82" s="346">
        <f>INPUT!Y896</f>
        <v>15.055645698416974</v>
      </c>
      <c r="Z82" s="363">
        <f>INPUT!Z896</f>
        <v>10.101403090548326</v>
      </c>
      <c r="AA82" s="346">
        <f>INPUT!AA896</f>
        <v>16.174724219058945</v>
      </c>
      <c r="AB82" s="363">
        <f>INPUT!AB896</f>
        <v>10.250872659526708</v>
      </c>
      <c r="AC82" s="346">
        <f>INPUT!AC896</f>
        <v>11.362713258026712</v>
      </c>
      <c r="AD82" s="363">
        <f>INPUT!AD896</f>
        <v>10.329012281482166</v>
      </c>
      <c r="AE82" s="346">
        <f>INPUT!AE896</f>
        <v>6.7788851331123112</v>
      </c>
      <c r="AF82" s="363">
        <f>INPUT!AF896</f>
        <v>11.069927482108175</v>
      </c>
      <c r="AG82" s="346">
        <f>INPUT!AG896</f>
        <v>8.8735231970662696</v>
      </c>
      <c r="AH82" s="363">
        <f>INPUT!AH896</f>
        <v>10.648004322280006</v>
      </c>
      <c r="AI82" s="346">
        <f>INPUT!AI896</f>
        <v>5.4111416684591518</v>
      </c>
      <c r="AJ82" s="363">
        <f>INPUT!AJ896</f>
        <v>10.788909259268662</v>
      </c>
      <c r="AK82" s="346">
        <f>INPUT!AK896</f>
        <v>5.2486906979761105</v>
      </c>
      <c r="AL82" s="363">
        <f>INPUT!AL896</f>
        <v>10.037722233156204</v>
      </c>
      <c r="AM82" s="346">
        <f>INPUT!AM896</f>
        <v>-2.8201152287153919</v>
      </c>
      <c r="AN82" s="363">
        <f>INPUT!AN896</f>
        <v>9.9833014573198025</v>
      </c>
      <c r="AO82" s="346">
        <f>INPUT!AO896</f>
        <v>-9.8160175533637215</v>
      </c>
      <c r="AP82" s="363">
        <f>INPUT!AP896</f>
        <v>10.35369874918687</v>
      </c>
      <c r="AQ82" s="346">
        <f>INPUT!AQ896</f>
        <v>-2.7639505412044851</v>
      </c>
      <c r="AR82" s="363">
        <f>INPUT!AR896</f>
        <v>10.142654519666143</v>
      </c>
      <c r="AS82" s="346">
        <f>INPUT!AS896</f>
        <v>-5.9899914261242522</v>
      </c>
      <c r="AT82" s="363">
        <f>INPUT!AT896</f>
        <v>9.9794756909879148</v>
      </c>
      <c r="AU82" s="346">
        <f>INPUT!AU896</f>
        <v>-0.58027648918089758</v>
      </c>
      <c r="AV82" s="363">
        <f>INPUT!AV896</f>
        <v>7.5377825094311621</v>
      </c>
      <c r="AW82" s="346">
        <f>INPUT!AW896</f>
        <v>-24.496094386647759</v>
      </c>
      <c r="AX82" s="363">
        <f>INPUT!AX896</f>
        <v>7.4426309425905472</v>
      </c>
      <c r="AY82" s="346">
        <f>INPUT!AY896</f>
        <v>-28.116211192883554</v>
      </c>
      <c r="AZ82" s="363">
        <f>INPUT!AZ896</f>
        <v>7.4197662046962041</v>
      </c>
      <c r="BA82" s="346">
        <f>INPUT!BA896</f>
        <v>-26.845914052286645</v>
      </c>
      <c r="BB82" s="363">
        <f>INPUT!BB896</f>
        <v>7.4474526896912918</v>
      </c>
      <c r="BC82" s="346">
        <f>INPUT!BC896</f>
        <v>-25.372304915609909</v>
      </c>
      <c r="BD82" s="363">
        <f>INPUT!BD896</f>
        <v>5.1182874342456897</v>
      </c>
      <c r="BE82" s="346">
        <f>INPUT!BE896</f>
        <v>-32.098234091501524</v>
      </c>
      <c r="BF82" s="347"/>
      <c r="BG82" s="363">
        <f>INPUT!BU896</f>
        <v>8.6928675711474703</v>
      </c>
      <c r="BH82" s="364" t="str">
        <f>INPUT!BV896</f>
        <v>NA</v>
      </c>
      <c r="BI82" s="363">
        <f>INPUT!BW896</f>
        <v>8.8371975749482043</v>
      </c>
      <c r="BJ82" s="364">
        <f>INPUT!BX896</f>
        <v>1.660326729004602</v>
      </c>
      <c r="BK82" s="363">
        <f>INPUT!BY896</f>
        <v>10.167694731501504</v>
      </c>
      <c r="BL82" s="364">
        <f>INPUT!BZ896</f>
        <v>15.055645698416974</v>
      </c>
      <c r="BM82" s="363">
        <f>INPUT!CA896</f>
        <v>11.069927482108175</v>
      </c>
      <c r="BN82" s="364">
        <f>INPUT!CB896</f>
        <v>8.8735231970662696</v>
      </c>
      <c r="BO82" s="363">
        <f>INPUT!CC896</f>
        <v>9.9833014573198025</v>
      </c>
      <c r="BP82" s="364">
        <f>INPUT!CD896</f>
        <v>-9.8160175533637215</v>
      </c>
      <c r="BQ82" s="363">
        <f>INPUT!CE896</f>
        <v>13.151800051307875</v>
      </c>
      <c r="BR82" s="364">
        <f>INPUT!CF896</f>
        <v>31.737983747499833</v>
      </c>
      <c r="BS82" s="363">
        <f>INPUT!CG896</f>
        <v>8.7534879245646113</v>
      </c>
      <c r="BT82" s="364">
        <f>INPUT!CH896</f>
        <v>-33.442662674193222</v>
      </c>
      <c r="BU82" s="363">
        <f>INPUT!CI896</f>
        <v>7.9632060905579989</v>
      </c>
      <c r="BV82" s="364">
        <f>INPUT!CJ896</f>
        <v>-9.0281935705751266</v>
      </c>
      <c r="BW82" s="363">
        <f>INPUT!CK896</f>
        <v>8.0958127686085088</v>
      </c>
      <c r="BX82" s="364">
        <f>INPUT!CL896</f>
        <v>1.6652423225331558</v>
      </c>
      <c r="BY82" s="363">
        <f>INPUT!CM896</f>
        <v>8.2635651156933463</v>
      </c>
      <c r="BZ82" s="364">
        <f>INPUT!CN896</f>
        <v>2.0720877801830628</v>
      </c>
      <c r="CA82" s="363">
        <f>INPUT!CO896</f>
        <v>8.4641102911526875</v>
      </c>
      <c r="CB82" s="364">
        <f>INPUT!CP896</f>
        <v>2.4268602310458576</v>
      </c>
      <c r="CC82" s="363">
        <f>INPUT!CQ896</f>
        <v>8.6957392079726237</v>
      </c>
      <c r="CD82" s="364">
        <f>INPUT!CR896</f>
        <v>2.7366008812769405</v>
      </c>
      <c r="CE82" s="346">
        <f>INPUT!CS896</f>
        <v>-0.13229404230189479</v>
      </c>
    </row>
    <row r="83" spans="1:83" s="331" customFormat="1" x14ac:dyDescent="0.2">
      <c r="A83" s="377" t="str">
        <f>INPUT!A897</f>
        <v>Equity to Total Assets (%)</v>
      </c>
      <c r="B83" s="363">
        <f>INPUT!B897</f>
        <v>2.9375585853153847</v>
      </c>
      <c r="C83" s="346"/>
      <c r="D83" s="363">
        <f>INPUT!D897</f>
        <v>4.4166384358515209</v>
      </c>
      <c r="E83" s="346"/>
      <c r="F83" s="363">
        <f>INPUT!F897</f>
        <v>5.0775473190956326</v>
      </c>
      <c r="G83" s="346"/>
      <c r="H83" s="363">
        <f>INPUT!H897</f>
        <v>4.7938133188716758</v>
      </c>
      <c r="I83" s="346"/>
      <c r="J83" s="363">
        <f>INPUT!J897</f>
        <v>4.4039772017980132</v>
      </c>
      <c r="K83" s="346">
        <f>INPUT!K897</f>
        <v>49.919638158474022</v>
      </c>
      <c r="L83" s="363">
        <f>INPUT!L897</f>
        <v>4.6505405496278494</v>
      </c>
      <c r="M83" s="346">
        <f>INPUT!M897</f>
        <v>5.2959307666585742</v>
      </c>
      <c r="N83" s="363">
        <f>INPUT!N897</f>
        <v>4.7658705965064305</v>
      </c>
      <c r="O83" s="346">
        <f>INPUT!O897</f>
        <v>-6.1383322104561877</v>
      </c>
      <c r="P83" s="363">
        <f>INPUT!P897</f>
        <v>4.6970759844764798</v>
      </c>
      <c r="Q83" s="346">
        <f>INPUT!Q897</f>
        <v>-2.0179620682009625</v>
      </c>
      <c r="R83" s="363">
        <f>INPUT!R897</f>
        <v>4.5000226398007719</v>
      </c>
      <c r="S83" s="346">
        <f>INPUT!S897</f>
        <v>2.1808795459600905</v>
      </c>
      <c r="T83" s="363">
        <f>INPUT!T897</f>
        <v>4.7824394872042868</v>
      </c>
      <c r="U83" s="346">
        <f>INPUT!U897</f>
        <v>2.8362065908014156</v>
      </c>
      <c r="V83" s="363">
        <f>INPUT!V897</f>
        <v>4.9710968849324306</v>
      </c>
      <c r="W83" s="346">
        <f>INPUT!W897</f>
        <v>4.3061657732889058</v>
      </c>
      <c r="X83" s="363">
        <f>INPUT!X897</f>
        <v>5.1682809768386289</v>
      </c>
      <c r="Y83" s="346">
        <f>INPUT!Y897</f>
        <v>10.031879278075341</v>
      </c>
      <c r="Z83" s="363">
        <f>INPUT!Z897</f>
        <v>5.1111647003924201</v>
      </c>
      <c r="AA83" s="346">
        <f>INPUT!AA897</f>
        <v>13.580866353568055</v>
      </c>
      <c r="AB83" s="363">
        <f>INPUT!AB897</f>
        <v>5.1361376371241416</v>
      </c>
      <c r="AC83" s="346">
        <f>INPUT!AC897</f>
        <v>7.3957684329555295</v>
      </c>
      <c r="AD83" s="363">
        <f>INPUT!AD897</f>
        <v>5.2691483603933591</v>
      </c>
      <c r="AE83" s="346">
        <f>INPUT!AE897</f>
        <v>5.9956883231210512</v>
      </c>
      <c r="AF83" s="363">
        <f>INPUT!AF897</f>
        <v>5.7473493009099235</v>
      </c>
      <c r="AG83" s="346">
        <f>INPUT!AG897</f>
        <v>11.20427327125515</v>
      </c>
      <c r="AH83" s="363">
        <f>INPUT!AH897</f>
        <v>5.5073078847609844</v>
      </c>
      <c r="AI83" s="346">
        <f>INPUT!AI897</f>
        <v>7.7505462568668415</v>
      </c>
      <c r="AJ83" s="363">
        <f>INPUT!AJ897</f>
        <v>5.6255243614871402</v>
      </c>
      <c r="AK83" s="346">
        <f>INPUT!AK897</f>
        <v>9.5283023730847525</v>
      </c>
      <c r="AL83" s="363">
        <f>INPUT!AL897</f>
        <v>5.5966041062369003</v>
      </c>
      <c r="AM83" s="346">
        <f>INPUT!AM897</f>
        <v>6.2145858010931976</v>
      </c>
      <c r="AN83" s="363">
        <f>INPUT!AN897</f>
        <v>5.5032861457707121</v>
      </c>
      <c r="AO83" s="346">
        <f>INPUT!AO897</f>
        <v>-4.2465342257964274</v>
      </c>
      <c r="AP83" s="363">
        <f>INPUT!AP897</f>
        <v>5.6003125121198902</v>
      </c>
      <c r="AQ83" s="346">
        <f>INPUT!AQ897</f>
        <v>1.6887493727426151</v>
      </c>
      <c r="AR83" s="363">
        <f>INPUT!AR897</f>
        <v>5.4818496654142335</v>
      </c>
      <c r="AS83" s="346">
        <f>INPUT!AS897</f>
        <v>-2.5539787376358536</v>
      </c>
      <c r="AT83" s="363">
        <f>INPUT!AT897</f>
        <v>5.3466207914841215</v>
      </c>
      <c r="AU83" s="346">
        <f>INPUT!AU897</f>
        <v>-4.4666964110288809</v>
      </c>
      <c r="AV83" s="363">
        <f>INPUT!AV897</f>
        <v>5.1501632927558658</v>
      </c>
      <c r="AW83" s="346">
        <f>INPUT!AW897</f>
        <v>-6.416581723380343</v>
      </c>
      <c r="AX83" s="363">
        <f>INPUT!AX897</f>
        <v>4.9584339840765193</v>
      </c>
      <c r="AY83" s="346">
        <f>INPUT!AY897</f>
        <v>-11.461476956049378</v>
      </c>
      <c r="AZ83" s="363">
        <f>INPUT!AZ897</f>
        <v>4.8805776489390249</v>
      </c>
      <c r="BA83" s="346">
        <f>INPUT!BA897</f>
        <v>-10.968414917846413</v>
      </c>
      <c r="BB83" s="363">
        <f>INPUT!BB897</f>
        <v>4.8114301422776418</v>
      </c>
      <c r="BC83" s="346">
        <f>INPUT!BC897</f>
        <v>-10.009886058478457</v>
      </c>
      <c r="BD83" s="363">
        <f>INPUT!BD897</f>
        <v>3.2705408660327508</v>
      </c>
      <c r="BE83" s="346">
        <f>INPUT!BE897</f>
        <v>-36.496365646638054</v>
      </c>
      <c r="BF83" s="347"/>
      <c r="BG83" s="363">
        <f>INPUT!BU897</f>
        <v>4.7938133188716758</v>
      </c>
      <c r="BH83" s="364" t="str">
        <f>INPUT!BV897</f>
        <v>NA</v>
      </c>
      <c r="BI83" s="363">
        <f>INPUT!BW897</f>
        <v>4.6970759844764798</v>
      </c>
      <c r="BJ83" s="364">
        <f>INPUT!BX897</f>
        <v>-2.0179620682009625</v>
      </c>
      <c r="BK83" s="363">
        <f>INPUT!BY897</f>
        <v>5.1682809768386289</v>
      </c>
      <c r="BL83" s="364">
        <f>INPUT!BZ897</f>
        <v>10.031879278075341</v>
      </c>
      <c r="BM83" s="363">
        <f>INPUT!CA897</f>
        <v>5.7473493009099235</v>
      </c>
      <c r="BN83" s="364">
        <f>INPUT!CB897</f>
        <v>11.20427327125515</v>
      </c>
      <c r="BO83" s="363">
        <f>INPUT!CC897</f>
        <v>5.5032861457707121</v>
      </c>
      <c r="BP83" s="364">
        <f>INPUT!CD897</f>
        <v>-4.2465342257964274</v>
      </c>
      <c r="BQ83" s="363">
        <f>INPUT!CE897</f>
        <v>7.2706751514737666</v>
      </c>
      <c r="BR83" s="364">
        <f>INPUT!CF897</f>
        <v>32.115157360321845</v>
      </c>
      <c r="BS83" s="363">
        <f>INPUT!CG897</f>
        <v>4.4519207242476142</v>
      </c>
      <c r="BT83" s="364">
        <f>INPUT!CH897</f>
        <v>-38.768812641213799</v>
      </c>
      <c r="BU83" s="363">
        <f>INPUT!CI897</f>
        <v>4.0979070538012836</v>
      </c>
      <c r="BV83" s="364">
        <f>INPUT!CJ897</f>
        <v>-7.9519311410505829</v>
      </c>
      <c r="BW83" s="363">
        <f>INPUT!CK897</f>
        <v>4.1722628146262952</v>
      </c>
      <c r="BX83" s="364">
        <f>INPUT!CL897</f>
        <v>1.814481388884559</v>
      </c>
      <c r="BY83" s="363">
        <f>INPUT!CM897</f>
        <v>4.2650091653723168</v>
      </c>
      <c r="BZ83" s="364">
        <f>INPUT!CN897</f>
        <v>2.2229268592786067</v>
      </c>
      <c r="CA83" s="363">
        <f>INPUT!CO897</f>
        <v>4.3750127441811717</v>
      </c>
      <c r="CB83" s="364">
        <f>INPUT!CP897</f>
        <v>2.5792108420768622</v>
      </c>
      <c r="CC83" s="363">
        <f>INPUT!CQ897</f>
        <v>4.5014673900565283</v>
      </c>
      <c r="CD83" s="364">
        <f>INPUT!CR897</f>
        <v>2.8903834861633948</v>
      </c>
      <c r="CE83" s="346">
        <f>INPUT!CS897</f>
        <v>0.22160124980774576</v>
      </c>
    </row>
    <row r="84" spans="1:83" s="331" customFormat="1" x14ac:dyDescent="0.2">
      <c r="A84" s="377" t="str">
        <f>INPUT!A898</f>
        <v>Oper Return on Avg Assets (%)</v>
      </c>
      <c r="B84" s="363">
        <f>INPUT!B898</f>
        <v>0.31352757907061723</v>
      </c>
      <c r="C84" s="346"/>
      <c r="D84" s="363">
        <f>INPUT!D898</f>
        <v>0.3772861205015498</v>
      </c>
      <c r="E84" s="346"/>
      <c r="F84" s="363">
        <f>INPUT!F898</f>
        <v>0.39341344382895416</v>
      </c>
      <c r="G84" s="346"/>
      <c r="H84" s="363">
        <f>INPUT!H898</f>
        <v>0.33845159881483516</v>
      </c>
      <c r="I84" s="346"/>
      <c r="J84" s="363">
        <f>INPUT!J898</f>
        <v>0.30186262392701357</v>
      </c>
      <c r="K84" s="346">
        <f>INPUT!K898</f>
        <v>-3.7205515311226622</v>
      </c>
      <c r="L84" s="363">
        <f>INPUT!L898</f>
        <v>0.24582694935337646</v>
      </c>
      <c r="M84" s="346">
        <f>INPUT!M898</f>
        <v>-34.843362637728767</v>
      </c>
      <c r="N84" s="363">
        <f>INPUT!N898</f>
        <v>0.33014422793236953</v>
      </c>
      <c r="O84" s="346">
        <f>INPUT!O898</f>
        <v>-16.082118414868518</v>
      </c>
      <c r="P84" s="363">
        <f>INPUT!P898</f>
        <v>0.25183927350554414</v>
      </c>
      <c r="Q84" s="346">
        <f>INPUT!Q898</f>
        <v>-25.590756732301955</v>
      </c>
      <c r="R84" s="363">
        <f>INPUT!R898</f>
        <v>0.30500118697972445</v>
      </c>
      <c r="S84" s="346">
        <f>INPUT!S898</f>
        <v>1.039732250346348</v>
      </c>
      <c r="T84" s="363">
        <f>INPUT!T898</f>
        <v>0.32294191315227966</v>
      </c>
      <c r="U84" s="346">
        <f>INPUT!U898</f>
        <v>31.36961346253797</v>
      </c>
      <c r="V84" s="363">
        <f>INPUT!V898</f>
        <v>0.52050028784560132</v>
      </c>
      <c r="W84" s="346">
        <f>INPUT!W898</f>
        <v>57.658454641292863</v>
      </c>
      <c r="X84" s="363">
        <f>INPUT!X898</f>
        <v>0.36141947208156061</v>
      </c>
      <c r="Y84" s="346">
        <f>INPUT!Y898</f>
        <v>43.511957865302577</v>
      </c>
      <c r="Z84" s="363">
        <f>INPUT!Z898</f>
        <v>0.27033258880818783</v>
      </c>
      <c r="AA84" s="346">
        <f>INPUT!AA898</f>
        <v>-11.36670926262372</v>
      </c>
      <c r="AB84" s="363">
        <f>INPUT!AB898</f>
        <v>0.37791911090777952</v>
      </c>
      <c r="AC84" s="346">
        <f>INPUT!AC898</f>
        <v>17.02386575308854</v>
      </c>
      <c r="AD84" s="363">
        <f>INPUT!AD898</f>
        <v>0.33840441856856313</v>
      </c>
      <c r="AE84" s="346">
        <f>INPUT!AE898</f>
        <v>-34.984777824187141</v>
      </c>
      <c r="AF84" s="363">
        <f>INPUT!AF898</f>
        <v>0.43445259615565712</v>
      </c>
      <c r="AG84" s="346">
        <f>INPUT!AG898</f>
        <v>20.207301962306911</v>
      </c>
      <c r="AH84" s="363">
        <f>INPUT!AH898</f>
        <v>0.3456393833369924</v>
      </c>
      <c r="AI84" s="346">
        <f>INPUT!AI898</f>
        <v>27.857090726948151</v>
      </c>
      <c r="AJ84" s="363">
        <f>INPUT!AJ898</f>
        <v>0.31342478694028292</v>
      </c>
      <c r="AK84" s="346">
        <f>INPUT!AK898</f>
        <v>-17.065642383783718</v>
      </c>
      <c r="AL84" s="363">
        <f>INPUT!AL898</f>
        <v>0.16748937729776742</v>
      </c>
      <c r="AM84" s="346" t="str">
        <f>INPUT!AM898</f>
        <v>NM</v>
      </c>
      <c r="AN84" s="363">
        <f>INPUT!AN898</f>
        <v>0.35892281412886462</v>
      </c>
      <c r="AO84" s="346">
        <f>INPUT!AO898</f>
        <v>-17.385045617205019</v>
      </c>
      <c r="AP84" s="363">
        <f>INPUT!AP898</f>
        <v>0.109742044842273</v>
      </c>
      <c r="AQ84" s="346" t="str">
        <f>INPUT!AQ898</f>
        <v>NM</v>
      </c>
      <c r="AR84" s="363">
        <f>INPUT!AR898</f>
        <v>0.16468667774970527</v>
      </c>
      <c r="AS84" s="346">
        <f>INPUT!AS898</f>
        <v>-47.455758251473846</v>
      </c>
      <c r="AT84" s="363">
        <f>INPUT!AT898</f>
        <v>-4.6073377067725831E-2</v>
      </c>
      <c r="AU84" s="346" t="str">
        <f>INPUT!AU898</f>
        <v>NM</v>
      </c>
      <c r="AV84" s="363">
        <f>INPUT!AV898</f>
        <v>0.18767497442548409</v>
      </c>
      <c r="AW84" s="346">
        <f>INPUT!AW898</f>
        <v>-47.711606217903203</v>
      </c>
      <c r="AX84" s="363">
        <f>INPUT!AX898</f>
        <v>0.18293127704013265</v>
      </c>
      <c r="AY84" s="346">
        <f>INPUT!AY898</f>
        <v>66.692061646063763</v>
      </c>
      <c r="AZ84" s="363">
        <f>INPUT!AZ898</f>
        <v>0.13302672829848364</v>
      </c>
      <c r="BA84" s="346">
        <f>INPUT!BA898</f>
        <v>-19.224353714475427</v>
      </c>
      <c r="BB84" s="363">
        <f>INPUT!BB898</f>
        <v>5.1336603739999383E-2</v>
      </c>
      <c r="BC84" s="346" t="str">
        <f>INPUT!BC898</f>
        <v>NM</v>
      </c>
      <c r="BD84" s="363">
        <f>INPUT!BD898</f>
        <v>0.2825739536506105</v>
      </c>
      <c r="BE84" s="346">
        <f>INPUT!BE898</f>
        <v>50.565601255912696</v>
      </c>
      <c r="BF84" s="347"/>
      <c r="BG84" s="363">
        <f>INPUT!BU898</f>
        <v>0.35758433862971833</v>
      </c>
      <c r="BH84" s="364" t="str">
        <f>INPUT!BV898</f>
        <v>NA</v>
      </c>
      <c r="BI84" s="363">
        <f>INPUT!BW898</f>
        <v>0.28406184295432763</v>
      </c>
      <c r="BJ84" s="364">
        <f>INPUT!BX898</f>
        <v>-20.560882491982934</v>
      </c>
      <c r="BK84" s="363">
        <f>INPUT!BY898</f>
        <v>0.37701518046607196</v>
      </c>
      <c r="BL84" s="364">
        <f>INPUT!BZ898</f>
        <v>32.722922778012695</v>
      </c>
      <c r="BM84" s="363">
        <f>INPUT!CA898</f>
        <v>0.35715952020955738</v>
      </c>
      <c r="BN84" s="364">
        <f>INPUT!CB898</f>
        <v>-5.2665413185667198</v>
      </c>
      <c r="BO84" s="363">
        <f>INPUT!CC898</f>
        <v>0.29865113078903083</v>
      </c>
      <c r="BP84" s="364">
        <f>INPUT!CD898</f>
        <v>-16.381584728918252</v>
      </c>
      <c r="BQ84" s="363">
        <f>INPUT!CE898</f>
        <v>0.12126301972294395</v>
      </c>
      <c r="BR84" s="364" t="str">
        <f>INPUT!CF898</f>
        <v>NM</v>
      </c>
      <c r="BS84" s="363">
        <f>INPUT!CG898</f>
        <v>0.22743929703759169</v>
      </c>
      <c r="BT84" s="364">
        <f>INPUT!CH898</f>
        <v>87.558661789253065</v>
      </c>
      <c r="BU84" s="363">
        <f>INPUT!CI898</f>
        <v>0.41777639929945737</v>
      </c>
      <c r="BV84" s="364">
        <f>INPUT!CJ898</f>
        <v>83.686990217177069</v>
      </c>
      <c r="BW84" s="363">
        <f>INPUT!CK898</f>
        <v>0.45921305847662014</v>
      </c>
      <c r="BX84" s="364">
        <f>INPUT!CL898</f>
        <v>9.9183819973184928</v>
      </c>
      <c r="BY84" s="363">
        <f>INPUT!CM898</f>
        <v>0.47548731653930981</v>
      </c>
      <c r="BZ84" s="364">
        <f>INPUT!CN898</f>
        <v>3.5439449646047505</v>
      </c>
      <c r="CA84" s="363">
        <f>INPUT!CO898</f>
        <v>0.49083801981199593</v>
      </c>
      <c r="CB84" s="364">
        <f>INPUT!CP898</f>
        <v>3.2284148785316935</v>
      </c>
      <c r="CC84" s="363">
        <f>INPUT!CQ898</f>
        <v>0.50557518140437785</v>
      </c>
      <c r="CD84" s="364">
        <f>INPUT!CR898</f>
        <v>3.002449076383007</v>
      </c>
      <c r="CE84" s="346">
        <f>INPUT!CS898</f>
        <v>17.323240118851778</v>
      </c>
    </row>
    <row r="85" spans="1:83" s="331" customFormat="1" x14ac:dyDescent="0.2">
      <c r="A85" s="377" t="str">
        <f>INPUT!A899</f>
        <v>Book Value per Share</v>
      </c>
      <c r="B85" s="365">
        <f>INPUT!B899</f>
        <v>26.528695652173916</v>
      </c>
      <c r="C85" s="346"/>
      <c r="D85" s="365">
        <f>INPUT!D899</f>
        <v>39.678695652173907</v>
      </c>
      <c r="E85" s="346"/>
      <c r="F85" s="365">
        <f>INPUT!F899</f>
        <v>43.917826086956531</v>
      </c>
      <c r="G85" s="346"/>
      <c r="H85" s="365">
        <f>INPUT!H899</f>
        <v>42.43</v>
      </c>
      <c r="I85" s="346"/>
      <c r="J85" s="365">
        <f>INPUT!J899</f>
        <v>40.186521739130441</v>
      </c>
      <c r="K85" s="346">
        <f>INPUT!K899</f>
        <v>51.483217516716941</v>
      </c>
      <c r="L85" s="365">
        <f>INPUT!L899</f>
        <v>42.696956521739125</v>
      </c>
      <c r="M85" s="346">
        <f>INPUT!M899</f>
        <v>7.606754254281678</v>
      </c>
      <c r="N85" s="365">
        <f>INPUT!N899</f>
        <v>44.38695652173913</v>
      </c>
      <c r="O85" s="346">
        <f>INPUT!O899</f>
        <v>1.0682004930155919</v>
      </c>
      <c r="P85" s="365">
        <f>INPUT!P899</f>
        <v>44.192173913043483</v>
      </c>
      <c r="Q85" s="346">
        <f>INPUT!Q899</f>
        <v>4.1531320128293192</v>
      </c>
      <c r="R85" s="365">
        <f>INPUT!R899</f>
        <v>43.195140871540204</v>
      </c>
      <c r="S85" s="346">
        <f>INPUT!S899</f>
        <v>7.486637315715261</v>
      </c>
      <c r="T85" s="365">
        <f>INPUT!T899</f>
        <v>39.815184049079747</v>
      </c>
      <c r="U85" s="346">
        <f>INPUT!U899</f>
        <v>-6.749362735473019</v>
      </c>
      <c r="V85" s="365">
        <f>INPUT!V899</f>
        <v>41.487730061349694</v>
      </c>
      <c r="W85" s="346">
        <f>INPUT!W899</f>
        <v>-6.5317081583854408</v>
      </c>
      <c r="X85" s="365">
        <f>INPUT!X899</f>
        <v>43.649598777225826</v>
      </c>
      <c r="Y85" s="346">
        <f>INPUT!Y899</f>
        <v>-1.2277629448265603</v>
      </c>
      <c r="Z85" s="365">
        <f>INPUT!Z899</f>
        <v>44.852767962308597</v>
      </c>
      <c r="AA85" s="346">
        <f>INPUT!AA899</f>
        <v>3.8375313920102183</v>
      </c>
      <c r="AB85" s="365">
        <f>INPUT!AB899</f>
        <v>46.010997643362145</v>
      </c>
      <c r="AC85" s="346">
        <f>INPUT!AC899</f>
        <v>15.561434016341313</v>
      </c>
      <c r="AD85" s="365">
        <f>INPUT!AD899</f>
        <v>47.966314935064943</v>
      </c>
      <c r="AE85" s="346">
        <f>INPUT!AE899</f>
        <v>15.615664834241571</v>
      </c>
      <c r="AF85" s="365">
        <f>INPUT!AF899</f>
        <v>53.916907813145912</v>
      </c>
      <c r="AG85" s="346">
        <f>INPUT!AG899</f>
        <v>23.522115491419026</v>
      </c>
      <c r="AH85" s="365">
        <f>INPUT!AH899</f>
        <v>55.079475982532756</v>
      </c>
      <c r="AI85" s="346">
        <f>INPUT!AI899</f>
        <v>22.800617408535473</v>
      </c>
      <c r="AJ85" s="365">
        <f>INPUT!AJ899</f>
        <v>56.326115775519213</v>
      </c>
      <c r="AK85" s="346">
        <f>INPUT!AK899</f>
        <v>22.418809981281072</v>
      </c>
      <c r="AL85" s="365">
        <f>INPUT!AL899</f>
        <v>56.852763585694383</v>
      </c>
      <c r="AM85" s="346">
        <f>INPUT!AM899</f>
        <v>18.526436026323047</v>
      </c>
      <c r="AN85" s="365">
        <f>INPUT!AN899</f>
        <v>57.440937350549966</v>
      </c>
      <c r="AO85" s="346">
        <f>INPUT!AO899</f>
        <v>6.5360379152619608</v>
      </c>
      <c r="AP85" s="365">
        <f>INPUT!AP899</f>
        <v>58.750490196078424</v>
      </c>
      <c r="AQ85" s="346">
        <f>INPUT!AQ899</f>
        <v>6.6649403395011353</v>
      </c>
      <c r="AR85" s="365">
        <f>INPUT!AR899</f>
        <v>59.436563436563446</v>
      </c>
      <c r="AS85" s="346">
        <f>INPUT!AS899</f>
        <v>5.5222122424357201</v>
      </c>
      <c r="AT85" s="365">
        <f>INPUT!AT899</f>
        <v>60.066289825282624</v>
      </c>
      <c r="AU85" s="346">
        <f>INPUT!AU899</f>
        <v>5.6523659307158969</v>
      </c>
      <c r="AV85" s="365">
        <f>INPUT!AV899</f>
        <v>56.903905447070919</v>
      </c>
      <c r="AW85" s="346">
        <f>INPUT!AW899</f>
        <v>-0.9349288647600873</v>
      </c>
      <c r="AX85" s="365">
        <f>INPUT!AX899</f>
        <v>56.758820431806214</v>
      </c>
      <c r="AY85" s="346">
        <f>INPUT!AY899</f>
        <v>-3.3900479087494495</v>
      </c>
      <c r="AZ85" s="365">
        <f>INPUT!AZ899</f>
        <v>59.802448525319981</v>
      </c>
      <c r="BA85" s="346">
        <f>INPUT!BA899</f>
        <v>0.6155892393527207</v>
      </c>
      <c r="BB85" s="365">
        <f>INPUT!BB899</f>
        <v>60.776850306065683</v>
      </c>
      <c r="BC85" s="346">
        <f>INPUT!BC899</f>
        <v>1.1829604972271479</v>
      </c>
      <c r="BD85" s="365">
        <f>INPUT!BD899</f>
        <v>42.313953488372093</v>
      </c>
      <c r="BE85" s="346">
        <f>INPUT!BE899</f>
        <v>-25.639632014835346</v>
      </c>
      <c r="BF85" s="347"/>
      <c r="BG85" s="365">
        <f>INPUT!BU899</f>
        <v>42.43</v>
      </c>
      <c r="BH85" s="364" t="str">
        <f>INPUT!BV899</f>
        <v>NA</v>
      </c>
      <c r="BI85" s="365">
        <f>INPUT!BW899</f>
        <v>44.192173913043483</v>
      </c>
      <c r="BJ85" s="364">
        <f>INPUT!BX899</f>
        <v>4.1531320128293192</v>
      </c>
      <c r="BK85" s="365">
        <f>INPUT!BY899</f>
        <v>43.649598777225826</v>
      </c>
      <c r="BL85" s="364">
        <f>INPUT!BZ899</f>
        <v>-1.2277629448265603</v>
      </c>
      <c r="BM85" s="365">
        <f>INPUT!CA899</f>
        <v>53.916907813145912</v>
      </c>
      <c r="BN85" s="364">
        <f>INPUT!CB899</f>
        <v>23.522115491419026</v>
      </c>
      <c r="BO85" s="365">
        <f>INPUT!CC899</f>
        <v>57.440937350549966</v>
      </c>
      <c r="BP85" s="364">
        <f>INPUT!CD899</f>
        <v>6.5360379152619608</v>
      </c>
      <c r="BQ85" s="365">
        <f>INPUT!CE899</f>
        <v>56.903905447070919</v>
      </c>
      <c r="BR85" s="364">
        <f>INPUT!CF899</f>
        <v>-0.9349288647600873</v>
      </c>
      <c r="BS85" s="365">
        <f>INPUT!CG899</f>
        <v>42.313953488372093</v>
      </c>
      <c r="BT85" s="364">
        <f>INPUT!CH899</f>
        <v>-25.639632014835346</v>
      </c>
      <c r="BU85" s="365">
        <f>INPUT!CI899</f>
        <v>46.27825863325566</v>
      </c>
      <c r="BV85" s="364">
        <f>INPUT!CJ899</f>
        <v>9.3687892954104726</v>
      </c>
      <c r="BW85" s="365">
        <f>INPUT!CK899</f>
        <v>51.160246973969009</v>
      </c>
      <c r="BX85" s="364">
        <f>INPUT!CL899</f>
        <v>10.549204928824052</v>
      </c>
      <c r="BY85" s="365">
        <f>INPUT!CM899</f>
        <v>56.763798944551688</v>
      </c>
      <c r="BZ85" s="364">
        <f>INPUT!CN899</f>
        <v>10.952941594347344</v>
      </c>
      <c r="CA85" s="365">
        <f>INPUT!CO899</f>
        <v>63.176445372229466</v>
      </c>
      <c r="CB85" s="364">
        <f>INPUT!CP899</f>
        <v>11.297070574754553</v>
      </c>
      <c r="CC85" s="365">
        <f>INPUT!CQ899</f>
        <v>70.498049002484038</v>
      </c>
      <c r="CD85" s="364">
        <f>INPUT!CR899</f>
        <v>11.589135139079755</v>
      </c>
      <c r="CE85" s="346">
        <f>INPUT!CS899</f>
        <v>10.748715743075721</v>
      </c>
    </row>
    <row r="86" spans="1:83" s="331" customFormat="1" x14ac:dyDescent="0.2">
      <c r="A86" s="362" t="s">
        <v>284</v>
      </c>
      <c r="B86" s="365">
        <f>INPUT!B823</f>
        <v>14.154907975460123</v>
      </c>
      <c r="C86" s="346"/>
      <c r="D86" s="365">
        <f>INPUT!D823</f>
        <v>25.751917177914105</v>
      </c>
      <c r="E86" s="346"/>
      <c r="F86" s="365">
        <f>INPUT!F823</f>
        <v>29.490414110429455</v>
      </c>
      <c r="G86" s="346"/>
      <c r="H86" s="365">
        <f>INPUT!H823</f>
        <v>26.483512269938647</v>
      </c>
      <c r="I86" s="346"/>
      <c r="J86" s="365">
        <f>INPUT!J823</f>
        <v>24.504984662576693</v>
      </c>
      <c r="K86" s="346">
        <f>INPUT!K823</f>
        <v>73.120056344132649</v>
      </c>
      <c r="L86" s="365">
        <f>INPUT!L823</f>
        <v>26.718941717791406</v>
      </c>
      <c r="M86" s="346">
        <f>INPUT!M823</f>
        <v>3.7551555218058086</v>
      </c>
      <c r="N86" s="365">
        <f>INPUT!N823</f>
        <v>28.209355828220858</v>
      </c>
      <c r="O86" s="346">
        <f>INPUT!O823</f>
        <v>-4.3439820051748406</v>
      </c>
      <c r="P86" s="365">
        <f>INPUT!P823</f>
        <v>28.766104294478531</v>
      </c>
      <c r="Q86" s="346">
        <f>INPUT!Q823</f>
        <v>8.6189173145695186</v>
      </c>
      <c r="R86" s="365">
        <f>INPUT!R823</f>
        <v>22.811733128834366</v>
      </c>
      <c r="S86" s="346">
        <f>INPUT!S823</f>
        <v>-6.9098249072900302</v>
      </c>
      <c r="T86" s="365">
        <f>INPUT!T823</f>
        <v>24.54294478527607</v>
      </c>
      <c r="U86" s="346">
        <f>INPUT!U823</f>
        <v>-8.1440236499576653</v>
      </c>
      <c r="V86" s="365">
        <f>INPUT!V823</f>
        <v>28.282208588957054</v>
      </c>
      <c r="W86" s="346">
        <f>INPUT!W823</f>
        <v>0.25825744189207356</v>
      </c>
      <c r="X86" s="365">
        <f>INPUT!X823</f>
        <v>31.731371799770727</v>
      </c>
      <c r="Y86" s="346">
        <f>INPUT!Y823</f>
        <v>10.308199799794782</v>
      </c>
      <c r="Z86" s="365">
        <f>INPUT!Z823</f>
        <v>32.524538672948566</v>
      </c>
      <c r="AA86" s="346">
        <f>INPUT!AA823</f>
        <v>42.57811315457252</v>
      </c>
      <c r="AB86" s="365">
        <f>INPUT!AB823</f>
        <v>33.076983503534962</v>
      </c>
      <c r="AC86" s="346">
        <f>INPUT!AC823</f>
        <v>34.771861294243209</v>
      </c>
      <c r="AD86" s="365">
        <f>INPUT!AD823</f>
        <v>33.867288961038966</v>
      </c>
      <c r="AE86" s="346">
        <f>INPUT!AE823</f>
        <v>19.747681142068373</v>
      </c>
      <c r="AF86" s="365">
        <f>INPUT!AF823</f>
        <v>43.243075651095481</v>
      </c>
      <c r="AG86" s="346">
        <f>INPUT!AG823</f>
        <v>36.278620174271616</v>
      </c>
      <c r="AH86" s="365">
        <f>INPUT!AH823</f>
        <v>43.655895196506556</v>
      </c>
      <c r="AI86" s="346">
        <f>INPUT!AI823</f>
        <v>34.224487041890626</v>
      </c>
      <c r="AJ86" s="365">
        <f>INPUT!AJ823</f>
        <v>44.615996464869632</v>
      </c>
      <c r="AK86" s="346">
        <f>INPUT!AK823</f>
        <v>34.885324292348145</v>
      </c>
      <c r="AL86" s="365">
        <f>INPUT!AL823</f>
        <v>44.544356711565264</v>
      </c>
      <c r="AM86" s="346">
        <f>INPUT!AM823</f>
        <v>31.526195565311511</v>
      </c>
      <c r="AN86" s="365">
        <f>INPUT!AN823</f>
        <v>43.878048780487795</v>
      </c>
      <c r="AO86" s="346">
        <f>INPUT!AO823</f>
        <v>1.4683810525309537</v>
      </c>
      <c r="AP86" s="365">
        <f>INPUT!AP823</f>
        <v>42.422058823529404</v>
      </c>
      <c r="AQ86" s="346">
        <f>INPUT!AQ823</f>
        <v>-2.8262766515801174</v>
      </c>
      <c r="AR86" s="365">
        <f>INPUT!AR823</f>
        <v>43.092907092907097</v>
      </c>
      <c r="AS86" s="346">
        <f>INPUT!AS823</f>
        <v>-3.4137741900750918</v>
      </c>
      <c r="AT86" s="365">
        <f>INPUT!AT823</f>
        <v>45.266700924974295</v>
      </c>
      <c r="AU86" s="346">
        <f>INPUT!AU823</f>
        <v>1.6216290159634994</v>
      </c>
      <c r="AV86" s="365">
        <f>INPUT!AV823</f>
        <v>45.3622816032888</v>
      </c>
      <c r="AW86" s="346">
        <f>INPUT!AW823</f>
        <v>3.3826317807026829</v>
      </c>
      <c r="AX86" s="365">
        <f>INPUT!AX823</f>
        <v>47.111637704054765</v>
      </c>
      <c r="AY86" s="346">
        <f>INPUT!AY823</f>
        <v>11.054576346785616</v>
      </c>
      <c r="AZ86" s="365">
        <f>INPUT!AZ823</f>
        <v>49.6076794657763</v>
      </c>
      <c r="BA86" s="346">
        <f>INPUT!BA823</f>
        <v>15.117969086707328</v>
      </c>
      <c r="BB86" s="365">
        <f>INPUT!BB823</f>
        <v>50.582081246521994</v>
      </c>
      <c r="BC86" s="346">
        <f>INPUT!BC823</f>
        <v>11.742362957613128</v>
      </c>
      <c r="BD86" s="365">
        <f>INPUT!BD823</f>
        <v>31.662790697674417</v>
      </c>
      <c r="BE86" s="346">
        <f>INPUT!BE823</f>
        <v>-30.200180461428026</v>
      </c>
      <c r="BF86" s="347"/>
      <c r="BG86" s="365"/>
      <c r="BH86" s="364"/>
      <c r="BI86" s="365"/>
      <c r="BJ86" s="364"/>
      <c r="BK86" s="365">
        <f>INPUT!BY823</f>
        <v>31.731371799770727</v>
      </c>
      <c r="BL86" s="364">
        <f>INPUT!BZ823</f>
        <v>10.308199799794782</v>
      </c>
      <c r="BM86" s="365">
        <f>INPUT!CA823</f>
        <v>43.243075651095481</v>
      </c>
      <c r="BN86" s="364">
        <f>INPUT!CB823</f>
        <v>36.278620174271616</v>
      </c>
      <c r="BO86" s="365">
        <f>INPUT!CC823</f>
        <v>43.878048780487795</v>
      </c>
      <c r="BP86" s="364">
        <f>INPUT!CD823</f>
        <v>1.4683810525309537</v>
      </c>
      <c r="BQ86" s="365">
        <f>INPUT!CE823</f>
        <v>45.3622816032888</v>
      </c>
      <c r="BR86" s="364">
        <f>INPUT!CF823</f>
        <v>3.3826317807026829</v>
      </c>
      <c r="BS86" s="365">
        <f>INPUT!CG823</f>
        <v>31.662790697674417</v>
      </c>
      <c r="BT86" s="364">
        <f>INPUT!CH823</f>
        <v>-30.200180461428026</v>
      </c>
      <c r="BU86" s="365">
        <f>INPUT!CI823</f>
        <v>34.177152664078733</v>
      </c>
      <c r="BV86" s="364">
        <f>INPUT!CJ823</f>
        <v>7.9410623984859097</v>
      </c>
      <c r="BW86" s="365">
        <f>INPUT!CK823</f>
        <v>39.077326686234699</v>
      </c>
      <c r="BX86" s="364">
        <f>INPUT!CL823</f>
        <v>14.337572442967739</v>
      </c>
      <c r="BY86" s="365">
        <f>INPUT!CM823</f>
        <v>44.703571814686789</v>
      </c>
      <c r="BZ86" s="364">
        <f>INPUT!CN823</f>
        <v>14.397722683609215</v>
      </c>
      <c r="CA86" s="365">
        <f>INPUT!CO823</f>
        <v>51.143684927072655</v>
      </c>
      <c r="CB86" s="364">
        <f>INPUT!CP823</f>
        <v>14.40626073254856</v>
      </c>
      <c r="CC86" s="365">
        <f>INPUT!CQ823</f>
        <v>58.497802093602722</v>
      </c>
      <c r="CD86" s="364">
        <f>INPUT!CR823</f>
        <v>14.379325965691624</v>
      </c>
      <c r="CE86" s="346">
        <f>INPUT!CS823</f>
        <v>0</v>
      </c>
    </row>
    <row r="87" spans="1:83" s="331" customFormat="1" x14ac:dyDescent="0.2">
      <c r="C87" s="332"/>
      <c r="E87" s="332"/>
      <c r="G87" s="332"/>
      <c r="I87" s="332"/>
      <c r="K87" s="332"/>
      <c r="M87" s="332"/>
      <c r="O87" s="332"/>
      <c r="Q87" s="332"/>
      <c r="S87" s="332"/>
      <c r="U87" s="332"/>
      <c r="W87" s="332"/>
      <c r="Y87" s="332"/>
      <c r="AA87" s="332"/>
      <c r="AC87" s="332"/>
      <c r="AE87" s="332"/>
      <c r="AG87" s="332"/>
      <c r="AI87" s="332"/>
      <c r="AK87" s="332"/>
      <c r="AM87" s="332"/>
      <c r="AO87" s="332"/>
      <c r="AQ87" s="332"/>
      <c r="AS87" s="332"/>
      <c r="AU87" s="332"/>
      <c r="AW87" s="332"/>
      <c r="AY87" s="332"/>
      <c r="BA87" s="332"/>
      <c r="BC87" s="332"/>
      <c r="BE87" s="332"/>
      <c r="BF87" s="379"/>
      <c r="BH87" s="332"/>
      <c r="BJ87" s="332"/>
      <c r="BL87" s="332"/>
      <c r="BN87" s="332"/>
      <c r="BP87" s="332"/>
      <c r="BR87" s="332"/>
      <c r="BT87" s="332"/>
      <c r="BV87" s="332"/>
      <c r="BX87" s="332"/>
      <c r="BZ87" s="332"/>
      <c r="CB87" s="332"/>
      <c r="CD87" s="332"/>
      <c r="CE87" s="332"/>
    </row>
    <row r="88" spans="1:83" s="342" customFormat="1" x14ac:dyDescent="0.2">
      <c r="A88" s="376" t="str">
        <f>INPUT!A901</f>
        <v>Capital Structure Incl FAS 115</v>
      </c>
      <c r="B88" s="349"/>
      <c r="C88" s="346"/>
      <c r="D88" s="349"/>
      <c r="E88" s="346"/>
      <c r="F88" s="349"/>
      <c r="G88" s="346"/>
      <c r="H88" s="349"/>
      <c r="I88" s="346"/>
      <c r="J88" s="349"/>
      <c r="K88" s="346"/>
      <c r="L88" s="349"/>
      <c r="M88" s="346"/>
      <c r="N88" s="349"/>
      <c r="O88" s="346"/>
      <c r="P88" s="349"/>
      <c r="Q88" s="346"/>
      <c r="R88" s="349"/>
      <c r="S88" s="346"/>
      <c r="T88" s="349"/>
      <c r="U88" s="346"/>
      <c r="V88" s="349"/>
      <c r="W88" s="346"/>
      <c r="X88" s="349"/>
      <c r="Y88" s="346"/>
      <c r="Z88" s="349"/>
      <c r="AA88" s="346"/>
      <c r="AB88" s="349"/>
      <c r="AC88" s="346"/>
      <c r="AD88" s="349"/>
      <c r="AE88" s="346"/>
      <c r="AF88" s="349"/>
      <c r="AG88" s="346"/>
      <c r="AH88" s="349"/>
      <c r="AI88" s="346"/>
      <c r="AJ88" s="349"/>
      <c r="AK88" s="346"/>
      <c r="AL88" s="349"/>
      <c r="AM88" s="346"/>
      <c r="AN88" s="349"/>
      <c r="AO88" s="346"/>
      <c r="AP88" s="349"/>
      <c r="AQ88" s="346"/>
      <c r="AR88" s="349"/>
      <c r="AS88" s="346"/>
      <c r="AT88" s="349"/>
      <c r="AU88" s="346"/>
      <c r="AV88" s="349"/>
      <c r="AW88" s="346"/>
      <c r="AX88" s="349"/>
      <c r="AY88" s="346"/>
      <c r="AZ88" s="349"/>
      <c r="BA88" s="346"/>
      <c r="BB88" s="349"/>
      <c r="BC88" s="346"/>
      <c r="BD88" s="349"/>
      <c r="BE88" s="346"/>
      <c r="BF88" s="350"/>
      <c r="BG88" s="349"/>
      <c r="BH88" s="346"/>
      <c r="BI88" s="349"/>
      <c r="BJ88" s="346"/>
      <c r="BK88" s="349"/>
      <c r="BL88" s="346"/>
      <c r="BM88" s="349"/>
      <c r="BN88" s="346"/>
      <c r="BO88" s="349"/>
      <c r="BP88" s="346"/>
      <c r="BQ88" s="349"/>
      <c r="BR88" s="346"/>
      <c r="BS88" s="349"/>
      <c r="BT88" s="346"/>
      <c r="BU88" s="349"/>
      <c r="BV88" s="346"/>
      <c r="BW88" s="349"/>
      <c r="BX88" s="346"/>
      <c r="BY88" s="349"/>
      <c r="BZ88" s="346"/>
      <c r="CA88" s="349"/>
      <c r="CB88" s="346"/>
      <c r="CC88" s="349"/>
      <c r="CD88" s="346"/>
      <c r="CE88" s="346"/>
    </row>
    <row r="89" spans="1:83" s="331" customFormat="1" x14ac:dyDescent="0.2">
      <c r="A89" s="377" t="str">
        <f>INPUT!A902</f>
        <v>Total Capital</v>
      </c>
      <c r="B89" s="345">
        <f>INPUT!B902</f>
        <v>14837.2</v>
      </c>
      <c r="C89" s="346"/>
      <c r="D89" s="345">
        <f>INPUT!D902</f>
        <v>15419.8</v>
      </c>
      <c r="E89" s="346"/>
      <c r="F89" s="345">
        <f>INPUT!F902</f>
        <v>17520.7</v>
      </c>
      <c r="G89" s="346"/>
      <c r="H89" s="345">
        <f>INPUT!H902</f>
        <v>16395.2</v>
      </c>
      <c r="I89" s="346"/>
      <c r="J89" s="345">
        <f>INPUT!J902</f>
        <v>15873.100000000002</v>
      </c>
      <c r="K89" s="346">
        <f>INPUT!K902</f>
        <v>6.9817755371633483</v>
      </c>
      <c r="L89" s="345">
        <f>INPUT!L902</f>
        <v>16775.599999999999</v>
      </c>
      <c r="M89" s="346">
        <f>INPUT!M902</f>
        <v>8.7925913435971772</v>
      </c>
      <c r="N89" s="345">
        <f>INPUT!N902</f>
        <v>17803.7</v>
      </c>
      <c r="O89" s="346">
        <f>INPUT!O902</f>
        <v>1.6152322681171505</v>
      </c>
      <c r="P89" s="345">
        <f>INPUT!P902</f>
        <v>17683.2</v>
      </c>
      <c r="Q89" s="346">
        <f>INPUT!Q902</f>
        <v>7.8559578413194053</v>
      </c>
      <c r="R89" s="345">
        <f>INPUT!R902</f>
        <v>17098.400000000001</v>
      </c>
      <c r="S89" s="346">
        <f>INPUT!S902</f>
        <v>7.7193490874498227</v>
      </c>
      <c r="T89" s="345">
        <f>INPUT!T902</f>
        <v>16154.899999999998</v>
      </c>
      <c r="U89" s="346">
        <f>INPUT!U902</f>
        <v>-3.7000166909082255</v>
      </c>
      <c r="V89" s="345">
        <f>INPUT!V902</f>
        <v>16284.5</v>
      </c>
      <c r="W89" s="346">
        <f>INPUT!W902</f>
        <v>-8.5330577351898746</v>
      </c>
      <c r="X89" s="345">
        <f>INPUT!X902</f>
        <v>16786.899999999998</v>
      </c>
      <c r="Y89" s="346">
        <f>INPUT!Y902</f>
        <v>-5.0686527325371156</v>
      </c>
      <c r="Z89" s="345">
        <f>INPUT!Z902</f>
        <v>17516.5</v>
      </c>
      <c r="AA89" s="346">
        <f>INPUT!AA902</f>
        <v>2.4452580358395926</v>
      </c>
      <c r="AB89" s="345">
        <f>INPUT!AB902</f>
        <v>18382.300000000003</v>
      </c>
      <c r="AC89" s="346">
        <f>INPUT!AC902</f>
        <v>13.787767178998367</v>
      </c>
      <c r="AD89" s="345">
        <f>INPUT!AD902</f>
        <v>18154.600000000002</v>
      </c>
      <c r="AE89" s="346">
        <f>INPUT!AE902</f>
        <v>11.483926433111247</v>
      </c>
      <c r="AF89" s="345">
        <f>INPUT!AF902</f>
        <v>19661.899999999998</v>
      </c>
      <c r="AG89" s="346">
        <f>INPUT!AG902</f>
        <v>17.126449791206234</v>
      </c>
      <c r="AH89" s="345">
        <f>INPUT!AH902</f>
        <v>19660.400000000001</v>
      </c>
      <c r="AI89" s="346">
        <f>INPUT!AI902</f>
        <v>12.23931721519711</v>
      </c>
      <c r="AJ89" s="345">
        <f>INPUT!AJ902</f>
        <v>18341.8</v>
      </c>
      <c r="AK89" s="346">
        <f>INPUT!AK902</f>
        <v>-0.22032063452345207</v>
      </c>
      <c r="AL89" s="345">
        <f>INPUT!AL902</f>
        <v>17771.7</v>
      </c>
      <c r="AM89" s="346">
        <f>INPUT!AM902</f>
        <v>-2.1091073336785282</v>
      </c>
      <c r="AN89" s="345">
        <f>INPUT!AN902</f>
        <v>16921.699999999997</v>
      </c>
      <c r="AO89" s="346">
        <f>INPUT!AO902</f>
        <v>-13.936598192443261</v>
      </c>
      <c r="AP89" s="345">
        <f>INPUT!AP902</f>
        <v>17917.2</v>
      </c>
      <c r="AQ89" s="346">
        <f>INPUT!AQ902</f>
        <v>-8.8665540884213971</v>
      </c>
      <c r="AR89" s="345">
        <f>INPUT!AR902</f>
        <v>18886.400000000001</v>
      </c>
      <c r="AS89" s="346">
        <f>INPUT!AS902</f>
        <v>2.9691742358983531</v>
      </c>
      <c r="AT89" s="345">
        <f>INPUT!AT902</f>
        <v>18754.5</v>
      </c>
      <c r="AU89" s="346">
        <f>INPUT!AU902</f>
        <v>5.5301406168233758</v>
      </c>
      <c r="AV89" s="345">
        <f>INPUT!AV902</f>
        <v>16544</v>
      </c>
      <c r="AW89" s="346">
        <f>INPUT!AW902</f>
        <v>-2.2320452436811689</v>
      </c>
      <c r="AX89" s="345">
        <f>INPUT!AX902</f>
        <v>15616.2</v>
      </c>
      <c r="AY89" s="346">
        <f>INPUT!AY902</f>
        <v>-12.842408412028661</v>
      </c>
      <c r="AZ89" s="345">
        <f>INPUT!AZ902</f>
        <v>16078.7</v>
      </c>
      <c r="BA89" s="346">
        <f>INPUT!BA902</f>
        <v>-14.866252965096582</v>
      </c>
      <c r="BB89" s="345">
        <f>INPUT!BB902</f>
        <v>16774.800000000003</v>
      </c>
      <c r="BC89" s="346">
        <f>INPUT!BC902</f>
        <v>-10.555866592017903</v>
      </c>
      <c r="BD89" s="345">
        <f>INPUT!BD902</f>
        <v>13132</v>
      </c>
      <c r="BE89" s="346">
        <f>INPUT!BE902</f>
        <v>-20.62379110251451</v>
      </c>
      <c r="BF89" s="347"/>
      <c r="BG89" s="345">
        <f>INPUT!BU902</f>
        <v>16395.2</v>
      </c>
      <c r="BH89" s="364" t="str">
        <f>INPUT!BV902</f>
        <v>NA</v>
      </c>
      <c r="BI89" s="345">
        <f>INPUT!BW902</f>
        <v>17683.2</v>
      </c>
      <c r="BJ89" s="364">
        <f>INPUT!BX902</f>
        <v>7.8559578413194053</v>
      </c>
      <c r="BK89" s="345">
        <f>INPUT!BY902</f>
        <v>16786.899999999998</v>
      </c>
      <c r="BL89" s="364">
        <f>INPUT!BZ902</f>
        <v>-5.0686527325371156</v>
      </c>
      <c r="BM89" s="345">
        <f>INPUT!CA902</f>
        <v>19661.899999999998</v>
      </c>
      <c r="BN89" s="364">
        <f>INPUT!CB902</f>
        <v>17.126449791206234</v>
      </c>
      <c r="BO89" s="345">
        <f>INPUT!CC902</f>
        <v>16921.699999999997</v>
      </c>
      <c r="BP89" s="364">
        <f>INPUT!CD902</f>
        <v>-13.936598192443261</v>
      </c>
      <c r="BQ89" s="345">
        <f>INPUT!CE902</f>
        <v>16544</v>
      </c>
      <c r="BR89" s="364">
        <f>INPUT!CF902</f>
        <v>-2.2320452436811689</v>
      </c>
      <c r="BS89" s="345">
        <f>INPUT!CG902</f>
        <v>13132</v>
      </c>
      <c r="BT89" s="364">
        <f>INPUT!CH902</f>
        <v>-20.62379110251451</v>
      </c>
      <c r="BU89" s="345">
        <f>INPUT!CI902</f>
        <v>12360.117460013525</v>
      </c>
      <c r="BV89" s="364">
        <f>INPUT!CJ902</f>
        <v>-5.8778749618220711</v>
      </c>
      <c r="BW89" s="345">
        <f>INPUT!CK902</f>
        <v>12567.883755639166</v>
      </c>
      <c r="BX89" s="364">
        <f>INPUT!CL902</f>
        <v>1.6809411099675264</v>
      </c>
      <c r="BY89" s="345">
        <f>INPUT!CM902</f>
        <v>12811.741617548878</v>
      </c>
      <c r="BZ89" s="364">
        <f>INPUT!CN902</f>
        <v>1.9403255683383636</v>
      </c>
      <c r="CA89" s="345">
        <f>INPUT!CO902</f>
        <v>13090.850963255598</v>
      </c>
      <c r="CB89" s="364">
        <f>INPUT!CP902</f>
        <v>2.1785433552953481</v>
      </c>
      <c r="CC89" s="345">
        <f>INPUT!CQ902</f>
        <v>13404.895321497916</v>
      </c>
      <c r="CD89" s="364">
        <f>INPUT!CR902</f>
        <v>2.3989606109167561</v>
      </c>
      <c r="CE89" s="346">
        <f>INPUT!CS902</f>
        <v>0.41220650561930583</v>
      </c>
    </row>
    <row r="90" spans="1:83" s="331" customFormat="1" x14ac:dyDescent="0.2">
      <c r="A90" s="377" t="str">
        <f>INPUT!A903</f>
        <v>LT Debt to LT Capital (%)</v>
      </c>
      <c r="B90" s="363">
        <f>INPUT!B903</f>
        <v>51.796834982341679</v>
      </c>
      <c r="C90" s="346"/>
      <c r="D90" s="363">
        <f>INPUT!D903</f>
        <v>32.75204607063646</v>
      </c>
      <c r="E90" s="346"/>
      <c r="F90" s="363">
        <f>INPUT!F903</f>
        <v>29.304194467116041</v>
      </c>
      <c r="G90" s="346"/>
      <c r="H90" s="363">
        <f>INPUT!H903</f>
        <v>24.649287596369668</v>
      </c>
      <c r="I90" s="346"/>
      <c r="J90" s="363">
        <f>INPUT!J903</f>
        <v>25.472024998267507</v>
      </c>
      <c r="K90" s="346" t="str">
        <f>INPUT!K903</f>
        <v>NM</v>
      </c>
      <c r="L90" s="363">
        <f>INPUT!L903</f>
        <v>23.449533846777467</v>
      </c>
      <c r="M90" s="346">
        <f>INPUT!M903</f>
        <v>-28.402842997338951</v>
      </c>
      <c r="N90" s="363">
        <f>INPUT!N903</f>
        <v>21.867364648921289</v>
      </c>
      <c r="O90" s="346">
        <f>INPUT!O903</f>
        <v>-25.378038719133045</v>
      </c>
      <c r="P90" s="363">
        <f>INPUT!P903</f>
        <v>21.536260405356497</v>
      </c>
      <c r="Q90" s="346">
        <f>INPUT!Q903</f>
        <v>-12.629278549501189</v>
      </c>
      <c r="R90" s="363">
        <f>INPUT!R903</f>
        <v>21.682145697843072</v>
      </c>
      <c r="S90" s="346">
        <f>INPUT!S903</f>
        <v>-14.878594460716045</v>
      </c>
      <c r="T90" s="363">
        <f>INPUT!T903</f>
        <v>22.799893530755377</v>
      </c>
      <c r="U90" s="346">
        <f>INPUT!U903</f>
        <v>-2.7703762482739758</v>
      </c>
      <c r="V90" s="363">
        <f>INPUT!V903</f>
        <v>21.581872332586201</v>
      </c>
      <c r="W90" s="346">
        <f>INPUT!W903</f>
        <v>-1.3055634317104214</v>
      </c>
      <c r="X90" s="363">
        <f>INPUT!X903</f>
        <v>20.937159332574808</v>
      </c>
      <c r="Y90" s="346">
        <f>INPUT!Y903</f>
        <v>-2.7818249849573706</v>
      </c>
      <c r="Z90" s="363">
        <f>INPUT!Z903</f>
        <v>20.066794165501097</v>
      </c>
      <c r="AA90" s="346">
        <f>INPUT!AA903</f>
        <v>-7.4501461010967667</v>
      </c>
      <c r="AB90" s="363">
        <f>INPUT!AB903</f>
        <v>19.122743073500047</v>
      </c>
      <c r="AC90" s="346">
        <f>INPUT!AC903</f>
        <v>-16.127928195344964</v>
      </c>
      <c r="AD90" s="363">
        <f>INPUT!AD903</f>
        <v>19.364238264682225</v>
      </c>
      <c r="AE90" s="346">
        <f>INPUT!AE903</f>
        <v>-10.275447995100951</v>
      </c>
      <c r="AF90" s="363">
        <f>INPUT!AF903</f>
        <v>17.8807744928008</v>
      </c>
      <c r="AG90" s="346">
        <f>INPUT!AG903</f>
        <v>-14.597896453979653</v>
      </c>
      <c r="AH90" s="363">
        <f>INPUT!AH903</f>
        <v>17.883664625338241</v>
      </c>
      <c r="AI90" s="346">
        <f>INPUT!AI903</f>
        <v>-10.879313965935323</v>
      </c>
      <c r="AJ90" s="363">
        <f>INPUT!AJ903</f>
        <v>19.005768245210394</v>
      </c>
      <c r="AK90" s="346">
        <f>INPUT!AK903</f>
        <v>-0.61170527596406954</v>
      </c>
      <c r="AL90" s="363">
        <f>INPUT!AL903</f>
        <v>19.613205264549816</v>
      </c>
      <c r="AM90" s="346">
        <f>INPUT!AM903</f>
        <v>1.2857051047635126</v>
      </c>
      <c r="AN90" s="363">
        <f>INPUT!AN903</f>
        <v>20.600176105237658</v>
      </c>
      <c r="AO90" s="346">
        <f>INPUT!AO903</f>
        <v>15.20852250293605</v>
      </c>
      <c r="AP90" s="363">
        <f>INPUT!AP903</f>
        <v>19.28817002656665</v>
      </c>
      <c r="AQ90" s="346">
        <f>INPUT!AQ903</f>
        <v>7.8535659813171232</v>
      </c>
      <c r="AR90" s="363">
        <f>INPUT!AR903</f>
        <v>18.783357336496103</v>
      </c>
      <c r="AS90" s="346">
        <f>INPUT!AS903</f>
        <v>-1.1702284582489342</v>
      </c>
      <c r="AT90" s="363">
        <f>INPUT!AT903</f>
        <v>18.920792343170973</v>
      </c>
      <c r="AU90" s="346">
        <f>INPUT!AU903</f>
        <v>-3.5303404621495282</v>
      </c>
      <c r="AV90" s="363">
        <f>INPUT!AV903</f>
        <v>21.454908123791103</v>
      </c>
      <c r="AW90" s="346">
        <f>INPUT!AW903</f>
        <v>4.1491490858475144</v>
      </c>
      <c r="AX90" s="363">
        <f>INPUT!AX903</f>
        <v>17.454310267542677</v>
      </c>
      <c r="AY90" s="346">
        <f>INPUT!AY903</f>
        <v>-9.5076917950126845</v>
      </c>
      <c r="AZ90" s="363">
        <f>INPUT!AZ903</f>
        <v>16.955350867918426</v>
      </c>
      <c r="BA90" s="346">
        <f>INPUT!BA903</f>
        <v>-9.7320539445089338</v>
      </c>
      <c r="BB90" s="363">
        <f>INPUT!BB903</f>
        <v>18.612442473233656</v>
      </c>
      <c r="BC90" s="346">
        <f>INPUT!BC903</f>
        <v>-1.6296879345468196</v>
      </c>
      <c r="BD90" s="363">
        <f>INPUT!BD903</f>
        <v>23.781602193116054</v>
      </c>
      <c r="BE90" s="346">
        <f>INPUT!BE903</f>
        <v>10.844577175070281</v>
      </c>
      <c r="BF90" s="347"/>
      <c r="BG90" s="363">
        <f>INPUT!BU903</f>
        <v>24.649287596369668</v>
      </c>
      <c r="BH90" s="364" t="str">
        <f>INPUT!BV903</f>
        <v>NA</v>
      </c>
      <c r="BI90" s="363">
        <f>INPUT!BW903</f>
        <v>21.536260405356497</v>
      </c>
      <c r="BJ90" s="364">
        <f>INPUT!BX903</f>
        <v>-12.629278549501189</v>
      </c>
      <c r="BK90" s="363">
        <f>INPUT!BY903</f>
        <v>20.937159332574808</v>
      </c>
      <c r="BL90" s="364">
        <f>INPUT!BZ903</f>
        <v>-2.7818249849573706</v>
      </c>
      <c r="BM90" s="363">
        <f>INPUT!CA903</f>
        <v>17.8807744928008</v>
      </c>
      <c r="BN90" s="364">
        <f>INPUT!CB903</f>
        <v>-14.597896453979653</v>
      </c>
      <c r="BO90" s="363">
        <f>INPUT!CC903</f>
        <v>20.600176105237658</v>
      </c>
      <c r="BP90" s="364">
        <f>INPUT!CD903</f>
        <v>15.20852250293605</v>
      </c>
      <c r="BQ90" s="363">
        <f>INPUT!CE903</f>
        <v>21.454908123791103</v>
      </c>
      <c r="BR90" s="364">
        <f>INPUT!CF903</f>
        <v>4.1491490858475144</v>
      </c>
      <c r="BS90" s="363">
        <f>INPUT!CG903</f>
        <v>23.781602193116054</v>
      </c>
      <c r="BT90" s="364">
        <f>INPUT!CH903</f>
        <v>10.844577175070281</v>
      </c>
      <c r="BU90" s="363">
        <f>INPUT!CI903</f>
        <v>25.266750175338405</v>
      </c>
      <c r="BV90" s="364">
        <f>INPUT!CJ903</f>
        <v>6.2449450216278901</v>
      </c>
      <c r="BW90" s="363">
        <f>INPUT!CK903</f>
        <v>24.849052240785731</v>
      </c>
      <c r="BX90" s="364">
        <f>INPUT!CL903</f>
        <v>-1.6531525884969867</v>
      </c>
      <c r="BY90" s="363">
        <f>INPUT!CM903</f>
        <v>24.376076986459609</v>
      </c>
      <c r="BZ90" s="364">
        <f>INPUT!CN903</f>
        <v>-1.9033935368762633</v>
      </c>
      <c r="CA90" s="363">
        <f>INPUT!CO903</f>
        <v>23.856355929540985</v>
      </c>
      <c r="CB90" s="364">
        <f>INPUT!CP903</f>
        <v>-2.1320947468590479</v>
      </c>
      <c r="CC90" s="363">
        <f>INPUT!CQ903</f>
        <v>23.297459063268715</v>
      </c>
      <c r="CD90" s="364">
        <f>INPUT!CR903</f>
        <v>-2.3427587512650949</v>
      </c>
      <c r="CE90" s="346">
        <f>INPUT!CS903</f>
        <v>-0.41051433880824328</v>
      </c>
    </row>
    <row r="91" spans="1:83" s="331" customFormat="1" x14ac:dyDescent="0.2">
      <c r="A91" s="377" t="str">
        <f>INPUT!A904</f>
        <v>LT Debt to Common Equity (%)</v>
      </c>
      <c r="B91" s="363">
        <f>INPUT!B904</f>
        <v>107.45525727069352</v>
      </c>
      <c r="C91" s="346"/>
      <c r="D91" s="363">
        <f>INPUT!D904</f>
        <v>48.703409036115545</v>
      </c>
      <c r="E91" s="346"/>
      <c r="F91" s="363">
        <f>INPUT!F904</f>
        <v>41.4511076664729</v>
      </c>
      <c r="G91" s="346"/>
      <c r="H91" s="363">
        <f>INPUT!H904</f>
        <v>32.712746582051018</v>
      </c>
      <c r="I91" s="346"/>
      <c r="J91" s="363">
        <f>INPUT!J904</f>
        <v>34.177803700792055</v>
      </c>
      <c r="K91" s="346" t="str">
        <f>INPUT!K904</f>
        <v>NM</v>
      </c>
      <c r="L91" s="363">
        <f>INPUT!L904</f>
        <v>30.632777336510465</v>
      </c>
      <c r="M91" s="346">
        <f>INPUT!M904</f>
        <v>-37.103422649952442</v>
      </c>
      <c r="N91" s="363">
        <f>INPUT!N904</f>
        <v>27.987491463283131</v>
      </c>
      <c r="O91" s="346">
        <f>INPUT!O904</f>
        <v>-32.48071513919907</v>
      </c>
      <c r="P91" s="363">
        <f>INPUT!P904</f>
        <v>27.44740502634253</v>
      </c>
      <c r="Q91" s="346">
        <f>INPUT!Q904</f>
        <v>-16.095687784887801</v>
      </c>
      <c r="R91" s="363">
        <f>INPUT!R904</f>
        <v>27.684805579825404</v>
      </c>
      <c r="S91" s="346">
        <f>INPUT!S904</f>
        <v>-18.997704410175942</v>
      </c>
      <c r="T91" s="363">
        <f>INPUT!T904</f>
        <v>29.533500112255052</v>
      </c>
      <c r="U91" s="346">
        <f>INPUT!U904</f>
        <v>-3.5885653206678469</v>
      </c>
      <c r="V91" s="363">
        <f>INPUT!V904</f>
        <v>27.521534847298355</v>
      </c>
      <c r="W91" s="346">
        <f>INPUT!W904</f>
        <v>-1.6648745265221976</v>
      </c>
      <c r="X91" s="363">
        <f>INPUT!X904</f>
        <v>26.481668449842527</v>
      </c>
      <c r="Y91" s="346">
        <f>INPUT!Y904</f>
        <v>-3.5184986543286723</v>
      </c>
      <c r="Z91" s="363">
        <f>INPUT!Z904</f>
        <v>25.104453094311324</v>
      </c>
      <c r="AA91" s="346">
        <f>INPUT!AA904</f>
        <v>-9.3204645345042465</v>
      </c>
      <c r="AB91" s="363">
        <f>INPUT!AB904</f>
        <v>23.644153869954458</v>
      </c>
      <c r="AC91" s="346">
        <f>INPUT!AC904</f>
        <v>-19.941240353888102</v>
      </c>
      <c r="AD91" s="363">
        <f>INPUT!AD904</f>
        <v>24.014454440505219</v>
      </c>
      <c r="AE91" s="346">
        <f>INPUT!AE904</f>
        <v>-12.743040772442271</v>
      </c>
      <c r="AF91" s="363">
        <f>INPUT!AF904</f>
        <v>21.774163580285148</v>
      </c>
      <c r="AG91" s="346">
        <f>INPUT!AG904</f>
        <v>-17.776466307149818</v>
      </c>
      <c r="AH91" s="363">
        <f>INPUT!AH904</f>
        <v>21.778449493322761</v>
      </c>
      <c r="AI91" s="346">
        <f>INPUT!AI904</f>
        <v>-13.248659863226564</v>
      </c>
      <c r="AJ91" s="363">
        <f>INPUT!AJ904</f>
        <v>23.465582466107517</v>
      </c>
      <c r="AK91" s="346">
        <f>INPUT!AK904</f>
        <v>-0.7552454819449439</v>
      </c>
      <c r="AL91" s="363">
        <f>INPUT!AL904</f>
        <v>24.398541239386532</v>
      </c>
      <c r="AM91" s="346">
        <f>INPUT!AM904</f>
        <v>1.5993983949661228</v>
      </c>
      <c r="AN91" s="363">
        <f>INPUT!AN904</f>
        <v>25.944863722294176</v>
      </c>
      <c r="AO91" s="346">
        <f>INPUT!AO904</f>
        <v>19.154352940497255</v>
      </c>
      <c r="AP91" s="363">
        <f>INPUT!AP904</f>
        <v>23.897574906820275</v>
      </c>
      <c r="AQ91" s="346">
        <f>INPUT!AQ904</f>
        <v>9.730377794558942</v>
      </c>
      <c r="AR91" s="363">
        <f>INPUT!AR904</f>
        <v>23.12747328687194</v>
      </c>
      <c r="AS91" s="346">
        <f>INPUT!AS904</f>
        <v>-1.4408727323258375</v>
      </c>
      <c r="AT91" s="363">
        <f>INPUT!AT904</f>
        <v>23.3361830856241</v>
      </c>
      <c r="AU91" s="346">
        <f>INPUT!AU904</f>
        <v>-4.3541871759425916</v>
      </c>
      <c r="AV91" s="363">
        <f>INPUT!AV904</f>
        <v>27.315402670360537</v>
      </c>
      <c r="AW91" s="346">
        <f>INPUT!AW904</f>
        <v>5.2825058660403323</v>
      </c>
      <c r="AX91" s="363">
        <f>INPUT!AX904</f>
        <v>21.145029285132459</v>
      </c>
      <c r="AY91" s="346">
        <f>INPUT!AY904</f>
        <v>-11.518096009408263</v>
      </c>
      <c r="AZ91" s="363">
        <f>INPUT!AZ904</f>
        <v>20.417150346377081</v>
      </c>
      <c r="BA91" s="346">
        <f>INPUT!BA904</f>
        <v>-11.719062030149852</v>
      </c>
      <c r="BB91" s="363">
        <f>INPUT!BB904</f>
        <v>22.86890409152835</v>
      </c>
      <c r="BC91" s="346">
        <f>INPUT!BC904</f>
        <v>-2.0023797052895476</v>
      </c>
      <c r="BD91" s="363">
        <f>INPUT!BD904</f>
        <v>31.201918273553801</v>
      </c>
      <c r="BE91" s="346">
        <f>INPUT!BE904</f>
        <v>14.228293282348181</v>
      </c>
      <c r="BF91" s="347"/>
      <c r="BG91" s="363">
        <f>INPUT!BU904</f>
        <v>32.712746582051018</v>
      </c>
      <c r="BH91" s="364" t="str">
        <f>INPUT!BV904</f>
        <v>NA</v>
      </c>
      <c r="BI91" s="363">
        <f>INPUT!BW904</f>
        <v>27.44740502634253</v>
      </c>
      <c r="BJ91" s="364">
        <f>INPUT!BX904</f>
        <v>-16.095687784887801</v>
      </c>
      <c r="BK91" s="363">
        <f>INPUT!BY904</f>
        <v>26.481668449842527</v>
      </c>
      <c r="BL91" s="364">
        <f>INPUT!BZ904</f>
        <v>-3.5184986543286723</v>
      </c>
      <c r="BM91" s="363">
        <f>INPUT!CA904</f>
        <v>21.774163580285148</v>
      </c>
      <c r="BN91" s="364">
        <f>INPUT!CB904</f>
        <v>-17.776466307149818</v>
      </c>
      <c r="BO91" s="363">
        <f>INPUT!CC904</f>
        <v>25.944863722294176</v>
      </c>
      <c r="BP91" s="364">
        <f>INPUT!CD904</f>
        <v>19.154352940497255</v>
      </c>
      <c r="BQ91" s="363">
        <f>INPUT!CE904</f>
        <v>27.315402670360537</v>
      </c>
      <c r="BR91" s="364">
        <f>INPUT!CF904</f>
        <v>5.2825058660403323</v>
      </c>
      <c r="BS91" s="363">
        <f>INPUT!CG904</f>
        <v>31.201918273553801</v>
      </c>
      <c r="BT91" s="364">
        <f>INPUT!CH904</f>
        <v>14.228293282348181</v>
      </c>
      <c r="BU91" s="363">
        <f>INPUT!CI904</f>
        <v>33.809248540133076</v>
      </c>
      <c r="BV91" s="364">
        <f>INPUT!CJ904</f>
        <v>8.3563140051847498</v>
      </c>
      <c r="BW91" s="363">
        <f>INPUT!CK904</f>
        <v>33.065520770812881</v>
      </c>
      <c r="BX91" s="364">
        <f>INPUT!CL904</f>
        <v>-2.1997761010196903</v>
      </c>
      <c r="BY91" s="363">
        <f>INPUT!CM904</f>
        <v>32.23328811187843</v>
      </c>
      <c r="BZ91" s="364">
        <f>INPUT!CN904</f>
        <v>-2.5169198595204612</v>
      </c>
      <c r="CA91" s="363">
        <f>INPUT!CO904</f>
        <v>31.330725263773378</v>
      </c>
      <c r="CB91" s="364">
        <f>INPUT!CP904</f>
        <v>-2.8000954943608325</v>
      </c>
      <c r="CC91" s="363">
        <f>INPUT!CQ904</f>
        <v>30.373777424773728</v>
      </c>
      <c r="CD91" s="364">
        <f>INPUT!CR904</f>
        <v>-3.0543430799737536</v>
      </c>
      <c r="CE91" s="346">
        <f>INPUT!CS904</f>
        <v>-0.53655387178566105</v>
      </c>
    </row>
    <row r="92" spans="1:83" s="331" customFormat="1" x14ac:dyDescent="0.2">
      <c r="A92" s="377" t="str">
        <f>INPUT!A905</f>
        <v>Equity to Assets (Excl SAA)(%)</v>
      </c>
      <c r="B92" s="363">
        <f>INPUT!B905</f>
        <v>6.5638344834421947</v>
      </c>
      <c r="C92" s="346"/>
      <c r="D92" s="363">
        <f>INPUT!D905</f>
        <v>9.4711604329360171</v>
      </c>
      <c r="E92" s="346"/>
      <c r="F92" s="363">
        <f>INPUT!F905</f>
        <v>10.836413583136126</v>
      </c>
      <c r="G92" s="346"/>
      <c r="H92" s="363">
        <f>INPUT!H905</f>
        <v>10.755774724160116</v>
      </c>
      <c r="I92" s="346"/>
      <c r="J92" s="363">
        <f>INPUT!J905</f>
        <v>10.485073932361395</v>
      </c>
      <c r="K92" s="346">
        <f>INPUT!K905</f>
        <v>59.74007203884932</v>
      </c>
      <c r="L92" s="363">
        <f>INPUT!L905</f>
        <v>10.864549730074085</v>
      </c>
      <c r="M92" s="346">
        <f>INPUT!M905</f>
        <v>14.711917372791493</v>
      </c>
      <c r="N92" s="363">
        <f>INPUT!N905</f>
        <v>11.798718218398218</v>
      </c>
      <c r="O92" s="346">
        <f>INPUT!O905</f>
        <v>8.8802870791093724</v>
      </c>
      <c r="P92" s="363">
        <f>INPUT!P905</f>
        <v>11.686409471155629</v>
      </c>
      <c r="Q92" s="346">
        <f>INPUT!Q905</f>
        <v>8.6524194756987463</v>
      </c>
      <c r="R92" s="363">
        <f>INPUT!R905</f>
        <v>11.372319890073779</v>
      </c>
      <c r="S92" s="346">
        <f>INPUT!S905</f>
        <v>8.4619904774726038</v>
      </c>
      <c r="T92" s="363">
        <f>INPUT!T905</f>
        <v>10.854818242110593</v>
      </c>
      <c r="U92" s="346">
        <f>INPUT!U905</f>
        <v>-8.9571019556888842E-2</v>
      </c>
      <c r="V92" s="363">
        <f>INPUT!V905</f>
        <v>11.220987552348499</v>
      </c>
      <c r="W92" s="346">
        <f>INPUT!W905</f>
        <v>-4.8965544846120697</v>
      </c>
      <c r="X92" s="363">
        <f>INPUT!X905</f>
        <v>11.622288326834274</v>
      </c>
      <c r="Y92" s="346">
        <f>INPUT!Y905</f>
        <v>-0.54868130780132418</v>
      </c>
      <c r="Z92" s="363">
        <f>INPUT!Z905</f>
        <v>12.104621135689504</v>
      </c>
      <c r="AA92" s="346">
        <f>INPUT!AA905</f>
        <v>6.4393303450328343</v>
      </c>
      <c r="AB92" s="363">
        <f>INPUT!AB905</f>
        <v>12.660414988358998</v>
      </c>
      <c r="AC92" s="346">
        <f>INPUT!AC905</f>
        <v>16.634057853163341</v>
      </c>
      <c r="AD92" s="363">
        <f>INPUT!AD905</f>
        <v>12.485958829625266</v>
      </c>
      <c r="AE92" s="346">
        <f>INPUT!AE905</f>
        <v>11.273261567891279</v>
      </c>
      <c r="AF92" s="363">
        <f>INPUT!AF905</f>
        <v>13.35247500680185</v>
      </c>
      <c r="AG92" s="346">
        <f>INPUT!AG905</f>
        <v>14.8867988068478</v>
      </c>
      <c r="AH92" s="363">
        <f>INPUT!AH905</f>
        <v>13.234503292148689</v>
      </c>
      <c r="AI92" s="346">
        <f>INPUT!AI905</f>
        <v>9.3343041784911271</v>
      </c>
      <c r="AJ92" s="363">
        <f>INPUT!AJ905</f>
        <v>12.353623063067856</v>
      </c>
      <c r="AK92" s="346">
        <f>INPUT!AK905</f>
        <v>-2.4232375129348505</v>
      </c>
      <c r="AL92" s="363">
        <f>INPUT!AL905</f>
        <v>11.522005456904889</v>
      </c>
      <c r="AM92" s="346">
        <f>INPUT!AM905</f>
        <v>-7.7202991446136959</v>
      </c>
      <c r="AN92" s="363">
        <f>INPUT!AN905</f>
        <v>11.036942599815335</v>
      </c>
      <c r="AO92" s="346">
        <f>INPUT!AO905</f>
        <v>-17.34159701333996</v>
      </c>
      <c r="AP92" s="363">
        <f>INPUT!AP905</f>
        <v>12.231197915301069</v>
      </c>
      <c r="AQ92" s="346">
        <f>INPUT!AQ905</f>
        <v>-7.5809824872145164</v>
      </c>
      <c r="AR92" s="363">
        <f>INPUT!AR905</f>
        <v>12.702170703248896</v>
      </c>
      <c r="AS92" s="346">
        <f>INPUT!AS905</f>
        <v>2.8214203914238789</v>
      </c>
      <c r="AT92" s="363">
        <f>INPUT!AT905</f>
        <v>12.603763888716207</v>
      </c>
      <c r="AU92" s="346">
        <f>INPUT!AU905</f>
        <v>9.388629747289734</v>
      </c>
      <c r="AV92" s="363">
        <f>INPUT!AV905</f>
        <v>8.731243398401908</v>
      </c>
      <c r="AW92" s="346">
        <f>INPUT!AW905</f>
        <v>-20.890741983672221</v>
      </c>
      <c r="AX92" s="363">
        <f>INPUT!AX905</f>
        <v>8.773040247568451</v>
      </c>
      <c r="AY92" s="346">
        <f>INPUT!AY905</f>
        <v>-28.273254113617995</v>
      </c>
      <c r="AZ92" s="363">
        <f>INPUT!AZ905</f>
        <v>9.0560972747946469</v>
      </c>
      <c r="BA92" s="346">
        <f>INPUT!BA905</f>
        <v>-28.704333405956163</v>
      </c>
      <c r="BB92" s="363">
        <f>INPUT!BB905</f>
        <v>9.1395222111691155</v>
      </c>
      <c r="BC92" s="346">
        <f>INPUT!BC905</f>
        <v>-27.485770981861446</v>
      </c>
      <c r="BD92" s="363">
        <f>INPUT!BD905</f>
        <v>6.9062355530715465</v>
      </c>
      <c r="BE92" s="346">
        <f>INPUT!BE905</f>
        <v>-20.90203837020962</v>
      </c>
      <c r="BF92" s="347"/>
      <c r="BG92" s="363">
        <f>INPUT!BU905</f>
        <v>10.755774724160116</v>
      </c>
      <c r="BH92" s="364" t="str">
        <f>INPUT!BV905</f>
        <v>NA</v>
      </c>
      <c r="BI92" s="363">
        <f>INPUT!BW905</f>
        <v>11.686409471155629</v>
      </c>
      <c r="BJ92" s="364">
        <f>INPUT!BX905</f>
        <v>8.6524194756987463</v>
      </c>
      <c r="BK92" s="363">
        <f>INPUT!BY905</f>
        <v>11.622288326834274</v>
      </c>
      <c r="BL92" s="364">
        <f>INPUT!BZ905</f>
        <v>-0.54868130780132418</v>
      </c>
      <c r="BM92" s="363">
        <f>INPUT!CA905</f>
        <v>13.35247500680185</v>
      </c>
      <c r="BN92" s="364">
        <f>INPUT!CB905</f>
        <v>14.8867988068478</v>
      </c>
      <c r="BO92" s="363">
        <f>INPUT!CC905</f>
        <v>11.036942599815335</v>
      </c>
      <c r="BP92" s="364">
        <f>INPUT!CD905</f>
        <v>-17.34159701333996</v>
      </c>
      <c r="BQ92" s="363">
        <f>INPUT!CE905</f>
        <v>15.089074834007985</v>
      </c>
      <c r="BR92" s="364">
        <f>INPUT!CF905</f>
        <v>36.714263914541398</v>
      </c>
      <c r="BS92" s="363">
        <f>INPUT!CG905</f>
        <v>11.655312954876273</v>
      </c>
      <c r="BT92" s="364">
        <f>INPUT!CH905</f>
        <v>-22.756609778305613</v>
      </c>
      <c r="BU92" s="363">
        <f>INPUT!CI905</f>
        <v>10.239331515506478</v>
      </c>
      <c r="BV92" s="364">
        <f>INPUT!CJ905</f>
        <v>-12.148806684572</v>
      </c>
      <c r="BW92" s="363">
        <f>INPUT!CK905</f>
        <v>10.34065814671515</v>
      </c>
      <c r="BX92" s="364">
        <f>INPUT!CL905</f>
        <v>0.98958248451299635</v>
      </c>
      <c r="BY92" s="363">
        <f>INPUT!CM905</f>
        <v>10.476639779158479</v>
      </c>
      <c r="BZ92" s="364">
        <f>INPUT!CN905</f>
        <v>1.3150191265777877</v>
      </c>
      <c r="CA92" s="363">
        <f>INPUT!CO905</f>
        <v>10.645008868011967</v>
      </c>
      <c r="CB92" s="364">
        <f>INPUT!CP905</f>
        <v>1.6070905595936491</v>
      </c>
      <c r="CC92" s="363">
        <f>INPUT!CQ905</f>
        <v>10.844123028455689</v>
      </c>
      <c r="CD92" s="364">
        <f>INPUT!CR905</f>
        <v>1.8704931382636625</v>
      </c>
      <c r="CE92" s="346">
        <f>INPUT!CS905</f>
        <v>-1.4324187845718317</v>
      </c>
    </row>
    <row r="93" spans="1:83" s="331" customFormat="1" x14ac:dyDescent="0.2">
      <c r="A93" s="377" t="str">
        <f>INPUT!A906</f>
        <v>Equity to Total Assets (%)</v>
      </c>
      <c r="B93" s="363">
        <f>INPUT!B906</f>
        <v>3.4432638983505361</v>
      </c>
      <c r="C93" s="346"/>
      <c r="D93" s="363">
        <f>INPUT!D906</f>
        <v>5.0183903595799242</v>
      </c>
      <c r="E93" s="346"/>
      <c r="F93" s="363">
        <f>INPUT!F906</f>
        <v>6.2263052650945081</v>
      </c>
      <c r="G93" s="346"/>
      <c r="H93" s="363">
        <f>INPUT!H906</f>
        <v>6.0685415733339614</v>
      </c>
      <c r="I93" s="346"/>
      <c r="J93" s="363">
        <f>INPUT!J906</f>
        <v>5.6366086292776414</v>
      </c>
      <c r="K93" s="346">
        <f>INPUT!K906</f>
        <v>63.699582595972593</v>
      </c>
      <c r="L93" s="363">
        <f>INPUT!L906</f>
        <v>6.0814141757594893</v>
      </c>
      <c r="M93" s="346">
        <f>INPUT!M906</f>
        <v>21.182565324961054</v>
      </c>
      <c r="N93" s="363">
        <f>INPUT!N906</f>
        <v>6.4938429750908702</v>
      </c>
      <c r="O93" s="346">
        <f>INPUT!O906</f>
        <v>4.2968935605553149</v>
      </c>
      <c r="P93" s="363">
        <f>INPUT!P906</f>
        <v>6.4118631645395316</v>
      </c>
      <c r="Q93" s="346">
        <f>INPUT!Q906</f>
        <v>5.6573986856112812</v>
      </c>
      <c r="R93" s="363">
        <f>INPUT!R906</f>
        <v>6.063436721756851</v>
      </c>
      <c r="S93" s="346">
        <f>INPUT!S906</f>
        <v>7.5724273326727154</v>
      </c>
      <c r="T93" s="363">
        <f>INPUT!T906</f>
        <v>5.7440120484424755</v>
      </c>
      <c r="U93" s="346">
        <f>INPUT!U906</f>
        <v>-5.5480866384976402</v>
      </c>
      <c r="V93" s="363">
        <f>INPUT!V906</f>
        <v>5.8669969704794021</v>
      </c>
      <c r="W93" s="346">
        <f>INPUT!W906</f>
        <v>-9.6529282739962863</v>
      </c>
      <c r="X93" s="363">
        <f>INPUT!X906</f>
        <v>6.004889984399826</v>
      </c>
      <c r="Y93" s="346">
        <f>INPUT!Y906</f>
        <v>-6.3471906635570345</v>
      </c>
      <c r="Z93" s="363">
        <f>INPUT!Z906</f>
        <v>6.2643533396835132</v>
      </c>
      <c r="AA93" s="346">
        <f>INPUT!AA906</f>
        <v>3.3135765597376965</v>
      </c>
      <c r="AB93" s="363">
        <f>INPUT!AB906</f>
        <v>6.5184279062426009</v>
      </c>
      <c r="AC93" s="346">
        <f>INPUT!AC906</f>
        <v>13.4821419465879</v>
      </c>
      <c r="AD93" s="363">
        <f>INPUT!AD906</f>
        <v>6.5264609872859927</v>
      </c>
      <c r="AE93" s="346">
        <f>INPUT!AE906</f>
        <v>11.24023107775194</v>
      </c>
      <c r="AF93" s="363">
        <f>INPUT!AF906</f>
        <v>7.1150355593139221</v>
      </c>
      <c r="AG93" s="346">
        <f>INPUT!AG906</f>
        <v>18.487359098970281</v>
      </c>
      <c r="AH93" s="363">
        <f>INPUT!AH906</f>
        <v>7.0491375237636174</v>
      </c>
      <c r="AI93" s="346">
        <f>INPUT!AI906</f>
        <v>12.52777647628276</v>
      </c>
      <c r="AJ93" s="363">
        <f>INPUT!AJ906</f>
        <v>6.5563887475390032</v>
      </c>
      <c r="AK93" s="346">
        <f>INPUT!AK906</f>
        <v>0.58236191060805353</v>
      </c>
      <c r="AL93" s="363">
        <f>INPUT!AL906</f>
        <v>6.5319471522263157</v>
      </c>
      <c r="AM93" s="346">
        <f>INPUT!AM906</f>
        <v>8.4060334552082949E-2</v>
      </c>
      <c r="AN93" s="363">
        <f>INPUT!AN906</f>
        <v>6.156162485521163</v>
      </c>
      <c r="AO93" s="346">
        <f>INPUT!AO906</f>
        <v>-13.476715130925076</v>
      </c>
      <c r="AP93" s="363">
        <f>INPUT!AP906</f>
        <v>6.7573736832833573</v>
      </c>
      <c r="AQ93" s="346">
        <f>INPUT!AQ906</f>
        <v>-4.1390005443457945</v>
      </c>
      <c r="AR93" s="363">
        <f>INPUT!AR906</f>
        <v>7.0664871447511084</v>
      </c>
      <c r="AS93" s="346">
        <f>INPUT!AS906</f>
        <v>7.7801731540640517</v>
      </c>
      <c r="AT93" s="363">
        <f>INPUT!AT906</f>
        <v>6.9553778161595661</v>
      </c>
      <c r="AU93" s="346">
        <f>INPUT!AU906</f>
        <v>6.4824569774562635</v>
      </c>
      <c r="AV93" s="363">
        <f>INPUT!AV906</f>
        <v>6.0435993053430357</v>
      </c>
      <c r="AW93" s="346">
        <f>INPUT!AW906</f>
        <v>-1.8284634371309672</v>
      </c>
      <c r="AX93" s="363">
        <f>INPUT!AX906</f>
        <v>5.9300174673413162</v>
      </c>
      <c r="AY93" s="346">
        <f>INPUT!AY906</f>
        <v>-12.243754078434133</v>
      </c>
      <c r="AZ93" s="363">
        <f>INPUT!AZ906</f>
        <v>6.0641058072356895</v>
      </c>
      <c r="BA93" s="346">
        <f>INPUT!BA906</f>
        <v>-14.185001925036744</v>
      </c>
      <c r="BB93" s="363">
        <f>INPUT!BB906</f>
        <v>6.0145520034115636</v>
      </c>
      <c r="BC93" s="346">
        <f>INPUT!BC906</f>
        <v>-13.526595357079863</v>
      </c>
      <c r="BD93" s="363">
        <f>INPUT!BD906</f>
        <v>4.4977800945482</v>
      </c>
      <c r="BE93" s="346">
        <f>INPUT!BE906</f>
        <v>-25.577791191884693</v>
      </c>
      <c r="BF93" s="347"/>
      <c r="BG93" s="363">
        <f>INPUT!BU906</f>
        <v>6.0685415733339614</v>
      </c>
      <c r="BH93" s="364" t="str">
        <f>INPUT!BV906</f>
        <v>NA</v>
      </c>
      <c r="BI93" s="363">
        <f>INPUT!BW906</f>
        <v>6.4118631645395316</v>
      </c>
      <c r="BJ93" s="364">
        <f>INPUT!BX906</f>
        <v>5.6573986856112812</v>
      </c>
      <c r="BK93" s="363">
        <f>INPUT!BY906</f>
        <v>6.004889984399826</v>
      </c>
      <c r="BL93" s="364">
        <f>INPUT!BZ906</f>
        <v>-6.3471906635570345</v>
      </c>
      <c r="BM93" s="363">
        <f>INPUT!CA906</f>
        <v>7.1150355593139221</v>
      </c>
      <c r="BN93" s="364">
        <f>INPUT!CB906</f>
        <v>18.487359098970281</v>
      </c>
      <c r="BO93" s="363">
        <f>INPUT!CC906</f>
        <v>6.156162485521163</v>
      </c>
      <c r="BP93" s="364">
        <f>INPUT!CD906</f>
        <v>-13.476715130925076</v>
      </c>
      <c r="BQ93" s="363">
        <f>INPUT!CE906</f>
        <v>8.5319716671175208</v>
      </c>
      <c r="BR93" s="364">
        <f>INPUT!CF906</f>
        <v>38.592372881386481</v>
      </c>
      <c r="BS93" s="363">
        <f>INPUT!CG906</f>
        <v>6.1224614631759238</v>
      </c>
      <c r="BT93" s="364">
        <f>INPUT!CH906</f>
        <v>-28.240954118822536</v>
      </c>
      <c r="BU93" s="363">
        <f>INPUT!CI906</f>
        <v>5.402828172981752</v>
      </c>
      <c r="BV93" s="364">
        <f>INPUT!CJ906</f>
        <v>-11.753986440298048</v>
      </c>
      <c r="BW93" s="363">
        <f>INPUT!CK906</f>
        <v>5.4625966562486878</v>
      </c>
      <c r="BX93" s="364">
        <f>INPUT!CL906</f>
        <v>1.1062443844841008</v>
      </c>
      <c r="BY93" s="363">
        <f>INPUT!CM906</f>
        <v>5.5408961477739664</v>
      </c>
      <c r="BZ93" s="364">
        <f>INPUT!CN906</f>
        <v>1.4333749396582496</v>
      </c>
      <c r="CA93" s="363">
        <f>INPUT!CO906</f>
        <v>5.6365923556567177</v>
      </c>
      <c r="CB93" s="364">
        <f>INPUT!CP906</f>
        <v>1.7270890002368366</v>
      </c>
      <c r="CC93" s="363">
        <f>INPUT!CQ906</f>
        <v>5.7488781867662277</v>
      </c>
      <c r="CD93" s="364">
        <f>INPUT!CR906</f>
        <v>1.9920871339369262</v>
      </c>
      <c r="CE93" s="346">
        <f>INPUT!CS906</f>
        <v>-1.251294933303615</v>
      </c>
    </row>
    <row r="94" spans="1:83" s="331" customFormat="1" x14ac:dyDescent="0.2">
      <c r="A94" s="377" t="str">
        <f>INPUT!A907</f>
        <v>Oper Return on Avg Assets (%)</v>
      </c>
      <c r="B94" s="363">
        <f>INPUT!B907</f>
        <v>0.31352757907061723</v>
      </c>
      <c r="C94" s="346"/>
      <c r="D94" s="363">
        <f>INPUT!D907</f>
        <v>0.3772861205015498</v>
      </c>
      <c r="E94" s="346"/>
      <c r="F94" s="363">
        <f>INPUT!F907</f>
        <v>0.39341344382895416</v>
      </c>
      <c r="G94" s="346"/>
      <c r="H94" s="363">
        <f>INPUT!H907</f>
        <v>0.33845159881483516</v>
      </c>
      <c r="I94" s="346"/>
      <c r="J94" s="363">
        <f>INPUT!J907</f>
        <v>0.30186262392701357</v>
      </c>
      <c r="K94" s="346">
        <f>INPUT!K907</f>
        <v>-3.7205515311226622</v>
      </c>
      <c r="L94" s="363">
        <f>INPUT!L907</f>
        <v>0.24582694935337646</v>
      </c>
      <c r="M94" s="346">
        <f>INPUT!M907</f>
        <v>-34.843362637728767</v>
      </c>
      <c r="N94" s="363">
        <f>INPUT!N907</f>
        <v>0.33014422793236953</v>
      </c>
      <c r="O94" s="346">
        <f>INPUT!O907</f>
        <v>-16.082118414868518</v>
      </c>
      <c r="P94" s="363">
        <f>INPUT!P907</f>
        <v>0.25183927350554414</v>
      </c>
      <c r="Q94" s="346">
        <f>INPUT!Q907</f>
        <v>-25.590756732301955</v>
      </c>
      <c r="R94" s="363">
        <f>INPUT!R907</f>
        <v>0.30500118697972445</v>
      </c>
      <c r="S94" s="346">
        <f>INPUT!S907</f>
        <v>1.039732250346348</v>
      </c>
      <c r="T94" s="363">
        <f>INPUT!T907</f>
        <v>0.32294191315227966</v>
      </c>
      <c r="U94" s="346">
        <f>INPUT!U907</f>
        <v>31.36961346253797</v>
      </c>
      <c r="V94" s="363">
        <f>INPUT!V907</f>
        <v>0.52050028784560132</v>
      </c>
      <c r="W94" s="346">
        <f>INPUT!W907</f>
        <v>57.658454641292863</v>
      </c>
      <c r="X94" s="363">
        <f>INPUT!X907</f>
        <v>0.36141947208156061</v>
      </c>
      <c r="Y94" s="346">
        <f>INPUT!Y907</f>
        <v>43.511957865302577</v>
      </c>
      <c r="Z94" s="363">
        <f>INPUT!Z907</f>
        <v>0.27033258880818783</v>
      </c>
      <c r="AA94" s="346">
        <f>INPUT!AA907</f>
        <v>-11.36670926262372</v>
      </c>
      <c r="AB94" s="363">
        <f>INPUT!AB907</f>
        <v>0.37791911090777952</v>
      </c>
      <c r="AC94" s="346">
        <f>INPUT!AC907</f>
        <v>17.02386575308854</v>
      </c>
      <c r="AD94" s="363">
        <f>INPUT!AD907</f>
        <v>0.33840441856856313</v>
      </c>
      <c r="AE94" s="346">
        <f>INPUT!AE907</f>
        <v>-34.984777824187141</v>
      </c>
      <c r="AF94" s="363">
        <f>INPUT!AF907</f>
        <v>0.43445259615565712</v>
      </c>
      <c r="AG94" s="346">
        <f>INPUT!AG907</f>
        <v>20.207301962306911</v>
      </c>
      <c r="AH94" s="363">
        <f>INPUT!AH907</f>
        <v>0.3456393833369924</v>
      </c>
      <c r="AI94" s="346">
        <f>INPUT!AI907</f>
        <v>27.857090726948151</v>
      </c>
      <c r="AJ94" s="363">
        <f>INPUT!AJ907</f>
        <v>0.31342478694028292</v>
      </c>
      <c r="AK94" s="346">
        <f>INPUT!AK907</f>
        <v>-17.065642383783718</v>
      </c>
      <c r="AL94" s="363">
        <f>INPUT!AL907</f>
        <v>0.16748937729776742</v>
      </c>
      <c r="AM94" s="346" t="str">
        <f>INPUT!AM907</f>
        <v>NM</v>
      </c>
      <c r="AN94" s="363">
        <f>INPUT!AN907</f>
        <v>0.35892281412886462</v>
      </c>
      <c r="AO94" s="346">
        <f>INPUT!AO907</f>
        <v>-17.385045617205019</v>
      </c>
      <c r="AP94" s="363">
        <f>INPUT!AP907</f>
        <v>0.109742044842273</v>
      </c>
      <c r="AQ94" s="346" t="str">
        <f>INPUT!AQ907</f>
        <v>NM</v>
      </c>
      <c r="AR94" s="363">
        <f>INPUT!AR907</f>
        <v>0.16468667774970527</v>
      </c>
      <c r="AS94" s="346">
        <f>INPUT!AS907</f>
        <v>-47.455758251473846</v>
      </c>
      <c r="AT94" s="363">
        <f>INPUT!AT907</f>
        <v>-4.6073377067725831E-2</v>
      </c>
      <c r="AU94" s="346" t="str">
        <f>INPUT!AU907</f>
        <v>NM</v>
      </c>
      <c r="AV94" s="363">
        <f>INPUT!AV907</f>
        <v>0.18767497442548409</v>
      </c>
      <c r="AW94" s="346">
        <f>INPUT!AW907</f>
        <v>-47.711606217903203</v>
      </c>
      <c r="AX94" s="363">
        <f>INPUT!AX907</f>
        <v>0.18293127704013265</v>
      </c>
      <c r="AY94" s="346">
        <f>INPUT!AY907</f>
        <v>66.692061646063763</v>
      </c>
      <c r="AZ94" s="363">
        <f>INPUT!AZ907</f>
        <v>0.13302672829848364</v>
      </c>
      <c r="BA94" s="346">
        <f>INPUT!BA907</f>
        <v>-19.224353714475427</v>
      </c>
      <c r="BB94" s="363">
        <f>INPUT!BB907</f>
        <v>5.1336603739999383E-2</v>
      </c>
      <c r="BC94" s="346" t="str">
        <f>INPUT!BC907</f>
        <v>NM</v>
      </c>
      <c r="BD94" s="363">
        <f>INPUT!BD907</f>
        <v>0.2825739536506105</v>
      </c>
      <c r="BE94" s="346">
        <f>INPUT!BE907</f>
        <v>50.565601255912696</v>
      </c>
      <c r="BF94" s="347"/>
      <c r="BG94" s="363">
        <f>INPUT!BU907</f>
        <v>1.4303373545188733</v>
      </c>
      <c r="BH94" s="364" t="str">
        <f>INPUT!BV907</f>
        <v>NA</v>
      </c>
      <c r="BI94" s="363">
        <f>INPUT!BW907</f>
        <v>1.1362473718173105</v>
      </c>
      <c r="BJ94" s="364">
        <f>INPUT!BX907</f>
        <v>-20.560882491982934</v>
      </c>
      <c r="BK94" s="363">
        <f>INPUT!BY907</f>
        <v>1.5080607218642879</v>
      </c>
      <c r="BL94" s="364">
        <f>INPUT!BZ907</f>
        <v>32.722922778012695</v>
      </c>
      <c r="BM94" s="363">
        <f>INPUT!CA907</f>
        <v>1.4286380808382295</v>
      </c>
      <c r="BN94" s="364">
        <f>INPUT!CB907</f>
        <v>-5.2665413185667198</v>
      </c>
      <c r="BO94" s="363">
        <f>INPUT!CC907</f>
        <v>1.1946045231561233</v>
      </c>
      <c r="BP94" s="364">
        <f>INPUT!CD907</f>
        <v>-16.381584728918252</v>
      </c>
      <c r="BQ94" s="363">
        <f>INPUT!CE907</f>
        <v>0.48505207889177582</v>
      </c>
      <c r="BR94" s="364" t="str">
        <f>INPUT!CF907</f>
        <v>NM</v>
      </c>
      <c r="BS94" s="363">
        <f>INPUT!CG907</f>
        <v>0.90975718815036677</v>
      </c>
      <c r="BT94" s="364">
        <f>INPUT!CH907</f>
        <v>87.558661789253065</v>
      </c>
      <c r="BU94" s="363">
        <f>INPUT!CI907</f>
        <v>1.6711055971978295</v>
      </c>
      <c r="BV94" s="364">
        <f>INPUT!CJ907</f>
        <v>83.686990217177069</v>
      </c>
      <c r="BW94" s="363">
        <f>INPUT!CK907</f>
        <v>1.8368522339064806</v>
      </c>
      <c r="BX94" s="364">
        <f>INPUT!CL907</f>
        <v>9.9183819973184928</v>
      </c>
      <c r="BY94" s="363">
        <f>INPUT!CM907</f>
        <v>1.9019492661572392</v>
      </c>
      <c r="BZ94" s="364">
        <f>INPUT!CN907</f>
        <v>3.5439449646047505</v>
      </c>
      <c r="CA94" s="363">
        <f>INPUT!CO907</f>
        <v>1.9633520792479837</v>
      </c>
      <c r="CB94" s="364">
        <f>INPUT!CP907</f>
        <v>3.2284148785316935</v>
      </c>
      <c r="CC94" s="363">
        <f>INPUT!CQ907</f>
        <v>2.0223007256175114</v>
      </c>
      <c r="CD94" s="364">
        <f>INPUT!CR907</f>
        <v>3.002449076383007</v>
      </c>
      <c r="CE94" s="346">
        <f>INPUT!CS907</f>
        <v>17.323240118851778</v>
      </c>
    </row>
    <row r="95" spans="1:83" s="331" customFormat="1" x14ac:dyDescent="0.2">
      <c r="A95" s="377" t="str">
        <f>INPUT!A908</f>
        <v>Book Value per Share</v>
      </c>
      <c r="B95" s="365">
        <f>INPUT!B908</f>
        <v>31.095652173913045</v>
      </c>
      <c r="C95" s="346"/>
      <c r="D95" s="365">
        <f>INPUT!D908</f>
        <v>45.084782608695647</v>
      </c>
      <c r="E95" s="346"/>
      <c r="F95" s="365">
        <f>INPUT!F908</f>
        <v>53.853913043478265</v>
      </c>
      <c r="G95" s="346"/>
      <c r="H95" s="365">
        <f>INPUT!H908</f>
        <v>53.712608695652172</v>
      </c>
      <c r="I95" s="346"/>
      <c r="J95" s="365">
        <f>INPUT!J908</f>
        <v>51.434347826086963</v>
      </c>
      <c r="K95" s="346">
        <f>INPUT!K908</f>
        <v>65.406879194630889</v>
      </c>
      <c r="L95" s="365">
        <f>INPUT!L908</f>
        <v>55.833913043478255</v>
      </c>
      <c r="M95" s="346">
        <f>INPUT!M908</f>
        <v>23.842036742369444</v>
      </c>
      <c r="N95" s="365">
        <f>INPUT!N908</f>
        <v>60.480434782608697</v>
      </c>
      <c r="O95" s="346">
        <f>INPUT!O908</f>
        <v>12.304624426790678</v>
      </c>
      <c r="P95" s="365">
        <f>INPUT!P908</f>
        <v>60.325652173913049</v>
      </c>
      <c r="Q95" s="346">
        <f>INPUT!Q908</f>
        <v>12.311901504787981</v>
      </c>
      <c r="R95" s="365">
        <f>INPUT!R908</f>
        <v>58.20215237262731</v>
      </c>
      <c r="S95" s="346">
        <f>INPUT!S908</f>
        <v>13.15814204434762</v>
      </c>
      <c r="T95" s="365">
        <f>INPUT!T908</f>
        <v>47.820552147239255</v>
      </c>
      <c r="U95" s="346">
        <f>INPUT!U908</f>
        <v>-14.352139155998145</v>
      </c>
      <c r="V95" s="365">
        <f>INPUT!V908</f>
        <v>48.964723926380366</v>
      </c>
      <c r="W95" s="346">
        <f>INPUT!W908</f>
        <v>-19.040390330559763</v>
      </c>
      <c r="X95" s="365">
        <f>INPUT!X908</f>
        <v>50.715322888803975</v>
      </c>
      <c r="Y95" s="346">
        <f>INPUT!Y908</f>
        <v>-15.930750748294308</v>
      </c>
      <c r="Z95" s="365">
        <f>INPUT!Z908</f>
        <v>54.97251668629761</v>
      </c>
      <c r="AA95" s="346">
        <f>INPUT!AA908</f>
        <v>-5.5489969952530638</v>
      </c>
      <c r="AB95" s="365">
        <f>INPUT!AB908</f>
        <v>58.393951296150831</v>
      </c>
      <c r="AC95" s="346">
        <f>INPUT!AC908</f>
        <v>22.110575211168904</v>
      </c>
      <c r="AD95" s="365">
        <f>INPUT!AD908</f>
        <v>59.411931818181827</v>
      </c>
      <c r="AE95" s="346">
        <f>INPUT!AE908</f>
        <v>21.336192781376838</v>
      </c>
      <c r="AF95" s="365">
        <f>INPUT!AF908</f>
        <v>66.747416287722189</v>
      </c>
      <c r="AG95" s="346">
        <f>INPUT!AG908</f>
        <v>31.611932027070843</v>
      </c>
      <c r="AH95" s="365">
        <f>INPUT!AH908</f>
        <v>70.499563318777305</v>
      </c>
      <c r="AI95" s="346">
        <f>INPUT!AI908</f>
        <v>28.24510786196177</v>
      </c>
      <c r="AJ95" s="365">
        <f>INPUT!AJ908</f>
        <v>65.646486964206801</v>
      </c>
      <c r="AK95" s="346">
        <f>INPUT!AK908</f>
        <v>12.420011845531743</v>
      </c>
      <c r="AL95" s="365">
        <f>INPUT!AL908</f>
        <v>66.354389224338135</v>
      </c>
      <c r="AM95" s="346">
        <f>INPUT!AM908</f>
        <v>11.685291478826665</v>
      </c>
      <c r="AN95" s="365">
        <f>INPUT!AN908</f>
        <v>64.255380200860827</v>
      </c>
      <c r="AO95" s="346">
        <f>INPUT!AO908</f>
        <v>-3.7335319109868759</v>
      </c>
      <c r="AP95" s="365">
        <f>INPUT!AP908</f>
        <v>70.88872549019608</v>
      </c>
      <c r="AQ95" s="346">
        <f>INPUT!AQ908</f>
        <v>0.55200649918794031</v>
      </c>
      <c r="AR95" s="365">
        <f>INPUT!AR908</f>
        <v>76.617882117882132</v>
      </c>
      <c r="AS95" s="346">
        <f>INPUT!AS908</f>
        <v>16.71284429836648</v>
      </c>
      <c r="AT95" s="365">
        <f>INPUT!AT908</f>
        <v>78.139773895169569</v>
      </c>
      <c r="AU95" s="346">
        <f>INPUT!AU908</f>
        <v>17.761273683020605</v>
      </c>
      <c r="AV95" s="365">
        <f>INPUT!AV908</f>
        <v>66.775436793422401</v>
      </c>
      <c r="AW95" s="346">
        <f>INPUT!AW908</f>
        <v>3.9219386527383993</v>
      </c>
      <c r="AX95" s="365">
        <f>INPUT!AX908</f>
        <v>67.880463401790408</v>
      </c>
      <c r="AY95" s="346">
        <f>INPUT!AY908</f>
        <v>-4.2436396868521964</v>
      </c>
      <c r="AZ95" s="365">
        <f>INPUT!AZ908</f>
        <v>74.304396215915418</v>
      </c>
      <c r="BA95" s="346">
        <f>INPUT!BA908</f>
        <v>-3.0195116831958968</v>
      </c>
      <c r="BB95" s="365">
        <f>INPUT!BB908</f>
        <v>75.974401780745708</v>
      </c>
      <c r="BC95" s="346">
        <f>INPUT!BC908</f>
        <v>-2.771152265335286</v>
      </c>
      <c r="BD95" s="365">
        <f>INPUT!BD908</f>
        <v>58.191860465116278</v>
      </c>
      <c r="BE95" s="346">
        <f>INPUT!BE908</f>
        <v>-12.854391884938799</v>
      </c>
      <c r="BF95" s="347"/>
      <c r="BG95" s="365">
        <f>INPUT!BU908</f>
        <v>53.712608695652172</v>
      </c>
      <c r="BH95" s="364" t="str">
        <f>INPUT!BV908</f>
        <v>NA</v>
      </c>
      <c r="BI95" s="365">
        <f>INPUT!BW908</f>
        <v>60.325652173913049</v>
      </c>
      <c r="BJ95" s="364">
        <f>INPUT!BX908</f>
        <v>12.311901504787981</v>
      </c>
      <c r="BK95" s="365">
        <f>INPUT!BY908</f>
        <v>50.715322888803975</v>
      </c>
      <c r="BL95" s="364">
        <f>INPUT!BZ908</f>
        <v>-15.930750748294308</v>
      </c>
      <c r="BM95" s="365">
        <f>INPUT!CA908</f>
        <v>66.747416287722189</v>
      </c>
      <c r="BN95" s="364">
        <f>INPUT!CB908</f>
        <v>31.611932027070843</v>
      </c>
      <c r="BO95" s="365">
        <f>INPUT!CC908</f>
        <v>64.255380200860827</v>
      </c>
      <c r="BP95" s="364">
        <f>INPUT!CD908</f>
        <v>-3.7335319109868759</v>
      </c>
      <c r="BQ95" s="365">
        <f>INPUT!CE908</f>
        <v>66.775436793422401</v>
      </c>
      <c r="BR95" s="364">
        <f>INPUT!CF908</f>
        <v>3.9219386527383993</v>
      </c>
      <c r="BS95" s="365">
        <f>INPUT!CG908</f>
        <v>58.191860465116278</v>
      </c>
      <c r="BT95" s="364">
        <f>INPUT!CH908</f>
        <v>-12.854391884938799</v>
      </c>
      <c r="BU95" s="365">
        <f>INPUT!CI908</f>
        <v>61.014922070610311</v>
      </c>
      <c r="BV95" s="364">
        <f>INPUT!CJ908</f>
        <v>4.8512997916372536</v>
      </c>
      <c r="BW95" s="365">
        <f>INPUT!CK908</f>
        <v>66.98230827481845</v>
      </c>
      <c r="BX95" s="364">
        <f>INPUT!CL908</f>
        <v>9.7802078601400222</v>
      </c>
      <c r="BY95" s="365">
        <f>INPUT!CM908</f>
        <v>73.744815710712786</v>
      </c>
      <c r="BZ95" s="364">
        <f>INPUT!CN908</f>
        <v>10.095960575363838</v>
      </c>
      <c r="CA95" s="365">
        <f>INPUT!CO908</f>
        <v>81.394018684011968</v>
      </c>
      <c r="CB95" s="364">
        <f>INPUT!CP908</f>
        <v>10.372529783389229</v>
      </c>
      <c r="CC95" s="365">
        <f>INPUT!CQ908</f>
        <v>90.033906946700711</v>
      </c>
      <c r="CD95" s="364">
        <f>INPUT!CR908</f>
        <v>10.61489333292478</v>
      </c>
      <c r="CE95" s="346">
        <f>INPUT!CS908</f>
        <v>9.1211089330840203</v>
      </c>
    </row>
    <row r="96" spans="1:83" s="331" customFormat="1" x14ac:dyDescent="0.2">
      <c r="A96" s="377"/>
      <c r="B96" s="345"/>
      <c r="C96" s="346"/>
      <c r="D96" s="345"/>
      <c r="E96" s="346"/>
      <c r="F96" s="345"/>
      <c r="G96" s="346"/>
      <c r="H96" s="345"/>
      <c r="I96" s="346"/>
      <c r="J96" s="345"/>
      <c r="K96" s="346"/>
      <c r="L96" s="345"/>
      <c r="M96" s="346"/>
      <c r="N96" s="345"/>
      <c r="O96" s="346"/>
      <c r="P96" s="345"/>
      <c r="Q96" s="346"/>
      <c r="R96" s="345"/>
      <c r="S96" s="346"/>
      <c r="T96" s="345"/>
      <c r="U96" s="346"/>
      <c r="V96" s="345"/>
      <c r="W96" s="346"/>
      <c r="X96" s="345"/>
      <c r="Y96" s="346"/>
      <c r="Z96" s="345"/>
      <c r="AA96" s="346"/>
      <c r="AB96" s="345"/>
      <c r="AC96" s="346"/>
      <c r="AD96" s="345"/>
      <c r="AE96" s="346"/>
      <c r="AF96" s="345"/>
      <c r="AG96" s="346"/>
      <c r="AH96" s="345"/>
      <c r="AI96" s="346"/>
      <c r="AJ96" s="345"/>
      <c r="AK96" s="346"/>
      <c r="AL96" s="345"/>
      <c r="AM96" s="346"/>
      <c r="AN96" s="345"/>
      <c r="AO96" s="346"/>
      <c r="AP96" s="345"/>
      <c r="AQ96" s="346"/>
      <c r="AR96" s="345"/>
      <c r="AS96" s="346"/>
      <c r="AT96" s="345"/>
      <c r="AU96" s="346"/>
      <c r="AV96" s="345"/>
      <c r="AW96" s="346"/>
      <c r="AX96" s="345"/>
      <c r="AY96" s="346"/>
      <c r="AZ96" s="345"/>
      <c r="BA96" s="346"/>
      <c r="BB96" s="345"/>
      <c r="BC96" s="346"/>
      <c r="BD96" s="345"/>
      <c r="BE96" s="346"/>
      <c r="BF96" s="347"/>
      <c r="BG96" s="345"/>
      <c r="BH96" s="346"/>
      <c r="BI96" s="345"/>
      <c r="BJ96" s="346"/>
      <c r="BK96" s="345"/>
      <c r="BL96" s="346"/>
      <c r="BM96" s="345"/>
      <c r="BN96" s="346"/>
      <c r="BO96" s="345"/>
      <c r="BP96" s="346"/>
      <c r="BQ96" s="345"/>
      <c r="BR96" s="346"/>
      <c r="BS96" s="345"/>
      <c r="BT96" s="346"/>
      <c r="BU96" s="345"/>
      <c r="BV96" s="346"/>
      <c r="BW96" s="345"/>
      <c r="BX96" s="346"/>
      <c r="BY96" s="345"/>
      <c r="BZ96" s="346"/>
      <c r="CA96" s="345"/>
      <c r="CB96" s="346"/>
      <c r="CC96" s="345"/>
      <c r="CD96" s="346"/>
      <c r="CE96" s="346"/>
    </row>
    <row r="97" spans="1:139" s="380" customFormat="1" ht="12" customHeight="1" x14ac:dyDescent="0.2">
      <c r="A97" s="295" t="s">
        <v>253</v>
      </c>
      <c r="B97" s="379"/>
      <c r="C97" s="339"/>
      <c r="D97" s="339"/>
      <c r="E97" s="339"/>
      <c r="F97" s="379"/>
      <c r="G97" s="339"/>
      <c r="H97" s="339"/>
      <c r="I97" s="339"/>
      <c r="J97" s="379"/>
      <c r="K97" s="339"/>
      <c r="L97" s="379"/>
      <c r="M97" s="339"/>
      <c r="N97" s="379"/>
      <c r="O97" s="339"/>
      <c r="P97" s="379"/>
      <c r="Q97" s="339"/>
      <c r="R97" s="379"/>
      <c r="S97" s="339"/>
      <c r="T97" s="379"/>
      <c r="U97" s="339"/>
      <c r="V97" s="379"/>
      <c r="W97" s="339"/>
      <c r="X97" s="379"/>
      <c r="Y97" s="339"/>
      <c r="Z97" s="379"/>
      <c r="AA97" s="339"/>
      <c r="AB97" s="379"/>
      <c r="AC97" s="339"/>
      <c r="AD97" s="379"/>
      <c r="AE97" s="339"/>
      <c r="AF97" s="379"/>
      <c r="AG97" s="339"/>
      <c r="AH97" s="379"/>
      <c r="AI97" s="339"/>
      <c r="AJ97" s="379"/>
      <c r="AK97" s="339"/>
      <c r="AL97" s="379"/>
      <c r="AM97" s="339"/>
      <c r="AN97" s="379"/>
      <c r="AO97" s="339"/>
      <c r="AP97" s="379"/>
      <c r="AQ97" s="339"/>
      <c r="AR97" s="379"/>
      <c r="AS97" s="339"/>
      <c r="AT97" s="379"/>
      <c r="AU97" s="339"/>
      <c r="AV97" s="379"/>
      <c r="AW97" s="339"/>
      <c r="AX97" s="379"/>
      <c r="AY97" s="339"/>
      <c r="AZ97" s="379"/>
      <c r="BA97" s="339"/>
      <c r="BB97" s="379"/>
      <c r="BC97" s="339"/>
      <c r="BD97" s="379"/>
      <c r="BE97" s="339"/>
      <c r="BF97" s="379"/>
      <c r="BG97" s="339"/>
      <c r="BH97" s="379"/>
      <c r="BI97" s="339"/>
      <c r="BJ97" s="379"/>
      <c r="BK97" s="339"/>
      <c r="BL97" s="379"/>
      <c r="BM97" s="339"/>
      <c r="BN97" s="379"/>
      <c r="BO97" s="339"/>
      <c r="BP97" s="379"/>
      <c r="BQ97" s="339"/>
      <c r="BR97" s="379"/>
      <c r="BS97" s="339"/>
      <c r="BT97" s="379"/>
      <c r="BU97" s="339"/>
      <c r="BV97" s="379"/>
      <c r="BW97" s="339"/>
      <c r="BX97" s="379"/>
      <c r="BY97" s="339"/>
      <c r="BZ97" s="379"/>
      <c r="CA97" s="339"/>
      <c r="CB97" s="379"/>
      <c r="CC97" s="339"/>
      <c r="CD97" s="379"/>
      <c r="CE97" s="339"/>
      <c r="CF97" s="379"/>
      <c r="CG97" s="339"/>
      <c r="CH97" s="379"/>
      <c r="CI97" s="339"/>
      <c r="CJ97" s="379"/>
      <c r="CK97" s="339"/>
      <c r="CL97" s="379"/>
      <c r="CM97" s="339"/>
      <c r="CN97" s="379"/>
      <c r="CO97" s="339"/>
      <c r="CP97" s="379"/>
      <c r="CQ97" s="339"/>
      <c r="CR97" s="379"/>
      <c r="CS97" s="339"/>
      <c r="CT97" s="379"/>
      <c r="CU97" s="339"/>
      <c r="CV97" s="379"/>
      <c r="CW97" s="339"/>
      <c r="CX97" s="379"/>
      <c r="CY97" s="339"/>
      <c r="CZ97" s="379"/>
      <c r="DA97" s="339"/>
      <c r="DB97" s="379"/>
      <c r="DC97" s="339"/>
      <c r="DD97" s="379"/>
      <c r="DE97" s="339"/>
      <c r="DF97" s="379"/>
      <c r="DG97" s="339"/>
      <c r="DH97" s="369"/>
      <c r="DI97" s="379"/>
      <c r="DJ97" s="339"/>
      <c r="DK97" s="379"/>
      <c r="DL97" s="339"/>
      <c r="DM97" s="379"/>
      <c r="DN97" s="339"/>
      <c r="DO97" s="379"/>
      <c r="DP97" s="339"/>
      <c r="DQ97" s="379"/>
      <c r="DR97" s="339"/>
      <c r="DS97" s="379"/>
      <c r="DT97" s="339"/>
      <c r="DU97" s="379"/>
      <c r="DV97" s="339"/>
      <c r="DW97" s="379"/>
      <c r="DX97" s="339"/>
      <c r="DY97" s="379"/>
      <c r="DZ97" s="339"/>
      <c r="EA97" s="379"/>
      <c r="EB97" s="339"/>
      <c r="EC97" s="379"/>
      <c r="ED97" s="339"/>
      <c r="EE97" s="379"/>
      <c r="EF97" s="339"/>
      <c r="EG97" s="379"/>
      <c r="EH97" s="339"/>
      <c r="EI97" s="339"/>
    </row>
    <row r="98" spans="1:139" s="380" customFormat="1" ht="12" customHeight="1" x14ac:dyDescent="0.2">
      <c r="A98" s="295" t="s">
        <v>258</v>
      </c>
      <c r="B98" s="379"/>
      <c r="C98" s="339"/>
      <c r="D98" s="339"/>
      <c r="E98" s="339"/>
      <c r="F98" s="379"/>
      <c r="G98" s="339"/>
      <c r="H98" s="339"/>
      <c r="I98" s="339"/>
      <c r="J98" s="379"/>
      <c r="K98" s="339"/>
      <c r="L98" s="379"/>
      <c r="M98" s="339"/>
      <c r="N98" s="379"/>
      <c r="O98" s="339"/>
      <c r="P98" s="379"/>
      <c r="Q98" s="339"/>
      <c r="R98" s="379"/>
      <c r="S98" s="339"/>
      <c r="T98" s="379"/>
      <c r="U98" s="339"/>
      <c r="V98" s="379"/>
      <c r="W98" s="339"/>
      <c r="X98" s="379"/>
      <c r="Y98" s="339"/>
      <c r="Z98" s="379"/>
      <c r="AA98" s="339"/>
      <c r="AB98" s="379"/>
      <c r="AC98" s="339"/>
      <c r="AD98" s="379"/>
      <c r="AE98" s="339"/>
      <c r="AF98" s="379"/>
      <c r="AG98" s="339"/>
      <c r="AH98" s="379"/>
      <c r="AI98" s="339"/>
      <c r="AJ98" s="379"/>
      <c r="AK98" s="339"/>
      <c r="AL98" s="379"/>
      <c r="AM98" s="339"/>
      <c r="AN98" s="379"/>
      <c r="AO98" s="339"/>
      <c r="AP98" s="379"/>
      <c r="AQ98" s="339"/>
      <c r="AR98" s="379"/>
      <c r="AS98" s="339"/>
      <c r="AT98" s="379"/>
      <c r="AU98" s="339"/>
      <c r="AV98" s="379"/>
      <c r="AW98" s="339"/>
      <c r="AX98" s="379"/>
      <c r="AY98" s="339"/>
      <c r="AZ98" s="379"/>
      <c r="BA98" s="339"/>
      <c r="BB98" s="379"/>
      <c r="BC98" s="339"/>
      <c r="BD98" s="379"/>
      <c r="BE98" s="339"/>
      <c r="BF98" s="379"/>
      <c r="BG98" s="339"/>
      <c r="BH98" s="379"/>
      <c r="BI98" s="339"/>
      <c r="BJ98" s="379"/>
      <c r="BK98" s="339"/>
      <c r="BL98" s="379"/>
      <c r="BM98" s="339"/>
      <c r="BN98" s="379"/>
      <c r="BO98" s="339"/>
      <c r="BP98" s="379"/>
      <c r="BQ98" s="339"/>
      <c r="BR98" s="379"/>
      <c r="BS98" s="339"/>
      <c r="BT98" s="379"/>
      <c r="BU98" s="339"/>
      <c r="BV98" s="379"/>
      <c r="BW98" s="339"/>
      <c r="BX98" s="379"/>
      <c r="BY98" s="339"/>
      <c r="BZ98" s="379"/>
      <c r="CA98" s="339"/>
      <c r="CB98" s="379"/>
      <c r="CC98" s="339"/>
      <c r="CD98" s="379"/>
      <c r="CE98" s="339"/>
      <c r="CF98" s="379"/>
      <c r="CG98" s="339"/>
      <c r="CH98" s="379"/>
      <c r="CI98" s="339"/>
      <c r="CJ98" s="379"/>
      <c r="CK98" s="339"/>
      <c r="CL98" s="379"/>
      <c r="CM98" s="339"/>
      <c r="CN98" s="379"/>
      <c r="CO98" s="339"/>
      <c r="CP98" s="379"/>
      <c r="CQ98" s="339"/>
      <c r="CR98" s="379"/>
      <c r="CS98" s="339"/>
      <c r="CT98" s="379"/>
      <c r="CU98" s="339"/>
      <c r="CV98" s="379"/>
      <c r="CW98" s="339"/>
      <c r="CX98" s="379"/>
      <c r="CY98" s="339"/>
      <c r="CZ98" s="379"/>
      <c r="DA98" s="339"/>
      <c r="DB98" s="379"/>
      <c r="DC98" s="339"/>
      <c r="DD98" s="379"/>
      <c r="DE98" s="339"/>
      <c r="DF98" s="379"/>
      <c r="DG98" s="339"/>
      <c r="DH98" s="369"/>
      <c r="DI98" s="379"/>
      <c r="DJ98" s="339"/>
      <c r="DK98" s="379"/>
      <c r="DL98" s="339"/>
      <c r="DM98" s="379"/>
      <c r="DN98" s="339"/>
      <c r="DO98" s="379"/>
      <c r="DP98" s="339"/>
      <c r="DQ98" s="379"/>
      <c r="DR98" s="339"/>
      <c r="DS98" s="379"/>
      <c r="DT98" s="339"/>
      <c r="DU98" s="379"/>
      <c r="DV98" s="339"/>
      <c r="DW98" s="379"/>
      <c r="DX98" s="339"/>
      <c r="DY98" s="379"/>
      <c r="DZ98" s="339"/>
      <c r="EA98" s="379"/>
      <c r="EB98" s="339"/>
      <c r="EC98" s="379"/>
      <c r="ED98" s="339"/>
      <c r="EE98" s="379"/>
      <c r="EF98" s="339"/>
      <c r="EG98" s="379"/>
      <c r="EH98" s="339"/>
      <c r="EI98" s="339"/>
    </row>
  </sheetData>
  <phoneticPr fontId="9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H3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4" sqref="G4"/>
    </sheetView>
  </sheetViews>
  <sheetFormatPr defaultRowHeight="12.75" outlineLevelCol="1" x14ac:dyDescent="0.2"/>
  <cols>
    <col min="1" max="1" width="27.5703125" style="51" customWidth="1"/>
    <col min="2" max="2" width="9.140625" style="51" hidden="1" customWidth="1" outlineLevel="1"/>
    <col min="3" max="3" width="9.140625" style="51" hidden="1" customWidth="1" outlineLevel="1" collapsed="1"/>
    <col min="4" max="4" width="9.7109375" style="51" bestFit="1" customWidth="1" collapsed="1"/>
    <col min="5" max="16384" width="9.140625" style="51"/>
  </cols>
  <sheetData>
    <row r="1" spans="1:7" x14ac:dyDescent="0.2">
      <c r="B1" s="654" t="s">
        <v>240</v>
      </c>
      <c r="C1" s="654"/>
      <c r="D1" s="654"/>
      <c r="E1" s="654"/>
      <c r="F1" s="654"/>
      <c r="G1" s="654"/>
    </row>
    <row r="2" spans="1:7" x14ac:dyDescent="0.2">
      <c r="B2" s="53">
        <v>2013</v>
      </c>
      <c r="C2" s="53">
        <v>2014</v>
      </c>
      <c r="D2" s="53">
        <v>2015</v>
      </c>
      <c r="E2" s="53">
        <v>2016</v>
      </c>
      <c r="F2" s="53">
        <v>2017</v>
      </c>
      <c r="G2" s="53">
        <v>2018</v>
      </c>
    </row>
    <row r="4" spans="1:7" x14ac:dyDescent="0.2">
      <c r="A4" s="19" t="s">
        <v>264</v>
      </c>
      <c r="B4" s="223" t="s">
        <v>401</v>
      </c>
      <c r="C4" s="54"/>
      <c r="D4" s="449" t="s">
        <v>488</v>
      </c>
      <c r="E4" s="55" t="s">
        <v>238</v>
      </c>
      <c r="F4" s="55"/>
      <c r="G4" s="446" t="s">
        <v>492</v>
      </c>
    </row>
    <row r="5" spans="1:7" x14ac:dyDescent="0.2">
      <c r="A5" s="19" t="s">
        <v>269</v>
      </c>
      <c r="B5" s="54">
        <v>8.1000000000000003E-2</v>
      </c>
      <c r="C5" s="54"/>
      <c r="D5" s="449"/>
      <c r="E5" s="55" t="s">
        <v>237</v>
      </c>
      <c r="F5" s="55"/>
      <c r="G5" s="446" t="s">
        <v>493</v>
      </c>
    </row>
    <row r="6" spans="1:7" x14ac:dyDescent="0.2">
      <c r="G6" s="403"/>
    </row>
    <row r="7" spans="1:7" x14ac:dyDescent="0.2">
      <c r="A7" s="52" t="s">
        <v>192</v>
      </c>
      <c r="G7" s="403"/>
    </row>
    <row r="8" spans="1:7" x14ac:dyDescent="0.2">
      <c r="A8" s="403" t="s">
        <v>277</v>
      </c>
      <c r="D8" s="449" t="s">
        <v>489</v>
      </c>
      <c r="E8" s="55" t="s">
        <v>237</v>
      </c>
      <c r="F8" s="55"/>
      <c r="G8" s="446" t="s">
        <v>494</v>
      </c>
    </row>
    <row r="9" spans="1:7" x14ac:dyDescent="0.2">
      <c r="G9" s="403"/>
    </row>
    <row r="10" spans="1:7" x14ac:dyDescent="0.2">
      <c r="A10" s="52" t="s">
        <v>193</v>
      </c>
      <c r="F10" s="55"/>
      <c r="G10" s="446"/>
    </row>
    <row r="11" spans="1:7" x14ac:dyDescent="0.2">
      <c r="A11" s="403" t="s">
        <v>277</v>
      </c>
      <c r="E11" s="55" t="s">
        <v>279</v>
      </c>
      <c r="G11" s="446" t="s">
        <v>494</v>
      </c>
    </row>
    <row r="12" spans="1:7" x14ac:dyDescent="0.2">
      <c r="G12" s="403"/>
    </row>
    <row r="13" spans="1:7" x14ac:dyDescent="0.2">
      <c r="A13" s="52" t="s">
        <v>234</v>
      </c>
      <c r="G13" s="403"/>
    </row>
    <row r="14" spans="1:7" x14ac:dyDescent="0.2">
      <c r="A14" s="403" t="s">
        <v>459</v>
      </c>
      <c r="E14" s="404" t="s">
        <v>233</v>
      </c>
      <c r="F14" s="404"/>
      <c r="G14" s="404" t="s">
        <v>495</v>
      </c>
    </row>
    <row r="15" spans="1:7" x14ac:dyDescent="0.2">
      <c r="G15" s="403"/>
    </row>
    <row r="16" spans="1:7" x14ac:dyDescent="0.2">
      <c r="A16" s="52" t="s">
        <v>460</v>
      </c>
      <c r="G16" s="403"/>
    </row>
    <row r="17" spans="1:8" x14ac:dyDescent="0.2">
      <c r="A17" s="403" t="s">
        <v>461</v>
      </c>
      <c r="E17" s="55" t="s">
        <v>235</v>
      </c>
      <c r="F17" s="55"/>
      <c r="G17" s="446" t="s">
        <v>496</v>
      </c>
    </row>
    <row r="18" spans="1:8" x14ac:dyDescent="0.2">
      <c r="G18" s="403"/>
    </row>
    <row r="19" spans="1:8" x14ac:dyDescent="0.2">
      <c r="A19" s="52" t="s">
        <v>195</v>
      </c>
      <c r="G19" s="403"/>
    </row>
    <row r="20" spans="1:8" x14ac:dyDescent="0.2">
      <c r="A20" s="403" t="s">
        <v>461</v>
      </c>
      <c r="E20" s="55" t="s">
        <v>236</v>
      </c>
      <c r="F20" s="55"/>
      <c r="G20" s="446" t="s">
        <v>497</v>
      </c>
    </row>
    <row r="21" spans="1:8" x14ac:dyDescent="0.2">
      <c r="A21" s="403" t="s">
        <v>462</v>
      </c>
      <c r="D21" s="419" t="s">
        <v>482</v>
      </c>
      <c r="E21" s="419" t="s">
        <v>463</v>
      </c>
      <c r="F21" s="579" t="s">
        <v>463</v>
      </c>
      <c r="G21" s="419"/>
    </row>
    <row r="22" spans="1:8" x14ac:dyDescent="0.2">
      <c r="F22" s="403"/>
    </row>
    <row r="23" spans="1:8" x14ac:dyDescent="0.2">
      <c r="F23" s="403"/>
    </row>
    <row r="24" spans="1:8" x14ac:dyDescent="0.2">
      <c r="A24" s="403" t="s">
        <v>466</v>
      </c>
      <c r="D24" s="447" t="s">
        <v>480</v>
      </c>
      <c r="F24" s="403">
        <v>633</v>
      </c>
    </row>
    <row r="25" spans="1:8" x14ac:dyDescent="0.2">
      <c r="A25" s="403" t="s">
        <v>481</v>
      </c>
      <c r="D25" s="448">
        <v>0.32</v>
      </c>
    </row>
    <row r="26" spans="1:8" x14ac:dyDescent="0.2">
      <c r="A26" s="403" t="s">
        <v>468</v>
      </c>
      <c r="H26" s="578">
        <v>0.25</v>
      </c>
    </row>
    <row r="27" spans="1:8" x14ac:dyDescent="0.2">
      <c r="A27" s="403" t="s">
        <v>469</v>
      </c>
      <c r="H27" s="578">
        <v>4.25</v>
      </c>
    </row>
    <row r="28" spans="1:8" x14ac:dyDescent="0.2">
      <c r="A28" s="403" t="s">
        <v>483</v>
      </c>
      <c r="H28" s="578"/>
    </row>
    <row r="30" spans="1:8" x14ac:dyDescent="0.2">
      <c r="A30" s="403" t="s">
        <v>514</v>
      </c>
      <c r="H30" s="403" t="s">
        <v>515</v>
      </c>
    </row>
    <row r="31" spans="1:8" x14ac:dyDescent="0.2">
      <c r="A31" s="403" t="s">
        <v>516</v>
      </c>
      <c r="E31" s="577" t="s">
        <v>517</v>
      </c>
      <c r="F31" s="577" t="s">
        <v>518</v>
      </c>
      <c r="G31" s="577" t="s">
        <v>519</v>
      </c>
    </row>
  </sheetData>
  <mergeCells count="1">
    <mergeCell ref="B1:G1"/>
  </mergeCells>
  <phoneticPr fontId="2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pageSetUpPr fitToPage="1"/>
  </sheetPr>
  <dimension ref="A1:O45"/>
  <sheetViews>
    <sheetView workbookViewId="0">
      <pane xSplit="1" ySplit="3" topLeftCell="B4" activePane="bottomRight" state="frozen"/>
      <selection pane="topRight" activeCell="B1" sqref="B1"/>
      <selection pane="bottomLeft" activeCell="A2" sqref="A2"/>
      <selection pane="bottomRight" activeCell="D32" sqref="D32"/>
    </sheetView>
  </sheetViews>
  <sheetFormatPr defaultRowHeight="12.75" outlineLevelRow="1" x14ac:dyDescent="0.2"/>
  <cols>
    <col min="1" max="1" width="20.7109375" style="232" customWidth="1"/>
    <col min="2" max="2" width="11.140625" style="236" customWidth="1"/>
    <col min="3" max="5" width="8.5703125" style="236" customWidth="1"/>
    <col min="6" max="6" width="9.140625" style="236" customWidth="1"/>
    <col min="7" max="7" width="9.140625" style="422" customWidth="1"/>
    <col min="8" max="19" width="9.140625" style="236"/>
    <col min="20" max="20" width="9.85546875" style="236" bestFit="1" customWidth="1"/>
    <col min="21" max="16384" width="9.140625" style="236"/>
  </cols>
  <sheetData>
    <row r="1" spans="1:15" x14ac:dyDescent="0.2">
      <c r="A1" s="431" t="s">
        <v>424</v>
      </c>
      <c r="B1" s="432">
        <f>taxrate F2016_</f>
        <v>32.000000000000007</v>
      </c>
    </row>
    <row r="2" spans="1:15" x14ac:dyDescent="0.2">
      <c r="A2" s="442"/>
      <c r="B2" s="422"/>
      <c r="C2" s="422"/>
      <c r="D2" s="422"/>
      <c r="E2" s="422"/>
      <c r="F2" s="422"/>
    </row>
    <row r="3" spans="1:15" s="232" customFormat="1" ht="25.5" x14ac:dyDescent="0.2">
      <c r="A3" s="393"/>
      <c r="B3" s="394" t="s">
        <v>531</v>
      </c>
      <c r="C3" s="395" t="s">
        <v>406</v>
      </c>
      <c r="D3" s="395" t="s">
        <v>407</v>
      </c>
      <c r="E3" s="394" t="s">
        <v>498</v>
      </c>
      <c r="F3" s="395"/>
      <c r="G3" s="423"/>
      <c r="H3" s="250" t="s">
        <v>408</v>
      </c>
      <c r="I3" s="250" t="s">
        <v>409</v>
      </c>
      <c r="J3" s="250" t="s">
        <v>410</v>
      </c>
      <c r="K3" s="251" t="s">
        <v>411</v>
      </c>
    </row>
    <row r="4" spans="1:15" x14ac:dyDescent="0.2">
      <c r="A4" s="488" t="s">
        <v>192</v>
      </c>
      <c r="B4" s="489">
        <f>CorePTEarns_Retirement F2018_*(1-$B$1/100)</f>
        <v>401.86230387170275</v>
      </c>
      <c r="C4" s="396">
        <f>D31</f>
        <v>12.694216020431252</v>
      </c>
      <c r="D4" s="489">
        <f>B4*C4</f>
        <v>5101.3268958155813</v>
      </c>
      <c r="E4" s="500">
        <f t="shared" ref="E4:E15" si="0">D4/D$16</f>
        <v>32.093745536553186</v>
      </c>
      <c r="F4" s="489"/>
      <c r="G4" s="238"/>
      <c r="H4" s="582">
        <v>4130</v>
      </c>
      <c r="I4" s="235"/>
      <c r="J4" s="235"/>
      <c r="K4" s="234"/>
    </row>
    <row r="5" spans="1:15" hidden="1" outlineLevel="1" x14ac:dyDescent="0.2">
      <c r="A5" s="488" t="s">
        <v>193</v>
      </c>
      <c r="B5" s="489"/>
      <c r="C5" s="396"/>
      <c r="D5" s="489">
        <f>B5*C5</f>
        <v>0</v>
      </c>
      <c r="E5" s="500">
        <f>D5/D$16</f>
        <v>0</v>
      </c>
      <c r="F5" s="501"/>
      <c r="G5" s="238"/>
      <c r="H5" s="582"/>
      <c r="I5" s="235"/>
      <c r="J5" s="235"/>
      <c r="K5" s="234"/>
    </row>
    <row r="6" spans="1:15" collapsed="1" x14ac:dyDescent="0.2">
      <c r="A6" s="488" t="s">
        <v>234</v>
      </c>
      <c r="B6" s="489">
        <f>CorePTEarns_InvMgmt F2018_*(1-$B$1/100)</f>
        <v>147.88883792923707</v>
      </c>
      <c r="C6" s="396">
        <f>D45</f>
        <v>12.575384286733774</v>
      </c>
      <c r="D6" s="489">
        <f>B6*C6</f>
        <v>1859.7589686786457</v>
      </c>
      <c r="E6" s="500">
        <f t="shared" si="0"/>
        <v>11.700216888483199</v>
      </c>
      <c r="F6" s="489"/>
      <c r="G6" s="238"/>
      <c r="H6" s="582">
        <v>290</v>
      </c>
      <c r="I6" s="235"/>
      <c r="J6" s="235"/>
      <c r="K6" s="234"/>
      <c r="O6" s="237"/>
    </row>
    <row r="7" spans="1:15" x14ac:dyDescent="0.2">
      <c r="A7" s="488" t="s">
        <v>412</v>
      </c>
      <c r="B7" s="489">
        <f>CorePTEarns_IndLife F2018_*(1-$B$1/100)</f>
        <v>152.93905537044634</v>
      </c>
      <c r="C7" s="396">
        <f>D38+1</f>
        <v>9.3750002852110104</v>
      </c>
      <c r="D7" s="489">
        <f>B7*C7</f>
        <v>1433.803687717837</v>
      </c>
      <c r="E7" s="500">
        <f t="shared" si="0"/>
        <v>9.0204238314413949</v>
      </c>
      <c r="F7" s="489"/>
      <c r="G7" s="238"/>
      <c r="H7" s="582">
        <v>2141</v>
      </c>
      <c r="I7" s="235"/>
      <c r="J7" s="235"/>
      <c r="K7" s="234"/>
    </row>
    <row r="8" spans="1:15" x14ac:dyDescent="0.2">
      <c r="A8" s="488" t="s">
        <v>190</v>
      </c>
      <c r="B8" s="489">
        <f>CorePTEarns_EmployeeBenefits F2018_*(1-$B$1/100)</f>
        <v>81.289207659986104</v>
      </c>
      <c r="C8" s="396">
        <f>D35</f>
        <v>11.818446927857631</v>
      </c>
      <c r="D8" s="489">
        <f>B8*C8</f>
        <v>960.71218653714379</v>
      </c>
      <c r="E8" s="500">
        <f t="shared" si="0"/>
        <v>6.0440848191633618</v>
      </c>
      <c r="F8" s="489"/>
      <c r="G8" s="238"/>
      <c r="H8" s="582">
        <v>387</v>
      </c>
      <c r="I8" s="235"/>
      <c r="J8" s="235"/>
      <c r="K8" s="234"/>
    </row>
    <row r="9" spans="1:15" x14ac:dyDescent="0.2">
      <c r="A9" s="414" t="s">
        <v>413</v>
      </c>
      <c r="B9" s="489">
        <f>SUM(B4:B8)</f>
        <v>783.97940483137234</v>
      </c>
      <c r="C9" s="396">
        <f>D9/B9</f>
        <v>11.933478967807226</v>
      </c>
      <c r="D9" s="489">
        <f>SUM(D4:D8)</f>
        <v>9355.6017387492084</v>
      </c>
      <c r="E9" s="500">
        <f t="shared" si="0"/>
        <v>58.858471075641148</v>
      </c>
      <c r="F9" s="489"/>
      <c r="G9" s="238">
        <f>D9/D16</f>
        <v>58.858471075641148</v>
      </c>
      <c r="H9" s="235">
        <f>SUM(H4:H8)</f>
        <v>6948</v>
      </c>
      <c r="I9" s="235">
        <f>H9*0.25</f>
        <v>1737</v>
      </c>
      <c r="J9" s="235">
        <f>H9-I9</f>
        <v>5211</v>
      </c>
      <c r="K9" s="234">
        <f>D9/J9</f>
        <v>1.795356311408407</v>
      </c>
      <c r="L9" s="237"/>
    </row>
    <row r="10" spans="1:15" hidden="1" outlineLevel="1" x14ac:dyDescent="0.2">
      <c r="A10" s="488" t="s">
        <v>186</v>
      </c>
      <c r="B10" s="489">
        <f>CorePTEarns_Corporate F2018_*(1-$B$1/100)</f>
        <v>-201.07940000000002</v>
      </c>
      <c r="C10" s="396">
        <f>C9</f>
        <v>11.933478967807226</v>
      </c>
      <c r="D10" s="489">
        <f>B10*C10</f>
        <v>-2399.5767907592963</v>
      </c>
      <c r="E10" s="500">
        <f t="shared" si="0"/>
        <v>-15.09634816408594</v>
      </c>
      <c r="F10" s="489"/>
      <c r="G10" s="238"/>
      <c r="H10" s="238"/>
      <c r="I10" s="238"/>
      <c r="J10" s="239"/>
      <c r="K10" s="246"/>
    </row>
    <row r="11" spans="1:15" hidden="1" outlineLevel="1" x14ac:dyDescent="0.2">
      <c r="A11" s="488" t="s">
        <v>221</v>
      </c>
      <c r="B11" s="489">
        <f>CorePTEarns_ClosedBlock F2018_*(1-$B$1/100)</f>
        <v>0</v>
      </c>
      <c r="C11" s="491"/>
      <c r="D11" s="489">
        <f>B11*C11</f>
        <v>0</v>
      </c>
      <c r="E11" s="500">
        <f t="shared" si="0"/>
        <v>0</v>
      </c>
      <c r="F11" s="489"/>
      <c r="G11" s="238"/>
      <c r="H11" s="238"/>
      <c r="I11" s="238"/>
      <c r="J11" s="239"/>
      <c r="K11" s="246"/>
    </row>
    <row r="12" spans="1:15" collapsed="1" x14ac:dyDescent="0.2">
      <c r="A12" s="414" t="s">
        <v>521</v>
      </c>
      <c r="B12" s="489">
        <f>B10+B11</f>
        <v>-201.07940000000002</v>
      </c>
      <c r="C12" s="396">
        <f>C9</f>
        <v>11.933478967807226</v>
      </c>
      <c r="D12" s="489">
        <f>+D11+D10</f>
        <v>-2399.5767907592963</v>
      </c>
      <c r="E12" s="500">
        <f t="shared" si="0"/>
        <v>-15.09634816408594</v>
      </c>
      <c r="F12" s="489"/>
      <c r="G12" s="238"/>
      <c r="H12" s="652">
        <v>1830</v>
      </c>
      <c r="I12" s="238">
        <f>H12*0.25</f>
        <v>457.5</v>
      </c>
      <c r="J12" s="238">
        <f>H12-I12</f>
        <v>1372.5</v>
      </c>
      <c r="K12" s="234"/>
    </row>
    <row r="13" spans="1:15" hidden="1" x14ac:dyDescent="0.2">
      <c r="A13" s="397" t="s">
        <v>414</v>
      </c>
      <c r="B13" s="439">
        <f>B12+B9</f>
        <v>582.90000483137237</v>
      </c>
      <c r="C13" s="399">
        <f>D13/B13</f>
        <v>11.933478967807226</v>
      </c>
      <c r="D13" s="439">
        <f>D12+D9</f>
        <v>6956.0249479899121</v>
      </c>
      <c r="E13" s="500">
        <f t="shared" si="0"/>
        <v>43.762122911555203</v>
      </c>
      <c r="F13" s="439"/>
      <c r="G13" s="424">
        <f>D13/D16</f>
        <v>43.762122911555203</v>
      </c>
      <c r="H13" s="241">
        <f>H12+H9</f>
        <v>8778</v>
      </c>
      <c r="I13" s="241">
        <f>I12+I9</f>
        <v>2194.5</v>
      </c>
      <c r="J13" s="241">
        <f>J12+J9</f>
        <v>6583.5</v>
      </c>
      <c r="K13" s="242">
        <f>D13/J13</f>
        <v>1.0565846355266821</v>
      </c>
    </row>
    <row r="14" spans="1:15" hidden="1" x14ac:dyDescent="0.2">
      <c r="A14" s="414" t="s">
        <v>267</v>
      </c>
      <c r="B14" s="489"/>
      <c r="C14" s="490"/>
      <c r="D14" s="492">
        <v>0</v>
      </c>
      <c r="E14" s="500">
        <f t="shared" si="0"/>
        <v>0</v>
      </c>
      <c r="F14" s="492"/>
      <c r="G14" s="498">
        <f>D14/D16</f>
        <v>0</v>
      </c>
      <c r="H14" s="233"/>
      <c r="I14" s="235"/>
      <c r="J14" s="238"/>
      <c r="K14" s="234"/>
      <c r="L14" s="236" t="s">
        <v>415</v>
      </c>
    </row>
    <row r="15" spans="1:15" x14ac:dyDescent="0.2">
      <c r="A15" s="397" t="s">
        <v>9</v>
      </c>
      <c r="B15" s="439">
        <f>B9+B12+B14</f>
        <v>582.90000483137237</v>
      </c>
      <c r="C15" s="399">
        <f>D15/B15</f>
        <v>11.933478967807226</v>
      </c>
      <c r="D15" s="439">
        <f>+D13+D14</f>
        <v>6956.0249479899121</v>
      </c>
      <c r="E15" s="500">
        <f t="shared" si="0"/>
        <v>43.762122911555203</v>
      </c>
      <c r="F15" s="439"/>
      <c r="G15" s="424"/>
      <c r="H15" s="241">
        <f>H9+H12+H14</f>
        <v>8778</v>
      </c>
      <c r="I15" s="247">
        <f>Long_term_debt _4Q17</f>
        <v>3123</v>
      </c>
      <c r="J15" s="247">
        <f>EOP_Eq_Ex115 _4Q17</f>
        <v>7278</v>
      </c>
      <c r="K15" s="242">
        <f>D15/J15</f>
        <v>0.9557605039832251</v>
      </c>
    </row>
    <row r="16" spans="1:15" x14ac:dyDescent="0.2">
      <c r="A16" s="414" t="s">
        <v>532</v>
      </c>
      <c r="B16" s="489">
        <f>AvgShrsOut _4Q18</f>
        <v>158.95081145967904</v>
      </c>
      <c r="C16" s="490"/>
      <c r="D16" s="489">
        <f>B16</f>
        <v>158.95081145967904</v>
      </c>
      <c r="E16" s="489"/>
      <c r="F16" s="489"/>
      <c r="G16" s="238"/>
      <c r="H16" s="235"/>
      <c r="I16" s="235"/>
      <c r="J16" s="235">
        <f>0.65*J14</f>
        <v>0</v>
      </c>
      <c r="K16" s="235"/>
    </row>
    <row r="17" spans="1:13" x14ac:dyDescent="0.2">
      <c r="A17" s="397" t="s">
        <v>416</v>
      </c>
      <c r="B17" s="440"/>
      <c r="C17" s="398"/>
      <c r="D17" s="439">
        <f>D15/D16</f>
        <v>43.762122911555203</v>
      </c>
      <c r="E17" s="500"/>
      <c r="F17" s="439"/>
      <c r="G17" s="238"/>
      <c r="H17" s="235"/>
      <c r="J17" s="235"/>
    </row>
    <row r="18" spans="1:13" x14ac:dyDescent="0.2">
      <c r="A18" s="414" t="s">
        <v>478</v>
      </c>
      <c r="B18" s="490"/>
      <c r="C18" s="396"/>
      <c r="D18" s="489">
        <f>(446+760+185+15)/D16</f>
        <v>8.845503757347343</v>
      </c>
      <c r="E18" s="489"/>
      <c r="F18" s="492"/>
      <c r="G18" s="240"/>
      <c r="H18" s="233"/>
      <c r="J18" s="235"/>
    </row>
    <row r="19" spans="1:13" x14ac:dyDescent="0.2">
      <c r="A19" s="414" t="s">
        <v>537</v>
      </c>
      <c r="B19" s="637">
        <v>0.24</v>
      </c>
      <c r="C19" s="396"/>
      <c r="D19" s="489">
        <f>L22</f>
        <v>12.074399414062498</v>
      </c>
      <c r="E19" s="489"/>
      <c r="F19" s="492"/>
      <c r="G19" s="240"/>
      <c r="H19" s="638" t="s">
        <v>546</v>
      </c>
      <c r="I19" s="639" t="s">
        <v>538</v>
      </c>
      <c r="J19" s="640" t="s">
        <v>189</v>
      </c>
      <c r="K19" s="643" t="s">
        <v>539</v>
      </c>
      <c r="L19" s="643" t="s">
        <v>189</v>
      </c>
    </row>
    <row r="20" spans="1:13" x14ac:dyDescent="0.2">
      <c r="A20" s="414" t="s">
        <v>473</v>
      </c>
      <c r="B20" s="637"/>
      <c r="C20" s="396"/>
      <c r="D20" s="489">
        <f>D17+D18</f>
        <v>52.607626668902547</v>
      </c>
      <c r="E20" s="489"/>
      <c r="F20" s="492"/>
      <c r="G20" s="240"/>
      <c r="H20" s="638"/>
      <c r="I20" s="639"/>
      <c r="J20" s="640"/>
      <c r="K20" s="643"/>
      <c r="L20" s="643"/>
    </row>
    <row r="21" spans="1:13" x14ac:dyDescent="0.2">
      <c r="A21" s="414" t="s">
        <v>472</v>
      </c>
      <c r="B21" s="637"/>
      <c r="C21" s="396"/>
      <c r="D21" s="489">
        <f>D17+D18+D19</f>
        <v>64.682026082965052</v>
      </c>
      <c r="E21" s="489"/>
      <c r="F21" s="492"/>
      <c r="G21" s="240"/>
      <c r="H21" s="638"/>
      <c r="I21" s="639"/>
      <c r="J21" s="640"/>
      <c r="K21" s="643"/>
      <c r="L21" s="643"/>
    </row>
    <row r="22" spans="1:13" x14ac:dyDescent="0.2">
      <c r="A22" s="420" t="s">
        <v>479</v>
      </c>
      <c r="B22" s="421"/>
      <c r="C22" s="421"/>
      <c r="D22" s="441">
        <f>AVERAGE(D20,D21)</f>
        <v>58.644826375933803</v>
      </c>
      <c r="E22" s="441"/>
      <c r="F22" s="441"/>
      <c r="G22" s="425"/>
      <c r="H22" s="642">
        <f>_4Q17 BVPS_ex115</f>
        <v>42.313953488372093</v>
      </c>
      <c r="I22" s="243">
        <f>D23/H22</f>
        <v>1.1889694394171648</v>
      </c>
      <c r="J22" s="641">
        <f>B19</f>
        <v>0.24</v>
      </c>
      <c r="K22" s="243">
        <f>(1+J22)*I22</f>
        <v>1.4743221048772843</v>
      </c>
      <c r="L22" s="236">
        <f>(K22-I22)*H22</f>
        <v>12.074399414062498</v>
      </c>
    </row>
    <row r="23" spans="1:13" hidden="1" outlineLevel="1" x14ac:dyDescent="0.2">
      <c r="A23" s="433" t="s">
        <v>371</v>
      </c>
      <c r="D23" s="243">
        <f>_xll.ThomsonONEAddinShim.SpreadsheetFormulas.TFRT($A23&amp;".N","TF.RT.PriceLast()")</f>
        <v>50.30999755859375</v>
      </c>
      <c r="E23" s="243"/>
      <c r="F23" s="243"/>
    </row>
    <row r="24" spans="1:13" collapsed="1" x14ac:dyDescent="0.2">
      <c r="A24" s="434" t="s">
        <v>477</v>
      </c>
      <c r="B24" s="435"/>
      <c r="C24" s="435"/>
      <c r="D24" s="438">
        <f>(D22/D23-1)*100</f>
        <v>16.566943394566568</v>
      </c>
      <c r="E24" s="438"/>
      <c r="F24" s="438"/>
    </row>
    <row r="25" spans="1:13" x14ac:dyDescent="0.2">
      <c r="D25" s="237"/>
    </row>
    <row r="26" spans="1:13" x14ac:dyDescent="0.2">
      <c r="A26" s="232" t="s">
        <v>425</v>
      </c>
      <c r="D26" s="243">
        <f>D14/D16</f>
        <v>0</v>
      </c>
      <c r="E26" s="243"/>
      <c r="F26" s="243"/>
      <c r="G26" s="426"/>
      <c r="K26" s="235"/>
      <c r="L26" s="36">
        <f>H13-I15</f>
        <v>5655</v>
      </c>
      <c r="M26" s="236" t="s">
        <v>426</v>
      </c>
    </row>
    <row r="27" spans="1:13" x14ac:dyDescent="0.2">
      <c r="K27" s="235"/>
      <c r="L27" s="91">
        <f>L26/D16</f>
        <v>35.577043917353642</v>
      </c>
      <c r="M27" s="236" t="s">
        <v>428</v>
      </c>
    </row>
    <row r="28" spans="1:13" x14ac:dyDescent="0.2">
      <c r="A28" s="244" t="s">
        <v>192</v>
      </c>
      <c r="B28" s="245" t="s">
        <v>419</v>
      </c>
      <c r="C28" s="245" t="s">
        <v>524</v>
      </c>
      <c r="D28" s="245" t="s">
        <v>420</v>
      </c>
      <c r="E28" s="499"/>
      <c r="F28" s="499"/>
      <c r="G28" s="427"/>
      <c r="K28" s="235"/>
      <c r="L28" s="249">
        <f>1.3*L27</f>
        <v>46.250157092559739</v>
      </c>
      <c r="M28" s="236" t="s">
        <v>427</v>
      </c>
    </row>
    <row r="29" spans="1:13" x14ac:dyDescent="0.2">
      <c r="A29" s="433" t="s">
        <v>396</v>
      </c>
      <c r="B29" s="243">
        <f>_xll.ThomsonONEAddinShim.SpreadsheetFormulas.TFRT($A29&amp;".O","TF.RT.PriceLast()")</f>
        <v>61.384799957275391</v>
      </c>
      <c r="C29" s="243">
        <v>5.74</v>
      </c>
      <c r="D29" s="237">
        <f>B29/(C29)</f>
        <v>10.694216020431252</v>
      </c>
      <c r="E29" s="237"/>
      <c r="F29" s="237"/>
      <c r="G29" s="428"/>
      <c r="L29" s="248">
        <f>D26</f>
        <v>0</v>
      </c>
      <c r="M29" s="236" t="s">
        <v>267</v>
      </c>
    </row>
    <row r="30" spans="1:13" x14ac:dyDescent="0.2">
      <c r="A30" s="232" t="s">
        <v>421</v>
      </c>
      <c r="B30" s="243"/>
      <c r="C30" s="243">
        <v>1.37</v>
      </c>
      <c r="D30" s="237"/>
      <c r="E30" s="237"/>
      <c r="F30" s="237"/>
      <c r="G30" s="428"/>
      <c r="L30" s="248">
        <f>D18</f>
        <v>8.845503757347343</v>
      </c>
      <c r="M30" s="236" t="s">
        <v>417</v>
      </c>
    </row>
    <row r="31" spans="1:13" x14ac:dyDescent="0.2">
      <c r="A31" s="436" t="s">
        <v>422</v>
      </c>
      <c r="B31" s="437"/>
      <c r="C31" s="437"/>
      <c r="D31" s="502">
        <f>D29+2</f>
        <v>12.694216020431252</v>
      </c>
      <c r="E31" s="429"/>
      <c r="F31" s="429"/>
      <c r="G31" s="429"/>
      <c r="K31" s="236" t="s">
        <v>418</v>
      </c>
      <c r="L31" s="282">
        <f>L28+L29+L30</f>
        <v>55.095660849907084</v>
      </c>
      <c r="M31" s="283" t="s">
        <v>9</v>
      </c>
    </row>
    <row r="32" spans="1:13" x14ac:dyDescent="0.2">
      <c r="B32" s="243"/>
      <c r="C32" s="243"/>
    </row>
    <row r="33" spans="1:9" x14ac:dyDescent="0.2">
      <c r="A33" s="244" t="s">
        <v>190</v>
      </c>
      <c r="B33" s="245" t="s">
        <v>419</v>
      </c>
      <c r="C33" s="245" t="s">
        <v>524</v>
      </c>
      <c r="D33" s="245" t="s">
        <v>420</v>
      </c>
      <c r="E33" s="499"/>
      <c r="F33" s="499"/>
      <c r="G33" s="427"/>
    </row>
    <row r="34" spans="1:9" x14ac:dyDescent="0.2">
      <c r="A34" s="232" t="s">
        <v>398</v>
      </c>
      <c r="B34" s="243">
        <f>_xll.ThomsonONEAddinShim.SpreadsheetFormulas.TFRT($A34&amp;".N","TF.RT.PriceLast()")</f>
        <v>47.990001678466797</v>
      </c>
      <c r="C34" s="243">
        <v>5.15</v>
      </c>
      <c r="D34" s="237">
        <f>B34/(C34)</f>
        <v>9.3184469278576305</v>
      </c>
      <c r="E34" s="237"/>
      <c r="F34" s="237"/>
      <c r="G34" s="428"/>
    </row>
    <row r="35" spans="1:9" x14ac:dyDescent="0.2">
      <c r="A35" s="436" t="s">
        <v>457</v>
      </c>
      <c r="B35" s="437"/>
      <c r="C35" s="437"/>
      <c r="D35" s="429">
        <f>MEDIAN(D34:D34)+2.5</f>
        <v>11.818446927857631</v>
      </c>
      <c r="E35" s="429"/>
      <c r="F35" s="429"/>
      <c r="G35" s="429"/>
    </row>
    <row r="37" spans="1:9" x14ac:dyDescent="0.2">
      <c r="A37" s="244" t="s">
        <v>412</v>
      </c>
      <c r="B37" s="245" t="s">
        <v>419</v>
      </c>
      <c r="C37" s="245" t="s">
        <v>524</v>
      </c>
      <c r="D37" s="245" t="s">
        <v>420</v>
      </c>
      <c r="E37" s="499"/>
      <c r="F37" s="499"/>
      <c r="G37" s="427"/>
      <c r="I37" s="243"/>
    </row>
    <row r="38" spans="1:9" x14ac:dyDescent="0.2">
      <c r="A38" s="232" t="s">
        <v>395</v>
      </c>
      <c r="B38" s="243">
        <f>_xll.ThomsonONEAddinShim.SpreadsheetFormulas.TFRT($A38&amp;".N","TF.RT.PriceLast()")</f>
        <v>71.69000244140625</v>
      </c>
      <c r="C38" s="243">
        <v>8.56</v>
      </c>
      <c r="D38" s="237">
        <f>B38/(C38)</f>
        <v>8.3750002852110104</v>
      </c>
      <c r="E38" s="237"/>
      <c r="F38" s="237"/>
      <c r="G38" s="428"/>
      <c r="I38" s="243"/>
    </row>
    <row r="39" spans="1:9" x14ac:dyDescent="0.2">
      <c r="A39" s="232" t="s">
        <v>397</v>
      </c>
      <c r="B39" s="243">
        <f>_xll.ThomsonONEAddinShim.SpreadsheetFormulas.TFRT($A39&amp;".N","TF.RT.PriceLast()")</f>
        <v>85.05999755859375</v>
      </c>
      <c r="C39" s="243">
        <v>6.04</v>
      </c>
      <c r="D39" s="237">
        <f>B39/(C39)</f>
        <v>14.082781052747309</v>
      </c>
      <c r="E39" s="237"/>
      <c r="F39" s="237"/>
      <c r="G39" s="428"/>
    </row>
    <row r="40" spans="1:9" x14ac:dyDescent="0.2">
      <c r="A40" s="436" t="s">
        <v>422</v>
      </c>
      <c r="B40" s="437"/>
      <c r="C40" s="437"/>
      <c r="D40" s="429">
        <f>D38</f>
        <v>8.3750002852110104</v>
      </c>
      <c r="E40" s="429"/>
      <c r="F40" s="429"/>
      <c r="G40" s="429"/>
    </row>
    <row r="42" spans="1:9" x14ac:dyDescent="0.2">
      <c r="A42" s="244" t="s">
        <v>232</v>
      </c>
      <c r="B42" s="245" t="s">
        <v>419</v>
      </c>
      <c r="C42" s="245" t="s">
        <v>524</v>
      </c>
      <c r="D42" s="245" t="s">
        <v>420</v>
      </c>
      <c r="E42" s="499"/>
      <c r="F42" s="499"/>
      <c r="G42" s="427"/>
    </row>
    <row r="43" spans="1:9" x14ac:dyDescent="0.2">
      <c r="A43" s="232" t="s">
        <v>522</v>
      </c>
      <c r="B43" s="243">
        <f>_xll.ThomsonONEAddinShim.SpreadsheetFormulas.TFRT($A43&amp;".N","TF.RT.PriceLast()")</f>
        <v>34.369998931884766</v>
      </c>
      <c r="C43" s="243">
        <v>3.25</v>
      </c>
      <c r="D43" s="237">
        <f>B43/(C43)</f>
        <v>10.575384286733774</v>
      </c>
      <c r="E43" s="237"/>
      <c r="F43" s="237"/>
      <c r="G43" s="428"/>
    </row>
    <row r="44" spans="1:9" x14ac:dyDescent="0.2">
      <c r="A44" s="232" t="s">
        <v>467</v>
      </c>
      <c r="B44" s="243">
        <f>_xll.ThomsonONEAddinShim.SpreadsheetFormulas.TFRT($A44&amp;".N","TF.RT.PriceLast()")</f>
        <v>20.129999160766602</v>
      </c>
      <c r="C44" s="243">
        <v>2.23</v>
      </c>
      <c r="D44" s="237">
        <f>B44/(C44)</f>
        <v>9.026905453258566</v>
      </c>
      <c r="E44" s="237"/>
      <c r="F44" s="237"/>
      <c r="G44" s="428"/>
    </row>
    <row r="45" spans="1:9" x14ac:dyDescent="0.2">
      <c r="A45" s="436" t="s">
        <v>423</v>
      </c>
      <c r="B45" s="437"/>
      <c r="C45" s="437"/>
      <c r="D45" s="502">
        <f>D43+2</f>
        <v>12.575384286733774</v>
      </c>
      <c r="E45" s="429"/>
      <c r="F45" s="429"/>
      <c r="G45" s="429"/>
    </row>
  </sheetData>
  <phoneticPr fontId="20" type="noConversion"/>
  <pageMargins left="0" right="0" top="0" bottom="0" header="0" footer="0"/>
  <pageSetup paperSize="5" orientation="landscape" r:id="rId1"/>
  <headerFooter alignWithMargins="0"/>
  <ignoredErrors>
    <ignoredError sqref="G9:K10 G13:K13 G12 I12:K12 C14 G14 G11 D11 D12 C13 D10 I11:K11 C9:D9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430" bestFit="1" customWidth="1"/>
    <col min="2" max="2" width="19.85546875" style="676" customWidth="1"/>
    <col min="3" max="3" width="12" style="430" bestFit="1" customWidth="1"/>
    <col min="4" max="256" width="9.140625" style="430"/>
    <col min="257" max="257" width="29.5703125" style="430" bestFit="1" customWidth="1"/>
    <col min="258" max="258" width="19.85546875" style="430" customWidth="1"/>
    <col min="259" max="259" width="12" style="430" bestFit="1" customWidth="1"/>
    <col min="260" max="512" width="9.140625" style="430"/>
    <col min="513" max="513" width="29.5703125" style="430" bestFit="1" customWidth="1"/>
    <col min="514" max="514" width="19.85546875" style="430" customWidth="1"/>
    <col min="515" max="515" width="12" style="430" bestFit="1" customWidth="1"/>
    <col min="516" max="768" width="9.140625" style="430"/>
    <col min="769" max="769" width="29.5703125" style="430" bestFit="1" customWidth="1"/>
    <col min="770" max="770" width="19.85546875" style="430" customWidth="1"/>
    <col min="771" max="771" width="12" style="430" bestFit="1" customWidth="1"/>
    <col min="772" max="1024" width="9.140625" style="430"/>
    <col min="1025" max="1025" width="29.5703125" style="430" bestFit="1" customWidth="1"/>
    <col min="1026" max="1026" width="19.85546875" style="430" customWidth="1"/>
    <col min="1027" max="1027" width="12" style="430" bestFit="1" customWidth="1"/>
    <col min="1028" max="1280" width="9.140625" style="430"/>
    <col min="1281" max="1281" width="29.5703125" style="430" bestFit="1" customWidth="1"/>
    <col min="1282" max="1282" width="19.85546875" style="430" customWidth="1"/>
    <col min="1283" max="1283" width="12" style="430" bestFit="1" customWidth="1"/>
    <col min="1284" max="1536" width="9.140625" style="430"/>
    <col min="1537" max="1537" width="29.5703125" style="430" bestFit="1" customWidth="1"/>
    <col min="1538" max="1538" width="19.85546875" style="430" customWidth="1"/>
    <col min="1539" max="1539" width="12" style="430" bestFit="1" customWidth="1"/>
    <col min="1540" max="1792" width="9.140625" style="430"/>
    <col min="1793" max="1793" width="29.5703125" style="430" bestFit="1" customWidth="1"/>
    <col min="1794" max="1794" width="19.85546875" style="430" customWidth="1"/>
    <col min="1795" max="1795" width="12" style="430" bestFit="1" customWidth="1"/>
    <col min="1796" max="2048" width="9.140625" style="430"/>
    <col min="2049" max="2049" width="29.5703125" style="430" bestFit="1" customWidth="1"/>
    <col min="2050" max="2050" width="19.85546875" style="430" customWidth="1"/>
    <col min="2051" max="2051" width="12" style="430" bestFit="1" customWidth="1"/>
    <col min="2052" max="2304" width="9.140625" style="430"/>
    <col min="2305" max="2305" width="29.5703125" style="430" bestFit="1" customWidth="1"/>
    <col min="2306" max="2306" width="19.85546875" style="430" customWidth="1"/>
    <col min="2307" max="2307" width="12" style="430" bestFit="1" customWidth="1"/>
    <col min="2308" max="2560" width="9.140625" style="430"/>
    <col min="2561" max="2561" width="29.5703125" style="430" bestFit="1" customWidth="1"/>
    <col min="2562" max="2562" width="19.85546875" style="430" customWidth="1"/>
    <col min="2563" max="2563" width="12" style="430" bestFit="1" customWidth="1"/>
    <col min="2564" max="2816" width="9.140625" style="430"/>
    <col min="2817" max="2817" width="29.5703125" style="430" bestFit="1" customWidth="1"/>
    <col min="2818" max="2818" width="19.85546875" style="430" customWidth="1"/>
    <col min="2819" max="2819" width="12" style="430" bestFit="1" customWidth="1"/>
    <col min="2820" max="3072" width="9.140625" style="430"/>
    <col min="3073" max="3073" width="29.5703125" style="430" bestFit="1" customWidth="1"/>
    <col min="3074" max="3074" width="19.85546875" style="430" customWidth="1"/>
    <col min="3075" max="3075" width="12" style="430" bestFit="1" customWidth="1"/>
    <col min="3076" max="3328" width="9.140625" style="430"/>
    <col min="3329" max="3329" width="29.5703125" style="430" bestFit="1" customWidth="1"/>
    <col min="3330" max="3330" width="19.85546875" style="430" customWidth="1"/>
    <col min="3331" max="3331" width="12" style="430" bestFit="1" customWidth="1"/>
    <col min="3332" max="3584" width="9.140625" style="430"/>
    <col min="3585" max="3585" width="29.5703125" style="430" bestFit="1" customWidth="1"/>
    <col min="3586" max="3586" width="19.85546875" style="430" customWidth="1"/>
    <col min="3587" max="3587" width="12" style="430" bestFit="1" customWidth="1"/>
    <col min="3588" max="3840" width="9.140625" style="430"/>
    <col min="3841" max="3841" width="29.5703125" style="430" bestFit="1" customWidth="1"/>
    <col min="3842" max="3842" width="19.85546875" style="430" customWidth="1"/>
    <col min="3843" max="3843" width="12" style="430" bestFit="1" customWidth="1"/>
    <col min="3844" max="4096" width="9.140625" style="430"/>
    <col min="4097" max="4097" width="29.5703125" style="430" bestFit="1" customWidth="1"/>
    <col min="4098" max="4098" width="19.85546875" style="430" customWidth="1"/>
    <col min="4099" max="4099" width="12" style="430" bestFit="1" customWidth="1"/>
    <col min="4100" max="4352" width="9.140625" style="430"/>
    <col min="4353" max="4353" width="29.5703125" style="430" bestFit="1" customWidth="1"/>
    <col min="4354" max="4354" width="19.85546875" style="430" customWidth="1"/>
    <col min="4355" max="4355" width="12" style="430" bestFit="1" customWidth="1"/>
    <col min="4356" max="4608" width="9.140625" style="430"/>
    <col min="4609" max="4609" width="29.5703125" style="430" bestFit="1" customWidth="1"/>
    <col min="4610" max="4610" width="19.85546875" style="430" customWidth="1"/>
    <col min="4611" max="4611" width="12" style="430" bestFit="1" customWidth="1"/>
    <col min="4612" max="4864" width="9.140625" style="430"/>
    <col min="4865" max="4865" width="29.5703125" style="430" bestFit="1" customWidth="1"/>
    <col min="4866" max="4866" width="19.85546875" style="430" customWidth="1"/>
    <col min="4867" max="4867" width="12" style="430" bestFit="1" customWidth="1"/>
    <col min="4868" max="5120" width="9.140625" style="430"/>
    <col min="5121" max="5121" width="29.5703125" style="430" bestFit="1" customWidth="1"/>
    <col min="5122" max="5122" width="19.85546875" style="430" customWidth="1"/>
    <col min="5123" max="5123" width="12" style="430" bestFit="1" customWidth="1"/>
    <col min="5124" max="5376" width="9.140625" style="430"/>
    <col min="5377" max="5377" width="29.5703125" style="430" bestFit="1" customWidth="1"/>
    <col min="5378" max="5378" width="19.85546875" style="430" customWidth="1"/>
    <col min="5379" max="5379" width="12" style="430" bestFit="1" customWidth="1"/>
    <col min="5380" max="5632" width="9.140625" style="430"/>
    <col min="5633" max="5633" width="29.5703125" style="430" bestFit="1" customWidth="1"/>
    <col min="5634" max="5634" width="19.85546875" style="430" customWidth="1"/>
    <col min="5635" max="5635" width="12" style="430" bestFit="1" customWidth="1"/>
    <col min="5636" max="5888" width="9.140625" style="430"/>
    <col min="5889" max="5889" width="29.5703125" style="430" bestFit="1" customWidth="1"/>
    <col min="5890" max="5890" width="19.85546875" style="430" customWidth="1"/>
    <col min="5891" max="5891" width="12" style="430" bestFit="1" customWidth="1"/>
    <col min="5892" max="6144" width="9.140625" style="430"/>
    <col min="6145" max="6145" width="29.5703125" style="430" bestFit="1" customWidth="1"/>
    <col min="6146" max="6146" width="19.85546875" style="430" customWidth="1"/>
    <col min="6147" max="6147" width="12" style="430" bestFit="1" customWidth="1"/>
    <col min="6148" max="6400" width="9.140625" style="430"/>
    <col min="6401" max="6401" width="29.5703125" style="430" bestFit="1" customWidth="1"/>
    <col min="6402" max="6402" width="19.85546875" style="430" customWidth="1"/>
    <col min="6403" max="6403" width="12" style="430" bestFit="1" customWidth="1"/>
    <col min="6404" max="6656" width="9.140625" style="430"/>
    <col min="6657" max="6657" width="29.5703125" style="430" bestFit="1" customWidth="1"/>
    <col min="6658" max="6658" width="19.85546875" style="430" customWidth="1"/>
    <col min="6659" max="6659" width="12" style="430" bestFit="1" customWidth="1"/>
    <col min="6660" max="6912" width="9.140625" style="430"/>
    <col min="6913" max="6913" width="29.5703125" style="430" bestFit="1" customWidth="1"/>
    <col min="6914" max="6914" width="19.85546875" style="430" customWidth="1"/>
    <col min="6915" max="6915" width="12" style="430" bestFit="1" customWidth="1"/>
    <col min="6916" max="7168" width="9.140625" style="430"/>
    <col min="7169" max="7169" width="29.5703125" style="430" bestFit="1" customWidth="1"/>
    <col min="7170" max="7170" width="19.85546875" style="430" customWidth="1"/>
    <col min="7171" max="7171" width="12" style="430" bestFit="1" customWidth="1"/>
    <col min="7172" max="7424" width="9.140625" style="430"/>
    <col min="7425" max="7425" width="29.5703125" style="430" bestFit="1" customWidth="1"/>
    <col min="7426" max="7426" width="19.85546875" style="430" customWidth="1"/>
    <col min="7427" max="7427" width="12" style="430" bestFit="1" customWidth="1"/>
    <col min="7428" max="7680" width="9.140625" style="430"/>
    <col min="7681" max="7681" width="29.5703125" style="430" bestFit="1" customWidth="1"/>
    <col min="7682" max="7682" width="19.85546875" style="430" customWidth="1"/>
    <col min="7683" max="7683" width="12" style="430" bestFit="1" customWidth="1"/>
    <col min="7684" max="7936" width="9.140625" style="430"/>
    <col min="7937" max="7937" width="29.5703125" style="430" bestFit="1" customWidth="1"/>
    <col min="7938" max="7938" width="19.85546875" style="430" customWidth="1"/>
    <col min="7939" max="7939" width="12" style="430" bestFit="1" customWidth="1"/>
    <col min="7940" max="8192" width="9.140625" style="430"/>
    <col min="8193" max="8193" width="29.5703125" style="430" bestFit="1" customWidth="1"/>
    <col min="8194" max="8194" width="19.85546875" style="430" customWidth="1"/>
    <col min="8195" max="8195" width="12" style="430" bestFit="1" customWidth="1"/>
    <col min="8196" max="8448" width="9.140625" style="430"/>
    <col min="8449" max="8449" width="29.5703125" style="430" bestFit="1" customWidth="1"/>
    <col min="8450" max="8450" width="19.85546875" style="430" customWidth="1"/>
    <col min="8451" max="8451" width="12" style="430" bestFit="1" customWidth="1"/>
    <col min="8452" max="8704" width="9.140625" style="430"/>
    <col min="8705" max="8705" width="29.5703125" style="430" bestFit="1" customWidth="1"/>
    <col min="8706" max="8706" width="19.85546875" style="430" customWidth="1"/>
    <col min="8707" max="8707" width="12" style="430" bestFit="1" customWidth="1"/>
    <col min="8708" max="8960" width="9.140625" style="430"/>
    <col min="8961" max="8961" width="29.5703125" style="430" bestFit="1" customWidth="1"/>
    <col min="8962" max="8962" width="19.85546875" style="430" customWidth="1"/>
    <col min="8963" max="8963" width="12" style="430" bestFit="1" customWidth="1"/>
    <col min="8964" max="9216" width="9.140625" style="430"/>
    <col min="9217" max="9217" width="29.5703125" style="430" bestFit="1" customWidth="1"/>
    <col min="9218" max="9218" width="19.85546875" style="430" customWidth="1"/>
    <col min="9219" max="9219" width="12" style="430" bestFit="1" customWidth="1"/>
    <col min="9220" max="9472" width="9.140625" style="430"/>
    <col min="9473" max="9473" width="29.5703125" style="430" bestFit="1" customWidth="1"/>
    <col min="9474" max="9474" width="19.85546875" style="430" customWidth="1"/>
    <col min="9475" max="9475" width="12" style="430" bestFit="1" customWidth="1"/>
    <col min="9476" max="9728" width="9.140625" style="430"/>
    <col min="9729" max="9729" width="29.5703125" style="430" bestFit="1" customWidth="1"/>
    <col min="9730" max="9730" width="19.85546875" style="430" customWidth="1"/>
    <col min="9731" max="9731" width="12" style="430" bestFit="1" customWidth="1"/>
    <col min="9732" max="9984" width="9.140625" style="430"/>
    <col min="9985" max="9985" width="29.5703125" style="430" bestFit="1" customWidth="1"/>
    <col min="9986" max="9986" width="19.85546875" style="430" customWidth="1"/>
    <col min="9987" max="9987" width="12" style="430" bestFit="1" customWidth="1"/>
    <col min="9988" max="10240" width="9.140625" style="430"/>
    <col min="10241" max="10241" width="29.5703125" style="430" bestFit="1" customWidth="1"/>
    <col min="10242" max="10242" width="19.85546875" style="430" customWidth="1"/>
    <col min="10243" max="10243" width="12" style="430" bestFit="1" customWidth="1"/>
    <col min="10244" max="10496" width="9.140625" style="430"/>
    <col min="10497" max="10497" width="29.5703125" style="430" bestFit="1" customWidth="1"/>
    <col min="10498" max="10498" width="19.85546875" style="430" customWidth="1"/>
    <col min="10499" max="10499" width="12" style="430" bestFit="1" customWidth="1"/>
    <col min="10500" max="10752" width="9.140625" style="430"/>
    <col min="10753" max="10753" width="29.5703125" style="430" bestFit="1" customWidth="1"/>
    <col min="10754" max="10754" width="19.85546875" style="430" customWidth="1"/>
    <col min="10755" max="10755" width="12" style="430" bestFit="1" customWidth="1"/>
    <col min="10756" max="11008" width="9.140625" style="430"/>
    <col min="11009" max="11009" width="29.5703125" style="430" bestFit="1" customWidth="1"/>
    <col min="11010" max="11010" width="19.85546875" style="430" customWidth="1"/>
    <col min="11011" max="11011" width="12" style="430" bestFit="1" customWidth="1"/>
    <col min="11012" max="11264" width="9.140625" style="430"/>
    <col min="11265" max="11265" width="29.5703125" style="430" bestFit="1" customWidth="1"/>
    <col min="11266" max="11266" width="19.85546875" style="430" customWidth="1"/>
    <col min="11267" max="11267" width="12" style="430" bestFit="1" customWidth="1"/>
    <col min="11268" max="11520" width="9.140625" style="430"/>
    <col min="11521" max="11521" width="29.5703125" style="430" bestFit="1" customWidth="1"/>
    <col min="11522" max="11522" width="19.85546875" style="430" customWidth="1"/>
    <col min="11523" max="11523" width="12" style="430" bestFit="1" customWidth="1"/>
    <col min="11524" max="11776" width="9.140625" style="430"/>
    <col min="11777" max="11777" width="29.5703125" style="430" bestFit="1" customWidth="1"/>
    <col min="11778" max="11778" width="19.85546875" style="430" customWidth="1"/>
    <col min="11779" max="11779" width="12" style="430" bestFit="1" customWidth="1"/>
    <col min="11780" max="12032" width="9.140625" style="430"/>
    <col min="12033" max="12033" width="29.5703125" style="430" bestFit="1" customWidth="1"/>
    <col min="12034" max="12034" width="19.85546875" style="430" customWidth="1"/>
    <col min="12035" max="12035" width="12" style="430" bestFit="1" customWidth="1"/>
    <col min="12036" max="12288" width="9.140625" style="430"/>
    <col min="12289" max="12289" width="29.5703125" style="430" bestFit="1" customWidth="1"/>
    <col min="12290" max="12290" width="19.85546875" style="430" customWidth="1"/>
    <col min="12291" max="12291" width="12" style="430" bestFit="1" customWidth="1"/>
    <col min="12292" max="12544" width="9.140625" style="430"/>
    <col min="12545" max="12545" width="29.5703125" style="430" bestFit="1" customWidth="1"/>
    <col min="12546" max="12546" width="19.85546875" style="430" customWidth="1"/>
    <col min="12547" max="12547" width="12" style="430" bestFit="1" customWidth="1"/>
    <col min="12548" max="12800" width="9.140625" style="430"/>
    <col min="12801" max="12801" width="29.5703125" style="430" bestFit="1" customWidth="1"/>
    <col min="12802" max="12802" width="19.85546875" style="430" customWidth="1"/>
    <col min="12803" max="12803" width="12" style="430" bestFit="1" customWidth="1"/>
    <col min="12804" max="13056" width="9.140625" style="430"/>
    <col min="13057" max="13057" width="29.5703125" style="430" bestFit="1" customWidth="1"/>
    <col min="13058" max="13058" width="19.85546875" style="430" customWidth="1"/>
    <col min="13059" max="13059" width="12" style="430" bestFit="1" customWidth="1"/>
    <col min="13060" max="13312" width="9.140625" style="430"/>
    <col min="13313" max="13313" width="29.5703125" style="430" bestFit="1" customWidth="1"/>
    <col min="13314" max="13314" width="19.85546875" style="430" customWidth="1"/>
    <col min="13315" max="13315" width="12" style="430" bestFit="1" customWidth="1"/>
    <col min="13316" max="13568" width="9.140625" style="430"/>
    <col min="13569" max="13569" width="29.5703125" style="430" bestFit="1" customWidth="1"/>
    <col min="13570" max="13570" width="19.85546875" style="430" customWidth="1"/>
    <col min="13571" max="13571" width="12" style="430" bestFit="1" customWidth="1"/>
    <col min="13572" max="13824" width="9.140625" style="430"/>
    <col min="13825" max="13825" width="29.5703125" style="430" bestFit="1" customWidth="1"/>
    <col min="13826" max="13826" width="19.85546875" style="430" customWidth="1"/>
    <col min="13827" max="13827" width="12" style="430" bestFit="1" customWidth="1"/>
    <col min="13828" max="14080" width="9.140625" style="430"/>
    <col min="14081" max="14081" width="29.5703125" style="430" bestFit="1" customWidth="1"/>
    <col min="14082" max="14082" width="19.85546875" style="430" customWidth="1"/>
    <col min="14083" max="14083" width="12" style="430" bestFit="1" customWidth="1"/>
    <col min="14084" max="14336" width="9.140625" style="430"/>
    <col min="14337" max="14337" width="29.5703125" style="430" bestFit="1" customWidth="1"/>
    <col min="14338" max="14338" width="19.85546875" style="430" customWidth="1"/>
    <col min="14339" max="14339" width="12" style="430" bestFit="1" customWidth="1"/>
    <col min="14340" max="14592" width="9.140625" style="430"/>
    <col min="14593" max="14593" width="29.5703125" style="430" bestFit="1" customWidth="1"/>
    <col min="14594" max="14594" width="19.85546875" style="430" customWidth="1"/>
    <col min="14595" max="14595" width="12" style="430" bestFit="1" customWidth="1"/>
    <col min="14596" max="14848" width="9.140625" style="430"/>
    <col min="14849" max="14849" width="29.5703125" style="430" bestFit="1" customWidth="1"/>
    <col min="14850" max="14850" width="19.85546875" style="430" customWidth="1"/>
    <col min="14851" max="14851" width="12" style="430" bestFit="1" customWidth="1"/>
    <col min="14852" max="15104" width="9.140625" style="430"/>
    <col min="15105" max="15105" width="29.5703125" style="430" bestFit="1" customWidth="1"/>
    <col min="15106" max="15106" width="19.85546875" style="430" customWidth="1"/>
    <col min="15107" max="15107" width="12" style="430" bestFit="1" customWidth="1"/>
    <col min="15108" max="15360" width="9.140625" style="430"/>
    <col min="15361" max="15361" width="29.5703125" style="430" bestFit="1" customWidth="1"/>
    <col min="15362" max="15362" width="19.85546875" style="430" customWidth="1"/>
    <col min="15363" max="15363" width="12" style="430" bestFit="1" customWidth="1"/>
    <col min="15364" max="15616" width="9.140625" style="430"/>
    <col min="15617" max="15617" width="29.5703125" style="430" bestFit="1" customWidth="1"/>
    <col min="15618" max="15618" width="19.85546875" style="430" customWidth="1"/>
    <col min="15619" max="15619" width="12" style="430" bestFit="1" customWidth="1"/>
    <col min="15620" max="15872" width="9.140625" style="430"/>
    <col min="15873" max="15873" width="29.5703125" style="430" bestFit="1" customWidth="1"/>
    <col min="15874" max="15874" width="19.85546875" style="430" customWidth="1"/>
    <col min="15875" max="15875" width="12" style="430" bestFit="1" customWidth="1"/>
    <col min="15876" max="16128" width="9.140625" style="430"/>
    <col min="16129" max="16129" width="29.5703125" style="430" bestFit="1" customWidth="1"/>
    <col min="16130" max="16130" width="19.85546875" style="430" customWidth="1"/>
    <col min="16131" max="16131" width="12" style="430" bestFit="1" customWidth="1"/>
    <col min="16132" max="16384" width="9.140625" style="430"/>
  </cols>
  <sheetData>
    <row r="1" spans="1:2" x14ac:dyDescent="0.2">
      <c r="A1" s="430" t="s">
        <v>850</v>
      </c>
      <c r="B1" s="675">
        <v>6.1</v>
      </c>
    </row>
    <row r="2" spans="1:2" x14ac:dyDescent="0.2">
      <c r="A2" s="430" t="s">
        <v>851</v>
      </c>
      <c r="B2" s="679">
        <v>43195.408946759257</v>
      </c>
    </row>
    <row r="3" spans="1:2" x14ac:dyDescent="0.2">
      <c r="A3" s="430" t="s">
        <v>852</v>
      </c>
      <c r="B3" s="676" t="s">
        <v>547</v>
      </c>
    </row>
    <row r="4" spans="1:2" x14ac:dyDescent="0.2">
      <c r="A4" s="430" t="s">
        <v>853</v>
      </c>
      <c r="B4" s="676" t="s">
        <v>394</v>
      </c>
    </row>
    <row r="5" spans="1:2" x14ac:dyDescent="0.2">
      <c r="A5" s="430" t="s">
        <v>854</v>
      </c>
      <c r="B5" s="676" t="s">
        <v>855</v>
      </c>
    </row>
    <row r="6" spans="1:2" x14ac:dyDescent="0.2">
      <c r="A6" s="430" t="s">
        <v>856</v>
      </c>
    </row>
    <row r="7" spans="1:2" x14ac:dyDescent="0.2">
      <c r="A7" s="430" t="s">
        <v>857</v>
      </c>
      <c r="B7" s="676" t="s">
        <v>902</v>
      </c>
    </row>
    <row r="8" spans="1:2" x14ac:dyDescent="0.2">
      <c r="A8" s="430" t="s">
        <v>858</v>
      </c>
      <c r="B8" s="676" t="s">
        <v>859</v>
      </c>
    </row>
    <row r="9" spans="1:2" x14ac:dyDescent="0.2">
      <c r="A9" s="430" t="s">
        <v>860</v>
      </c>
      <c r="B9" s="676" t="s">
        <v>898</v>
      </c>
    </row>
    <row r="10" spans="1:2" x14ac:dyDescent="0.2">
      <c r="A10" s="430" t="s">
        <v>861</v>
      </c>
    </row>
    <row r="11" spans="1:2" x14ac:dyDescent="0.2">
      <c r="A11" s="430" t="s">
        <v>862</v>
      </c>
    </row>
    <row r="12" spans="1:2" x14ac:dyDescent="0.2">
      <c r="A12" s="430" t="s">
        <v>863</v>
      </c>
    </row>
    <row r="13" spans="1:2" x14ac:dyDescent="0.2">
      <c r="A13" s="430" t="s">
        <v>864</v>
      </c>
    </row>
    <row r="14" spans="1:2" x14ac:dyDescent="0.2">
      <c r="A14" s="430" t="s">
        <v>865</v>
      </c>
    </row>
    <row r="15" spans="1:2" x14ac:dyDescent="0.2">
      <c r="A15" s="430" t="s">
        <v>866</v>
      </c>
    </row>
    <row r="16" spans="1:2" x14ac:dyDescent="0.2">
      <c r="A16" s="430" t="s">
        <v>867</v>
      </c>
    </row>
    <row r="17" spans="1:4" x14ac:dyDescent="0.2">
      <c r="A17" s="430" t="s">
        <v>868</v>
      </c>
      <c r="B17" s="676" t="s">
        <v>899</v>
      </c>
    </row>
    <row r="18" spans="1:4" x14ac:dyDescent="0.2">
      <c r="A18" s="430" t="s">
        <v>869</v>
      </c>
      <c r="B18" s="676" t="s">
        <v>903</v>
      </c>
    </row>
    <row r="19" spans="1:4" x14ac:dyDescent="0.2">
      <c r="A19" s="430" t="s">
        <v>870</v>
      </c>
      <c r="B19" s="676" t="s">
        <v>366</v>
      </c>
    </row>
    <row r="20" spans="1:4" x14ac:dyDescent="0.2">
      <c r="A20" s="430" t="s">
        <v>871</v>
      </c>
      <c r="B20" s="677">
        <v>929089100</v>
      </c>
    </row>
    <row r="21" spans="1:4" x14ac:dyDescent="0.2">
      <c r="A21" s="430" t="s">
        <v>872</v>
      </c>
      <c r="B21" s="676" t="s">
        <v>366</v>
      </c>
    </row>
    <row r="22" spans="1:4" x14ac:dyDescent="0.2">
      <c r="A22" s="430" t="s">
        <v>873</v>
      </c>
      <c r="B22" s="677" t="s">
        <v>456</v>
      </c>
    </row>
    <row r="23" spans="1:4" x14ac:dyDescent="0.2">
      <c r="A23" s="430" t="s">
        <v>475</v>
      </c>
      <c r="B23" s="675">
        <v>50.42</v>
      </c>
    </row>
    <row r="24" spans="1:4" x14ac:dyDescent="0.2">
      <c r="A24" s="430" t="s">
        <v>474</v>
      </c>
      <c r="B24" s="676" t="s">
        <v>90</v>
      </c>
      <c r="D24" s="430" t="s">
        <v>874</v>
      </c>
    </row>
    <row r="25" spans="1:4" x14ac:dyDescent="0.2">
      <c r="A25" s="430" t="s">
        <v>875</v>
      </c>
      <c r="B25" s="676" t="s">
        <v>904</v>
      </c>
    </row>
    <row r="26" spans="1:4" x14ac:dyDescent="0.2">
      <c r="A26" s="430" t="s">
        <v>876</v>
      </c>
      <c r="B26" s="676">
        <v>0</v>
      </c>
    </row>
    <row r="27" spans="1:4" x14ac:dyDescent="0.2">
      <c r="A27" s="430" t="s">
        <v>877</v>
      </c>
      <c r="B27" s="676" t="s">
        <v>878</v>
      </c>
    </row>
    <row r="28" spans="1:4" x14ac:dyDescent="0.2">
      <c r="A28" s="430" t="s">
        <v>879</v>
      </c>
      <c r="B28" s="676" t="s">
        <v>880</v>
      </c>
    </row>
    <row r="29" spans="1:4" x14ac:dyDescent="0.2">
      <c r="A29" s="430" t="s">
        <v>881</v>
      </c>
    </row>
    <row r="30" spans="1:4" x14ac:dyDescent="0.2">
      <c r="A30" s="430" t="s">
        <v>882</v>
      </c>
    </row>
    <row r="31" spans="1:4" x14ac:dyDescent="0.2">
      <c r="A31" s="430" t="s">
        <v>883</v>
      </c>
    </row>
    <row r="32" spans="1:4" x14ac:dyDescent="0.2">
      <c r="A32" s="430" t="s">
        <v>884</v>
      </c>
      <c r="B32" s="675"/>
    </row>
    <row r="33" spans="1:2" x14ac:dyDescent="0.2">
      <c r="A33" s="430" t="s">
        <v>885</v>
      </c>
      <c r="B33" s="675"/>
    </row>
    <row r="34" spans="1:2" x14ac:dyDescent="0.2">
      <c r="A34" s="430" t="s">
        <v>886</v>
      </c>
      <c r="B34" s="675"/>
    </row>
    <row r="35" spans="1:2" x14ac:dyDescent="0.2">
      <c r="A35" s="430" t="s">
        <v>887</v>
      </c>
      <c r="B35" s="676">
        <v>1000000</v>
      </c>
    </row>
    <row r="36" spans="1:2" x14ac:dyDescent="0.2">
      <c r="A36" s="430" t="s">
        <v>888</v>
      </c>
      <c r="B36" s="676" t="s">
        <v>900</v>
      </c>
    </row>
    <row r="37" spans="1:2" x14ac:dyDescent="0.2">
      <c r="A37" s="430" t="s">
        <v>889</v>
      </c>
      <c r="B37" s="676" t="s">
        <v>890</v>
      </c>
    </row>
    <row r="38" spans="1:2" x14ac:dyDescent="0.2">
      <c r="A38" s="430" t="s">
        <v>891</v>
      </c>
      <c r="B38" s="676" t="s">
        <v>892</v>
      </c>
    </row>
    <row r="39" spans="1:2" x14ac:dyDescent="0.2">
      <c r="A39" s="430" t="s">
        <v>893</v>
      </c>
      <c r="B39" s="676" t="s">
        <v>901</v>
      </c>
    </row>
    <row r="40" spans="1:2" x14ac:dyDescent="0.2">
      <c r="A40" s="430" t="s">
        <v>894</v>
      </c>
      <c r="B40" s="676">
        <v>1500005428</v>
      </c>
    </row>
    <row r="41" spans="1:2" x14ac:dyDescent="0.2">
      <c r="A41" s="430" t="s">
        <v>895</v>
      </c>
      <c r="B41" s="676">
        <v>1</v>
      </c>
    </row>
    <row r="42" spans="1:2" x14ac:dyDescent="0.2">
      <c r="A42" s="678" t="s">
        <v>896</v>
      </c>
    </row>
    <row r="43" spans="1:2" x14ac:dyDescent="0.2">
      <c r="A43" s="430" t="s">
        <v>897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430" bestFit="1" customWidth="1"/>
    <col min="2" max="256" width="9.140625" style="430"/>
    <col min="257" max="257" width="28.5703125" style="430" bestFit="1" customWidth="1"/>
    <col min="258" max="512" width="9.140625" style="430"/>
    <col min="513" max="513" width="28.5703125" style="430" bestFit="1" customWidth="1"/>
    <col min="514" max="768" width="9.140625" style="430"/>
    <col min="769" max="769" width="28.5703125" style="430" bestFit="1" customWidth="1"/>
    <col min="770" max="1024" width="9.140625" style="430"/>
    <col min="1025" max="1025" width="28.5703125" style="430" bestFit="1" customWidth="1"/>
    <col min="1026" max="1280" width="9.140625" style="430"/>
    <col min="1281" max="1281" width="28.5703125" style="430" bestFit="1" customWidth="1"/>
    <col min="1282" max="1536" width="9.140625" style="430"/>
    <col min="1537" max="1537" width="28.5703125" style="430" bestFit="1" customWidth="1"/>
    <col min="1538" max="1792" width="9.140625" style="430"/>
    <col min="1793" max="1793" width="28.5703125" style="430" bestFit="1" customWidth="1"/>
    <col min="1794" max="2048" width="9.140625" style="430"/>
    <col min="2049" max="2049" width="28.5703125" style="430" bestFit="1" customWidth="1"/>
    <col min="2050" max="2304" width="9.140625" style="430"/>
    <col min="2305" max="2305" width="28.5703125" style="430" bestFit="1" customWidth="1"/>
    <col min="2306" max="2560" width="9.140625" style="430"/>
    <col min="2561" max="2561" width="28.5703125" style="430" bestFit="1" customWidth="1"/>
    <col min="2562" max="2816" width="9.140625" style="430"/>
    <col min="2817" max="2817" width="28.5703125" style="430" bestFit="1" customWidth="1"/>
    <col min="2818" max="3072" width="9.140625" style="430"/>
    <col min="3073" max="3073" width="28.5703125" style="430" bestFit="1" customWidth="1"/>
    <col min="3074" max="3328" width="9.140625" style="430"/>
    <col min="3329" max="3329" width="28.5703125" style="430" bestFit="1" customWidth="1"/>
    <col min="3330" max="3584" width="9.140625" style="430"/>
    <col min="3585" max="3585" width="28.5703125" style="430" bestFit="1" customWidth="1"/>
    <col min="3586" max="3840" width="9.140625" style="430"/>
    <col min="3841" max="3841" width="28.5703125" style="430" bestFit="1" customWidth="1"/>
    <col min="3842" max="4096" width="9.140625" style="430"/>
    <col min="4097" max="4097" width="28.5703125" style="430" bestFit="1" customWidth="1"/>
    <col min="4098" max="4352" width="9.140625" style="430"/>
    <col min="4353" max="4353" width="28.5703125" style="430" bestFit="1" customWidth="1"/>
    <col min="4354" max="4608" width="9.140625" style="430"/>
    <col min="4609" max="4609" width="28.5703125" style="430" bestFit="1" customWidth="1"/>
    <col min="4610" max="4864" width="9.140625" style="430"/>
    <col min="4865" max="4865" width="28.5703125" style="430" bestFit="1" customWidth="1"/>
    <col min="4866" max="5120" width="9.140625" style="430"/>
    <col min="5121" max="5121" width="28.5703125" style="430" bestFit="1" customWidth="1"/>
    <col min="5122" max="5376" width="9.140625" style="430"/>
    <col min="5377" max="5377" width="28.5703125" style="430" bestFit="1" customWidth="1"/>
    <col min="5378" max="5632" width="9.140625" style="430"/>
    <col min="5633" max="5633" width="28.5703125" style="430" bestFit="1" customWidth="1"/>
    <col min="5634" max="5888" width="9.140625" style="430"/>
    <col min="5889" max="5889" width="28.5703125" style="430" bestFit="1" customWidth="1"/>
    <col min="5890" max="6144" width="9.140625" style="430"/>
    <col min="6145" max="6145" width="28.5703125" style="430" bestFit="1" customWidth="1"/>
    <col min="6146" max="6400" width="9.140625" style="430"/>
    <col min="6401" max="6401" width="28.5703125" style="430" bestFit="1" customWidth="1"/>
    <col min="6402" max="6656" width="9.140625" style="430"/>
    <col min="6657" max="6657" width="28.5703125" style="430" bestFit="1" customWidth="1"/>
    <col min="6658" max="6912" width="9.140625" style="430"/>
    <col min="6913" max="6913" width="28.5703125" style="430" bestFit="1" customWidth="1"/>
    <col min="6914" max="7168" width="9.140625" style="430"/>
    <col min="7169" max="7169" width="28.5703125" style="430" bestFit="1" customWidth="1"/>
    <col min="7170" max="7424" width="9.140625" style="430"/>
    <col min="7425" max="7425" width="28.5703125" style="430" bestFit="1" customWidth="1"/>
    <col min="7426" max="7680" width="9.140625" style="430"/>
    <col min="7681" max="7681" width="28.5703125" style="430" bestFit="1" customWidth="1"/>
    <col min="7682" max="7936" width="9.140625" style="430"/>
    <col min="7937" max="7937" width="28.5703125" style="430" bestFit="1" customWidth="1"/>
    <col min="7938" max="8192" width="9.140625" style="430"/>
    <col min="8193" max="8193" width="28.5703125" style="430" bestFit="1" customWidth="1"/>
    <col min="8194" max="8448" width="9.140625" style="430"/>
    <col min="8449" max="8449" width="28.5703125" style="430" bestFit="1" customWidth="1"/>
    <col min="8450" max="8704" width="9.140625" style="430"/>
    <col min="8705" max="8705" width="28.5703125" style="430" bestFit="1" customWidth="1"/>
    <col min="8706" max="8960" width="9.140625" style="430"/>
    <col min="8961" max="8961" width="28.5703125" style="430" bestFit="1" customWidth="1"/>
    <col min="8962" max="9216" width="9.140625" style="430"/>
    <col min="9217" max="9217" width="28.5703125" style="430" bestFit="1" customWidth="1"/>
    <col min="9218" max="9472" width="9.140625" style="430"/>
    <col min="9473" max="9473" width="28.5703125" style="430" bestFit="1" customWidth="1"/>
    <col min="9474" max="9728" width="9.140625" style="430"/>
    <col min="9729" max="9729" width="28.5703125" style="430" bestFit="1" customWidth="1"/>
    <col min="9730" max="9984" width="9.140625" style="430"/>
    <col min="9985" max="9985" width="28.5703125" style="430" bestFit="1" customWidth="1"/>
    <col min="9986" max="10240" width="9.140625" style="430"/>
    <col min="10241" max="10241" width="28.5703125" style="430" bestFit="1" customWidth="1"/>
    <col min="10242" max="10496" width="9.140625" style="430"/>
    <col min="10497" max="10497" width="28.5703125" style="430" bestFit="1" customWidth="1"/>
    <col min="10498" max="10752" width="9.140625" style="430"/>
    <col min="10753" max="10753" width="28.5703125" style="430" bestFit="1" customWidth="1"/>
    <col min="10754" max="11008" width="9.140625" style="430"/>
    <col min="11009" max="11009" width="28.5703125" style="430" bestFit="1" customWidth="1"/>
    <col min="11010" max="11264" width="9.140625" style="430"/>
    <col min="11265" max="11265" width="28.5703125" style="430" bestFit="1" customWidth="1"/>
    <col min="11266" max="11520" width="9.140625" style="430"/>
    <col min="11521" max="11521" width="28.5703125" style="430" bestFit="1" customWidth="1"/>
    <col min="11522" max="11776" width="9.140625" style="430"/>
    <col min="11777" max="11777" width="28.5703125" style="430" bestFit="1" customWidth="1"/>
    <col min="11778" max="12032" width="9.140625" style="430"/>
    <col min="12033" max="12033" width="28.5703125" style="430" bestFit="1" customWidth="1"/>
    <col min="12034" max="12288" width="9.140625" style="430"/>
    <col min="12289" max="12289" width="28.5703125" style="430" bestFit="1" customWidth="1"/>
    <col min="12290" max="12544" width="9.140625" style="430"/>
    <col min="12545" max="12545" width="28.5703125" style="430" bestFit="1" customWidth="1"/>
    <col min="12546" max="12800" width="9.140625" style="430"/>
    <col min="12801" max="12801" width="28.5703125" style="430" bestFit="1" customWidth="1"/>
    <col min="12802" max="13056" width="9.140625" style="430"/>
    <col min="13057" max="13057" width="28.5703125" style="430" bestFit="1" customWidth="1"/>
    <col min="13058" max="13312" width="9.140625" style="430"/>
    <col min="13313" max="13313" width="28.5703125" style="430" bestFit="1" customWidth="1"/>
    <col min="13314" max="13568" width="9.140625" style="430"/>
    <col min="13569" max="13569" width="28.5703125" style="430" bestFit="1" customWidth="1"/>
    <col min="13570" max="13824" width="9.140625" style="430"/>
    <col min="13825" max="13825" width="28.5703125" style="430" bestFit="1" customWidth="1"/>
    <col min="13826" max="14080" width="9.140625" style="430"/>
    <col min="14081" max="14081" width="28.5703125" style="430" bestFit="1" customWidth="1"/>
    <col min="14082" max="14336" width="9.140625" style="430"/>
    <col min="14337" max="14337" width="28.5703125" style="430" bestFit="1" customWidth="1"/>
    <col min="14338" max="14592" width="9.140625" style="430"/>
    <col min="14593" max="14593" width="28.5703125" style="430" bestFit="1" customWidth="1"/>
    <col min="14594" max="14848" width="9.140625" style="430"/>
    <col min="14849" max="14849" width="28.5703125" style="430" bestFit="1" customWidth="1"/>
    <col min="14850" max="15104" width="9.140625" style="430"/>
    <col min="15105" max="15105" width="28.5703125" style="430" bestFit="1" customWidth="1"/>
    <col min="15106" max="15360" width="9.140625" style="430"/>
    <col min="15361" max="15361" width="28.5703125" style="430" bestFit="1" customWidth="1"/>
    <col min="15362" max="15616" width="9.140625" style="430"/>
    <col min="15617" max="15617" width="28.5703125" style="430" bestFit="1" customWidth="1"/>
    <col min="15618" max="15872" width="9.140625" style="430"/>
    <col min="15873" max="15873" width="28.5703125" style="430" bestFit="1" customWidth="1"/>
    <col min="15874" max="16128" width="9.140625" style="430"/>
    <col min="16129" max="16129" width="28.5703125" style="430" bestFit="1" customWidth="1"/>
    <col min="16130" max="16384" width="9.140625" style="430"/>
  </cols>
  <sheetData>
    <row r="1" spans="1:1" x14ac:dyDescent="0.2">
      <c r="A1" s="680" t="s">
        <v>905</v>
      </c>
    </row>
    <row r="2" spans="1:1" x14ac:dyDescent="0.2">
      <c r="A2" s="680" t="s">
        <v>910</v>
      </c>
    </row>
    <row r="3" spans="1:1" x14ac:dyDescent="0.2">
      <c r="A3" s="680" t="s">
        <v>911</v>
      </c>
    </row>
    <row r="4" spans="1:1" x14ac:dyDescent="0.2">
      <c r="A4" s="680" t="s">
        <v>912</v>
      </c>
    </row>
    <row r="5" spans="1:1" x14ac:dyDescent="0.2">
      <c r="A5" s="680" t="s">
        <v>913</v>
      </c>
    </row>
    <row r="6" spans="1:1" x14ac:dyDescent="0.2">
      <c r="A6" s="680" t="s">
        <v>906</v>
      </c>
    </row>
    <row r="7" spans="1:1" x14ac:dyDescent="0.2">
      <c r="A7" s="680" t="s">
        <v>914</v>
      </c>
    </row>
    <row r="8" spans="1:1" x14ac:dyDescent="0.2">
      <c r="A8" s="680" t="s">
        <v>915</v>
      </c>
    </row>
    <row r="9" spans="1:1" x14ac:dyDescent="0.2">
      <c r="A9" s="680" t="s">
        <v>916</v>
      </c>
    </row>
    <row r="10" spans="1:1" x14ac:dyDescent="0.2">
      <c r="A10" s="680" t="s">
        <v>907</v>
      </c>
    </row>
    <row r="11" spans="1:1" x14ac:dyDescent="0.2">
      <c r="A11" s="680" t="s">
        <v>917</v>
      </c>
    </row>
    <row r="12" spans="1:1" x14ac:dyDescent="0.2">
      <c r="A12" s="680" t="s">
        <v>908</v>
      </c>
    </row>
    <row r="13" spans="1:1" x14ac:dyDescent="0.2">
      <c r="A13" s="680" t="s">
        <v>909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"/>
  <sheetViews>
    <sheetView workbookViewId="0"/>
  </sheetViews>
  <sheetFormatPr defaultRowHeight="12.75" x14ac:dyDescent="0.2"/>
  <sheetData>
    <row r="1" spans="1:12" x14ac:dyDescent="0.2">
      <c r="A1" t="s">
        <v>370</v>
      </c>
    </row>
    <row r="2" spans="1:12" x14ac:dyDescent="0.2">
      <c r="A2" s="2" t="s">
        <v>367</v>
      </c>
      <c r="B2" s="2" t="s">
        <v>545</v>
      </c>
      <c r="C2" s="2" t="s">
        <v>92</v>
      </c>
      <c r="D2" s="2" t="s">
        <v>94</v>
      </c>
      <c r="E2" s="2" t="s">
        <v>91</v>
      </c>
      <c r="F2" s="2" t="s">
        <v>94</v>
      </c>
      <c r="G2" s="2" t="s">
        <v>368</v>
      </c>
      <c r="H2" s="2" t="s">
        <v>90</v>
      </c>
      <c r="I2" s="2" t="s">
        <v>93</v>
      </c>
      <c r="J2" s="2" t="s">
        <v>94</v>
      </c>
      <c r="K2" s="2" t="s">
        <v>369</v>
      </c>
      <c r="L2" s="2" t="s">
        <v>456</v>
      </c>
    </row>
  </sheetData>
  <phoneticPr fontId="9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3b2af7fa-3e2d-4a41-bcc4-a774b9318374</GUID>
    <SOURCE_ALTADDRESS>$A$106:$D$123</SOURCE_ALTADDRESS>
    <SOURCETYPE>Table</SOURCETYPE>
    <SOURCE_OBJECTNAME>Linking_Range_18</SOURCE_OBJECTNAME>
    <OBJECTTYPE>Native</OBJECTTYPE>
    <SOURCE_SHEETCODE>Sheet14</SOURCE_SHEETCODE>
    <SOURCE_SHEETNAME>Normalizing Earnings</SOURCE_SHEETNAME>
    <SOURCEAPPLICATION>EXCEL_SOURCE</SOURCEAPPLICATION>
    <UPDATEDAT>4/29/2015 1:15:16 PM</UPDATEDAT>
    <SOURCE_ISOUTOFDATE>False</SOURCE_ISOUTOFDATE>
    <SOURCE_WORKBOOKNAME>VOYA.xlsm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/MSResearch/Content/ExternalAssets/2015-04/Images/_WaSCxpH0kObVULPnfGt8g--.png</TARGET_BINARYFULLNAME>
    <TARGET_STORYFULLNAME>/MSResearch/Content/ExternalAssets/2015-04/Sections/20150429_011513_Linking_Range_18.xml</TARGET_STORYFULLNAME>
    <TARGET_UUID>4c70ad32-ee93-11e4-aeba-9bba02fefb2a</TARGET_UUID>
  </Link>
  <Link>
    <GUID>3f1587f6-aab2-4191-839b-6ed5e5da5828</GUID>
    <SOURCE_ALTADDRESS>$A$2:$D$18</SOURCE_ALTADDRESS>
    <SOURCETYPE>Table</SOURCETYPE>
    <SOURCE_OBJECTNAME>Linking_Range_17</SOURCE_OBJECTNAME>
    <OBJECTTYPE>Native</OBJECTTYPE>
    <SOURCE_SHEETCODE>Sheet13</SOURCE_SHEETCODE>
    <SOURCE_SHEETNAME>SOTPs</SOURCE_SHEETNAME>
    <SOURCEAPPLICATION>EXCEL_SOURCE</SOURCEAPPLICATION>
    <UPDATEDAT>4/29/2015 1:23:56 PM</UPDATEDAT>
    <SOURCE_ISOUTOFDATE>False</SOURCE_ISOUTOFDATE>
    <SOURCE_WORKBOOKNAME>VOYA.xlsm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/MSResearch/Content/ExternalAssets/2015-04/Images/POhrfenI0Ey9_XVDO7Z27g--.png</TARGET_BINARYFULLNAME>
    <TARGET_STORYFULLNAME>/MSResearch/Content/ExternalAssets/2015-04/Sections/20150429_012353_Linking_Range_17.xml</TARGET_STORYFULLNAME>
    <TARGET_UUID>8251d7fe-ee94-11e4-aeba-9bba02fefb2a</TARGET_UUID>
  </Link>
  <Link>
    <GUID>bb021b04-87ca-49b2-aa2e-bec9ecf4cba5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4/29/2015 1:53:57 PM</UPDATEDAT>
    <SOURCE_ISOUTOFDATE>False</SOURCE_ISOUTOFDATE>
    <SOURCE_WORKBOOKNAME>VOYA.xlsm</SOURCE_WORKBOOKNAME>
    <SOURCE_WORKBOOKPATH>\\MSAD\ROOT\NA\NY\LIB\ER\INSURANC\life&amp;annuities\models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/MSResearch/Content/ExternalAssets/2015-04/Images/OCx05CWR2UyaAR0jehXSZA--.png</TARGET_BINARYFULLNAME>
    <TARGET_STORYFULLNAME>/MSResearch/Content/ExternalAssets/2015-04/Sections/20150429_035352_MWA_Risk_Reward.xml</TARGET_STORYFULLNAME>
    <TARGET_UUID>75f99270-eea9-11e4-aeba-9bba02fefb2a</TARGET_UUID>
  </Link>
  <Link>
    <GUID>eca29d08-2a08-4f3e-bf07-6969d566c2e5</GUID>
    <SOURCE_ALTADDRESS>$B$8:$Q$53</SOURCE_ALTADDRESS>
    <SOURCETYPE>Table</SOURCETYPE>
    <SOURCE_OBJECTNAME>Linking_Range_16</SOURCE_OBJECTNAME>
    <OBJECTTYPE>Native</OBJECTTYPE>
    <SOURCE_SHEETCODE>Sheet11</SOURCE_SHEETCODE>
    <SOURCE_SHEETNAME>Core AvE</SOURCE_SHEETNAME>
    <SOURCEAPPLICATION>EXCEL_SOURCE</SOURCEAPPLICATION>
    <UPDATEDAT>5/6/2015 12:22:25 PM</UPDATEDAT>
    <SOURCE_ISOUTOFDATE>False</SOURCE_ISOUTOFDATE>
    <SOURCE_WORKBOOKNAME>VOYA.xlsm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/MSResearch/Content/ExternalAssets/2015-04/Images/mVUBDe0UBUy21g8uVvIbug--.png</TARGET_BINARYFULLNAME>
    <TARGET_STORYFULLNAME>/MSResearch/Content/ExternalAssets/2015-04/Sections/20150430_021723_Linking_Range_16.xml</TARGET_STORYFULLNAME>
    <TARGET_UUID>25b11e5c-ef65-11e4-aeba-9bba02fefb2a</TARGET_UUID>
    <LINKSTATUS>Unknown</LINKSTATUS>
  </Link>
</lk:Links>
</file>

<file path=customXml/itemProps1.xml><?xml version="1.0" encoding="utf-8"?>
<ds:datastoreItem xmlns:ds="http://schemas.openxmlformats.org/officeDocument/2006/customXml" ds:itemID="{491AAB96-C78C-47C4-A0FD-7659EBB2BA15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0D6B36CF-E4D4-4802-A782-0F99C30789B6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371</vt:i4>
      </vt:variant>
    </vt:vector>
  </HeadingPairs>
  <TitlesOfParts>
    <vt:vector size="379" baseType="lpstr">
      <vt:lpstr>ImportantDisclosures</vt:lpstr>
      <vt:lpstr>INPUT</vt:lpstr>
      <vt:lpstr>FORECAST-CORE</vt:lpstr>
      <vt:lpstr>FORECAST-REPORTED</vt:lpstr>
      <vt:lpstr>Guidance</vt:lpstr>
      <vt:lpstr>SOTPs</vt:lpstr>
      <vt:lpstr>IndexInformation</vt:lpstr>
      <vt:lpstr>ModPubIndex</vt:lpstr>
      <vt:lpstr>_1Q11</vt:lpstr>
      <vt:lpstr>_1Q12</vt:lpstr>
      <vt:lpstr>_1Q13</vt:lpstr>
      <vt:lpstr>_1Q14</vt:lpstr>
      <vt:lpstr>_1Q15</vt:lpstr>
      <vt:lpstr>_1Q16</vt:lpstr>
      <vt:lpstr>_1Q17</vt:lpstr>
      <vt:lpstr>_1Q18</vt:lpstr>
      <vt:lpstr>_2Q11</vt:lpstr>
      <vt:lpstr>_2Q12</vt:lpstr>
      <vt:lpstr>_2Q13</vt:lpstr>
      <vt:lpstr>_2Q14</vt:lpstr>
      <vt:lpstr>_2Q15</vt:lpstr>
      <vt:lpstr>_2Q16</vt:lpstr>
      <vt:lpstr>_2Q17</vt:lpstr>
      <vt:lpstr>_2Q18</vt:lpstr>
      <vt:lpstr>_3Q11</vt:lpstr>
      <vt:lpstr>_3Q12</vt:lpstr>
      <vt:lpstr>_3Q13</vt:lpstr>
      <vt:lpstr>_3Q14</vt:lpstr>
      <vt:lpstr>_3Q15</vt:lpstr>
      <vt:lpstr>_3Q16</vt:lpstr>
      <vt:lpstr>_3Q17</vt:lpstr>
      <vt:lpstr>_3Q18</vt:lpstr>
      <vt:lpstr>_4Q11</vt:lpstr>
      <vt:lpstr>_4Q12</vt:lpstr>
      <vt:lpstr>_4Q13</vt:lpstr>
      <vt:lpstr>_4Q14</vt:lpstr>
      <vt:lpstr>_4Q15</vt:lpstr>
      <vt:lpstr>_4Q16</vt:lpstr>
      <vt:lpstr>_4Q17</vt:lpstr>
      <vt:lpstr>_4Q18</vt:lpstr>
      <vt:lpstr>_5_Yr</vt:lpstr>
      <vt:lpstr>AdditionalInstructions</vt:lpstr>
      <vt:lpstr>ImportantDisclosures!Address</vt:lpstr>
      <vt:lpstr>AdjROC_Annuities</vt:lpstr>
      <vt:lpstr>AdjROC_CBVA</vt:lpstr>
      <vt:lpstr>AdjROC_EB</vt:lpstr>
      <vt:lpstr>AdjROC_IM</vt:lpstr>
      <vt:lpstr>AdjROC_IndLife</vt:lpstr>
      <vt:lpstr>AdjROC_Retirement</vt:lpstr>
      <vt:lpstr>AmtIssued</vt:lpstr>
      <vt:lpstr>AmtRepurch</vt:lpstr>
      <vt:lpstr>ModPubIndex!ANA</vt:lpstr>
      <vt:lpstr>Annuity_Admin_Expenses</vt:lpstr>
      <vt:lpstr>Annuity_AvgAuM</vt:lpstr>
      <vt:lpstr>Annuity_Expenses</vt:lpstr>
      <vt:lpstr>Annuity_Fee_Income</vt:lpstr>
      <vt:lpstr>Annuity_NetRevenues</vt:lpstr>
      <vt:lpstr>Annuity_NetUnderGainLoss</vt:lpstr>
      <vt:lpstr>Annuity_NII</vt:lpstr>
      <vt:lpstr>Annuity_Revenues</vt:lpstr>
      <vt:lpstr>AssetMgmt_AvgAuM</vt:lpstr>
      <vt:lpstr>AssetMgmt_Expenses</vt:lpstr>
      <vt:lpstr>AssetMgmt_Fee_Income</vt:lpstr>
      <vt:lpstr>AssetMgmt_NII</vt:lpstr>
      <vt:lpstr>AssetMgmt_Revenues</vt:lpstr>
      <vt:lpstr>Assumed_Debt_Expense</vt:lpstr>
      <vt:lpstr>ATEarns_CBVA</vt:lpstr>
      <vt:lpstr>AUA_IM</vt:lpstr>
      <vt:lpstr>AUM_Annuities</vt:lpstr>
      <vt:lpstr>AUM_CBVA</vt:lpstr>
      <vt:lpstr>AUM_EmployeeBenefits</vt:lpstr>
      <vt:lpstr>AUM_IM_External</vt:lpstr>
      <vt:lpstr>AUM_IM_GA</vt:lpstr>
      <vt:lpstr>AUM_IMAffiliated</vt:lpstr>
      <vt:lpstr>AUM_IMSourced</vt:lpstr>
      <vt:lpstr>AUM_IndLife</vt:lpstr>
      <vt:lpstr>AUM_Retirement</vt:lpstr>
      <vt:lpstr>AUM_Total_IM</vt:lpstr>
      <vt:lpstr>ImportantDisclosures!Authors</vt:lpstr>
      <vt:lpstr>IndexInformation!Authors</vt:lpstr>
      <vt:lpstr>Avg_CBVA_Equity</vt:lpstr>
      <vt:lpstr>Avg_Debt</vt:lpstr>
      <vt:lpstr>Avg_Eq_Ex115</vt:lpstr>
      <vt:lpstr>Avg_Eq_Incl115</vt:lpstr>
      <vt:lpstr>AvgBasicShrs</vt:lpstr>
      <vt:lpstr>AvgCap_Annuities</vt:lpstr>
      <vt:lpstr>AvgCap_CBVA</vt:lpstr>
      <vt:lpstr>AvgCap_EB</vt:lpstr>
      <vt:lpstr>AvgCap_IM</vt:lpstr>
      <vt:lpstr>AvgCap_IndLife</vt:lpstr>
      <vt:lpstr>AvgCap_Retirement</vt:lpstr>
      <vt:lpstr>AvgEquity_Ex_CBVA</vt:lpstr>
      <vt:lpstr>AvgShrsOut</vt:lpstr>
      <vt:lpstr>BegCap_Annuities</vt:lpstr>
      <vt:lpstr>BegCap_CBVA</vt:lpstr>
      <vt:lpstr>BegCap_EB</vt:lpstr>
      <vt:lpstr>BegCap_IM</vt:lpstr>
      <vt:lpstr>BegCap_IndLife</vt:lpstr>
      <vt:lpstr>BegCap_Retirement</vt:lpstr>
      <vt:lpstr>ModPubIndex!BRO</vt:lpstr>
      <vt:lpstr>Buybacks_AvgPrice</vt:lpstr>
      <vt:lpstr>BVPS_ex115</vt:lpstr>
      <vt:lpstr>BVPS_ex115_exCBVA</vt:lpstr>
      <vt:lpstr>BVPS_exAOCI_exCBVA</vt:lpstr>
      <vt:lpstr>BVPS_incl115</vt:lpstr>
      <vt:lpstr>Capital_CBVA</vt:lpstr>
      <vt:lpstr>Capital_Non_Alloctaed</vt:lpstr>
      <vt:lpstr>Capital_Ongoing_Operations</vt:lpstr>
      <vt:lpstr>CBVA_Admin_Expenses</vt:lpstr>
      <vt:lpstr>CBVA_AvgAuM</vt:lpstr>
      <vt:lpstr>CBVA_Expenses</vt:lpstr>
      <vt:lpstr>CBVA_Fees</vt:lpstr>
      <vt:lpstr>CBVA_Lapses</vt:lpstr>
      <vt:lpstr>CBVA_NetUnderGainLoss</vt:lpstr>
      <vt:lpstr>CBVA_NII</vt:lpstr>
      <vt:lpstr>CBVA_Revenues</vt:lpstr>
      <vt:lpstr>CBVAInst_Admin_Expenses</vt:lpstr>
      <vt:lpstr>CBVAInst_NetRevenues</vt:lpstr>
      <vt:lpstr>CBVAInst_NetUnderGainLoss</vt:lpstr>
      <vt:lpstr>ClosedBlock_ISP</vt:lpstr>
      <vt:lpstr>Consolidated_NII</vt:lpstr>
      <vt:lpstr>Consolidated_Premiums</vt:lpstr>
      <vt:lpstr>Consolidated_Revenues</vt:lpstr>
      <vt:lpstr>CopyrightStamp</vt:lpstr>
      <vt:lpstr>Core_ATEarns</vt:lpstr>
      <vt:lpstr>Core_Ongoing_PTEarnings</vt:lpstr>
      <vt:lpstr>Core_OpEPS</vt:lpstr>
      <vt:lpstr>Core_ROE</vt:lpstr>
      <vt:lpstr>Core_ROE_exCBVA</vt:lpstr>
      <vt:lpstr>CoreAnnuities_AT</vt:lpstr>
      <vt:lpstr>CoreClosedBlock_AT</vt:lpstr>
      <vt:lpstr>CoreCorporate_AT</vt:lpstr>
      <vt:lpstr>CoreEmployeeBenefits_AT</vt:lpstr>
      <vt:lpstr>CoreInc_Ann</vt:lpstr>
      <vt:lpstr>CoreInc_CB</vt:lpstr>
      <vt:lpstr>CoreInc_Corp</vt:lpstr>
      <vt:lpstr>CoreInc_EmpBen</vt:lpstr>
      <vt:lpstr>CoreInc_IndLife</vt:lpstr>
      <vt:lpstr>CoreInc_Inv</vt:lpstr>
      <vt:lpstr>CoreInc_Ret</vt:lpstr>
      <vt:lpstr>CoreIndLife_AT</vt:lpstr>
      <vt:lpstr>CoreInvMgmt_AT</vt:lpstr>
      <vt:lpstr>CoreOp_EPS</vt:lpstr>
      <vt:lpstr>CoreOp_ROE</vt:lpstr>
      <vt:lpstr>CoreOpEarns_AT</vt:lpstr>
      <vt:lpstr>CoreOpEarns_PT</vt:lpstr>
      <vt:lpstr>CorePTEarns_Annuities</vt:lpstr>
      <vt:lpstr>CorePTEarns_CBVA</vt:lpstr>
      <vt:lpstr>CorePTEarns_ClosedBlock</vt:lpstr>
      <vt:lpstr>CorePTEarns_Corporate</vt:lpstr>
      <vt:lpstr>CorePTEarns_EmployeeBenefits</vt:lpstr>
      <vt:lpstr>CorePTEarns_IndLife</vt:lpstr>
      <vt:lpstr>CorePTEarns_InvMgmt</vt:lpstr>
      <vt:lpstr>CorePTEarns_Retirement</vt:lpstr>
      <vt:lpstr>CorePTMargin_Annuities</vt:lpstr>
      <vt:lpstr>CorePTMargin_InvMgmt</vt:lpstr>
      <vt:lpstr>CorePTMargin_Retirement</vt:lpstr>
      <vt:lpstr>CoreRetirement_AT</vt:lpstr>
      <vt:lpstr>ModPubIndex!COU</vt:lpstr>
      <vt:lpstr>IndexInformation!CQEnd</vt:lpstr>
      <vt:lpstr>CredCost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DAC_Asset</vt:lpstr>
      <vt:lpstr>ImportantDisclosures!Date</vt:lpstr>
      <vt:lpstr>Debt_to_Capital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DivAmt</vt:lpstr>
      <vt:lpstr>DivPayout</vt:lpstr>
      <vt:lpstr>DivPS</vt:lpstr>
      <vt:lpstr>ModPubIndex!DOCDAT</vt:lpstr>
      <vt:lpstr>ModPubIndex!DOCTIME</vt:lpstr>
      <vt:lpstr>IndexInformation!DocType</vt:lpstr>
      <vt:lpstr>ModPubIndex!EMAIL_ALERT</vt:lpstr>
      <vt:lpstr>IndexInformation!EmailAlert</vt:lpstr>
      <vt:lpstr>Employee_Admin_Expenses</vt:lpstr>
      <vt:lpstr>Employee_NetRevenues</vt:lpstr>
      <vt:lpstr>Employee_NetUnderGainLoss</vt:lpstr>
      <vt:lpstr>EndCap_Annuities</vt:lpstr>
      <vt:lpstr>EndCap_CBVA</vt:lpstr>
      <vt:lpstr>EndCap_EB</vt:lpstr>
      <vt:lpstr>EndCap_IM</vt:lpstr>
      <vt:lpstr>EndCap_IndLife</vt:lpstr>
      <vt:lpstr>EndCap_Retirement</vt:lpstr>
      <vt:lpstr>EOP_Eq_Ex115</vt:lpstr>
      <vt:lpstr>EOP_Eq_Ex115_ExCBVA</vt:lpstr>
      <vt:lpstr>EOP_Eq_incl115</vt:lpstr>
      <vt:lpstr>EOPShrsOut</vt:lpstr>
      <vt:lpstr>EPS_ForConsensus</vt:lpstr>
      <vt:lpstr>Expenses_Annuity</vt:lpstr>
      <vt:lpstr>Expenses_Life</vt:lpstr>
      <vt:lpstr>F2009_</vt:lpstr>
      <vt:lpstr>F2010_</vt:lpstr>
      <vt:lpstr>F2011_</vt:lpstr>
      <vt:lpstr>F2012_</vt:lpstr>
      <vt:lpstr>F2013_</vt:lpstr>
      <vt:lpstr>F2014_</vt:lpstr>
      <vt:lpstr>F2015_</vt:lpstr>
      <vt:lpstr>F2016_</vt:lpstr>
      <vt:lpstr>F2017_</vt:lpstr>
      <vt:lpstr>F2018_</vt:lpstr>
      <vt:lpstr>F2019_</vt:lpstr>
      <vt:lpstr>F2020_</vt:lpstr>
      <vt:lpstr>F2021_</vt:lpstr>
      <vt:lpstr>F2022_</vt:lpstr>
      <vt:lpstr>FAS115_Adjmt</vt:lpstr>
      <vt:lpstr>FD_Adjustment</vt:lpstr>
      <vt:lpstr>Fee_Income___Recordkeeping</vt:lpstr>
      <vt:lpstr>Fee_Income_Base</vt:lpstr>
      <vt:lpstr>IndexInformation!FiveYearGrowthRate</vt:lpstr>
      <vt:lpstr>Flows_Aff</vt:lpstr>
      <vt:lpstr>Flows_IMSourc</vt:lpstr>
      <vt:lpstr>Flows_Retirement</vt:lpstr>
      <vt:lpstr>IndexInformation!FollowingYearEPS</vt:lpstr>
      <vt:lpstr>IndexInformation!FollowingYearTotalRevenue</vt:lpstr>
      <vt:lpstr>IndexInformation!FollowingYearTotalRevenueActual</vt:lpstr>
      <vt:lpstr>Goodwill</vt:lpstr>
      <vt:lpstr>Gross_Investment_Income</vt:lpstr>
      <vt:lpstr>Group_Avg_AUM</vt:lpstr>
      <vt:lpstr>Group_Exp</vt:lpstr>
      <vt:lpstr>Group_NII</vt:lpstr>
      <vt:lpstr>GroupLife_Benefits</vt:lpstr>
      <vt:lpstr>GroupLife_Premiums</vt:lpstr>
      <vt:lpstr>ModPubIndex!HL</vt:lpstr>
      <vt:lpstr>ModPubIndex!IND</vt:lpstr>
      <vt:lpstr>IndivLife_NetRevenues</vt:lpstr>
      <vt:lpstr>IndivLife_NetUnderGainLoss</vt:lpstr>
      <vt:lpstr>ImportantDisclosures!Industry</vt:lpstr>
      <vt:lpstr>IndustryId</vt:lpstr>
      <vt:lpstr>ImportantDisclosures!IndustryRating</vt:lpstr>
      <vt:lpstr>Inflows_Annuities</vt:lpstr>
      <vt:lpstr>Inflows_CBVA</vt:lpstr>
      <vt:lpstr>Inflows_IMAffiliated</vt:lpstr>
      <vt:lpstr>Inflows_IMSourced</vt:lpstr>
      <vt:lpstr>Inflows_InvMgmt_Comm.</vt:lpstr>
      <vt:lpstr>Inflows_Retirement</vt:lpstr>
      <vt:lpstr>Investments</vt:lpstr>
      <vt:lpstr>InvMgmt_PTMargin</vt:lpstr>
      <vt:lpstr>Issuance_Timing</vt:lpstr>
      <vt:lpstr>IndexInformation!KeepVersions</vt:lpstr>
      <vt:lpstr>LanguageCode</vt:lpstr>
      <vt:lpstr>ImportantDisclosures!LastCell</vt:lpstr>
      <vt:lpstr>Life_Admin_Expenses</vt:lpstr>
      <vt:lpstr>Life_AvgAuM</vt:lpstr>
      <vt:lpstr>Life_Fees</vt:lpstr>
      <vt:lpstr>Life_NII</vt:lpstr>
      <vt:lpstr>Life_Revenues</vt:lpstr>
      <vt:lpstr>Linking_3</vt:lpstr>
      <vt:lpstr>Linking_4</vt:lpstr>
      <vt:lpstr>Linking_6</vt:lpstr>
      <vt:lpstr>Linking_Range_1</vt:lpstr>
      <vt:lpstr>Linking_Range_17</vt:lpstr>
      <vt:lpstr>Linking_Range_2</vt:lpstr>
      <vt:lpstr>Linking_Range_20</vt:lpstr>
      <vt:lpstr>Linking_Range_3</vt:lpstr>
      <vt:lpstr>Long_term_debt</vt:lpstr>
      <vt:lpstr>LossRatio_GroupLife</vt:lpstr>
      <vt:lpstr>LossRatio_StopLoss</vt:lpstr>
      <vt:lpstr>LossRatio_Voluntary</vt:lpstr>
      <vt:lpstr>LTD_to_Eq_ex115</vt:lpstr>
      <vt:lpstr>LTDebt</vt:lpstr>
      <vt:lpstr>IndexInformation!MacroVersion</vt:lpstr>
      <vt:lpstr>Mgmt_Adjusted_Pretax</vt:lpstr>
      <vt:lpstr>Mgt_ROE</vt:lpstr>
      <vt:lpstr>ImportantDisclosures!ModelPrice</vt:lpstr>
      <vt:lpstr>MS_AdjustedAT</vt:lpstr>
      <vt:lpstr>IndexInformation!Multiplier</vt:lpstr>
      <vt:lpstr>Net_Revenues</vt:lpstr>
      <vt:lpstr>NetEarnedRate</vt:lpstr>
      <vt:lpstr>NetEarns</vt:lpstr>
      <vt:lpstr>NetEPS</vt:lpstr>
      <vt:lpstr>NetFlows_Annuities</vt:lpstr>
      <vt:lpstr>NetFlows_CBVA</vt:lpstr>
      <vt:lpstr>NetFlows_InvMgmt_Comm.</vt:lpstr>
      <vt:lpstr>NetFlows_Retirement</vt:lpstr>
      <vt:lpstr>IndexInformation!NextYearEPS</vt:lpstr>
      <vt:lpstr>IndexInformation!NextYearTotalRevenue</vt:lpstr>
      <vt:lpstr>IndexInformation!NextYearTotalRevenueActual</vt:lpstr>
      <vt:lpstr>ObjectType</vt:lpstr>
      <vt:lpstr>Ongoing_PTEarnings</vt:lpstr>
      <vt:lpstr>OngoingAvg_Equity</vt:lpstr>
      <vt:lpstr>Op.Earnings___For_consensus</vt:lpstr>
      <vt:lpstr>Op_EPS</vt:lpstr>
      <vt:lpstr>Op_ROE</vt:lpstr>
      <vt:lpstr>Op_ROE_exCBVA</vt:lpstr>
      <vt:lpstr>OpEarns_AT</vt:lpstr>
      <vt:lpstr>OpEarns_ForConsensus</vt:lpstr>
      <vt:lpstr>OpEarns_PT</vt:lpstr>
      <vt:lpstr>Outflows_Annuities</vt:lpstr>
      <vt:lpstr>Outflows_CBVA</vt:lpstr>
      <vt:lpstr>Outflows_InvMgmt_Comm.</vt:lpstr>
      <vt:lpstr>Outflows_Retirement</vt:lpstr>
      <vt:lpstr>ModPubIndex!PANA</vt:lpstr>
      <vt:lpstr>IndexInformation!PathName</vt:lpstr>
      <vt:lpstr>PF_Avg_Common_Equity</vt:lpstr>
      <vt:lpstr>PF_BVPS</vt:lpstr>
      <vt:lpstr>PF_BVPS___Ex_CBVA</vt:lpstr>
      <vt:lpstr>PF_BVPS_Ex_AOCI</vt:lpstr>
      <vt:lpstr>'FORECAST-CORE'!Print_Area</vt:lpstr>
      <vt:lpstr>SOTPs!Print_Area</vt:lpstr>
      <vt:lpstr>ModPubIndex!PRODUCT</vt:lpstr>
      <vt:lpstr>ModPubIndex!PSYM</vt:lpstr>
      <vt:lpstr>PT_OpEarns</vt:lpstr>
      <vt:lpstr>PTEarns_Annuities</vt:lpstr>
      <vt:lpstr>PTEarns_ClosedBlock</vt:lpstr>
      <vt:lpstr>PTEarns_Corporate</vt:lpstr>
      <vt:lpstr>PTEarns_EmployeeBenefits</vt:lpstr>
      <vt:lpstr>PTEarns_IndLife</vt:lpstr>
      <vt:lpstr>PTEarns_InvMgmt</vt:lpstr>
      <vt:lpstr>PTEarns_Retirement</vt:lpstr>
      <vt:lpstr>IndexInformation!PublishDate</vt:lpstr>
      <vt:lpstr>IndexInformation!Rating</vt:lpstr>
      <vt:lpstr>ImportantDisclosures!RatingsDefined</vt:lpstr>
      <vt:lpstr>Recordkeeping_AUA</vt:lpstr>
      <vt:lpstr>Rep_Timing</vt:lpstr>
      <vt:lpstr>IndexInformation!ResearchTopic</vt:lpstr>
      <vt:lpstr>Ret._Admin_Expenses</vt:lpstr>
      <vt:lpstr>Ret._Commissions_Paid</vt:lpstr>
      <vt:lpstr>Ret._GII</vt:lpstr>
      <vt:lpstr>Ret._Interest_Credited</vt:lpstr>
      <vt:lpstr>Ret._NIISpread</vt:lpstr>
      <vt:lpstr>Retirement_AvgAuM</vt:lpstr>
      <vt:lpstr>Retirement_Benefits</vt:lpstr>
      <vt:lpstr>Retirement_Expenses</vt:lpstr>
      <vt:lpstr>Retirement_Fee_Income</vt:lpstr>
      <vt:lpstr>Retirement_Fees_vs._AUM</vt:lpstr>
      <vt:lpstr>Retirement_NetRevenues</vt:lpstr>
      <vt:lpstr>Retirement_NetUnderGainLoss</vt:lpstr>
      <vt:lpstr>Retirement_NII</vt:lpstr>
      <vt:lpstr>Retirement_PT_ROA</vt:lpstr>
      <vt:lpstr>Retirement_Revenues</vt:lpstr>
      <vt:lpstr>Revenues_Employee</vt:lpstr>
      <vt:lpstr>IndexInformation!RIC</vt:lpstr>
      <vt:lpstr>ROA_IM</vt:lpstr>
      <vt:lpstr>ROA_IM_AdminOnly</vt:lpstr>
      <vt:lpstr>ROA_IM_GA</vt:lpstr>
      <vt:lpstr>ROA_IMExternal</vt:lpstr>
      <vt:lpstr>Sales_IndexUL</vt:lpstr>
      <vt:lpstr>Sales_IndLife</vt:lpstr>
      <vt:lpstr>Sales_Term</vt:lpstr>
      <vt:lpstr>Sales_Total_IndLife</vt:lpstr>
      <vt:lpstr>Sales_UL</vt:lpstr>
      <vt:lpstr>Sales_VUL</vt:lpstr>
      <vt:lpstr>IndexInformation!SEDOL</vt:lpstr>
      <vt:lpstr>SeptAcct</vt:lpstr>
      <vt:lpstr>ShrsIssued</vt:lpstr>
      <vt:lpstr>ShrsRepurch</vt:lpstr>
      <vt:lpstr>ImportantDisclosures!SourceDefined</vt:lpstr>
      <vt:lpstr>ImportantDisclosures!StockRating</vt:lpstr>
      <vt:lpstr>StopLoss_Benefits</vt:lpstr>
      <vt:lpstr>StopLoss_Premiums</vt:lpstr>
      <vt:lpstr>IndexInformation!SubjectCode</vt:lpstr>
      <vt:lpstr>SubmitterUserId</vt:lpstr>
      <vt:lpstr>ModPubIndex!SUPPRESSED</vt:lpstr>
      <vt:lpstr>ImportantDisclosures!TargetPrice</vt:lpstr>
      <vt:lpstr>Tax_Rate</vt:lpstr>
      <vt:lpstr>Taxes</vt:lpstr>
      <vt:lpstr>taxrate</vt:lpstr>
      <vt:lpstr>TemplateRegion</vt:lpstr>
      <vt:lpstr>ImportantDisclosures!Ticker</vt:lpstr>
      <vt:lpstr>TickerRegion</vt:lpstr>
      <vt:lpstr>IndexInformation!Tickers</vt:lpstr>
      <vt:lpstr>Tot_Excess_Cap</vt:lpstr>
      <vt:lpstr>TotalAssets</vt:lpstr>
      <vt:lpstr>TotalNonOpItems</vt:lpstr>
      <vt:lpstr>IndexInformation!UpdateReason</vt:lpstr>
      <vt:lpstr>VA_BOP_AUM</vt:lpstr>
      <vt:lpstr>VA_Withdrawal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2010-03-14T02:31:22Z</dcterms:created>
  <dc:creator>haybuse</dc:creator>
  <cp:lastModifiedBy>Huang, Bob (Research)</cp:lastModifiedBy>
  <cp:lastPrinted>2018-04-04T19:35:29Z</cp:lastPrinted>
  <dcterms:modified xsi:type="dcterms:W3CDTF">2018-04-05T13:48:54Z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{A44787D4-0540-4523-9961-78E4036D8C6D}" pid="2">
    <vt:lpwstr>{273CF55C-C8E3-427E-97C5-EC6F8B8BCF54}</vt:lpwstr>
  </property>
  <property fmtid="{D5CDD505-2E9C-101B-9397-08002B2CF9AE}" name="LinkingAutoNameNumberLinking_Range_" pid="3">
    <vt:lpwstr>28</vt:lpwstr>
  </property>
  <property fmtid="{D5CDD505-2E9C-101B-9397-08002B2CF9AE}" name="LinkingAutoNameNumberLinking_Text_" pid="4">
    <vt:lpwstr>3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759705</vt:lpwstr>
  </property>
  <property fmtid="{D5CDD505-2E9C-101B-9397-08002B2CF9AE}" name="ERModPubCompanyName" pid="8">
    <vt:lpwstr>Voya Financial Inc</vt:lpwstr>
  </property>
  <property fmtid="{D5CDD505-2E9C-101B-9397-08002B2CF9AE}" name="MSDH34TAG" pid="9">
    <vt:lpwstr>.TEZUF76X5TAHATHESADREYAK-00-INB160+*94600-06=17fed866/-38d8/-11e8/-bf62/-2af41e5950fc,MD=20180405100623/-0400,ZZ=000Z-14d9.</vt:lpwstr>
  </property>
</Properties>
</file>